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92.168.10.137\zakupki\ЗАКУПКИ 2021\Ремонт гольф поля\"/>
    </mc:Choice>
  </mc:AlternateContent>
  <bookViews>
    <workbookView xWindow="0" yWindow="0" windowWidth="28800" windowHeight="11895"/>
  </bookViews>
  <sheets>
    <sheet name="Смета по ТСН-2001" sheetId="5" r:id="rId1"/>
    <sheet name="Дефектная ведомость" sheetId="7" r:id="rId2"/>
    <sheet name="Source" sheetId="1" r:id="rId3"/>
    <sheet name="SourceObSm" sheetId="2" r:id="rId4"/>
    <sheet name="SmtRes" sheetId="3" r:id="rId5"/>
    <sheet name="EtalonRes" sheetId="4" r:id="rId6"/>
  </sheets>
  <definedNames>
    <definedName name="_xlnm.Print_Titles" localSheetId="1">'Дефектная ведомость'!$18:$18</definedName>
    <definedName name="_xlnm.Print_Titles" localSheetId="0">'Смета по ТСН-2001'!$26:$26</definedName>
    <definedName name="_xlnm.Print_Area" localSheetId="1">'Дефектная ведомость'!$A$1:$E$361</definedName>
    <definedName name="_xlnm.Print_Area" localSheetId="0">'Смета по ТСН-2001'!$A$1:$K$1635</definedName>
  </definedNames>
  <calcPr calcId="162913"/>
</workbook>
</file>

<file path=xl/calcChain.xml><?xml version="1.0" encoding="utf-8"?>
<calcChain xmlns="http://schemas.openxmlformats.org/spreadsheetml/2006/main">
  <c r="J1627" i="5" l="1"/>
  <c r="J1625" i="5"/>
  <c r="D356" i="7" l="1"/>
  <c r="C356" i="7"/>
  <c r="B356" i="7"/>
  <c r="A356" i="7"/>
  <c r="D355" i="7"/>
  <c r="C355" i="7"/>
  <c r="B355" i="7"/>
  <c r="A355" i="7"/>
  <c r="D354" i="7"/>
  <c r="C354" i="7"/>
  <c r="B354" i="7"/>
  <c r="A354" i="7"/>
  <c r="D353" i="7"/>
  <c r="C353" i="7"/>
  <c r="B353" i="7"/>
  <c r="A353" i="7"/>
  <c r="D352" i="7"/>
  <c r="C352" i="7"/>
  <c r="B352" i="7"/>
  <c r="A352" i="7"/>
  <c r="D351" i="7"/>
  <c r="C351" i="7"/>
  <c r="B351" i="7"/>
  <c r="A351" i="7"/>
  <c r="D350" i="7"/>
  <c r="C350" i="7"/>
  <c r="B350" i="7"/>
  <c r="A350" i="7"/>
  <c r="D349" i="7"/>
  <c r="C349" i="7"/>
  <c r="B349" i="7"/>
  <c r="A349" i="7"/>
  <c r="D348" i="7"/>
  <c r="C348" i="7"/>
  <c r="B348" i="7"/>
  <c r="A348" i="7"/>
  <c r="D347" i="7"/>
  <c r="C347" i="7"/>
  <c r="B347" i="7"/>
  <c r="A347" i="7"/>
  <c r="D346" i="7"/>
  <c r="C346" i="7"/>
  <c r="B346" i="7"/>
  <c r="A346" i="7"/>
  <c r="D345" i="7"/>
  <c r="C345" i="7"/>
  <c r="B345" i="7"/>
  <c r="A345" i="7"/>
  <c r="D344" i="7"/>
  <c r="C344" i="7"/>
  <c r="B344" i="7"/>
  <c r="A344" i="7"/>
  <c r="D343" i="7"/>
  <c r="C343" i="7"/>
  <c r="B343" i="7"/>
  <c r="A343" i="7"/>
  <c r="D342" i="7"/>
  <c r="C342" i="7"/>
  <c r="B342" i="7"/>
  <c r="A342" i="7"/>
  <c r="D341" i="7"/>
  <c r="C341" i="7"/>
  <c r="B341" i="7"/>
  <c r="A341" i="7"/>
  <c r="D340" i="7"/>
  <c r="C340" i="7"/>
  <c r="B340" i="7"/>
  <c r="A340" i="7"/>
  <c r="D339" i="7"/>
  <c r="C339" i="7"/>
  <c r="B339" i="7"/>
  <c r="A339" i="7"/>
  <c r="D338" i="7"/>
  <c r="C338" i="7"/>
  <c r="B338" i="7"/>
  <c r="A338" i="7"/>
  <c r="D337" i="7"/>
  <c r="C337" i="7"/>
  <c r="B337" i="7"/>
  <c r="A337" i="7"/>
  <c r="D336" i="7"/>
  <c r="C336" i="7"/>
  <c r="B336" i="7"/>
  <c r="A336" i="7"/>
  <c r="D335" i="7"/>
  <c r="C335" i="7"/>
  <c r="B335" i="7"/>
  <c r="A335" i="7"/>
  <c r="D334" i="7"/>
  <c r="C334" i="7"/>
  <c r="B334" i="7"/>
  <c r="A334" i="7"/>
  <c r="D333" i="7"/>
  <c r="C333" i="7"/>
  <c r="B333" i="7"/>
  <c r="A333" i="7"/>
  <c r="D332" i="7"/>
  <c r="C332" i="7"/>
  <c r="B332" i="7"/>
  <c r="A332" i="7"/>
  <c r="D331" i="7"/>
  <c r="C331" i="7"/>
  <c r="B331" i="7"/>
  <c r="A331" i="7"/>
  <c r="D330" i="7"/>
  <c r="C330" i="7"/>
  <c r="B330" i="7"/>
  <c r="A330" i="7"/>
  <c r="D329" i="7"/>
  <c r="C329" i="7"/>
  <c r="B329" i="7"/>
  <c r="A329" i="7"/>
  <c r="D328" i="7"/>
  <c r="C328" i="7"/>
  <c r="B328" i="7"/>
  <c r="A328" i="7"/>
  <c r="D327" i="7"/>
  <c r="C327" i="7"/>
  <c r="B327" i="7"/>
  <c r="A327" i="7"/>
  <c r="D326" i="7"/>
  <c r="C326" i="7"/>
  <c r="B326" i="7"/>
  <c r="A326" i="7"/>
  <c r="D325" i="7"/>
  <c r="C325" i="7"/>
  <c r="B325" i="7"/>
  <c r="A325" i="7"/>
  <c r="D324" i="7"/>
  <c r="C324" i="7"/>
  <c r="B324" i="7"/>
  <c r="A324" i="7"/>
  <c r="A323" i="7"/>
  <c r="A322" i="7"/>
  <c r="D321" i="7"/>
  <c r="C321" i="7"/>
  <c r="B321" i="7"/>
  <c r="A321" i="7"/>
  <c r="D320" i="7"/>
  <c r="C320" i="7"/>
  <c r="B320" i="7"/>
  <c r="A320" i="7"/>
  <c r="D319" i="7"/>
  <c r="C319" i="7"/>
  <c r="B319" i="7"/>
  <c r="A319" i="7"/>
  <c r="D318" i="7"/>
  <c r="C318" i="7"/>
  <c r="B318" i="7"/>
  <c r="A318" i="7"/>
  <c r="A317" i="7"/>
  <c r="D316" i="7"/>
  <c r="C316" i="7"/>
  <c r="B316" i="7"/>
  <c r="A316" i="7"/>
  <c r="D315" i="7"/>
  <c r="C315" i="7"/>
  <c r="B315" i="7"/>
  <c r="A315" i="7"/>
  <c r="D314" i="7"/>
  <c r="C314" i="7"/>
  <c r="B314" i="7"/>
  <c r="A314" i="7"/>
  <c r="D313" i="7"/>
  <c r="C313" i="7"/>
  <c r="B313" i="7"/>
  <c r="A313" i="7"/>
  <c r="D312" i="7"/>
  <c r="C312" i="7"/>
  <c r="B312" i="7"/>
  <c r="A312" i="7"/>
  <c r="D311" i="7"/>
  <c r="C311" i="7"/>
  <c r="B311" i="7"/>
  <c r="A311" i="7"/>
  <c r="D310" i="7"/>
  <c r="C310" i="7"/>
  <c r="B310" i="7"/>
  <c r="A310" i="7"/>
  <c r="D309" i="7"/>
  <c r="C309" i="7"/>
  <c r="B309" i="7"/>
  <c r="A309" i="7"/>
  <c r="D308" i="7"/>
  <c r="C308" i="7"/>
  <c r="B308" i="7"/>
  <c r="A308" i="7"/>
  <c r="D307" i="7"/>
  <c r="C307" i="7"/>
  <c r="B307" i="7"/>
  <c r="A307" i="7"/>
  <c r="D306" i="7"/>
  <c r="C306" i="7"/>
  <c r="B306" i="7"/>
  <c r="A306" i="7"/>
  <c r="D305" i="7"/>
  <c r="C305" i="7"/>
  <c r="B305" i="7"/>
  <c r="A305" i="7"/>
  <c r="D304" i="7"/>
  <c r="C304" i="7"/>
  <c r="B304" i="7"/>
  <c r="A304" i="7"/>
  <c r="D303" i="7"/>
  <c r="C303" i="7"/>
  <c r="B303" i="7"/>
  <c r="A303" i="7"/>
  <c r="D302" i="7"/>
  <c r="C302" i="7"/>
  <c r="B302" i="7"/>
  <c r="A302" i="7"/>
  <c r="D301" i="7"/>
  <c r="C301" i="7"/>
  <c r="B301" i="7"/>
  <c r="A301" i="7"/>
  <c r="D300" i="7"/>
  <c r="C300" i="7"/>
  <c r="B300" i="7"/>
  <c r="A300" i="7"/>
  <c r="D299" i="7"/>
  <c r="C299" i="7"/>
  <c r="B299" i="7"/>
  <c r="A299" i="7"/>
  <c r="D298" i="7"/>
  <c r="C298" i="7"/>
  <c r="B298" i="7"/>
  <c r="A298" i="7"/>
  <c r="D297" i="7"/>
  <c r="C297" i="7"/>
  <c r="B297" i="7"/>
  <c r="A297" i="7"/>
  <c r="D296" i="7"/>
  <c r="C296" i="7"/>
  <c r="B296" i="7"/>
  <c r="A296" i="7"/>
  <c r="D295" i="7"/>
  <c r="C295" i="7"/>
  <c r="B295" i="7"/>
  <c r="A295" i="7"/>
  <c r="D294" i="7"/>
  <c r="C294" i="7"/>
  <c r="B294" i="7"/>
  <c r="A294" i="7"/>
  <c r="D293" i="7"/>
  <c r="C293" i="7"/>
  <c r="B293" i="7"/>
  <c r="A293" i="7"/>
  <c r="D292" i="7"/>
  <c r="C292" i="7"/>
  <c r="B292" i="7"/>
  <c r="A292" i="7"/>
  <c r="D291" i="7"/>
  <c r="C291" i="7"/>
  <c r="B291" i="7"/>
  <c r="A291" i="7"/>
  <c r="D290" i="7"/>
  <c r="C290" i="7"/>
  <c r="B290" i="7"/>
  <c r="A290" i="7"/>
  <c r="D289" i="7"/>
  <c r="C289" i="7"/>
  <c r="B289" i="7"/>
  <c r="A289" i="7"/>
  <c r="D288" i="7"/>
  <c r="C288" i="7"/>
  <c r="B288" i="7"/>
  <c r="A288" i="7"/>
  <c r="A287" i="7"/>
  <c r="D286" i="7"/>
  <c r="C286" i="7"/>
  <c r="B286" i="7"/>
  <c r="A286" i="7"/>
  <c r="D285" i="7"/>
  <c r="C285" i="7"/>
  <c r="B285" i="7"/>
  <c r="A285" i="7"/>
  <c r="D284" i="7"/>
  <c r="C284" i="7"/>
  <c r="B284" i="7"/>
  <c r="A284" i="7"/>
  <c r="D283" i="7"/>
  <c r="C283" i="7"/>
  <c r="B283" i="7"/>
  <c r="A283" i="7"/>
  <c r="D282" i="7"/>
  <c r="C282" i="7"/>
  <c r="B282" i="7"/>
  <c r="A282" i="7"/>
  <c r="D281" i="7"/>
  <c r="C281" i="7"/>
  <c r="B281" i="7"/>
  <c r="A281" i="7"/>
  <c r="D280" i="7"/>
  <c r="C280" i="7"/>
  <c r="B280" i="7"/>
  <c r="A280" i="7"/>
  <c r="D279" i="7"/>
  <c r="C279" i="7"/>
  <c r="B279" i="7"/>
  <c r="A279" i="7"/>
  <c r="D278" i="7"/>
  <c r="C278" i="7"/>
  <c r="B278" i="7"/>
  <c r="A278" i="7"/>
  <c r="D277" i="7"/>
  <c r="C277" i="7"/>
  <c r="B277" i="7"/>
  <c r="A277" i="7"/>
  <c r="D276" i="7"/>
  <c r="C276" i="7"/>
  <c r="B276" i="7"/>
  <c r="A276" i="7"/>
  <c r="A275" i="7"/>
  <c r="D274" i="7"/>
  <c r="C274" i="7"/>
  <c r="B274" i="7"/>
  <c r="A274" i="7"/>
  <c r="D273" i="7"/>
  <c r="C273" i="7"/>
  <c r="B273" i="7"/>
  <c r="A273" i="7"/>
  <c r="D272" i="7"/>
  <c r="C272" i="7"/>
  <c r="B272" i="7"/>
  <c r="A272" i="7"/>
  <c r="D271" i="7"/>
  <c r="C271" i="7"/>
  <c r="B271" i="7"/>
  <c r="A271" i="7"/>
  <c r="D270" i="7"/>
  <c r="C270" i="7"/>
  <c r="B270" i="7"/>
  <c r="A270" i="7"/>
  <c r="D269" i="7"/>
  <c r="C269" i="7"/>
  <c r="B269" i="7"/>
  <c r="A269" i="7"/>
  <c r="D268" i="7"/>
  <c r="C268" i="7"/>
  <c r="B268" i="7"/>
  <c r="A268" i="7"/>
  <c r="D267" i="7"/>
  <c r="C267" i="7"/>
  <c r="B267" i="7"/>
  <c r="A267" i="7"/>
  <c r="D266" i="7"/>
  <c r="C266" i="7"/>
  <c r="B266" i="7"/>
  <c r="A266" i="7"/>
  <c r="D265" i="7"/>
  <c r="C265" i="7"/>
  <c r="B265" i="7"/>
  <c r="A265" i="7"/>
  <c r="A264" i="7"/>
  <c r="D263" i="7"/>
  <c r="C263" i="7"/>
  <c r="B263" i="7"/>
  <c r="A263" i="7"/>
  <c r="D262" i="7"/>
  <c r="C262" i="7"/>
  <c r="B262" i="7"/>
  <c r="A262" i="7"/>
  <c r="D261" i="7"/>
  <c r="C261" i="7"/>
  <c r="B261" i="7"/>
  <c r="A261" i="7"/>
  <c r="D260" i="7"/>
  <c r="C260" i="7"/>
  <c r="B260" i="7"/>
  <c r="A260" i="7"/>
  <c r="D259" i="7"/>
  <c r="C259" i="7"/>
  <c r="B259" i="7"/>
  <c r="A259" i="7"/>
  <c r="D258" i="7"/>
  <c r="C258" i="7"/>
  <c r="B258" i="7"/>
  <c r="A258" i="7"/>
  <c r="D257" i="7"/>
  <c r="C257" i="7"/>
  <c r="B257" i="7"/>
  <c r="A257" i="7"/>
  <c r="D256" i="7"/>
  <c r="C256" i="7"/>
  <c r="B256" i="7"/>
  <c r="A256" i="7"/>
  <c r="D255" i="7"/>
  <c r="C255" i="7"/>
  <c r="B255" i="7"/>
  <c r="A255" i="7"/>
  <c r="D254" i="7"/>
  <c r="C254" i="7"/>
  <c r="B254" i="7"/>
  <c r="A254" i="7"/>
  <c r="D253" i="7"/>
  <c r="C253" i="7"/>
  <c r="B253" i="7"/>
  <c r="A253" i="7"/>
  <c r="D252" i="7"/>
  <c r="C252" i="7"/>
  <c r="B252" i="7"/>
  <c r="A252" i="7"/>
  <c r="D251" i="7"/>
  <c r="C251" i="7"/>
  <c r="B251" i="7"/>
  <c r="A251" i="7"/>
  <c r="D250" i="7"/>
  <c r="C250" i="7"/>
  <c r="B250" i="7"/>
  <c r="A250" i="7"/>
  <c r="A249" i="7"/>
  <c r="D248" i="7"/>
  <c r="C248" i="7"/>
  <c r="B248" i="7"/>
  <c r="A248" i="7"/>
  <c r="D247" i="7"/>
  <c r="C247" i="7"/>
  <c r="B247" i="7"/>
  <c r="A247" i="7"/>
  <c r="D246" i="7"/>
  <c r="C246" i="7"/>
  <c r="B246" i="7"/>
  <c r="A246" i="7"/>
  <c r="D245" i="7"/>
  <c r="C245" i="7"/>
  <c r="B245" i="7"/>
  <c r="A245" i="7"/>
  <c r="D244" i="7"/>
  <c r="C244" i="7"/>
  <c r="B244" i="7"/>
  <c r="A244" i="7"/>
  <c r="D243" i="7"/>
  <c r="C243" i="7"/>
  <c r="B243" i="7"/>
  <c r="A243" i="7"/>
  <c r="D242" i="7"/>
  <c r="C242" i="7"/>
  <c r="B242" i="7"/>
  <c r="A242" i="7"/>
  <c r="A241" i="7"/>
  <c r="D240" i="7"/>
  <c r="C240" i="7"/>
  <c r="B240" i="7"/>
  <c r="A240" i="7"/>
  <c r="D239" i="7"/>
  <c r="C239" i="7"/>
  <c r="B239" i="7"/>
  <c r="A239" i="7"/>
  <c r="D238" i="7"/>
  <c r="C238" i="7"/>
  <c r="B238" i="7"/>
  <c r="A238" i="7"/>
  <c r="D237" i="7"/>
  <c r="C237" i="7"/>
  <c r="B237" i="7"/>
  <c r="A237" i="7"/>
  <c r="D236" i="7"/>
  <c r="C236" i="7"/>
  <c r="B236" i="7"/>
  <c r="A236" i="7"/>
  <c r="D235" i="7"/>
  <c r="C235" i="7"/>
  <c r="B235" i="7"/>
  <c r="A235" i="7"/>
  <c r="D234" i="7"/>
  <c r="C234" i="7"/>
  <c r="B234" i="7"/>
  <c r="A234" i="7"/>
  <c r="D233" i="7"/>
  <c r="C233" i="7"/>
  <c r="B233" i="7"/>
  <c r="A233" i="7"/>
  <c r="D232" i="7"/>
  <c r="C232" i="7"/>
  <c r="B232" i="7"/>
  <c r="A232" i="7"/>
  <c r="D231" i="7"/>
  <c r="C231" i="7"/>
  <c r="B231" i="7"/>
  <c r="A231" i="7"/>
  <c r="D230" i="7"/>
  <c r="C230" i="7"/>
  <c r="B230" i="7"/>
  <c r="A230" i="7"/>
  <c r="D229" i="7"/>
  <c r="C229" i="7"/>
  <c r="B229" i="7"/>
  <c r="A229" i="7"/>
  <c r="D228" i="7"/>
  <c r="C228" i="7"/>
  <c r="B228" i="7"/>
  <c r="A228" i="7"/>
  <c r="D227" i="7"/>
  <c r="C227" i="7"/>
  <c r="B227" i="7"/>
  <c r="A227" i="7"/>
  <c r="A226" i="7"/>
  <c r="D225" i="7"/>
  <c r="C225" i="7"/>
  <c r="B225" i="7"/>
  <c r="A225" i="7"/>
  <c r="D224" i="7"/>
  <c r="C224" i="7"/>
  <c r="B224" i="7"/>
  <c r="A224" i="7"/>
  <c r="D223" i="7"/>
  <c r="C223" i="7"/>
  <c r="B223" i="7"/>
  <c r="A223" i="7"/>
  <c r="D222" i="7"/>
  <c r="C222" i="7"/>
  <c r="B222" i="7"/>
  <c r="A222" i="7"/>
  <c r="D221" i="7"/>
  <c r="C221" i="7"/>
  <c r="B221" i="7"/>
  <c r="A221" i="7"/>
  <c r="D220" i="7"/>
  <c r="C220" i="7"/>
  <c r="B220" i="7"/>
  <c r="A220" i="7"/>
  <c r="D219" i="7"/>
  <c r="C219" i="7"/>
  <c r="B219" i="7"/>
  <c r="A219" i="7"/>
  <c r="D218" i="7"/>
  <c r="C218" i="7"/>
  <c r="B218" i="7"/>
  <c r="A218" i="7"/>
  <c r="D217" i="7"/>
  <c r="C217" i="7"/>
  <c r="B217" i="7"/>
  <c r="A217" i="7"/>
  <c r="D216" i="7"/>
  <c r="C216" i="7"/>
  <c r="B216" i="7"/>
  <c r="A216" i="7"/>
  <c r="D215" i="7"/>
  <c r="C215" i="7"/>
  <c r="B215" i="7"/>
  <c r="A215" i="7"/>
  <c r="D214" i="7"/>
  <c r="C214" i="7"/>
  <c r="B214" i="7"/>
  <c r="A214" i="7"/>
  <c r="D213" i="7"/>
  <c r="C213" i="7"/>
  <c r="B213" i="7"/>
  <c r="A213" i="7"/>
  <c r="D212" i="7"/>
  <c r="C212" i="7"/>
  <c r="B212" i="7"/>
  <c r="A212" i="7"/>
  <c r="D211" i="7"/>
  <c r="C211" i="7"/>
  <c r="B211" i="7"/>
  <c r="A211" i="7"/>
  <c r="D210" i="7"/>
  <c r="C210" i="7"/>
  <c r="B210" i="7"/>
  <c r="A210" i="7"/>
  <c r="D209" i="7"/>
  <c r="C209" i="7"/>
  <c r="B209" i="7"/>
  <c r="A209" i="7"/>
  <c r="D208" i="7"/>
  <c r="C208" i="7"/>
  <c r="B208" i="7"/>
  <c r="A208" i="7"/>
  <c r="D207" i="7"/>
  <c r="C207" i="7"/>
  <c r="B207" i="7"/>
  <c r="A207" i="7"/>
  <c r="D206" i="7"/>
  <c r="C206" i="7"/>
  <c r="B206" i="7"/>
  <c r="A206" i="7"/>
  <c r="A205" i="7"/>
  <c r="A204" i="7"/>
  <c r="D203" i="7"/>
  <c r="C203" i="7"/>
  <c r="B203" i="7"/>
  <c r="A203" i="7"/>
  <c r="D202" i="7"/>
  <c r="C202" i="7"/>
  <c r="B202" i="7"/>
  <c r="A202" i="7"/>
  <c r="D201" i="7"/>
  <c r="C201" i="7"/>
  <c r="B201" i="7"/>
  <c r="A201" i="7"/>
  <c r="D200" i="7"/>
  <c r="C200" i="7"/>
  <c r="B200" i="7"/>
  <c r="A200" i="7"/>
  <c r="D199" i="7"/>
  <c r="C199" i="7"/>
  <c r="B199" i="7"/>
  <c r="A199" i="7"/>
  <c r="D198" i="7"/>
  <c r="C198" i="7"/>
  <c r="B198" i="7"/>
  <c r="A198" i="7"/>
  <c r="D197" i="7"/>
  <c r="C197" i="7"/>
  <c r="B197" i="7"/>
  <c r="A197" i="7"/>
  <c r="D196" i="7"/>
  <c r="C196" i="7"/>
  <c r="B196" i="7"/>
  <c r="A196" i="7"/>
  <c r="D195" i="7"/>
  <c r="C195" i="7"/>
  <c r="B195" i="7"/>
  <c r="A195" i="7"/>
  <c r="D194" i="7"/>
  <c r="C194" i="7"/>
  <c r="B194" i="7"/>
  <c r="A194" i="7"/>
  <c r="A193" i="7"/>
  <c r="D192" i="7"/>
  <c r="C192" i="7"/>
  <c r="B192" i="7"/>
  <c r="A192" i="7"/>
  <c r="D191" i="7"/>
  <c r="C191" i="7"/>
  <c r="B191" i="7"/>
  <c r="A191" i="7"/>
  <c r="D190" i="7"/>
  <c r="C190" i="7"/>
  <c r="B190" i="7"/>
  <c r="A190" i="7"/>
  <c r="D189" i="7"/>
  <c r="C189" i="7"/>
  <c r="B189" i="7"/>
  <c r="A189" i="7"/>
  <c r="D188" i="7"/>
  <c r="C188" i="7"/>
  <c r="B188" i="7"/>
  <c r="A188" i="7"/>
  <c r="D187" i="7"/>
  <c r="C187" i="7"/>
  <c r="B187" i="7"/>
  <c r="A187" i="7"/>
  <c r="D186" i="7"/>
  <c r="C186" i="7"/>
  <c r="B186" i="7"/>
  <c r="A186" i="7"/>
  <c r="D185" i="7"/>
  <c r="C185" i="7"/>
  <c r="B185" i="7"/>
  <c r="A185" i="7"/>
  <c r="D184" i="7"/>
  <c r="C184" i="7"/>
  <c r="B184" i="7"/>
  <c r="A184" i="7"/>
  <c r="D183" i="7"/>
  <c r="C183" i="7"/>
  <c r="B183" i="7"/>
  <c r="A183" i="7"/>
  <c r="D182" i="7"/>
  <c r="C182" i="7"/>
  <c r="B182" i="7"/>
  <c r="A182" i="7"/>
  <c r="D181" i="7"/>
  <c r="C181" i="7"/>
  <c r="B181" i="7"/>
  <c r="A181" i="7"/>
  <c r="D180" i="7"/>
  <c r="C180" i="7"/>
  <c r="B180" i="7"/>
  <c r="A180" i="7"/>
  <c r="D179" i="7"/>
  <c r="C179" i="7"/>
  <c r="B179" i="7"/>
  <c r="A179" i="7"/>
  <c r="D178" i="7"/>
  <c r="C178" i="7"/>
  <c r="B178" i="7"/>
  <c r="A178" i="7"/>
  <c r="D177" i="7"/>
  <c r="C177" i="7"/>
  <c r="B177" i="7"/>
  <c r="A177" i="7"/>
  <c r="D176" i="7"/>
  <c r="C176" i="7"/>
  <c r="B176" i="7"/>
  <c r="A176" i="7"/>
  <c r="D175" i="7"/>
  <c r="C175" i="7"/>
  <c r="B175" i="7"/>
  <c r="A175" i="7"/>
  <c r="D174" i="7"/>
  <c r="C174" i="7"/>
  <c r="B174" i="7"/>
  <c r="A174" i="7"/>
  <c r="D173" i="7"/>
  <c r="C173" i="7"/>
  <c r="B173" i="7"/>
  <c r="A173" i="7"/>
  <c r="D172" i="7"/>
  <c r="C172" i="7"/>
  <c r="B172" i="7"/>
  <c r="A172" i="7"/>
  <c r="D171" i="7"/>
  <c r="C171" i="7"/>
  <c r="B171" i="7"/>
  <c r="A171" i="7"/>
  <c r="D170" i="7"/>
  <c r="C170" i="7"/>
  <c r="B170" i="7"/>
  <c r="A170" i="7"/>
  <c r="D169" i="7"/>
  <c r="C169" i="7"/>
  <c r="B169" i="7"/>
  <c r="A169" i="7"/>
  <c r="D168" i="7"/>
  <c r="C168" i="7"/>
  <c r="B168" i="7"/>
  <c r="A168" i="7"/>
  <c r="D167" i="7"/>
  <c r="C167" i="7"/>
  <c r="B167" i="7"/>
  <c r="A167" i="7"/>
  <c r="D166" i="7"/>
  <c r="C166" i="7"/>
  <c r="B166" i="7"/>
  <c r="A166" i="7"/>
  <c r="D165" i="7"/>
  <c r="C165" i="7"/>
  <c r="B165" i="7"/>
  <c r="A165" i="7"/>
  <c r="D164" i="7"/>
  <c r="C164" i="7"/>
  <c r="B164" i="7"/>
  <c r="A164" i="7"/>
  <c r="A163" i="7"/>
  <c r="D162" i="7"/>
  <c r="C162" i="7"/>
  <c r="B162" i="7"/>
  <c r="A162" i="7"/>
  <c r="D161" i="7"/>
  <c r="C161" i="7"/>
  <c r="B161" i="7"/>
  <c r="A161" i="7"/>
  <c r="A160" i="7"/>
  <c r="D159" i="7"/>
  <c r="C159" i="7"/>
  <c r="B159" i="7"/>
  <c r="A159" i="7"/>
  <c r="D158" i="7"/>
  <c r="C158" i="7"/>
  <c r="B158" i="7"/>
  <c r="A158" i="7"/>
  <c r="D157" i="7"/>
  <c r="C157" i="7"/>
  <c r="B157" i="7"/>
  <c r="A157" i="7"/>
  <c r="D156" i="7"/>
  <c r="C156" i="7"/>
  <c r="B156" i="7"/>
  <c r="A156" i="7"/>
  <c r="D155" i="7"/>
  <c r="C155" i="7"/>
  <c r="B155" i="7"/>
  <c r="A155" i="7"/>
  <c r="D154" i="7"/>
  <c r="C154" i="7"/>
  <c r="B154" i="7"/>
  <c r="A154" i="7"/>
  <c r="D153" i="7"/>
  <c r="C153" i="7"/>
  <c r="B153" i="7"/>
  <c r="A153" i="7"/>
  <c r="D152" i="7"/>
  <c r="C152" i="7"/>
  <c r="B152" i="7"/>
  <c r="A152" i="7"/>
  <c r="D151" i="7"/>
  <c r="C151" i="7"/>
  <c r="B151" i="7"/>
  <c r="A151" i="7"/>
  <c r="D150" i="7"/>
  <c r="C150" i="7"/>
  <c r="B150" i="7"/>
  <c r="A150" i="7"/>
  <c r="D149" i="7"/>
  <c r="C149" i="7"/>
  <c r="B149" i="7"/>
  <c r="A149" i="7"/>
  <c r="D148" i="7"/>
  <c r="C148" i="7"/>
  <c r="B148" i="7"/>
  <c r="A148" i="7"/>
  <c r="D147" i="7"/>
  <c r="C147" i="7"/>
  <c r="B147" i="7"/>
  <c r="A147" i="7"/>
  <c r="D146" i="7"/>
  <c r="C146" i="7"/>
  <c r="B146" i="7"/>
  <c r="A146" i="7"/>
  <c r="D145" i="7"/>
  <c r="C145" i="7"/>
  <c r="B145" i="7"/>
  <c r="A145" i="7"/>
  <c r="D144" i="7"/>
  <c r="C144" i="7"/>
  <c r="B144" i="7"/>
  <c r="A144" i="7"/>
  <c r="D143" i="7"/>
  <c r="C143" i="7"/>
  <c r="B143" i="7"/>
  <c r="A143" i="7"/>
  <c r="D142" i="7"/>
  <c r="C142" i="7"/>
  <c r="B142" i="7"/>
  <c r="A142" i="7"/>
  <c r="D141" i="7"/>
  <c r="C141" i="7"/>
  <c r="B141" i="7"/>
  <c r="A141" i="7"/>
  <c r="D140" i="7"/>
  <c r="C140" i="7"/>
  <c r="B140" i="7"/>
  <c r="A140" i="7"/>
  <c r="D139" i="7"/>
  <c r="C139" i="7"/>
  <c r="B139" i="7"/>
  <c r="A139" i="7"/>
  <c r="D138" i="7"/>
  <c r="C138" i="7"/>
  <c r="B138" i="7"/>
  <c r="A138" i="7"/>
  <c r="D137" i="7"/>
  <c r="C137" i="7"/>
  <c r="B137" i="7"/>
  <c r="A137" i="7"/>
  <c r="A136" i="7"/>
  <c r="D135" i="7"/>
  <c r="C135" i="7"/>
  <c r="B135" i="7"/>
  <c r="A135" i="7"/>
  <c r="D134" i="7"/>
  <c r="C134" i="7"/>
  <c r="B134" i="7"/>
  <c r="A134" i="7"/>
  <c r="D133" i="7"/>
  <c r="C133" i="7"/>
  <c r="B133" i="7"/>
  <c r="A133" i="7"/>
  <c r="D132" i="7"/>
  <c r="C132" i="7"/>
  <c r="B132" i="7"/>
  <c r="A132" i="7"/>
  <c r="D131" i="7"/>
  <c r="C131" i="7"/>
  <c r="B131" i="7"/>
  <c r="A131" i="7"/>
  <c r="D130" i="7"/>
  <c r="C130" i="7"/>
  <c r="B130" i="7"/>
  <c r="A130" i="7"/>
  <c r="D129" i="7"/>
  <c r="C129" i="7"/>
  <c r="B129" i="7"/>
  <c r="A129" i="7"/>
  <c r="D128" i="7"/>
  <c r="C128" i="7"/>
  <c r="B128" i="7"/>
  <c r="A128" i="7"/>
  <c r="A127" i="7"/>
  <c r="D126" i="7"/>
  <c r="C126" i="7"/>
  <c r="B126" i="7"/>
  <c r="A126" i="7"/>
  <c r="D125" i="7"/>
  <c r="C125" i="7"/>
  <c r="B125" i="7"/>
  <c r="A125" i="7"/>
  <c r="D124" i="7"/>
  <c r="C124" i="7"/>
  <c r="B124" i="7"/>
  <c r="A124" i="7"/>
  <c r="D123" i="7"/>
  <c r="C123" i="7"/>
  <c r="B123" i="7"/>
  <c r="A123" i="7"/>
  <c r="D122" i="7"/>
  <c r="C122" i="7"/>
  <c r="B122" i="7"/>
  <c r="A122" i="7"/>
  <c r="D121" i="7"/>
  <c r="C121" i="7"/>
  <c r="B121" i="7"/>
  <c r="A121" i="7"/>
  <c r="AE120" i="7"/>
  <c r="A120" i="7"/>
  <c r="D119" i="7"/>
  <c r="C119" i="7"/>
  <c r="B119" i="7"/>
  <c r="A119" i="7"/>
  <c r="D118" i="7"/>
  <c r="C118" i="7"/>
  <c r="B118" i="7"/>
  <c r="A118" i="7"/>
  <c r="D117" i="7"/>
  <c r="C117" i="7"/>
  <c r="B117" i="7"/>
  <c r="A117" i="7"/>
  <c r="D116" i="7"/>
  <c r="C116" i="7"/>
  <c r="B116" i="7"/>
  <c r="A116" i="7"/>
  <c r="D115" i="7"/>
  <c r="C115" i="7"/>
  <c r="B115" i="7"/>
  <c r="A115" i="7"/>
  <c r="D114" i="7"/>
  <c r="C114" i="7"/>
  <c r="B114" i="7"/>
  <c r="A114" i="7"/>
  <c r="D113" i="7"/>
  <c r="C113" i="7"/>
  <c r="B113" i="7"/>
  <c r="A113" i="7"/>
  <c r="D112" i="7"/>
  <c r="C112" i="7"/>
  <c r="B112" i="7"/>
  <c r="A112" i="7"/>
  <c r="D111" i="7"/>
  <c r="C111" i="7"/>
  <c r="B111" i="7"/>
  <c r="A111" i="7"/>
  <c r="D110" i="7"/>
  <c r="C110" i="7"/>
  <c r="B110" i="7"/>
  <c r="A110" i="7"/>
  <c r="D109" i="7"/>
  <c r="C109" i="7"/>
  <c r="B109" i="7"/>
  <c r="A109" i="7"/>
  <c r="D108" i="7"/>
  <c r="C108" i="7"/>
  <c r="B108" i="7"/>
  <c r="A108" i="7"/>
  <c r="D107" i="7"/>
  <c r="C107" i="7"/>
  <c r="B107" i="7"/>
  <c r="A107" i="7"/>
  <c r="D106" i="7"/>
  <c r="C106" i="7"/>
  <c r="B106" i="7"/>
  <c r="A106" i="7"/>
  <c r="A105" i="7"/>
  <c r="D104" i="7"/>
  <c r="C104" i="7"/>
  <c r="B104" i="7"/>
  <c r="A104" i="7"/>
  <c r="D103" i="7"/>
  <c r="C103" i="7"/>
  <c r="B103" i="7"/>
  <c r="A103" i="7"/>
  <c r="D102" i="7"/>
  <c r="C102" i="7"/>
  <c r="B102" i="7"/>
  <c r="A102" i="7"/>
  <c r="D101" i="7"/>
  <c r="C101" i="7"/>
  <c r="B101" i="7"/>
  <c r="A101" i="7"/>
  <c r="D100" i="7"/>
  <c r="C100" i="7"/>
  <c r="B100" i="7"/>
  <c r="A100" i="7"/>
  <c r="D99" i="7"/>
  <c r="C99" i="7"/>
  <c r="B99" i="7"/>
  <c r="A99" i="7"/>
  <c r="D98" i="7"/>
  <c r="C98" i="7"/>
  <c r="B98" i="7"/>
  <c r="A98" i="7"/>
  <c r="D97" i="7"/>
  <c r="C97" i="7"/>
  <c r="B97" i="7"/>
  <c r="A97" i="7"/>
  <c r="D96" i="7"/>
  <c r="C96" i="7"/>
  <c r="B96" i="7"/>
  <c r="A96" i="7"/>
  <c r="D95" i="7"/>
  <c r="C95" i="7"/>
  <c r="B95" i="7"/>
  <c r="A95" i="7"/>
  <c r="D94" i="7"/>
  <c r="C94" i="7"/>
  <c r="B94" i="7"/>
  <c r="A94" i="7"/>
  <c r="D93" i="7"/>
  <c r="C93" i="7"/>
  <c r="B93" i="7"/>
  <c r="A93" i="7"/>
  <c r="D92" i="7"/>
  <c r="C92" i="7"/>
  <c r="B92" i="7"/>
  <c r="A92" i="7"/>
  <c r="D91" i="7"/>
  <c r="C91" i="7"/>
  <c r="B91" i="7"/>
  <c r="A91" i="7"/>
  <c r="D90" i="7"/>
  <c r="C90" i="7"/>
  <c r="B90" i="7"/>
  <c r="A90" i="7"/>
  <c r="A89" i="7"/>
  <c r="D88" i="7"/>
  <c r="C88" i="7"/>
  <c r="B88" i="7"/>
  <c r="A88" i="7"/>
  <c r="D87" i="7"/>
  <c r="C87" i="7"/>
  <c r="B87" i="7"/>
  <c r="A87" i="7"/>
  <c r="D86" i="7"/>
  <c r="C86" i="7"/>
  <c r="B86" i="7"/>
  <c r="A86" i="7"/>
  <c r="D85" i="7"/>
  <c r="C85" i="7"/>
  <c r="B85" i="7"/>
  <c r="A85" i="7"/>
  <c r="D84" i="7"/>
  <c r="C84" i="7"/>
  <c r="B84" i="7"/>
  <c r="A84" i="7"/>
  <c r="D83" i="7"/>
  <c r="C83" i="7"/>
  <c r="B83" i="7"/>
  <c r="A83" i="7"/>
  <c r="D82" i="7"/>
  <c r="C82" i="7"/>
  <c r="B82" i="7"/>
  <c r="A82" i="7"/>
  <c r="D81" i="7"/>
  <c r="C81" i="7"/>
  <c r="B81" i="7"/>
  <c r="A81" i="7"/>
  <c r="D80" i="7"/>
  <c r="C80" i="7"/>
  <c r="B80" i="7"/>
  <c r="A80" i="7"/>
  <c r="D79" i="7"/>
  <c r="C79" i="7"/>
  <c r="B79" i="7"/>
  <c r="A79" i="7"/>
  <c r="D78" i="7"/>
  <c r="C78" i="7"/>
  <c r="B78" i="7"/>
  <c r="A78" i="7"/>
  <c r="D77" i="7"/>
  <c r="C77" i="7"/>
  <c r="B77" i="7"/>
  <c r="A77" i="7"/>
  <c r="A76" i="7"/>
  <c r="D75" i="7"/>
  <c r="C75" i="7"/>
  <c r="B75" i="7"/>
  <c r="A75" i="7"/>
  <c r="D74" i="7"/>
  <c r="C74" i="7"/>
  <c r="B74" i="7"/>
  <c r="A74" i="7"/>
  <c r="D73" i="7"/>
  <c r="C73" i="7"/>
  <c r="B73" i="7"/>
  <c r="A73" i="7"/>
  <c r="D72" i="7"/>
  <c r="C72" i="7"/>
  <c r="B72" i="7"/>
  <c r="A72" i="7"/>
  <c r="D71" i="7"/>
  <c r="C71" i="7"/>
  <c r="B71" i="7"/>
  <c r="A71" i="7"/>
  <c r="D70" i="7"/>
  <c r="C70" i="7"/>
  <c r="B70" i="7"/>
  <c r="A70" i="7"/>
  <c r="D69" i="7"/>
  <c r="C69" i="7"/>
  <c r="B69" i="7"/>
  <c r="A69" i="7"/>
  <c r="D68" i="7"/>
  <c r="C68" i="7"/>
  <c r="B68" i="7"/>
  <c r="A68" i="7"/>
  <c r="D67" i="7"/>
  <c r="C67" i="7"/>
  <c r="B67" i="7"/>
  <c r="A67" i="7"/>
  <c r="D66" i="7"/>
  <c r="C66" i="7"/>
  <c r="B66" i="7"/>
  <c r="A66" i="7"/>
  <c r="D65" i="7"/>
  <c r="C65" i="7"/>
  <c r="B65" i="7"/>
  <c r="A65" i="7"/>
  <c r="D64" i="7"/>
  <c r="C64" i="7"/>
  <c r="B64" i="7"/>
  <c r="A64" i="7"/>
  <c r="D63" i="7"/>
  <c r="C63" i="7"/>
  <c r="B63" i="7"/>
  <c r="A63" i="7"/>
  <c r="D62" i="7"/>
  <c r="C62" i="7"/>
  <c r="B62" i="7"/>
  <c r="A62" i="7"/>
  <c r="D61" i="7"/>
  <c r="C61" i="7"/>
  <c r="B61" i="7"/>
  <c r="A61" i="7"/>
  <c r="D60" i="7"/>
  <c r="C60" i="7"/>
  <c r="B60" i="7"/>
  <c r="A60" i="7"/>
  <c r="D59" i="7"/>
  <c r="C59" i="7"/>
  <c r="B59" i="7"/>
  <c r="A59" i="7"/>
  <c r="D58" i="7"/>
  <c r="C58" i="7"/>
  <c r="B58" i="7"/>
  <c r="A58" i="7"/>
  <c r="D57" i="7"/>
  <c r="C57" i="7"/>
  <c r="B57" i="7"/>
  <c r="A57" i="7"/>
  <c r="A56" i="7"/>
  <c r="D55" i="7"/>
  <c r="C55" i="7"/>
  <c r="B55" i="7"/>
  <c r="A55" i="7"/>
  <c r="D54" i="7"/>
  <c r="C54" i="7"/>
  <c r="B54" i="7"/>
  <c r="A54" i="7"/>
  <c r="D53" i="7"/>
  <c r="C53" i="7"/>
  <c r="B53" i="7"/>
  <c r="A53" i="7"/>
  <c r="D52" i="7"/>
  <c r="C52" i="7"/>
  <c r="B52" i="7"/>
  <c r="A52" i="7"/>
  <c r="D51" i="7"/>
  <c r="C51" i="7"/>
  <c r="B51" i="7"/>
  <c r="A51" i="7"/>
  <c r="D50" i="7"/>
  <c r="C50" i="7"/>
  <c r="B50" i="7"/>
  <c r="A50" i="7"/>
  <c r="D49" i="7"/>
  <c r="C49" i="7"/>
  <c r="B49" i="7"/>
  <c r="A49" i="7"/>
  <c r="D48" i="7"/>
  <c r="C48" i="7"/>
  <c r="B48" i="7"/>
  <c r="A48" i="7"/>
  <c r="D47" i="7"/>
  <c r="C47" i="7"/>
  <c r="B47" i="7"/>
  <c r="A47" i="7"/>
  <c r="D46" i="7"/>
  <c r="C46" i="7"/>
  <c r="B46" i="7"/>
  <c r="A46" i="7"/>
  <c r="D45" i="7"/>
  <c r="C45" i="7"/>
  <c r="B45" i="7"/>
  <c r="A45" i="7"/>
  <c r="D44" i="7"/>
  <c r="C44" i="7"/>
  <c r="B44" i="7"/>
  <c r="A44" i="7"/>
  <c r="D43" i="7"/>
  <c r="C43" i="7"/>
  <c r="B43" i="7"/>
  <c r="A43" i="7"/>
  <c r="D42" i="7"/>
  <c r="C42" i="7"/>
  <c r="B42" i="7"/>
  <c r="A42" i="7"/>
  <c r="D41" i="7"/>
  <c r="C41" i="7"/>
  <c r="B41" i="7"/>
  <c r="A41" i="7"/>
  <c r="D40" i="7"/>
  <c r="C40" i="7"/>
  <c r="B40" i="7"/>
  <c r="A40" i="7"/>
  <c r="D39" i="7"/>
  <c r="C39" i="7"/>
  <c r="B39" i="7"/>
  <c r="A39" i="7"/>
  <c r="D38" i="7"/>
  <c r="C38" i="7"/>
  <c r="B38" i="7"/>
  <c r="A38" i="7"/>
  <c r="D37" i="7"/>
  <c r="C37" i="7"/>
  <c r="B37" i="7"/>
  <c r="A37" i="7"/>
  <c r="D36" i="7"/>
  <c r="C36" i="7"/>
  <c r="B36" i="7"/>
  <c r="A36" i="7"/>
  <c r="D35" i="7"/>
  <c r="C35" i="7"/>
  <c r="B35" i="7"/>
  <c r="A35" i="7"/>
  <c r="D34" i="7"/>
  <c r="C34" i="7"/>
  <c r="B34" i="7"/>
  <c r="A34" i="7"/>
  <c r="D33" i="7"/>
  <c r="C33" i="7"/>
  <c r="B33" i="7"/>
  <c r="A33" i="7"/>
  <c r="D32" i="7"/>
  <c r="C32" i="7"/>
  <c r="B32" i="7"/>
  <c r="A32" i="7"/>
  <c r="D31" i="7"/>
  <c r="C31" i="7"/>
  <c r="B31" i="7"/>
  <c r="A31" i="7"/>
  <c r="D30" i="7"/>
  <c r="C30" i="7"/>
  <c r="B30" i="7"/>
  <c r="A30" i="7"/>
  <c r="D29" i="7"/>
  <c r="C29" i="7"/>
  <c r="B29" i="7"/>
  <c r="A29" i="7"/>
  <c r="D28" i="7"/>
  <c r="C28" i="7"/>
  <c r="B28" i="7"/>
  <c r="A28" i="7"/>
  <c r="D27" i="7"/>
  <c r="C27" i="7"/>
  <c r="B27" i="7"/>
  <c r="A27" i="7"/>
  <c r="D26" i="7"/>
  <c r="C26" i="7"/>
  <c r="B26" i="7"/>
  <c r="A26" i="7"/>
  <c r="D25" i="7"/>
  <c r="C25" i="7"/>
  <c r="B25" i="7"/>
  <c r="A25" i="7"/>
  <c r="D24" i="7"/>
  <c r="C24" i="7"/>
  <c r="B24" i="7"/>
  <c r="A24" i="7"/>
  <c r="D23" i="7"/>
  <c r="C23" i="7"/>
  <c r="B23" i="7"/>
  <c r="A23" i="7"/>
  <c r="D22" i="7"/>
  <c r="C22" i="7"/>
  <c r="B22" i="7"/>
  <c r="A22" i="7"/>
  <c r="D21" i="7"/>
  <c r="C21" i="7"/>
  <c r="B21" i="7"/>
  <c r="A21" i="7"/>
  <c r="A20" i="7"/>
  <c r="A19" i="7"/>
  <c r="A12" i="7"/>
  <c r="A11" i="7"/>
  <c r="A1" i="7"/>
  <c r="H1633" i="5"/>
  <c r="H1630" i="5"/>
  <c r="C1633" i="5"/>
  <c r="C1630" i="5"/>
  <c r="C1627" i="5"/>
  <c r="J1626" i="5"/>
  <c r="C1626" i="5"/>
  <c r="C1625" i="5"/>
  <c r="J23" i="5"/>
  <c r="J21" i="5"/>
  <c r="J20" i="5"/>
  <c r="J19" i="5"/>
  <c r="J18" i="5"/>
  <c r="J17" i="5"/>
  <c r="J16" i="5"/>
  <c r="I23" i="5"/>
  <c r="H1624" i="5"/>
  <c r="J1624" i="5"/>
  <c r="H1623" i="5"/>
  <c r="J1623" i="5"/>
  <c r="H1620" i="5"/>
  <c r="J1620" i="5"/>
  <c r="H1619" i="5"/>
  <c r="J1619" i="5"/>
  <c r="A1618" i="5"/>
  <c r="H1616" i="5"/>
  <c r="J1616" i="5"/>
  <c r="H1615" i="5"/>
  <c r="J1615" i="5"/>
  <c r="A1614" i="5"/>
  <c r="H1612" i="5"/>
  <c r="J1612" i="5"/>
  <c r="H1611" i="5"/>
  <c r="J1611" i="5"/>
  <c r="A1610" i="5"/>
  <c r="Z1608" i="5"/>
  <c r="Y1608" i="5"/>
  <c r="X1608" i="5"/>
  <c r="P1608" i="5"/>
  <c r="J1608" i="5"/>
  <c r="K1607" i="5"/>
  <c r="J1607" i="5"/>
  <c r="I1607" i="5"/>
  <c r="H1607" i="5"/>
  <c r="G1607" i="5"/>
  <c r="F1607" i="5"/>
  <c r="V1606" i="5"/>
  <c r="T1606" i="5"/>
  <c r="R1606" i="5"/>
  <c r="U1606" i="5"/>
  <c r="S1606" i="5"/>
  <c r="Q1606" i="5"/>
  <c r="E1606" i="5"/>
  <c r="D1606" i="5"/>
  <c r="B1606" i="5"/>
  <c r="A1606" i="5"/>
  <c r="Z1605" i="5"/>
  <c r="Y1605" i="5"/>
  <c r="X1605" i="5"/>
  <c r="P1605" i="5"/>
  <c r="J1605" i="5"/>
  <c r="K1604" i="5"/>
  <c r="J1604" i="5"/>
  <c r="I1604" i="5"/>
  <c r="H1604" i="5"/>
  <c r="G1604" i="5"/>
  <c r="F1604" i="5"/>
  <c r="V1603" i="5"/>
  <c r="T1603" i="5"/>
  <c r="R1603" i="5"/>
  <c r="U1603" i="5"/>
  <c r="S1603" i="5"/>
  <c r="Q1603" i="5"/>
  <c r="E1603" i="5"/>
  <c r="D1603" i="5"/>
  <c r="B1603" i="5"/>
  <c r="A1603" i="5"/>
  <c r="Z1602" i="5"/>
  <c r="Y1602" i="5"/>
  <c r="X1602" i="5"/>
  <c r="P1602" i="5"/>
  <c r="I1601" i="5"/>
  <c r="H1601" i="5"/>
  <c r="G1601" i="5"/>
  <c r="E1601" i="5"/>
  <c r="J1600" i="5"/>
  <c r="E1600" i="5"/>
  <c r="K1599" i="5"/>
  <c r="J1599" i="5"/>
  <c r="I1599" i="5"/>
  <c r="E1599" i="5"/>
  <c r="K1598" i="5"/>
  <c r="J1598" i="5"/>
  <c r="I1598" i="5"/>
  <c r="H1598" i="5"/>
  <c r="G1598" i="5"/>
  <c r="F1598" i="5"/>
  <c r="V1597" i="5"/>
  <c r="T1597" i="5"/>
  <c r="K1600" i="5" s="1"/>
  <c r="J1602" i="5" s="1"/>
  <c r="R1597" i="5"/>
  <c r="U1597" i="5"/>
  <c r="S1597" i="5"/>
  <c r="I1600" i="5" s="1"/>
  <c r="Q1597" i="5"/>
  <c r="E1597" i="5"/>
  <c r="D1597" i="5"/>
  <c r="B1597" i="5"/>
  <c r="A1597" i="5"/>
  <c r="Z1596" i="5"/>
  <c r="Y1596" i="5"/>
  <c r="X1596" i="5"/>
  <c r="I1595" i="5"/>
  <c r="H1595" i="5"/>
  <c r="G1595" i="5"/>
  <c r="E1595" i="5"/>
  <c r="J1594" i="5"/>
  <c r="I1594" i="5"/>
  <c r="E1594" i="5"/>
  <c r="J1593" i="5"/>
  <c r="I1593" i="5"/>
  <c r="H1596" i="5" s="1"/>
  <c r="E1593" i="5"/>
  <c r="K1592" i="5"/>
  <c r="J1592" i="5"/>
  <c r="W1592" i="5"/>
  <c r="I1592" i="5"/>
  <c r="H1592" i="5"/>
  <c r="G1592" i="5"/>
  <c r="F1592" i="5"/>
  <c r="V1591" i="5"/>
  <c r="T1591" i="5"/>
  <c r="K1594" i="5" s="1"/>
  <c r="R1591" i="5"/>
  <c r="K1593" i="5" s="1"/>
  <c r="J1596" i="5" s="1"/>
  <c r="U1591" i="5"/>
  <c r="S1591" i="5"/>
  <c r="Q1591" i="5"/>
  <c r="E1591" i="5"/>
  <c r="D1591" i="5"/>
  <c r="B1591" i="5"/>
  <c r="A1591" i="5"/>
  <c r="AA1590" i="5"/>
  <c r="Z1590" i="5"/>
  <c r="X1590" i="5"/>
  <c r="I1589" i="5"/>
  <c r="H1589" i="5"/>
  <c r="G1589" i="5"/>
  <c r="E1589" i="5"/>
  <c r="K1588" i="5"/>
  <c r="J1588" i="5"/>
  <c r="E1588" i="5"/>
  <c r="J1587" i="5"/>
  <c r="E1587" i="5"/>
  <c r="J1586" i="5"/>
  <c r="E1586" i="5"/>
  <c r="K1585" i="5"/>
  <c r="J1585" i="5"/>
  <c r="H1585" i="5"/>
  <c r="AA1585" i="5"/>
  <c r="Z1585" i="5"/>
  <c r="Y1585" i="5"/>
  <c r="X1585" i="5"/>
  <c r="I1585" i="5"/>
  <c r="F1585" i="5"/>
  <c r="V1585" i="5"/>
  <c r="T1585" i="5"/>
  <c r="R1585" i="5"/>
  <c r="U1585" i="5"/>
  <c r="S1585" i="5"/>
  <c r="Q1585" i="5"/>
  <c r="E1585" i="5"/>
  <c r="D1585" i="5"/>
  <c r="B1585" i="5"/>
  <c r="A1585" i="5"/>
  <c r="K1584" i="5"/>
  <c r="J1584" i="5"/>
  <c r="H1584" i="5"/>
  <c r="AA1584" i="5"/>
  <c r="Z1584" i="5"/>
  <c r="Y1584" i="5"/>
  <c r="X1584" i="5"/>
  <c r="I1584" i="5"/>
  <c r="F1584" i="5"/>
  <c r="V1584" i="5"/>
  <c r="T1584" i="5"/>
  <c r="R1584" i="5"/>
  <c r="U1584" i="5"/>
  <c r="S1584" i="5"/>
  <c r="Q1584" i="5"/>
  <c r="E1584" i="5"/>
  <c r="D1584" i="5"/>
  <c r="B1584" i="5"/>
  <c r="A1584" i="5"/>
  <c r="K1583" i="5"/>
  <c r="J1583" i="5"/>
  <c r="H1583" i="5"/>
  <c r="AA1583" i="5"/>
  <c r="Z1583" i="5"/>
  <c r="X1583" i="5"/>
  <c r="I1583" i="5"/>
  <c r="Y1583" i="5" s="1"/>
  <c r="F1583" i="5"/>
  <c r="V1583" i="5"/>
  <c r="T1583" i="5"/>
  <c r="K1587" i="5" s="1"/>
  <c r="R1583" i="5"/>
  <c r="U1583" i="5"/>
  <c r="S1583" i="5"/>
  <c r="Q1583" i="5"/>
  <c r="E1583" i="5"/>
  <c r="D1583" i="5"/>
  <c r="B1583" i="5"/>
  <c r="A1583" i="5"/>
  <c r="K1582" i="5"/>
  <c r="J1582" i="5"/>
  <c r="H1582" i="5"/>
  <c r="AA1582" i="5"/>
  <c r="Z1582" i="5"/>
  <c r="X1582" i="5"/>
  <c r="I1582" i="5"/>
  <c r="Y1582" i="5" s="1"/>
  <c r="F1582" i="5"/>
  <c r="V1582" i="5"/>
  <c r="T1582" i="5"/>
  <c r="R1582" i="5"/>
  <c r="U1582" i="5"/>
  <c r="S1582" i="5"/>
  <c r="Q1582" i="5"/>
  <c r="E1582" i="5"/>
  <c r="D1582" i="5"/>
  <c r="B1582" i="5"/>
  <c r="A1582" i="5"/>
  <c r="K1581" i="5"/>
  <c r="J1581" i="5"/>
  <c r="I1581" i="5"/>
  <c r="H1581" i="5"/>
  <c r="G1581" i="5"/>
  <c r="F1581" i="5"/>
  <c r="K1580" i="5"/>
  <c r="J1580" i="5"/>
  <c r="I1580" i="5"/>
  <c r="W1580" i="5" s="1"/>
  <c r="H1580" i="5"/>
  <c r="G1580" i="5"/>
  <c r="F1580" i="5"/>
  <c r="K1579" i="5"/>
  <c r="J1579" i="5"/>
  <c r="I1579" i="5"/>
  <c r="H1579" i="5"/>
  <c r="G1579" i="5"/>
  <c r="F1579" i="5"/>
  <c r="K1578" i="5"/>
  <c r="J1578" i="5"/>
  <c r="W1578" i="5"/>
  <c r="I1578" i="5"/>
  <c r="H1578" i="5"/>
  <c r="G1578" i="5"/>
  <c r="F1578" i="5"/>
  <c r="V1577" i="5"/>
  <c r="T1577" i="5"/>
  <c r="R1577" i="5"/>
  <c r="K1586" i="5" s="1"/>
  <c r="U1577" i="5"/>
  <c r="S1577" i="5"/>
  <c r="I1587" i="5" s="1"/>
  <c r="Q1577" i="5"/>
  <c r="E1577" i="5"/>
  <c r="D1577" i="5"/>
  <c r="B1577" i="5"/>
  <c r="A1577" i="5"/>
  <c r="AA1576" i="5"/>
  <c r="Z1576" i="5"/>
  <c r="X1576" i="5"/>
  <c r="I1575" i="5"/>
  <c r="H1575" i="5"/>
  <c r="G1575" i="5"/>
  <c r="E1575" i="5"/>
  <c r="J1574" i="5"/>
  <c r="E1574" i="5"/>
  <c r="K1573" i="5"/>
  <c r="J1573" i="5"/>
  <c r="E1573" i="5"/>
  <c r="K1572" i="5"/>
  <c r="J1572" i="5"/>
  <c r="E1572" i="5"/>
  <c r="K1571" i="5"/>
  <c r="J1571" i="5"/>
  <c r="H1571" i="5"/>
  <c r="AA1571" i="5"/>
  <c r="Z1571" i="5"/>
  <c r="Y1571" i="5"/>
  <c r="X1571" i="5"/>
  <c r="I1571" i="5"/>
  <c r="F1571" i="5"/>
  <c r="V1571" i="5"/>
  <c r="T1571" i="5"/>
  <c r="R1571" i="5"/>
  <c r="U1571" i="5"/>
  <c r="S1571" i="5"/>
  <c r="Q1571" i="5"/>
  <c r="E1571" i="5"/>
  <c r="D1571" i="5"/>
  <c r="B1571" i="5"/>
  <c r="A1571" i="5"/>
  <c r="K1570" i="5"/>
  <c r="J1570" i="5"/>
  <c r="I1570" i="5"/>
  <c r="H1570" i="5"/>
  <c r="G1570" i="5"/>
  <c r="F1570" i="5"/>
  <c r="K1569" i="5"/>
  <c r="J1569" i="5"/>
  <c r="I1569" i="5"/>
  <c r="W1569" i="5" s="1"/>
  <c r="H1569" i="5"/>
  <c r="G1569" i="5"/>
  <c r="F1569" i="5"/>
  <c r="K1568" i="5"/>
  <c r="J1568" i="5"/>
  <c r="I1568" i="5"/>
  <c r="H1568" i="5"/>
  <c r="G1568" i="5"/>
  <c r="F1568" i="5"/>
  <c r="K1567" i="5"/>
  <c r="J1567" i="5"/>
  <c r="I1567" i="5"/>
  <c r="H1567" i="5"/>
  <c r="G1567" i="5"/>
  <c r="F1567" i="5"/>
  <c r="V1566" i="5"/>
  <c r="K1574" i="5" s="1"/>
  <c r="T1566" i="5"/>
  <c r="R1566" i="5"/>
  <c r="U1566" i="5"/>
  <c r="S1566" i="5"/>
  <c r="I1573" i="5" s="1"/>
  <c r="Q1566" i="5"/>
  <c r="I1572" i="5" s="1"/>
  <c r="E1566" i="5"/>
  <c r="D1566" i="5"/>
  <c r="B1566" i="5"/>
  <c r="A1566" i="5"/>
  <c r="AA1565" i="5"/>
  <c r="Z1565" i="5"/>
  <c r="Y1565" i="5"/>
  <c r="I1564" i="5"/>
  <c r="H1564" i="5"/>
  <c r="G1564" i="5"/>
  <c r="E1564" i="5"/>
  <c r="J1563" i="5"/>
  <c r="I1563" i="5"/>
  <c r="E1563" i="5"/>
  <c r="J1562" i="5"/>
  <c r="I1562" i="5"/>
  <c r="E1562" i="5"/>
  <c r="J1561" i="5"/>
  <c r="E1561" i="5"/>
  <c r="K1560" i="5"/>
  <c r="J1560" i="5"/>
  <c r="H1560" i="5"/>
  <c r="AA1560" i="5"/>
  <c r="Z1560" i="5"/>
  <c r="Y1560" i="5"/>
  <c r="X1560" i="5"/>
  <c r="I1560" i="5"/>
  <c r="F1560" i="5"/>
  <c r="V1560" i="5"/>
  <c r="K1563" i="5" s="1"/>
  <c r="T1560" i="5"/>
  <c r="R1560" i="5"/>
  <c r="U1560" i="5"/>
  <c r="S1560" i="5"/>
  <c r="Q1560" i="5"/>
  <c r="I1561" i="5" s="1"/>
  <c r="E1560" i="5"/>
  <c r="D1560" i="5"/>
  <c r="B1560" i="5"/>
  <c r="A1560" i="5"/>
  <c r="K1559" i="5"/>
  <c r="J1559" i="5"/>
  <c r="I1559" i="5"/>
  <c r="W1559" i="5" s="1"/>
  <c r="H1559" i="5"/>
  <c r="G1559" i="5"/>
  <c r="F1559" i="5"/>
  <c r="K1558" i="5"/>
  <c r="P1565" i="5" s="1"/>
  <c r="J1558" i="5"/>
  <c r="I1558" i="5"/>
  <c r="H1558" i="5"/>
  <c r="G1558" i="5"/>
  <c r="F1558" i="5"/>
  <c r="K1557" i="5"/>
  <c r="J1557" i="5"/>
  <c r="W1557" i="5"/>
  <c r="I1557" i="5"/>
  <c r="H1557" i="5"/>
  <c r="G1557" i="5"/>
  <c r="F1557" i="5"/>
  <c r="V1556" i="5"/>
  <c r="T1556" i="5"/>
  <c r="K1562" i="5" s="1"/>
  <c r="R1556" i="5"/>
  <c r="K1561" i="5" s="1"/>
  <c r="U1556" i="5"/>
  <c r="S1556" i="5"/>
  <c r="Q1556" i="5"/>
  <c r="E1556" i="5"/>
  <c r="D1556" i="5"/>
  <c r="B1556" i="5"/>
  <c r="A1556" i="5"/>
  <c r="AA1555" i="5"/>
  <c r="Z1555" i="5"/>
  <c r="Y1555" i="5"/>
  <c r="I1554" i="5"/>
  <c r="H1554" i="5"/>
  <c r="G1554" i="5"/>
  <c r="E1554" i="5"/>
  <c r="K1553" i="5"/>
  <c r="J1553" i="5"/>
  <c r="E1553" i="5"/>
  <c r="J1552" i="5"/>
  <c r="E1552" i="5"/>
  <c r="K1551" i="5"/>
  <c r="J1551" i="5"/>
  <c r="E1551" i="5"/>
  <c r="K1550" i="5"/>
  <c r="J1550" i="5"/>
  <c r="I1550" i="5"/>
  <c r="W1550" i="5" s="1"/>
  <c r="H1550" i="5"/>
  <c r="G1550" i="5"/>
  <c r="F1550" i="5"/>
  <c r="K1549" i="5"/>
  <c r="J1549" i="5"/>
  <c r="I1549" i="5"/>
  <c r="O1555" i="5" s="1"/>
  <c r="H1549" i="5"/>
  <c r="G1549" i="5"/>
  <c r="F1549" i="5"/>
  <c r="K1548" i="5"/>
  <c r="J1548" i="5"/>
  <c r="I1548" i="5"/>
  <c r="H1548" i="5"/>
  <c r="G1548" i="5"/>
  <c r="F1548" i="5"/>
  <c r="V1547" i="5"/>
  <c r="T1547" i="5"/>
  <c r="K1552" i="5" s="1"/>
  <c r="R1547" i="5"/>
  <c r="U1547" i="5"/>
  <c r="I1553" i="5" s="1"/>
  <c r="S1547" i="5"/>
  <c r="I1552" i="5" s="1"/>
  <c r="Q1547" i="5"/>
  <c r="I1551" i="5" s="1"/>
  <c r="E1547" i="5"/>
  <c r="D1547" i="5"/>
  <c r="B1547" i="5"/>
  <c r="A1547" i="5"/>
  <c r="AA1546" i="5"/>
  <c r="Z1546" i="5"/>
  <c r="Y1546" i="5"/>
  <c r="I1545" i="5"/>
  <c r="H1545" i="5"/>
  <c r="G1545" i="5"/>
  <c r="E1545" i="5"/>
  <c r="J1544" i="5"/>
  <c r="E1544" i="5"/>
  <c r="J1543" i="5"/>
  <c r="E1543" i="5"/>
  <c r="J1542" i="5"/>
  <c r="E1542" i="5"/>
  <c r="K1541" i="5"/>
  <c r="J1541" i="5"/>
  <c r="H1541" i="5"/>
  <c r="AA1541" i="5"/>
  <c r="Z1541" i="5"/>
  <c r="Y1541" i="5"/>
  <c r="X1541" i="5"/>
  <c r="I1541" i="5"/>
  <c r="F1541" i="5"/>
  <c r="V1541" i="5"/>
  <c r="T1541" i="5"/>
  <c r="R1541" i="5"/>
  <c r="U1541" i="5"/>
  <c r="S1541" i="5"/>
  <c r="Q1541" i="5"/>
  <c r="I1542" i="5" s="1"/>
  <c r="E1541" i="5"/>
  <c r="D1541" i="5"/>
  <c r="B1541" i="5"/>
  <c r="A1541" i="5"/>
  <c r="K1540" i="5"/>
  <c r="J1540" i="5"/>
  <c r="I1540" i="5"/>
  <c r="W1540" i="5" s="1"/>
  <c r="H1540" i="5"/>
  <c r="G1540" i="5"/>
  <c r="F1540" i="5"/>
  <c r="K1539" i="5"/>
  <c r="J1539" i="5"/>
  <c r="I1539" i="5"/>
  <c r="H1539" i="5"/>
  <c r="G1539" i="5"/>
  <c r="F1539" i="5"/>
  <c r="K1538" i="5"/>
  <c r="J1538" i="5"/>
  <c r="W1538" i="5"/>
  <c r="I1538" i="5"/>
  <c r="H1538" i="5"/>
  <c r="G1538" i="5"/>
  <c r="F1538" i="5"/>
  <c r="V1537" i="5"/>
  <c r="K1544" i="5" s="1"/>
  <c r="T1537" i="5"/>
  <c r="R1537" i="5"/>
  <c r="K1542" i="5" s="1"/>
  <c r="U1537" i="5"/>
  <c r="I1544" i="5" s="1"/>
  <c r="S1537" i="5"/>
  <c r="I1543" i="5" s="1"/>
  <c r="Q1537" i="5"/>
  <c r="E1537" i="5"/>
  <c r="D1537" i="5"/>
  <c r="B1537" i="5"/>
  <c r="A1537" i="5"/>
  <c r="AA1536" i="5"/>
  <c r="Z1536" i="5"/>
  <c r="Y1536" i="5"/>
  <c r="I1535" i="5"/>
  <c r="H1535" i="5"/>
  <c r="G1535" i="5"/>
  <c r="E1535" i="5"/>
  <c r="J1534" i="5"/>
  <c r="I1534" i="5"/>
  <c r="E1534" i="5"/>
  <c r="J1533" i="5"/>
  <c r="I1533" i="5"/>
  <c r="E1533" i="5"/>
  <c r="J1532" i="5"/>
  <c r="E1532" i="5"/>
  <c r="K1531" i="5"/>
  <c r="J1531" i="5"/>
  <c r="H1531" i="5"/>
  <c r="AA1531" i="5"/>
  <c r="Z1531" i="5"/>
  <c r="Y1531" i="5"/>
  <c r="X1531" i="5"/>
  <c r="I1531" i="5"/>
  <c r="F1531" i="5"/>
  <c r="V1531" i="5"/>
  <c r="K1534" i="5" s="1"/>
  <c r="T1531" i="5"/>
  <c r="R1531" i="5"/>
  <c r="U1531" i="5"/>
  <c r="S1531" i="5"/>
  <c r="Q1531" i="5"/>
  <c r="I1532" i="5" s="1"/>
  <c r="H1536" i="5" s="1"/>
  <c r="E1531" i="5"/>
  <c r="D1531" i="5"/>
  <c r="B1531" i="5"/>
  <c r="A1531" i="5"/>
  <c r="K1530" i="5"/>
  <c r="J1530" i="5"/>
  <c r="I1530" i="5"/>
  <c r="W1530" i="5" s="1"/>
  <c r="H1530" i="5"/>
  <c r="G1530" i="5"/>
  <c r="F1530" i="5"/>
  <c r="K1529" i="5"/>
  <c r="P1536" i="5" s="1"/>
  <c r="J1529" i="5"/>
  <c r="I1529" i="5"/>
  <c r="H1529" i="5"/>
  <c r="G1529" i="5"/>
  <c r="F1529" i="5"/>
  <c r="K1528" i="5"/>
  <c r="J1528" i="5"/>
  <c r="W1528" i="5"/>
  <c r="I1528" i="5"/>
  <c r="X1536" i="5" s="1"/>
  <c r="H1528" i="5"/>
  <c r="G1528" i="5"/>
  <c r="F1528" i="5"/>
  <c r="V1527" i="5"/>
  <c r="T1527" i="5"/>
  <c r="K1533" i="5" s="1"/>
  <c r="R1527" i="5"/>
  <c r="K1532" i="5" s="1"/>
  <c r="U1527" i="5"/>
  <c r="S1527" i="5"/>
  <c r="Q1527" i="5"/>
  <c r="E1527" i="5"/>
  <c r="D1527" i="5"/>
  <c r="B1527" i="5"/>
  <c r="A1527" i="5"/>
  <c r="AA1526" i="5"/>
  <c r="Z1526" i="5"/>
  <c r="Y1526" i="5"/>
  <c r="I1525" i="5"/>
  <c r="H1525" i="5"/>
  <c r="G1525" i="5"/>
  <c r="E1525" i="5"/>
  <c r="J1524" i="5"/>
  <c r="E1524" i="5"/>
  <c r="K1523" i="5"/>
  <c r="J1523" i="5"/>
  <c r="E1523" i="5"/>
  <c r="K1522" i="5"/>
  <c r="J1522" i="5"/>
  <c r="E1522" i="5"/>
  <c r="J1521" i="5"/>
  <c r="H1521" i="5"/>
  <c r="AA1521" i="5"/>
  <c r="Z1521" i="5"/>
  <c r="Y1521" i="5"/>
  <c r="I1521" i="5"/>
  <c r="X1521" i="5" s="1"/>
  <c r="F1521" i="5"/>
  <c r="V1521" i="5"/>
  <c r="T1521" i="5"/>
  <c r="R1521" i="5"/>
  <c r="U1521" i="5"/>
  <c r="S1521" i="5"/>
  <c r="Q1521" i="5"/>
  <c r="E1521" i="5"/>
  <c r="D1521" i="5"/>
  <c r="B1521" i="5"/>
  <c r="A1521" i="5"/>
  <c r="K1520" i="5"/>
  <c r="J1520" i="5"/>
  <c r="I1520" i="5"/>
  <c r="H1520" i="5"/>
  <c r="G1520" i="5"/>
  <c r="F1520" i="5"/>
  <c r="K1519" i="5"/>
  <c r="J1519" i="5"/>
  <c r="I1519" i="5"/>
  <c r="W1519" i="5" s="1"/>
  <c r="H1519" i="5"/>
  <c r="G1519" i="5"/>
  <c r="F1519" i="5"/>
  <c r="K1518" i="5"/>
  <c r="J1518" i="5"/>
  <c r="I1518" i="5"/>
  <c r="H1518" i="5"/>
  <c r="G1518" i="5"/>
  <c r="F1518" i="5"/>
  <c r="K1517" i="5"/>
  <c r="J1517" i="5"/>
  <c r="I1517" i="5"/>
  <c r="H1517" i="5"/>
  <c r="G1517" i="5"/>
  <c r="F1517" i="5"/>
  <c r="V1516" i="5"/>
  <c r="K1524" i="5" s="1"/>
  <c r="T1516" i="5"/>
  <c r="R1516" i="5"/>
  <c r="U1516" i="5"/>
  <c r="S1516" i="5"/>
  <c r="Q1516" i="5"/>
  <c r="I1522" i="5" s="1"/>
  <c r="E1516" i="5"/>
  <c r="D1516" i="5"/>
  <c r="B1516" i="5"/>
  <c r="A1516" i="5"/>
  <c r="AA1515" i="5"/>
  <c r="Z1515" i="5"/>
  <c r="Y1515" i="5"/>
  <c r="I1514" i="5"/>
  <c r="H1514" i="5"/>
  <c r="G1514" i="5"/>
  <c r="E1514" i="5"/>
  <c r="J1513" i="5"/>
  <c r="I1513" i="5"/>
  <c r="E1513" i="5"/>
  <c r="J1512" i="5"/>
  <c r="E1512" i="5"/>
  <c r="K1511" i="5"/>
  <c r="J1511" i="5"/>
  <c r="E1511" i="5"/>
  <c r="K1510" i="5"/>
  <c r="J1510" i="5"/>
  <c r="W1510" i="5"/>
  <c r="I1510" i="5"/>
  <c r="H1510" i="5"/>
  <c r="G1510" i="5"/>
  <c r="F1510" i="5"/>
  <c r="K1509" i="5"/>
  <c r="J1509" i="5"/>
  <c r="I1509" i="5"/>
  <c r="H1509" i="5"/>
  <c r="G1509" i="5"/>
  <c r="F1509" i="5"/>
  <c r="K1508" i="5"/>
  <c r="J1508" i="5"/>
  <c r="I1508" i="5"/>
  <c r="H1508" i="5"/>
  <c r="G1508" i="5"/>
  <c r="F1508" i="5"/>
  <c r="C1507" i="5"/>
  <c r="V1506" i="5"/>
  <c r="K1513" i="5" s="1"/>
  <c r="T1506" i="5"/>
  <c r="K1512" i="5" s="1"/>
  <c r="R1506" i="5"/>
  <c r="U1506" i="5"/>
  <c r="S1506" i="5"/>
  <c r="I1512" i="5" s="1"/>
  <c r="Q1506" i="5"/>
  <c r="I1511" i="5" s="1"/>
  <c r="E1506" i="5"/>
  <c r="D1506" i="5"/>
  <c r="B1506" i="5"/>
  <c r="A1506" i="5"/>
  <c r="AA1505" i="5"/>
  <c r="Z1505" i="5"/>
  <c r="X1505" i="5"/>
  <c r="I1504" i="5"/>
  <c r="H1504" i="5"/>
  <c r="G1504" i="5"/>
  <c r="E1504" i="5"/>
  <c r="J1503" i="5"/>
  <c r="I1503" i="5"/>
  <c r="E1503" i="5"/>
  <c r="J1502" i="5"/>
  <c r="E1502" i="5"/>
  <c r="J1501" i="5"/>
  <c r="I1501" i="5"/>
  <c r="E1501" i="5"/>
  <c r="K1500" i="5"/>
  <c r="J1500" i="5"/>
  <c r="H1500" i="5"/>
  <c r="AA1500" i="5"/>
  <c r="Z1500" i="5"/>
  <c r="X1500" i="5"/>
  <c r="I1500" i="5"/>
  <c r="Y1500" i="5" s="1"/>
  <c r="F1500" i="5"/>
  <c r="V1500" i="5"/>
  <c r="T1500" i="5"/>
  <c r="R1500" i="5"/>
  <c r="U1500" i="5"/>
  <c r="S1500" i="5"/>
  <c r="Q1500" i="5"/>
  <c r="E1500" i="5"/>
  <c r="D1500" i="5"/>
  <c r="B1500" i="5"/>
  <c r="A1500" i="5"/>
  <c r="K1499" i="5"/>
  <c r="J1505" i="5" s="1"/>
  <c r="J1499" i="5"/>
  <c r="I1499" i="5"/>
  <c r="H1499" i="5"/>
  <c r="G1499" i="5"/>
  <c r="F1499" i="5"/>
  <c r="K1498" i="5"/>
  <c r="J1498" i="5"/>
  <c r="W1498" i="5"/>
  <c r="I1498" i="5"/>
  <c r="H1498" i="5"/>
  <c r="G1498" i="5"/>
  <c r="F1498" i="5"/>
  <c r="K1497" i="5"/>
  <c r="J1497" i="5"/>
  <c r="I1497" i="5"/>
  <c r="H1497" i="5"/>
  <c r="G1497" i="5"/>
  <c r="F1497" i="5"/>
  <c r="K1496" i="5"/>
  <c r="P1505" i="5" s="1"/>
  <c r="J1496" i="5"/>
  <c r="I1496" i="5"/>
  <c r="H1496" i="5"/>
  <c r="G1496" i="5"/>
  <c r="F1496" i="5"/>
  <c r="C1495" i="5"/>
  <c r="V1494" i="5"/>
  <c r="K1503" i="5" s="1"/>
  <c r="T1494" i="5"/>
  <c r="K1502" i="5" s="1"/>
  <c r="R1494" i="5"/>
  <c r="K1501" i="5" s="1"/>
  <c r="U1494" i="5"/>
  <c r="S1494" i="5"/>
  <c r="I1502" i="5" s="1"/>
  <c r="Y1505" i="5" s="1"/>
  <c r="Q1494" i="5"/>
  <c r="E1494" i="5"/>
  <c r="D1494" i="5"/>
  <c r="B1494" i="5"/>
  <c r="A1494" i="5"/>
  <c r="AA1493" i="5"/>
  <c r="Z1493" i="5"/>
  <c r="X1493" i="5"/>
  <c r="I1492" i="5"/>
  <c r="H1492" i="5"/>
  <c r="G1492" i="5"/>
  <c r="E1492" i="5"/>
  <c r="J1491" i="5"/>
  <c r="I1491" i="5"/>
  <c r="E1491" i="5"/>
  <c r="J1490" i="5"/>
  <c r="I1490" i="5"/>
  <c r="E1490" i="5"/>
  <c r="J1489" i="5"/>
  <c r="I1489" i="5"/>
  <c r="Y1493" i="5" s="1"/>
  <c r="E1489" i="5"/>
  <c r="K1488" i="5"/>
  <c r="J1488" i="5"/>
  <c r="H1488" i="5"/>
  <c r="AA1488" i="5"/>
  <c r="Z1488" i="5"/>
  <c r="X1488" i="5"/>
  <c r="I1488" i="5"/>
  <c r="Y1488" i="5" s="1"/>
  <c r="F1488" i="5"/>
  <c r="V1488" i="5"/>
  <c r="T1488" i="5"/>
  <c r="R1488" i="5"/>
  <c r="U1488" i="5"/>
  <c r="S1488" i="5"/>
  <c r="Q1488" i="5"/>
  <c r="E1488" i="5"/>
  <c r="D1488" i="5"/>
  <c r="B1488" i="5"/>
  <c r="A1488" i="5"/>
  <c r="K1487" i="5"/>
  <c r="J1493" i="5" s="1"/>
  <c r="J1487" i="5"/>
  <c r="I1487" i="5"/>
  <c r="H1487" i="5"/>
  <c r="G1487" i="5"/>
  <c r="F1487" i="5"/>
  <c r="K1486" i="5"/>
  <c r="J1486" i="5"/>
  <c r="W1486" i="5"/>
  <c r="I1486" i="5"/>
  <c r="H1486" i="5"/>
  <c r="G1486" i="5"/>
  <c r="F1486" i="5"/>
  <c r="K1485" i="5"/>
  <c r="J1485" i="5"/>
  <c r="I1485" i="5"/>
  <c r="H1485" i="5"/>
  <c r="G1485" i="5"/>
  <c r="F1485" i="5"/>
  <c r="K1484" i="5"/>
  <c r="J1484" i="5"/>
  <c r="I1484" i="5"/>
  <c r="H1484" i="5"/>
  <c r="G1484" i="5"/>
  <c r="F1484" i="5"/>
  <c r="C1483" i="5"/>
  <c r="V1482" i="5"/>
  <c r="K1491" i="5" s="1"/>
  <c r="T1482" i="5"/>
  <c r="K1490" i="5" s="1"/>
  <c r="R1482" i="5"/>
  <c r="K1489" i="5" s="1"/>
  <c r="U1482" i="5"/>
  <c r="S1482" i="5"/>
  <c r="Q1482" i="5"/>
  <c r="E1482" i="5"/>
  <c r="D1482" i="5"/>
  <c r="B1482" i="5"/>
  <c r="A1482" i="5"/>
  <c r="AA1481" i="5"/>
  <c r="Z1481" i="5"/>
  <c r="Y1481" i="5"/>
  <c r="I1480" i="5"/>
  <c r="H1480" i="5"/>
  <c r="G1480" i="5"/>
  <c r="E1480" i="5"/>
  <c r="J1479" i="5"/>
  <c r="I1479" i="5"/>
  <c r="E1479" i="5"/>
  <c r="J1478" i="5"/>
  <c r="E1478" i="5"/>
  <c r="K1477" i="5"/>
  <c r="J1477" i="5"/>
  <c r="H1477" i="5"/>
  <c r="AA1477" i="5"/>
  <c r="Z1477" i="5"/>
  <c r="Y1477" i="5"/>
  <c r="I1477" i="5"/>
  <c r="X1477" i="5" s="1"/>
  <c r="F1477" i="5"/>
  <c r="V1477" i="5"/>
  <c r="T1477" i="5"/>
  <c r="R1477" i="5"/>
  <c r="U1477" i="5"/>
  <c r="S1477" i="5"/>
  <c r="Q1477" i="5"/>
  <c r="I1478" i="5" s="1"/>
  <c r="X1481" i="5" s="1"/>
  <c r="E1477" i="5"/>
  <c r="D1477" i="5"/>
  <c r="B1477" i="5"/>
  <c r="A1477" i="5"/>
  <c r="K1476" i="5"/>
  <c r="J1476" i="5"/>
  <c r="H1476" i="5"/>
  <c r="AA1476" i="5"/>
  <c r="Z1476" i="5"/>
  <c r="Y1476" i="5"/>
  <c r="I1476" i="5"/>
  <c r="X1476" i="5" s="1"/>
  <c r="F1476" i="5"/>
  <c r="V1476" i="5"/>
  <c r="T1476" i="5"/>
  <c r="R1476" i="5"/>
  <c r="U1476" i="5"/>
  <c r="S1476" i="5"/>
  <c r="Q1476" i="5"/>
  <c r="E1476" i="5"/>
  <c r="D1476" i="5"/>
  <c r="B1476" i="5"/>
  <c r="A1476" i="5"/>
  <c r="K1475" i="5"/>
  <c r="J1475" i="5"/>
  <c r="I1475" i="5"/>
  <c r="H1475" i="5"/>
  <c r="G1475" i="5"/>
  <c r="F1475" i="5"/>
  <c r="K1474" i="5"/>
  <c r="J1474" i="5"/>
  <c r="W1474" i="5"/>
  <c r="I1474" i="5"/>
  <c r="H1474" i="5"/>
  <c r="G1474" i="5"/>
  <c r="F1474" i="5"/>
  <c r="V1473" i="5"/>
  <c r="T1473" i="5"/>
  <c r="K1479" i="5" s="1"/>
  <c r="R1473" i="5"/>
  <c r="U1473" i="5"/>
  <c r="S1473" i="5"/>
  <c r="Q1473" i="5"/>
  <c r="E1473" i="5"/>
  <c r="D1473" i="5"/>
  <c r="B1473" i="5"/>
  <c r="A1473" i="5"/>
  <c r="AA1472" i="5"/>
  <c r="Z1472" i="5"/>
  <c r="Y1472" i="5"/>
  <c r="I1471" i="5"/>
  <c r="H1471" i="5"/>
  <c r="G1471" i="5"/>
  <c r="E1471" i="5"/>
  <c r="J1470" i="5"/>
  <c r="E1470" i="5"/>
  <c r="J1469" i="5"/>
  <c r="I1469" i="5"/>
  <c r="E1469" i="5"/>
  <c r="J1468" i="5"/>
  <c r="E1468" i="5"/>
  <c r="K1467" i="5"/>
  <c r="J1467" i="5"/>
  <c r="H1467" i="5"/>
  <c r="AA1467" i="5"/>
  <c r="Z1467" i="5"/>
  <c r="Y1467" i="5"/>
  <c r="X1467" i="5"/>
  <c r="I1467" i="5"/>
  <c r="F1467" i="5"/>
  <c r="V1467" i="5"/>
  <c r="T1467" i="5"/>
  <c r="K1469" i="5" s="1"/>
  <c r="R1467" i="5"/>
  <c r="U1467" i="5"/>
  <c r="S1467" i="5"/>
  <c r="Q1467" i="5"/>
  <c r="I1468" i="5" s="1"/>
  <c r="E1467" i="5"/>
  <c r="D1467" i="5"/>
  <c r="B1467" i="5"/>
  <c r="A1467" i="5"/>
  <c r="K1466" i="5"/>
  <c r="J1466" i="5"/>
  <c r="I1466" i="5"/>
  <c r="H1466" i="5"/>
  <c r="G1466" i="5"/>
  <c r="F1466" i="5"/>
  <c r="K1465" i="5"/>
  <c r="J1465" i="5"/>
  <c r="I1465" i="5"/>
  <c r="W1465" i="5" s="1"/>
  <c r="H1465" i="5"/>
  <c r="G1465" i="5"/>
  <c r="F1465" i="5"/>
  <c r="K1464" i="5"/>
  <c r="J1464" i="5"/>
  <c r="I1464" i="5"/>
  <c r="H1464" i="5"/>
  <c r="G1464" i="5"/>
  <c r="F1464" i="5"/>
  <c r="K1463" i="5"/>
  <c r="J1463" i="5"/>
  <c r="I1463" i="5"/>
  <c r="H1463" i="5"/>
  <c r="G1463" i="5"/>
  <c r="F1463" i="5"/>
  <c r="C1462" i="5"/>
  <c r="V1461" i="5"/>
  <c r="T1461" i="5"/>
  <c r="R1461" i="5"/>
  <c r="K1468" i="5" s="1"/>
  <c r="U1461" i="5"/>
  <c r="I1470" i="5" s="1"/>
  <c r="S1461" i="5"/>
  <c r="Q1461" i="5"/>
  <c r="E1461" i="5"/>
  <c r="D1461" i="5"/>
  <c r="B1461" i="5"/>
  <c r="A1461" i="5"/>
  <c r="Z1460" i="5"/>
  <c r="Y1460" i="5"/>
  <c r="X1460" i="5"/>
  <c r="P1460" i="5"/>
  <c r="K1459" i="5"/>
  <c r="J1460" i="5" s="1"/>
  <c r="J1459" i="5"/>
  <c r="I1459" i="5"/>
  <c r="H1459" i="5"/>
  <c r="G1459" i="5"/>
  <c r="F1459" i="5"/>
  <c r="V1458" i="5"/>
  <c r="T1458" i="5"/>
  <c r="R1458" i="5"/>
  <c r="U1458" i="5"/>
  <c r="S1458" i="5"/>
  <c r="Q1458" i="5"/>
  <c r="E1458" i="5"/>
  <c r="D1458" i="5"/>
  <c r="B1458" i="5"/>
  <c r="A1458" i="5"/>
  <c r="Z1457" i="5"/>
  <c r="Y1457" i="5"/>
  <c r="X1457" i="5"/>
  <c r="P1457" i="5"/>
  <c r="K1456" i="5"/>
  <c r="J1457" i="5" s="1"/>
  <c r="J1456" i="5"/>
  <c r="I1456" i="5"/>
  <c r="H1456" i="5"/>
  <c r="G1456" i="5"/>
  <c r="F1456" i="5"/>
  <c r="V1455" i="5"/>
  <c r="T1455" i="5"/>
  <c r="R1455" i="5"/>
  <c r="U1455" i="5"/>
  <c r="S1455" i="5"/>
  <c r="Q1455" i="5"/>
  <c r="E1455" i="5"/>
  <c r="D1455" i="5"/>
  <c r="B1455" i="5"/>
  <c r="A1455" i="5"/>
  <c r="AA1454" i="5"/>
  <c r="Z1454" i="5"/>
  <c r="Y1454" i="5"/>
  <c r="H1454" i="5"/>
  <c r="I1453" i="5"/>
  <c r="H1453" i="5"/>
  <c r="G1453" i="5"/>
  <c r="E1453" i="5"/>
  <c r="J1452" i="5"/>
  <c r="I1452" i="5"/>
  <c r="E1452" i="5"/>
  <c r="J1451" i="5"/>
  <c r="E1451" i="5"/>
  <c r="K1450" i="5"/>
  <c r="J1450" i="5"/>
  <c r="I1450" i="5"/>
  <c r="E1450" i="5"/>
  <c r="K1449" i="5"/>
  <c r="J1449" i="5"/>
  <c r="W1449" i="5"/>
  <c r="I1449" i="5"/>
  <c r="H1449" i="5"/>
  <c r="G1449" i="5"/>
  <c r="F1449" i="5"/>
  <c r="K1448" i="5"/>
  <c r="J1448" i="5"/>
  <c r="I1448" i="5"/>
  <c r="H1448" i="5"/>
  <c r="G1448" i="5"/>
  <c r="F1448" i="5"/>
  <c r="K1447" i="5"/>
  <c r="J1447" i="5"/>
  <c r="I1447" i="5"/>
  <c r="X1454" i="5" s="1"/>
  <c r="H1447" i="5"/>
  <c r="G1447" i="5"/>
  <c r="F1447" i="5"/>
  <c r="C1446" i="5"/>
  <c r="V1445" i="5"/>
  <c r="K1452" i="5" s="1"/>
  <c r="T1445" i="5"/>
  <c r="K1451" i="5" s="1"/>
  <c r="R1445" i="5"/>
  <c r="U1445" i="5"/>
  <c r="S1445" i="5"/>
  <c r="I1451" i="5" s="1"/>
  <c r="Q1445" i="5"/>
  <c r="E1445" i="5"/>
  <c r="D1445" i="5"/>
  <c r="B1445" i="5"/>
  <c r="A1445" i="5"/>
  <c r="A1444" i="5"/>
  <c r="A1442" i="5"/>
  <c r="H1440" i="5"/>
  <c r="J1440" i="5"/>
  <c r="H1439" i="5"/>
  <c r="J1439" i="5"/>
  <c r="AL1438" i="5"/>
  <c r="A1438" i="5"/>
  <c r="AA1436" i="5"/>
  <c r="Z1436" i="5"/>
  <c r="Y1436" i="5"/>
  <c r="I1435" i="5"/>
  <c r="H1435" i="5"/>
  <c r="G1435" i="5"/>
  <c r="E1435" i="5"/>
  <c r="J1434" i="5"/>
  <c r="E1434" i="5"/>
  <c r="K1433" i="5"/>
  <c r="J1433" i="5"/>
  <c r="E1433" i="5"/>
  <c r="K1432" i="5"/>
  <c r="J1432" i="5"/>
  <c r="E1432" i="5"/>
  <c r="K1431" i="5"/>
  <c r="J1431" i="5"/>
  <c r="H1431" i="5"/>
  <c r="AA1431" i="5"/>
  <c r="Z1431" i="5"/>
  <c r="Y1431" i="5"/>
  <c r="I1431" i="5"/>
  <c r="X1431" i="5" s="1"/>
  <c r="F1431" i="5"/>
  <c r="V1431" i="5"/>
  <c r="T1431" i="5"/>
  <c r="R1431" i="5"/>
  <c r="U1431" i="5"/>
  <c r="S1431" i="5"/>
  <c r="Q1431" i="5"/>
  <c r="E1431" i="5"/>
  <c r="D1431" i="5"/>
  <c r="B1431" i="5"/>
  <c r="A1431" i="5"/>
  <c r="K1430" i="5"/>
  <c r="J1430" i="5"/>
  <c r="I1430" i="5"/>
  <c r="H1430" i="5"/>
  <c r="G1430" i="5"/>
  <c r="F1430" i="5"/>
  <c r="K1429" i="5"/>
  <c r="J1429" i="5"/>
  <c r="I1429" i="5"/>
  <c r="W1429" i="5" s="1"/>
  <c r="H1429" i="5"/>
  <c r="G1429" i="5"/>
  <c r="F1429" i="5"/>
  <c r="K1428" i="5"/>
  <c r="J1428" i="5"/>
  <c r="I1428" i="5"/>
  <c r="H1428" i="5"/>
  <c r="G1428" i="5"/>
  <c r="F1428" i="5"/>
  <c r="K1427" i="5"/>
  <c r="J1427" i="5"/>
  <c r="I1427" i="5"/>
  <c r="H1427" i="5"/>
  <c r="G1427" i="5"/>
  <c r="F1427" i="5"/>
  <c r="V1426" i="5"/>
  <c r="K1434" i="5" s="1"/>
  <c r="T1426" i="5"/>
  <c r="R1426" i="5"/>
  <c r="U1426" i="5"/>
  <c r="S1426" i="5"/>
  <c r="I1433" i="5" s="1"/>
  <c r="Q1426" i="5"/>
  <c r="I1432" i="5" s="1"/>
  <c r="E1426" i="5"/>
  <c r="D1426" i="5"/>
  <c r="B1426" i="5"/>
  <c r="A1426" i="5"/>
  <c r="AA1425" i="5"/>
  <c r="Z1425" i="5"/>
  <c r="Y1425" i="5"/>
  <c r="I1424" i="5"/>
  <c r="H1424" i="5"/>
  <c r="G1424" i="5"/>
  <c r="E1424" i="5"/>
  <c r="J1423" i="5"/>
  <c r="I1423" i="5"/>
  <c r="E1423" i="5"/>
  <c r="J1422" i="5"/>
  <c r="I1422" i="5"/>
  <c r="E1422" i="5"/>
  <c r="J1421" i="5"/>
  <c r="E1421" i="5"/>
  <c r="K1420" i="5"/>
  <c r="J1420" i="5"/>
  <c r="H1420" i="5"/>
  <c r="AA1420" i="5"/>
  <c r="Z1420" i="5"/>
  <c r="Y1420" i="5"/>
  <c r="X1420" i="5"/>
  <c r="I1420" i="5"/>
  <c r="F1420" i="5"/>
  <c r="V1420" i="5"/>
  <c r="K1423" i="5" s="1"/>
  <c r="T1420" i="5"/>
  <c r="R1420" i="5"/>
  <c r="U1420" i="5"/>
  <c r="S1420" i="5"/>
  <c r="Q1420" i="5"/>
  <c r="I1421" i="5" s="1"/>
  <c r="E1420" i="5"/>
  <c r="D1420" i="5"/>
  <c r="B1420" i="5"/>
  <c r="A1420" i="5"/>
  <c r="K1419" i="5"/>
  <c r="J1419" i="5"/>
  <c r="I1419" i="5"/>
  <c r="W1419" i="5" s="1"/>
  <c r="H1419" i="5"/>
  <c r="G1419" i="5"/>
  <c r="F1419" i="5"/>
  <c r="K1418" i="5"/>
  <c r="J1418" i="5"/>
  <c r="I1418" i="5"/>
  <c r="H1418" i="5"/>
  <c r="G1418" i="5"/>
  <c r="F1418" i="5"/>
  <c r="K1417" i="5"/>
  <c r="J1417" i="5"/>
  <c r="W1417" i="5"/>
  <c r="I1417" i="5"/>
  <c r="H1417" i="5"/>
  <c r="G1417" i="5"/>
  <c r="F1417" i="5"/>
  <c r="V1416" i="5"/>
  <c r="T1416" i="5"/>
  <c r="K1422" i="5" s="1"/>
  <c r="R1416" i="5"/>
  <c r="K1421" i="5" s="1"/>
  <c r="U1416" i="5"/>
  <c r="S1416" i="5"/>
  <c r="Q1416" i="5"/>
  <c r="E1416" i="5"/>
  <c r="D1416" i="5"/>
  <c r="B1416" i="5"/>
  <c r="A1416" i="5"/>
  <c r="A1415" i="5"/>
  <c r="H1413" i="5"/>
  <c r="J1413" i="5"/>
  <c r="H1412" i="5"/>
  <c r="J1412" i="5"/>
  <c r="A1411" i="5"/>
  <c r="AA1409" i="5"/>
  <c r="Z1409" i="5"/>
  <c r="Y1409" i="5"/>
  <c r="X1409" i="5"/>
  <c r="O1409" i="5"/>
  <c r="H1409" i="5"/>
  <c r="K1408" i="5"/>
  <c r="J1408" i="5"/>
  <c r="I1408" i="5"/>
  <c r="H1408" i="5"/>
  <c r="G1408" i="5"/>
  <c r="F1408" i="5"/>
  <c r="V1407" i="5"/>
  <c r="T1407" i="5"/>
  <c r="R1407" i="5"/>
  <c r="U1407" i="5"/>
  <c r="S1407" i="5"/>
  <c r="Q1407" i="5"/>
  <c r="E1407" i="5"/>
  <c r="D1407" i="5"/>
  <c r="B1407" i="5"/>
  <c r="A1407" i="5"/>
  <c r="AA1406" i="5"/>
  <c r="Z1406" i="5"/>
  <c r="Y1406" i="5"/>
  <c r="X1406" i="5"/>
  <c r="O1406" i="5"/>
  <c r="H1406" i="5"/>
  <c r="K1405" i="5"/>
  <c r="J1405" i="5"/>
  <c r="I1405" i="5"/>
  <c r="H1405" i="5"/>
  <c r="G1405" i="5"/>
  <c r="F1405" i="5"/>
  <c r="V1404" i="5"/>
  <c r="T1404" i="5"/>
  <c r="R1404" i="5"/>
  <c r="U1404" i="5"/>
  <c r="S1404" i="5"/>
  <c r="Q1404" i="5"/>
  <c r="E1404" i="5"/>
  <c r="D1404" i="5"/>
  <c r="B1404" i="5"/>
  <c r="A1404" i="5"/>
  <c r="Z1403" i="5"/>
  <c r="Y1403" i="5"/>
  <c r="X1403" i="5"/>
  <c r="I1402" i="5"/>
  <c r="H1402" i="5"/>
  <c r="G1402" i="5"/>
  <c r="E1402" i="5"/>
  <c r="J1401" i="5"/>
  <c r="E1401" i="5"/>
  <c r="J1400" i="5"/>
  <c r="E1400" i="5"/>
  <c r="K1399" i="5"/>
  <c r="J1399" i="5"/>
  <c r="I1399" i="5"/>
  <c r="W1399" i="5" s="1"/>
  <c r="H1399" i="5"/>
  <c r="G1399" i="5"/>
  <c r="F1399" i="5"/>
  <c r="V1398" i="5"/>
  <c r="T1398" i="5"/>
  <c r="K1401" i="5" s="1"/>
  <c r="R1398" i="5"/>
  <c r="K1400" i="5" s="1"/>
  <c r="U1398" i="5"/>
  <c r="S1398" i="5"/>
  <c r="I1401" i="5" s="1"/>
  <c r="Q1398" i="5"/>
  <c r="I1400" i="5" s="1"/>
  <c r="H1403" i="5" s="1"/>
  <c r="E1398" i="5"/>
  <c r="D1398" i="5"/>
  <c r="B1398" i="5"/>
  <c r="A1398" i="5"/>
  <c r="AA1397" i="5"/>
  <c r="Y1397" i="5"/>
  <c r="X1397" i="5"/>
  <c r="O1397" i="5"/>
  <c r="J1397" i="5"/>
  <c r="K1396" i="5"/>
  <c r="P1397" i="5" s="1"/>
  <c r="J1396" i="5"/>
  <c r="I1396" i="5"/>
  <c r="Z1397" i="5" s="1"/>
  <c r="H1396" i="5"/>
  <c r="G1396" i="5"/>
  <c r="F1396" i="5"/>
  <c r="V1396" i="5"/>
  <c r="T1396" i="5"/>
  <c r="R1396" i="5"/>
  <c r="U1396" i="5"/>
  <c r="S1396" i="5"/>
  <c r="Q1396" i="5"/>
  <c r="E1396" i="5"/>
  <c r="D1396" i="5"/>
  <c r="B1396" i="5"/>
  <c r="A1396" i="5"/>
  <c r="AA1395" i="5"/>
  <c r="Z1395" i="5"/>
  <c r="X1395" i="5"/>
  <c r="I1394" i="5"/>
  <c r="H1394" i="5"/>
  <c r="G1394" i="5"/>
  <c r="E1394" i="5"/>
  <c r="K1393" i="5"/>
  <c r="J1393" i="5"/>
  <c r="I1393" i="5"/>
  <c r="E1393" i="5"/>
  <c r="K1392" i="5"/>
  <c r="J1392" i="5"/>
  <c r="I1392" i="5"/>
  <c r="E1392" i="5"/>
  <c r="J1391" i="5"/>
  <c r="E1391" i="5"/>
  <c r="K1390" i="5"/>
  <c r="J1395" i="5" s="1"/>
  <c r="J1390" i="5"/>
  <c r="I1390" i="5"/>
  <c r="H1390" i="5"/>
  <c r="G1390" i="5"/>
  <c r="F1390" i="5"/>
  <c r="K1389" i="5"/>
  <c r="J1389" i="5"/>
  <c r="W1389" i="5"/>
  <c r="I1389" i="5"/>
  <c r="H1389" i="5"/>
  <c r="G1389" i="5"/>
  <c r="F1389" i="5"/>
  <c r="K1388" i="5"/>
  <c r="J1388" i="5"/>
  <c r="I1388" i="5"/>
  <c r="Y1395" i="5" s="1"/>
  <c r="H1388" i="5"/>
  <c r="G1388" i="5"/>
  <c r="F1388" i="5"/>
  <c r="K1387" i="5"/>
  <c r="J1387" i="5"/>
  <c r="I1387" i="5"/>
  <c r="H1387" i="5"/>
  <c r="G1387" i="5"/>
  <c r="F1387" i="5"/>
  <c r="V1386" i="5"/>
  <c r="T1386" i="5"/>
  <c r="R1386" i="5"/>
  <c r="K1391" i="5" s="1"/>
  <c r="U1386" i="5"/>
  <c r="S1386" i="5"/>
  <c r="Q1386" i="5"/>
  <c r="I1391" i="5" s="1"/>
  <c r="E1386" i="5"/>
  <c r="D1386" i="5"/>
  <c r="B1386" i="5"/>
  <c r="A1386" i="5"/>
  <c r="AA1385" i="5"/>
  <c r="Z1385" i="5"/>
  <c r="X1385" i="5"/>
  <c r="P1385" i="5"/>
  <c r="K1384" i="5"/>
  <c r="J1385" i="5" s="1"/>
  <c r="J1384" i="5"/>
  <c r="I1384" i="5"/>
  <c r="H1384" i="5"/>
  <c r="G1384" i="5"/>
  <c r="F1384" i="5"/>
  <c r="V1384" i="5"/>
  <c r="T1384" i="5"/>
  <c r="R1384" i="5"/>
  <c r="U1384" i="5"/>
  <c r="S1384" i="5"/>
  <c r="Q1384" i="5"/>
  <c r="E1384" i="5"/>
  <c r="D1384" i="5"/>
  <c r="B1384" i="5"/>
  <c r="A1384" i="5"/>
  <c r="AA1383" i="5"/>
  <c r="Z1383" i="5"/>
  <c r="X1383" i="5"/>
  <c r="P1383" i="5"/>
  <c r="I1382" i="5"/>
  <c r="H1382" i="5"/>
  <c r="G1382" i="5"/>
  <c r="E1382" i="5"/>
  <c r="J1381" i="5"/>
  <c r="I1381" i="5"/>
  <c r="E1381" i="5"/>
  <c r="J1380" i="5"/>
  <c r="E1380" i="5"/>
  <c r="K1379" i="5"/>
  <c r="J1379" i="5"/>
  <c r="I1379" i="5"/>
  <c r="H1379" i="5"/>
  <c r="G1379" i="5"/>
  <c r="F1379" i="5"/>
  <c r="K1378" i="5"/>
  <c r="J1383" i="5" s="1"/>
  <c r="J1378" i="5"/>
  <c r="I1378" i="5"/>
  <c r="H1378" i="5"/>
  <c r="G1378" i="5"/>
  <c r="F1378" i="5"/>
  <c r="C1377" i="5"/>
  <c r="V1376" i="5"/>
  <c r="T1376" i="5"/>
  <c r="K1381" i="5" s="1"/>
  <c r="R1376" i="5"/>
  <c r="K1380" i="5" s="1"/>
  <c r="U1376" i="5"/>
  <c r="S1376" i="5"/>
  <c r="Q1376" i="5"/>
  <c r="I1380" i="5" s="1"/>
  <c r="E1376" i="5"/>
  <c r="D1376" i="5"/>
  <c r="B1376" i="5"/>
  <c r="A1376" i="5"/>
  <c r="AA1375" i="5"/>
  <c r="Z1375" i="5"/>
  <c r="Y1375" i="5"/>
  <c r="J1375" i="5"/>
  <c r="I1374" i="5"/>
  <c r="H1374" i="5"/>
  <c r="G1374" i="5"/>
  <c r="E1374" i="5"/>
  <c r="J1373" i="5"/>
  <c r="I1373" i="5"/>
  <c r="E1373" i="5"/>
  <c r="J1372" i="5"/>
  <c r="E1372" i="5"/>
  <c r="J1371" i="5"/>
  <c r="E1371" i="5"/>
  <c r="K1370" i="5"/>
  <c r="J1370" i="5"/>
  <c r="H1370" i="5"/>
  <c r="AA1370" i="5"/>
  <c r="Z1370" i="5"/>
  <c r="Y1370" i="5"/>
  <c r="X1370" i="5"/>
  <c r="I1370" i="5"/>
  <c r="F1370" i="5"/>
  <c r="V1370" i="5"/>
  <c r="T1370" i="5"/>
  <c r="R1370" i="5"/>
  <c r="U1370" i="5"/>
  <c r="S1370" i="5"/>
  <c r="Q1370" i="5"/>
  <c r="E1370" i="5"/>
  <c r="D1370" i="5"/>
  <c r="B1370" i="5"/>
  <c r="A1370" i="5"/>
  <c r="K1369" i="5"/>
  <c r="J1369" i="5"/>
  <c r="I1369" i="5"/>
  <c r="H1369" i="5"/>
  <c r="G1369" i="5"/>
  <c r="F1369" i="5"/>
  <c r="K1368" i="5"/>
  <c r="J1368" i="5"/>
  <c r="W1368" i="5"/>
  <c r="I1368" i="5"/>
  <c r="H1368" i="5"/>
  <c r="G1368" i="5"/>
  <c r="F1368" i="5"/>
  <c r="K1367" i="5"/>
  <c r="J1367" i="5"/>
  <c r="I1367" i="5"/>
  <c r="H1367" i="5"/>
  <c r="G1367" i="5"/>
  <c r="F1367" i="5"/>
  <c r="K1366" i="5"/>
  <c r="J1366" i="5"/>
  <c r="I1366" i="5"/>
  <c r="H1366" i="5"/>
  <c r="G1366" i="5"/>
  <c r="F1366" i="5"/>
  <c r="C1365" i="5"/>
  <c r="V1364" i="5"/>
  <c r="K1373" i="5" s="1"/>
  <c r="T1364" i="5"/>
  <c r="K1372" i="5" s="1"/>
  <c r="R1364" i="5"/>
  <c r="K1371" i="5" s="1"/>
  <c r="U1364" i="5"/>
  <c r="S1364" i="5"/>
  <c r="I1372" i="5" s="1"/>
  <c r="Q1364" i="5"/>
  <c r="I1371" i="5" s="1"/>
  <c r="E1364" i="5"/>
  <c r="D1364" i="5"/>
  <c r="B1364" i="5"/>
  <c r="A1364" i="5"/>
  <c r="AA1363" i="5"/>
  <c r="Z1363" i="5"/>
  <c r="Y1363" i="5"/>
  <c r="I1362" i="5"/>
  <c r="H1362" i="5"/>
  <c r="G1362" i="5"/>
  <c r="E1362" i="5"/>
  <c r="J1361" i="5"/>
  <c r="I1361" i="5"/>
  <c r="E1361" i="5"/>
  <c r="J1360" i="5"/>
  <c r="E1360" i="5"/>
  <c r="J1359" i="5"/>
  <c r="E1359" i="5"/>
  <c r="K1358" i="5"/>
  <c r="J1358" i="5"/>
  <c r="H1358" i="5"/>
  <c r="AA1358" i="5"/>
  <c r="Z1358" i="5"/>
  <c r="Y1358" i="5"/>
  <c r="I1358" i="5"/>
  <c r="X1358" i="5" s="1"/>
  <c r="F1358" i="5"/>
  <c r="V1358" i="5"/>
  <c r="T1358" i="5"/>
  <c r="R1358" i="5"/>
  <c r="U1358" i="5"/>
  <c r="S1358" i="5"/>
  <c r="Q1358" i="5"/>
  <c r="E1358" i="5"/>
  <c r="D1358" i="5"/>
  <c r="B1358" i="5"/>
  <c r="A1358" i="5"/>
  <c r="K1357" i="5"/>
  <c r="J1357" i="5"/>
  <c r="H1357" i="5"/>
  <c r="AA1357" i="5"/>
  <c r="Z1357" i="5"/>
  <c r="Y1357" i="5"/>
  <c r="I1357" i="5"/>
  <c r="X1357" i="5" s="1"/>
  <c r="F1357" i="5"/>
  <c r="V1357" i="5"/>
  <c r="T1357" i="5"/>
  <c r="R1357" i="5"/>
  <c r="U1357" i="5"/>
  <c r="S1357" i="5"/>
  <c r="Q1357" i="5"/>
  <c r="E1357" i="5"/>
  <c r="D1357" i="5"/>
  <c r="B1357" i="5"/>
  <c r="A1357" i="5"/>
  <c r="K1356" i="5"/>
  <c r="J1356" i="5"/>
  <c r="I1356" i="5"/>
  <c r="W1356" i="5" s="1"/>
  <c r="H1356" i="5"/>
  <c r="G1356" i="5"/>
  <c r="F1356" i="5"/>
  <c r="K1355" i="5"/>
  <c r="J1355" i="5"/>
  <c r="I1355" i="5"/>
  <c r="H1355" i="5"/>
  <c r="G1355" i="5"/>
  <c r="F1355" i="5"/>
  <c r="K1354" i="5"/>
  <c r="J1354" i="5"/>
  <c r="I1354" i="5"/>
  <c r="H1354" i="5"/>
  <c r="G1354" i="5"/>
  <c r="F1354" i="5"/>
  <c r="V1353" i="5"/>
  <c r="K1361" i="5" s="1"/>
  <c r="T1353" i="5"/>
  <c r="K1360" i="5" s="1"/>
  <c r="R1353" i="5"/>
  <c r="U1353" i="5"/>
  <c r="S1353" i="5"/>
  <c r="I1360" i="5" s="1"/>
  <c r="Q1353" i="5"/>
  <c r="I1359" i="5" s="1"/>
  <c r="X1363" i="5" s="1"/>
  <c r="E1353" i="5"/>
  <c r="D1353" i="5"/>
  <c r="B1353" i="5"/>
  <c r="A1353" i="5"/>
  <c r="AA1352" i="5"/>
  <c r="Z1352" i="5"/>
  <c r="Y1352" i="5"/>
  <c r="I1351" i="5"/>
  <c r="H1351" i="5"/>
  <c r="G1351" i="5"/>
  <c r="E1351" i="5"/>
  <c r="J1350" i="5"/>
  <c r="I1350" i="5"/>
  <c r="E1350" i="5"/>
  <c r="J1349" i="5"/>
  <c r="I1349" i="5"/>
  <c r="E1349" i="5"/>
  <c r="J1348" i="5"/>
  <c r="E1348" i="5"/>
  <c r="K1347" i="5"/>
  <c r="J1347" i="5"/>
  <c r="H1347" i="5"/>
  <c r="AA1347" i="5"/>
  <c r="Z1347" i="5"/>
  <c r="Y1347" i="5"/>
  <c r="I1347" i="5"/>
  <c r="X1347" i="5" s="1"/>
  <c r="F1347" i="5"/>
  <c r="V1347" i="5"/>
  <c r="T1347" i="5"/>
  <c r="R1347" i="5"/>
  <c r="U1347" i="5"/>
  <c r="S1347" i="5"/>
  <c r="Q1347" i="5"/>
  <c r="I1348" i="5" s="1"/>
  <c r="X1352" i="5" s="1"/>
  <c r="E1347" i="5"/>
  <c r="D1347" i="5"/>
  <c r="B1347" i="5"/>
  <c r="A1347" i="5"/>
  <c r="K1346" i="5"/>
  <c r="J1346" i="5"/>
  <c r="I1346" i="5"/>
  <c r="H1346" i="5"/>
  <c r="G1346" i="5"/>
  <c r="F1346" i="5"/>
  <c r="K1345" i="5"/>
  <c r="J1345" i="5"/>
  <c r="W1345" i="5"/>
  <c r="I1345" i="5"/>
  <c r="H1345" i="5"/>
  <c r="G1345" i="5"/>
  <c r="F1345" i="5"/>
  <c r="K1344" i="5"/>
  <c r="J1344" i="5"/>
  <c r="I1344" i="5"/>
  <c r="H1344" i="5"/>
  <c r="G1344" i="5"/>
  <c r="F1344" i="5"/>
  <c r="K1343" i="5"/>
  <c r="J1343" i="5"/>
  <c r="I1343" i="5"/>
  <c r="H1343" i="5"/>
  <c r="G1343" i="5"/>
  <c r="F1343" i="5"/>
  <c r="V1342" i="5"/>
  <c r="K1350" i="5" s="1"/>
  <c r="T1342" i="5"/>
  <c r="R1342" i="5"/>
  <c r="U1342" i="5"/>
  <c r="S1342" i="5"/>
  <c r="Q1342" i="5"/>
  <c r="E1342" i="5"/>
  <c r="D1342" i="5"/>
  <c r="B1342" i="5"/>
  <c r="A1342" i="5"/>
  <c r="AA1341" i="5"/>
  <c r="Z1341" i="5"/>
  <c r="Y1341" i="5"/>
  <c r="I1340" i="5"/>
  <c r="H1340" i="5"/>
  <c r="G1340" i="5"/>
  <c r="E1340" i="5"/>
  <c r="K1339" i="5"/>
  <c r="J1339" i="5"/>
  <c r="E1339" i="5"/>
  <c r="K1338" i="5"/>
  <c r="J1338" i="5"/>
  <c r="I1338" i="5"/>
  <c r="E1338" i="5"/>
  <c r="J1337" i="5"/>
  <c r="E1337" i="5"/>
  <c r="K1336" i="5"/>
  <c r="J1336" i="5"/>
  <c r="I1336" i="5"/>
  <c r="W1336" i="5" s="1"/>
  <c r="H1336" i="5"/>
  <c r="G1336" i="5"/>
  <c r="F1336" i="5"/>
  <c r="K1335" i="5"/>
  <c r="J1335" i="5"/>
  <c r="I1335" i="5"/>
  <c r="H1335" i="5"/>
  <c r="G1335" i="5"/>
  <c r="F1335" i="5"/>
  <c r="K1334" i="5"/>
  <c r="J1334" i="5"/>
  <c r="W1334" i="5"/>
  <c r="I1334" i="5"/>
  <c r="H1334" i="5"/>
  <c r="G1334" i="5"/>
  <c r="F1334" i="5"/>
  <c r="C1333" i="5"/>
  <c r="V1332" i="5"/>
  <c r="T1332" i="5"/>
  <c r="R1332" i="5"/>
  <c r="K1337" i="5" s="1"/>
  <c r="U1332" i="5"/>
  <c r="I1339" i="5" s="1"/>
  <c r="S1332" i="5"/>
  <c r="Q1332" i="5"/>
  <c r="I1337" i="5" s="1"/>
  <c r="O1341" i="5" s="1"/>
  <c r="E1332" i="5"/>
  <c r="D1332" i="5"/>
  <c r="B1332" i="5"/>
  <c r="A1332" i="5"/>
  <c r="AA1331" i="5"/>
  <c r="Z1331" i="5"/>
  <c r="Y1331" i="5"/>
  <c r="H1331" i="5"/>
  <c r="I1330" i="5"/>
  <c r="H1330" i="5"/>
  <c r="G1330" i="5"/>
  <c r="E1330" i="5"/>
  <c r="J1329" i="5"/>
  <c r="E1329" i="5"/>
  <c r="K1328" i="5"/>
  <c r="J1328" i="5"/>
  <c r="E1328" i="5"/>
  <c r="K1327" i="5"/>
  <c r="J1327" i="5"/>
  <c r="I1327" i="5"/>
  <c r="W1327" i="5" s="1"/>
  <c r="H1327" i="5"/>
  <c r="G1327" i="5"/>
  <c r="F1327" i="5"/>
  <c r="C1326" i="5"/>
  <c r="V1325" i="5"/>
  <c r="T1325" i="5"/>
  <c r="K1329" i="5" s="1"/>
  <c r="R1325" i="5"/>
  <c r="U1325" i="5"/>
  <c r="S1325" i="5"/>
  <c r="I1329" i="5" s="1"/>
  <c r="Q1325" i="5"/>
  <c r="I1328" i="5" s="1"/>
  <c r="O1331" i="5" s="1"/>
  <c r="E1325" i="5"/>
  <c r="D1325" i="5"/>
  <c r="B1325" i="5"/>
  <c r="A1325" i="5"/>
  <c r="AA1324" i="5"/>
  <c r="Z1324" i="5"/>
  <c r="Y1324" i="5"/>
  <c r="J1323" i="5"/>
  <c r="I1323" i="5"/>
  <c r="X1324" i="5" s="1"/>
  <c r="E1323" i="5"/>
  <c r="K1322" i="5"/>
  <c r="J1322" i="5"/>
  <c r="I1322" i="5"/>
  <c r="W1322" i="5" s="1"/>
  <c r="H1322" i="5"/>
  <c r="G1322" i="5"/>
  <c r="F1322" i="5"/>
  <c r="K1321" i="5"/>
  <c r="J1324" i="5" s="1"/>
  <c r="J1321" i="5"/>
  <c r="I1321" i="5"/>
  <c r="H1321" i="5"/>
  <c r="G1321" i="5"/>
  <c r="F1321" i="5"/>
  <c r="C1320" i="5"/>
  <c r="V1319" i="5"/>
  <c r="K1323" i="5" s="1"/>
  <c r="T1319" i="5"/>
  <c r="R1319" i="5"/>
  <c r="U1319" i="5"/>
  <c r="S1319" i="5"/>
  <c r="Q1319" i="5"/>
  <c r="E1319" i="5"/>
  <c r="D1319" i="5"/>
  <c r="B1319" i="5"/>
  <c r="A1319" i="5"/>
  <c r="AA1318" i="5"/>
  <c r="Z1318" i="5"/>
  <c r="Y1318" i="5"/>
  <c r="X1318" i="5"/>
  <c r="P1318" i="5"/>
  <c r="J1318" i="5"/>
  <c r="K1317" i="5"/>
  <c r="J1317" i="5"/>
  <c r="I1317" i="5"/>
  <c r="H1317" i="5"/>
  <c r="G1317" i="5"/>
  <c r="F1317" i="5"/>
  <c r="V1317" i="5"/>
  <c r="T1317" i="5"/>
  <c r="R1317" i="5"/>
  <c r="U1317" i="5"/>
  <c r="S1317" i="5"/>
  <c r="Q1317" i="5"/>
  <c r="E1317" i="5"/>
  <c r="D1317" i="5"/>
  <c r="B1317" i="5"/>
  <c r="A1317" i="5"/>
  <c r="AA1316" i="5"/>
  <c r="Z1316" i="5"/>
  <c r="X1316" i="5"/>
  <c r="I1315" i="5"/>
  <c r="H1315" i="5"/>
  <c r="G1315" i="5"/>
  <c r="E1315" i="5"/>
  <c r="J1314" i="5"/>
  <c r="I1314" i="5"/>
  <c r="E1314" i="5"/>
  <c r="J1313" i="5"/>
  <c r="E1313" i="5"/>
  <c r="J1312" i="5"/>
  <c r="I1312" i="5"/>
  <c r="E1312" i="5"/>
  <c r="K1311" i="5"/>
  <c r="J1311" i="5"/>
  <c r="I1311" i="5"/>
  <c r="H1311" i="5"/>
  <c r="G1311" i="5"/>
  <c r="F1311" i="5"/>
  <c r="K1310" i="5"/>
  <c r="J1310" i="5"/>
  <c r="I1310" i="5"/>
  <c r="W1310" i="5" s="1"/>
  <c r="H1310" i="5"/>
  <c r="G1310" i="5"/>
  <c r="F1310" i="5"/>
  <c r="K1309" i="5"/>
  <c r="J1309" i="5"/>
  <c r="I1309" i="5"/>
  <c r="H1309" i="5"/>
  <c r="G1309" i="5"/>
  <c r="F1309" i="5"/>
  <c r="K1308" i="5"/>
  <c r="J1316" i="5" s="1"/>
  <c r="J1308" i="5"/>
  <c r="I1308" i="5"/>
  <c r="H1308" i="5"/>
  <c r="G1308" i="5"/>
  <c r="F1308" i="5"/>
  <c r="V1307" i="5"/>
  <c r="K1314" i="5" s="1"/>
  <c r="T1307" i="5"/>
  <c r="K1313" i="5" s="1"/>
  <c r="R1307" i="5"/>
  <c r="K1312" i="5" s="1"/>
  <c r="U1307" i="5"/>
  <c r="S1307" i="5"/>
  <c r="I1313" i="5" s="1"/>
  <c r="Q1307" i="5"/>
  <c r="E1307" i="5"/>
  <c r="D1307" i="5"/>
  <c r="B1307" i="5"/>
  <c r="A1307" i="5"/>
  <c r="AA1306" i="5"/>
  <c r="Z1306" i="5"/>
  <c r="X1306" i="5"/>
  <c r="I1305" i="5"/>
  <c r="H1305" i="5"/>
  <c r="G1305" i="5"/>
  <c r="E1305" i="5"/>
  <c r="J1304" i="5"/>
  <c r="E1304" i="5"/>
  <c r="J1303" i="5"/>
  <c r="I1303" i="5"/>
  <c r="E1303" i="5"/>
  <c r="J1302" i="5"/>
  <c r="E1302" i="5"/>
  <c r="K1301" i="5"/>
  <c r="J1301" i="5"/>
  <c r="H1301" i="5"/>
  <c r="AA1301" i="5"/>
  <c r="Z1301" i="5"/>
  <c r="X1301" i="5"/>
  <c r="I1301" i="5"/>
  <c r="Y1301" i="5" s="1"/>
  <c r="F1301" i="5"/>
  <c r="V1301" i="5"/>
  <c r="T1301" i="5"/>
  <c r="R1301" i="5"/>
  <c r="U1301" i="5"/>
  <c r="S1301" i="5"/>
  <c r="Q1301" i="5"/>
  <c r="E1301" i="5"/>
  <c r="D1301" i="5"/>
  <c r="B1301" i="5"/>
  <c r="A1301" i="5"/>
  <c r="K1300" i="5"/>
  <c r="J1300" i="5"/>
  <c r="H1300" i="5"/>
  <c r="AA1300" i="5"/>
  <c r="Z1300" i="5"/>
  <c r="X1300" i="5"/>
  <c r="I1300" i="5"/>
  <c r="Y1300" i="5" s="1"/>
  <c r="F1300" i="5"/>
  <c r="V1300" i="5"/>
  <c r="T1300" i="5"/>
  <c r="R1300" i="5"/>
  <c r="U1300" i="5"/>
  <c r="I1304" i="5" s="1"/>
  <c r="S1300" i="5"/>
  <c r="Q1300" i="5"/>
  <c r="E1300" i="5"/>
  <c r="D1300" i="5"/>
  <c r="B1300" i="5"/>
  <c r="A1300" i="5"/>
  <c r="K1299" i="5"/>
  <c r="J1299" i="5"/>
  <c r="I1299" i="5"/>
  <c r="H1299" i="5"/>
  <c r="G1299" i="5"/>
  <c r="F1299" i="5"/>
  <c r="K1298" i="5"/>
  <c r="J1298" i="5"/>
  <c r="I1298" i="5"/>
  <c r="W1298" i="5" s="1"/>
  <c r="H1298" i="5"/>
  <c r="G1298" i="5"/>
  <c r="F1298" i="5"/>
  <c r="K1297" i="5"/>
  <c r="J1297" i="5"/>
  <c r="I1297" i="5"/>
  <c r="H1297" i="5"/>
  <c r="G1297" i="5"/>
  <c r="F1297" i="5"/>
  <c r="K1296" i="5"/>
  <c r="J1296" i="5"/>
  <c r="W1296" i="5"/>
  <c r="I1296" i="5"/>
  <c r="H1296" i="5"/>
  <c r="G1296" i="5"/>
  <c r="F1296" i="5"/>
  <c r="C1295" i="5"/>
  <c r="V1294" i="5"/>
  <c r="K1304" i="5" s="1"/>
  <c r="T1294" i="5"/>
  <c r="R1294" i="5"/>
  <c r="K1302" i="5" s="1"/>
  <c r="U1294" i="5"/>
  <c r="S1294" i="5"/>
  <c r="Q1294" i="5"/>
  <c r="I1302" i="5" s="1"/>
  <c r="Y1306" i="5" s="1"/>
  <c r="E1294" i="5"/>
  <c r="D1294" i="5"/>
  <c r="B1294" i="5"/>
  <c r="A1294" i="5"/>
  <c r="AA1293" i="5"/>
  <c r="Z1293" i="5"/>
  <c r="Y1293" i="5"/>
  <c r="O1293" i="5"/>
  <c r="I1292" i="5"/>
  <c r="H1292" i="5"/>
  <c r="G1292" i="5"/>
  <c r="E1292" i="5"/>
  <c r="K1291" i="5"/>
  <c r="J1291" i="5"/>
  <c r="E1291" i="5"/>
  <c r="J1290" i="5"/>
  <c r="E1290" i="5"/>
  <c r="K1289" i="5"/>
  <c r="J1289" i="5"/>
  <c r="H1289" i="5"/>
  <c r="AA1289" i="5"/>
  <c r="Z1289" i="5"/>
  <c r="Y1289" i="5"/>
  <c r="I1289" i="5"/>
  <c r="X1289" i="5" s="1"/>
  <c r="F1289" i="5"/>
  <c r="V1289" i="5"/>
  <c r="T1289" i="5"/>
  <c r="R1289" i="5"/>
  <c r="K1290" i="5" s="1"/>
  <c r="U1289" i="5"/>
  <c r="S1289" i="5"/>
  <c r="Q1289" i="5"/>
  <c r="E1289" i="5"/>
  <c r="D1289" i="5"/>
  <c r="B1289" i="5"/>
  <c r="A1289" i="5"/>
  <c r="K1288" i="5"/>
  <c r="J1288" i="5"/>
  <c r="H1288" i="5"/>
  <c r="AA1288" i="5"/>
  <c r="Z1288" i="5"/>
  <c r="Y1288" i="5"/>
  <c r="I1288" i="5"/>
  <c r="X1288" i="5" s="1"/>
  <c r="F1288" i="5"/>
  <c r="V1288" i="5"/>
  <c r="T1288" i="5"/>
  <c r="R1288" i="5"/>
  <c r="U1288" i="5"/>
  <c r="S1288" i="5"/>
  <c r="Q1288" i="5"/>
  <c r="E1288" i="5"/>
  <c r="D1288" i="5"/>
  <c r="B1288" i="5"/>
  <c r="A1288" i="5"/>
  <c r="K1287" i="5"/>
  <c r="J1287" i="5"/>
  <c r="I1287" i="5"/>
  <c r="H1287" i="5"/>
  <c r="G1287" i="5"/>
  <c r="F1287" i="5"/>
  <c r="K1286" i="5"/>
  <c r="J1286" i="5"/>
  <c r="I1286" i="5"/>
  <c r="H1286" i="5"/>
  <c r="G1286" i="5"/>
  <c r="F1286" i="5"/>
  <c r="V1285" i="5"/>
  <c r="T1285" i="5"/>
  <c r="R1285" i="5"/>
  <c r="U1285" i="5"/>
  <c r="S1285" i="5"/>
  <c r="I1291" i="5" s="1"/>
  <c r="Q1285" i="5"/>
  <c r="I1290" i="5" s="1"/>
  <c r="E1285" i="5"/>
  <c r="D1285" i="5"/>
  <c r="B1285" i="5"/>
  <c r="A1285" i="5"/>
  <c r="AA1284" i="5"/>
  <c r="Z1284" i="5"/>
  <c r="Y1284" i="5"/>
  <c r="I1283" i="5"/>
  <c r="H1283" i="5"/>
  <c r="G1283" i="5"/>
  <c r="E1283" i="5"/>
  <c r="J1282" i="5"/>
  <c r="E1282" i="5"/>
  <c r="J1281" i="5"/>
  <c r="I1281" i="5"/>
  <c r="E1281" i="5"/>
  <c r="J1280" i="5"/>
  <c r="E1280" i="5"/>
  <c r="K1279" i="5"/>
  <c r="J1279" i="5"/>
  <c r="H1279" i="5"/>
  <c r="AA1279" i="5"/>
  <c r="Z1279" i="5"/>
  <c r="Y1279" i="5"/>
  <c r="I1279" i="5"/>
  <c r="X1279" i="5" s="1"/>
  <c r="F1279" i="5"/>
  <c r="V1279" i="5"/>
  <c r="T1279" i="5"/>
  <c r="R1279" i="5"/>
  <c r="U1279" i="5"/>
  <c r="S1279" i="5"/>
  <c r="Q1279" i="5"/>
  <c r="I1280" i="5" s="1"/>
  <c r="E1279" i="5"/>
  <c r="D1279" i="5"/>
  <c r="B1279" i="5"/>
  <c r="A1279" i="5"/>
  <c r="K1278" i="5"/>
  <c r="J1278" i="5"/>
  <c r="I1278" i="5"/>
  <c r="W1278" i="5" s="1"/>
  <c r="H1278" i="5"/>
  <c r="G1278" i="5"/>
  <c r="F1278" i="5"/>
  <c r="K1277" i="5"/>
  <c r="J1277" i="5"/>
  <c r="I1277" i="5"/>
  <c r="H1277" i="5"/>
  <c r="G1277" i="5"/>
  <c r="F1277" i="5"/>
  <c r="K1276" i="5"/>
  <c r="J1276" i="5"/>
  <c r="I1276" i="5"/>
  <c r="H1276" i="5"/>
  <c r="G1276" i="5"/>
  <c r="F1276" i="5"/>
  <c r="C1275" i="5"/>
  <c r="V1274" i="5"/>
  <c r="K1282" i="5" s="1"/>
  <c r="T1274" i="5"/>
  <c r="R1274" i="5"/>
  <c r="U1274" i="5"/>
  <c r="I1282" i="5" s="1"/>
  <c r="S1274" i="5"/>
  <c r="Q1274" i="5"/>
  <c r="E1274" i="5"/>
  <c r="D1274" i="5"/>
  <c r="B1274" i="5"/>
  <c r="A1274" i="5"/>
  <c r="AA1273" i="5"/>
  <c r="Z1273" i="5"/>
  <c r="Y1273" i="5"/>
  <c r="I1272" i="5"/>
  <c r="H1272" i="5"/>
  <c r="G1272" i="5"/>
  <c r="E1272" i="5"/>
  <c r="K1271" i="5"/>
  <c r="J1271" i="5"/>
  <c r="E1271" i="5"/>
  <c r="K1270" i="5"/>
  <c r="J1270" i="5"/>
  <c r="E1270" i="5"/>
  <c r="K1269" i="5"/>
  <c r="J1269" i="5"/>
  <c r="I1269" i="5"/>
  <c r="W1269" i="5" s="1"/>
  <c r="H1269" i="5"/>
  <c r="G1269" i="5"/>
  <c r="F1269" i="5"/>
  <c r="C1268" i="5"/>
  <c r="V1267" i="5"/>
  <c r="T1267" i="5"/>
  <c r="R1267" i="5"/>
  <c r="U1267" i="5"/>
  <c r="S1267" i="5"/>
  <c r="I1271" i="5" s="1"/>
  <c r="H1273" i="5" s="1"/>
  <c r="Q1267" i="5"/>
  <c r="I1270" i="5" s="1"/>
  <c r="O1273" i="5" s="1"/>
  <c r="E1267" i="5"/>
  <c r="D1267" i="5"/>
  <c r="B1267" i="5"/>
  <c r="A1267" i="5"/>
  <c r="AA1266" i="5"/>
  <c r="Z1266" i="5"/>
  <c r="Y1266" i="5"/>
  <c r="I1265" i="5"/>
  <c r="H1265" i="5"/>
  <c r="G1265" i="5"/>
  <c r="E1265" i="5"/>
  <c r="J1264" i="5"/>
  <c r="I1264" i="5"/>
  <c r="E1264" i="5"/>
  <c r="J1263" i="5"/>
  <c r="I1263" i="5"/>
  <c r="E1263" i="5"/>
  <c r="J1262" i="5"/>
  <c r="E1262" i="5"/>
  <c r="K1261" i="5"/>
  <c r="J1261" i="5"/>
  <c r="I1261" i="5"/>
  <c r="W1261" i="5" s="1"/>
  <c r="H1261" i="5"/>
  <c r="G1261" i="5"/>
  <c r="F1261" i="5"/>
  <c r="K1260" i="5"/>
  <c r="J1260" i="5"/>
  <c r="I1260" i="5"/>
  <c r="H1260" i="5"/>
  <c r="G1260" i="5"/>
  <c r="F1260" i="5"/>
  <c r="K1259" i="5"/>
  <c r="J1259" i="5"/>
  <c r="W1259" i="5"/>
  <c r="I1259" i="5"/>
  <c r="H1259" i="5"/>
  <c r="G1259" i="5"/>
  <c r="F1259" i="5"/>
  <c r="C1258" i="5"/>
  <c r="V1257" i="5"/>
  <c r="K1264" i="5" s="1"/>
  <c r="T1257" i="5"/>
  <c r="K1263" i="5" s="1"/>
  <c r="R1257" i="5"/>
  <c r="K1262" i="5" s="1"/>
  <c r="U1257" i="5"/>
  <c r="S1257" i="5"/>
  <c r="Q1257" i="5"/>
  <c r="I1262" i="5" s="1"/>
  <c r="E1257" i="5"/>
  <c r="D1257" i="5"/>
  <c r="B1257" i="5"/>
  <c r="A1257" i="5"/>
  <c r="A1256" i="5"/>
  <c r="H1254" i="5"/>
  <c r="J1254" i="5"/>
  <c r="H1253" i="5"/>
  <c r="J1253" i="5"/>
  <c r="A1252" i="5"/>
  <c r="H1250" i="5"/>
  <c r="J1250" i="5"/>
  <c r="H1249" i="5"/>
  <c r="J1249" i="5"/>
  <c r="A1248" i="5"/>
  <c r="AA1246" i="5"/>
  <c r="Z1246" i="5"/>
  <c r="Y1246" i="5"/>
  <c r="X1246" i="5"/>
  <c r="O1246" i="5"/>
  <c r="H1246" i="5"/>
  <c r="K1245" i="5"/>
  <c r="J1245" i="5"/>
  <c r="I1245" i="5"/>
  <c r="H1245" i="5"/>
  <c r="G1245" i="5"/>
  <c r="F1245" i="5"/>
  <c r="V1244" i="5"/>
  <c r="T1244" i="5"/>
  <c r="R1244" i="5"/>
  <c r="U1244" i="5"/>
  <c r="S1244" i="5"/>
  <c r="Q1244" i="5"/>
  <c r="E1244" i="5"/>
  <c r="D1244" i="5"/>
  <c r="B1244" i="5"/>
  <c r="A1244" i="5"/>
  <c r="AA1243" i="5"/>
  <c r="Z1243" i="5"/>
  <c r="Y1243" i="5"/>
  <c r="X1243" i="5"/>
  <c r="O1243" i="5"/>
  <c r="H1243" i="5"/>
  <c r="K1242" i="5"/>
  <c r="J1242" i="5"/>
  <c r="I1242" i="5"/>
  <c r="H1242" i="5"/>
  <c r="G1242" i="5"/>
  <c r="F1242" i="5"/>
  <c r="V1241" i="5"/>
  <c r="T1241" i="5"/>
  <c r="R1241" i="5"/>
  <c r="U1241" i="5"/>
  <c r="S1241" i="5"/>
  <c r="Q1241" i="5"/>
  <c r="E1241" i="5"/>
  <c r="D1241" i="5"/>
  <c r="B1241" i="5"/>
  <c r="A1241" i="5"/>
  <c r="AA1240" i="5"/>
  <c r="Z1240" i="5"/>
  <c r="Y1240" i="5"/>
  <c r="X1240" i="5"/>
  <c r="O1240" i="5"/>
  <c r="H1240" i="5"/>
  <c r="K1239" i="5"/>
  <c r="J1239" i="5"/>
  <c r="I1239" i="5"/>
  <c r="H1239" i="5"/>
  <c r="G1239" i="5"/>
  <c r="F1239" i="5"/>
  <c r="V1239" i="5"/>
  <c r="T1239" i="5"/>
  <c r="R1239" i="5"/>
  <c r="U1239" i="5"/>
  <c r="S1239" i="5"/>
  <c r="Q1239" i="5"/>
  <c r="E1239" i="5"/>
  <c r="D1239" i="5"/>
  <c r="B1239" i="5"/>
  <c r="A1239" i="5"/>
  <c r="AA1238" i="5"/>
  <c r="Z1238" i="5"/>
  <c r="Y1238" i="5"/>
  <c r="X1238" i="5"/>
  <c r="O1238" i="5"/>
  <c r="H1238" i="5"/>
  <c r="K1237" i="5"/>
  <c r="J1237" i="5"/>
  <c r="I1237" i="5"/>
  <c r="H1237" i="5"/>
  <c r="G1237" i="5"/>
  <c r="F1237" i="5"/>
  <c r="V1237" i="5"/>
  <c r="T1237" i="5"/>
  <c r="R1237" i="5"/>
  <c r="U1237" i="5"/>
  <c r="S1237" i="5"/>
  <c r="Q1237" i="5"/>
  <c r="E1237" i="5"/>
  <c r="D1237" i="5"/>
  <c r="B1237" i="5"/>
  <c r="A1237" i="5"/>
  <c r="AA1236" i="5"/>
  <c r="Z1236" i="5"/>
  <c r="Y1236" i="5"/>
  <c r="X1236" i="5"/>
  <c r="O1236" i="5"/>
  <c r="H1236" i="5"/>
  <c r="K1235" i="5"/>
  <c r="J1235" i="5"/>
  <c r="I1235" i="5"/>
  <c r="H1235" i="5"/>
  <c r="G1235" i="5"/>
  <c r="F1235" i="5"/>
  <c r="V1235" i="5"/>
  <c r="T1235" i="5"/>
  <c r="R1235" i="5"/>
  <c r="U1235" i="5"/>
  <c r="S1235" i="5"/>
  <c r="Q1235" i="5"/>
  <c r="E1235" i="5"/>
  <c r="D1235" i="5"/>
  <c r="B1235" i="5"/>
  <c r="A1235" i="5"/>
  <c r="AA1234" i="5"/>
  <c r="Z1234" i="5"/>
  <c r="Y1234" i="5"/>
  <c r="X1234" i="5"/>
  <c r="O1234" i="5"/>
  <c r="H1234" i="5"/>
  <c r="K1233" i="5"/>
  <c r="J1233" i="5"/>
  <c r="I1233" i="5"/>
  <c r="H1233" i="5"/>
  <c r="G1233" i="5"/>
  <c r="F1233" i="5"/>
  <c r="V1233" i="5"/>
  <c r="T1233" i="5"/>
  <c r="R1233" i="5"/>
  <c r="U1233" i="5"/>
  <c r="S1233" i="5"/>
  <c r="Q1233" i="5"/>
  <c r="E1233" i="5"/>
  <c r="D1233" i="5"/>
  <c r="B1233" i="5"/>
  <c r="A1233" i="5"/>
  <c r="AA1232" i="5"/>
  <c r="Z1232" i="5"/>
  <c r="Y1232" i="5"/>
  <c r="X1232" i="5"/>
  <c r="O1232" i="5"/>
  <c r="H1232" i="5"/>
  <c r="K1231" i="5"/>
  <c r="J1231" i="5"/>
  <c r="I1231" i="5"/>
  <c r="H1231" i="5"/>
  <c r="G1231" i="5"/>
  <c r="F1231" i="5"/>
  <c r="V1231" i="5"/>
  <c r="T1231" i="5"/>
  <c r="R1231" i="5"/>
  <c r="U1231" i="5"/>
  <c r="S1231" i="5"/>
  <c r="Q1231" i="5"/>
  <c r="E1231" i="5"/>
  <c r="D1231" i="5"/>
  <c r="B1231" i="5"/>
  <c r="A1231" i="5"/>
  <c r="AA1230" i="5"/>
  <c r="Z1230" i="5"/>
  <c r="Y1230" i="5"/>
  <c r="X1230" i="5"/>
  <c r="O1230" i="5"/>
  <c r="H1230" i="5"/>
  <c r="K1229" i="5"/>
  <c r="J1229" i="5"/>
  <c r="I1229" i="5"/>
  <c r="H1229" i="5"/>
  <c r="G1229" i="5"/>
  <c r="F1229" i="5"/>
  <c r="V1229" i="5"/>
  <c r="T1229" i="5"/>
  <c r="R1229" i="5"/>
  <c r="U1229" i="5"/>
  <c r="S1229" i="5"/>
  <c r="Q1229" i="5"/>
  <c r="E1229" i="5"/>
  <c r="D1229" i="5"/>
  <c r="B1229" i="5"/>
  <c r="A1229" i="5"/>
  <c r="AA1228" i="5"/>
  <c r="Z1228" i="5"/>
  <c r="Y1228" i="5"/>
  <c r="X1228" i="5"/>
  <c r="O1228" i="5"/>
  <c r="H1228" i="5"/>
  <c r="K1227" i="5"/>
  <c r="J1227" i="5"/>
  <c r="I1227" i="5"/>
  <c r="H1227" i="5"/>
  <c r="G1227" i="5"/>
  <c r="F1227" i="5"/>
  <c r="V1227" i="5"/>
  <c r="T1227" i="5"/>
  <c r="R1227" i="5"/>
  <c r="U1227" i="5"/>
  <c r="S1227" i="5"/>
  <c r="Q1227" i="5"/>
  <c r="E1227" i="5"/>
  <c r="D1227" i="5"/>
  <c r="B1227" i="5"/>
  <c r="A1227" i="5"/>
  <c r="AA1226" i="5"/>
  <c r="Z1226" i="5"/>
  <c r="Y1226" i="5"/>
  <c r="X1226" i="5"/>
  <c r="O1226" i="5"/>
  <c r="H1226" i="5"/>
  <c r="K1225" i="5"/>
  <c r="J1225" i="5"/>
  <c r="I1225" i="5"/>
  <c r="H1225" i="5"/>
  <c r="G1225" i="5"/>
  <c r="F1225" i="5"/>
  <c r="V1225" i="5"/>
  <c r="T1225" i="5"/>
  <c r="R1225" i="5"/>
  <c r="U1225" i="5"/>
  <c r="S1225" i="5"/>
  <c r="Q1225" i="5"/>
  <c r="E1225" i="5"/>
  <c r="D1225" i="5"/>
  <c r="B1225" i="5"/>
  <c r="A1225" i="5"/>
  <c r="AA1224" i="5"/>
  <c r="Z1224" i="5"/>
  <c r="Y1224" i="5"/>
  <c r="X1224" i="5"/>
  <c r="O1224" i="5"/>
  <c r="H1248" i="5" s="1"/>
  <c r="H1224" i="5"/>
  <c r="K1223" i="5"/>
  <c r="J1223" i="5"/>
  <c r="I1223" i="5"/>
  <c r="H1223" i="5"/>
  <c r="G1223" i="5"/>
  <c r="F1223" i="5"/>
  <c r="V1223" i="5"/>
  <c r="T1223" i="5"/>
  <c r="R1223" i="5"/>
  <c r="U1223" i="5"/>
  <c r="S1223" i="5"/>
  <c r="Q1223" i="5"/>
  <c r="E1223" i="5"/>
  <c r="D1223" i="5"/>
  <c r="B1223" i="5"/>
  <c r="A1223" i="5"/>
  <c r="A1222" i="5"/>
  <c r="AA1220" i="5"/>
  <c r="Z1220" i="5"/>
  <c r="Y1220" i="5"/>
  <c r="X1220" i="5"/>
  <c r="O1220" i="5"/>
  <c r="J1220" i="5"/>
  <c r="K1219" i="5"/>
  <c r="P1220" i="5" s="1"/>
  <c r="J1219" i="5"/>
  <c r="I1219" i="5"/>
  <c r="H1220" i="5" s="1"/>
  <c r="H1219" i="5"/>
  <c r="G1219" i="5"/>
  <c r="F1219" i="5"/>
  <c r="V1218" i="5"/>
  <c r="T1218" i="5"/>
  <c r="R1218" i="5"/>
  <c r="U1218" i="5"/>
  <c r="S1218" i="5"/>
  <c r="Q1218" i="5"/>
  <c r="E1218" i="5"/>
  <c r="D1218" i="5"/>
  <c r="B1218" i="5"/>
  <c r="A1218" i="5"/>
  <c r="AA1217" i="5"/>
  <c r="Z1217" i="5"/>
  <c r="Y1217" i="5"/>
  <c r="X1217" i="5"/>
  <c r="O1217" i="5"/>
  <c r="K1216" i="5"/>
  <c r="P1217" i="5" s="1"/>
  <c r="J1216" i="5"/>
  <c r="I1216" i="5"/>
  <c r="H1217" i="5" s="1"/>
  <c r="H1216" i="5"/>
  <c r="G1216" i="5"/>
  <c r="F1216" i="5"/>
  <c r="V1215" i="5"/>
  <c r="T1215" i="5"/>
  <c r="R1215" i="5"/>
  <c r="U1215" i="5"/>
  <c r="S1215" i="5"/>
  <c r="Q1215" i="5"/>
  <c r="E1215" i="5"/>
  <c r="D1215" i="5"/>
  <c r="B1215" i="5"/>
  <c r="A1215" i="5"/>
  <c r="AA1214" i="5"/>
  <c r="Z1214" i="5"/>
  <c r="Y1214" i="5"/>
  <c r="I1213" i="5"/>
  <c r="H1213" i="5"/>
  <c r="G1213" i="5"/>
  <c r="E1213" i="5"/>
  <c r="K1212" i="5"/>
  <c r="J1212" i="5"/>
  <c r="E1212" i="5"/>
  <c r="K1211" i="5"/>
  <c r="J1211" i="5"/>
  <c r="I1211" i="5"/>
  <c r="E1211" i="5"/>
  <c r="K1210" i="5"/>
  <c r="P1214" i="5" s="1"/>
  <c r="J1210" i="5"/>
  <c r="I1210" i="5"/>
  <c r="H1210" i="5"/>
  <c r="G1210" i="5"/>
  <c r="F1210" i="5"/>
  <c r="C1209" i="5"/>
  <c r="V1208" i="5"/>
  <c r="T1208" i="5"/>
  <c r="R1208" i="5"/>
  <c r="U1208" i="5"/>
  <c r="S1208" i="5"/>
  <c r="I1212" i="5" s="1"/>
  <c r="O1214" i="5" s="1"/>
  <c r="Q1208" i="5"/>
  <c r="E1208" i="5"/>
  <c r="D1208" i="5"/>
  <c r="B1208" i="5"/>
  <c r="A1208" i="5"/>
  <c r="AA1207" i="5"/>
  <c r="Z1207" i="5"/>
  <c r="Y1207" i="5"/>
  <c r="I1206" i="5"/>
  <c r="H1206" i="5"/>
  <c r="G1206" i="5"/>
  <c r="E1206" i="5"/>
  <c r="J1205" i="5"/>
  <c r="I1205" i="5"/>
  <c r="E1205" i="5"/>
  <c r="J1204" i="5"/>
  <c r="E1204" i="5"/>
  <c r="K1203" i="5"/>
  <c r="J1203" i="5"/>
  <c r="H1203" i="5"/>
  <c r="AA1203" i="5"/>
  <c r="Z1203" i="5"/>
  <c r="Y1203" i="5"/>
  <c r="X1203" i="5"/>
  <c r="I1203" i="5"/>
  <c r="F1203" i="5"/>
  <c r="V1203" i="5"/>
  <c r="T1203" i="5"/>
  <c r="R1203" i="5"/>
  <c r="U1203" i="5"/>
  <c r="S1203" i="5"/>
  <c r="Q1203" i="5"/>
  <c r="I1204" i="5" s="1"/>
  <c r="H1207" i="5" s="1"/>
  <c r="E1203" i="5"/>
  <c r="D1203" i="5"/>
  <c r="B1203" i="5"/>
  <c r="A1203" i="5"/>
  <c r="K1202" i="5"/>
  <c r="J1202" i="5"/>
  <c r="H1202" i="5"/>
  <c r="AA1202" i="5"/>
  <c r="Z1202" i="5"/>
  <c r="Y1202" i="5"/>
  <c r="I1202" i="5"/>
  <c r="X1202" i="5" s="1"/>
  <c r="F1202" i="5"/>
  <c r="V1202" i="5"/>
  <c r="T1202" i="5"/>
  <c r="R1202" i="5"/>
  <c r="U1202" i="5"/>
  <c r="S1202" i="5"/>
  <c r="Q1202" i="5"/>
  <c r="E1202" i="5"/>
  <c r="D1202" i="5"/>
  <c r="B1202" i="5"/>
  <c r="A1202" i="5"/>
  <c r="K1201" i="5"/>
  <c r="J1201" i="5"/>
  <c r="I1201" i="5"/>
  <c r="H1201" i="5"/>
  <c r="G1201" i="5"/>
  <c r="F1201" i="5"/>
  <c r="C1200" i="5"/>
  <c r="V1199" i="5"/>
  <c r="T1199" i="5"/>
  <c r="R1199" i="5"/>
  <c r="K1204" i="5" s="1"/>
  <c r="U1199" i="5"/>
  <c r="S1199" i="5"/>
  <c r="Q1199" i="5"/>
  <c r="E1199" i="5"/>
  <c r="D1199" i="5"/>
  <c r="B1199" i="5"/>
  <c r="A1199" i="5"/>
  <c r="AA1198" i="5"/>
  <c r="Z1198" i="5"/>
  <c r="Y1198" i="5"/>
  <c r="I1197" i="5"/>
  <c r="H1197" i="5"/>
  <c r="G1197" i="5"/>
  <c r="E1197" i="5"/>
  <c r="K1196" i="5"/>
  <c r="J1196" i="5"/>
  <c r="E1196" i="5"/>
  <c r="J1195" i="5"/>
  <c r="I1195" i="5"/>
  <c r="E1195" i="5"/>
  <c r="J1194" i="5"/>
  <c r="I1194" i="5"/>
  <c r="E1194" i="5"/>
  <c r="K1193" i="5"/>
  <c r="J1193" i="5"/>
  <c r="I1193" i="5"/>
  <c r="H1193" i="5"/>
  <c r="G1193" i="5"/>
  <c r="F1193" i="5"/>
  <c r="K1192" i="5"/>
  <c r="J1192" i="5"/>
  <c r="I1192" i="5"/>
  <c r="W1192" i="5" s="1"/>
  <c r="H1192" i="5"/>
  <c r="G1192" i="5"/>
  <c r="F1192" i="5"/>
  <c r="K1191" i="5"/>
  <c r="P1198" i="5" s="1"/>
  <c r="J1191" i="5"/>
  <c r="I1191" i="5"/>
  <c r="H1191" i="5"/>
  <c r="G1191" i="5"/>
  <c r="F1191" i="5"/>
  <c r="K1190" i="5"/>
  <c r="J1190" i="5"/>
  <c r="I1190" i="5"/>
  <c r="H1190" i="5"/>
  <c r="G1190" i="5"/>
  <c r="F1190" i="5"/>
  <c r="C1189" i="5"/>
  <c r="V1188" i="5"/>
  <c r="T1188" i="5"/>
  <c r="K1195" i="5" s="1"/>
  <c r="R1188" i="5"/>
  <c r="K1194" i="5" s="1"/>
  <c r="U1188" i="5"/>
  <c r="I1196" i="5" s="1"/>
  <c r="S1188" i="5"/>
  <c r="Q1188" i="5"/>
  <c r="E1188" i="5"/>
  <c r="D1188" i="5"/>
  <c r="B1188" i="5"/>
  <c r="A1188" i="5"/>
  <c r="AA1187" i="5"/>
  <c r="Z1187" i="5"/>
  <c r="Y1187" i="5"/>
  <c r="H1187" i="5"/>
  <c r="I1186" i="5"/>
  <c r="H1186" i="5"/>
  <c r="G1186" i="5"/>
  <c r="E1186" i="5"/>
  <c r="J1185" i="5"/>
  <c r="E1185" i="5"/>
  <c r="J1184" i="5"/>
  <c r="E1184" i="5"/>
  <c r="J1183" i="5"/>
  <c r="E1183" i="5"/>
  <c r="K1182" i="5"/>
  <c r="J1182" i="5"/>
  <c r="I1182" i="5"/>
  <c r="H1182" i="5"/>
  <c r="G1182" i="5"/>
  <c r="F1182" i="5"/>
  <c r="K1181" i="5"/>
  <c r="J1181" i="5"/>
  <c r="I1181" i="5"/>
  <c r="W1181" i="5" s="1"/>
  <c r="H1181" i="5"/>
  <c r="G1181" i="5"/>
  <c r="F1181" i="5"/>
  <c r="K1180" i="5"/>
  <c r="J1180" i="5"/>
  <c r="I1180" i="5"/>
  <c r="X1187" i="5" s="1"/>
  <c r="H1180" i="5"/>
  <c r="G1180" i="5"/>
  <c r="F1180" i="5"/>
  <c r="K1179" i="5"/>
  <c r="J1179" i="5"/>
  <c r="W1179" i="5"/>
  <c r="I1179" i="5"/>
  <c r="H1179" i="5"/>
  <c r="G1179" i="5"/>
  <c r="F1179" i="5"/>
  <c r="C1178" i="5"/>
  <c r="V1177" i="5"/>
  <c r="K1185" i="5" s="1"/>
  <c r="T1177" i="5"/>
  <c r="K1184" i="5" s="1"/>
  <c r="R1177" i="5"/>
  <c r="K1183" i="5" s="1"/>
  <c r="U1177" i="5"/>
  <c r="I1185" i="5" s="1"/>
  <c r="S1177" i="5"/>
  <c r="I1184" i="5" s="1"/>
  <c r="Q1177" i="5"/>
  <c r="I1183" i="5" s="1"/>
  <c r="O1187" i="5" s="1"/>
  <c r="E1177" i="5"/>
  <c r="D1177" i="5"/>
  <c r="B1177" i="5"/>
  <c r="A1177" i="5"/>
  <c r="AA1176" i="5"/>
  <c r="Z1176" i="5"/>
  <c r="Y1176" i="5"/>
  <c r="I1175" i="5"/>
  <c r="H1175" i="5"/>
  <c r="G1175" i="5"/>
  <c r="E1175" i="5"/>
  <c r="K1174" i="5"/>
  <c r="J1174" i="5"/>
  <c r="I1174" i="5"/>
  <c r="E1174" i="5"/>
  <c r="K1173" i="5"/>
  <c r="J1173" i="5"/>
  <c r="E1173" i="5"/>
  <c r="K1172" i="5"/>
  <c r="J1172" i="5"/>
  <c r="H1172" i="5"/>
  <c r="AA1172" i="5"/>
  <c r="Z1172" i="5"/>
  <c r="Y1172" i="5"/>
  <c r="I1172" i="5"/>
  <c r="X1172" i="5" s="1"/>
  <c r="F1172" i="5"/>
  <c r="V1172" i="5"/>
  <c r="T1172" i="5"/>
  <c r="R1172" i="5"/>
  <c r="U1172" i="5"/>
  <c r="S1172" i="5"/>
  <c r="Q1172" i="5"/>
  <c r="E1172" i="5"/>
  <c r="D1172" i="5"/>
  <c r="B1172" i="5"/>
  <c r="A1172" i="5"/>
  <c r="K1171" i="5"/>
  <c r="P1176" i="5" s="1"/>
  <c r="J1171" i="5"/>
  <c r="I1171" i="5"/>
  <c r="H1171" i="5"/>
  <c r="G1171" i="5"/>
  <c r="F1171" i="5"/>
  <c r="K1170" i="5"/>
  <c r="J1170" i="5"/>
  <c r="I1170" i="5"/>
  <c r="H1170" i="5"/>
  <c r="G1170" i="5"/>
  <c r="F1170" i="5"/>
  <c r="C1169" i="5"/>
  <c r="V1168" i="5"/>
  <c r="T1168" i="5"/>
  <c r="R1168" i="5"/>
  <c r="U1168" i="5"/>
  <c r="S1168" i="5"/>
  <c r="Q1168" i="5"/>
  <c r="I1173" i="5" s="1"/>
  <c r="O1176" i="5" s="1"/>
  <c r="E1168" i="5"/>
  <c r="D1168" i="5"/>
  <c r="B1168" i="5"/>
  <c r="A1168" i="5"/>
  <c r="A1167" i="5"/>
  <c r="H1165" i="5"/>
  <c r="J1165" i="5"/>
  <c r="H1164" i="5"/>
  <c r="J1164" i="5"/>
  <c r="AL1163" i="5"/>
  <c r="A1163" i="5"/>
  <c r="Z1161" i="5"/>
  <c r="Y1161" i="5"/>
  <c r="X1161" i="5"/>
  <c r="P1161" i="5"/>
  <c r="J1161" i="5"/>
  <c r="K1160" i="5"/>
  <c r="J1160" i="5"/>
  <c r="I1160" i="5"/>
  <c r="H1161" i="5" s="1"/>
  <c r="H1160" i="5"/>
  <c r="G1160" i="5"/>
  <c r="F1160" i="5"/>
  <c r="V1159" i="5"/>
  <c r="T1159" i="5"/>
  <c r="R1159" i="5"/>
  <c r="U1159" i="5"/>
  <c r="S1159" i="5"/>
  <c r="Q1159" i="5"/>
  <c r="E1159" i="5"/>
  <c r="D1159" i="5"/>
  <c r="B1159" i="5"/>
  <c r="A1159" i="5"/>
  <c r="Z1158" i="5"/>
  <c r="Y1158" i="5"/>
  <c r="X1158" i="5"/>
  <c r="K1157" i="5"/>
  <c r="J1157" i="5"/>
  <c r="I1157" i="5"/>
  <c r="H1158" i="5" s="1"/>
  <c r="H1157" i="5"/>
  <c r="G1157" i="5"/>
  <c r="F1157" i="5"/>
  <c r="V1156" i="5"/>
  <c r="T1156" i="5"/>
  <c r="R1156" i="5"/>
  <c r="U1156" i="5"/>
  <c r="S1156" i="5"/>
  <c r="Q1156" i="5"/>
  <c r="E1156" i="5"/>
  <c r="D1156" i="5"/>
  <c r="B1156" i="5"/>
  <c r="A1156" i="5"/>
  <c r="AA1155" i="5"/>
  <c r="Z1155" i="5"/>
  <c r="Y1155" i="5"/>
  <c r="I1154" i="5"/>
  <c r="H1154" i="5"/>
  <c r="G1154" i="5"/>
  <c r="E1154" i="5"/>
  <c r="K1153" i="5"/>
  <c r="J1153" i="5"/>
  <c r="E1153" i="5"/>
  <c r="K1152" i="5"/>
  <c r="J1152" i="5"/>
  <c r="E1152" i="5"/>
  <c r="J1151" i="5"/>
  <c r="E1151" i="5"/>
  <c r="K1150" i="5"/>
  <c r="J1150" i="5"/>
  <c r="H1150" i="5"/>
  <c r="AA1150" i="5"/>
  <c r="Z1150" i="5"/>
  <c r="Y1150" i="5"/>
  <c r="I1150" i="5"/>
  <c r="X1150" i="5" s="1"/>
  <c r="F1150" i="5"/>
  <c r="V1150" i="5"/>
  <c r="T1150" i="5"/>
  <c r="R1150" i="5"/>
  <c r="U1150" i="5"/>
  <c r="S1150" i="5"/>
  <c r="Q1150" i="5"/>
  <c r="I1151" i="5" s="1"/>
  <c r="E1150" i="5"/>
  <c r="D1150" i="5"/>
  <c r="B1150" i="5"/>
  <c r="A1150" i="5"/>
  <c r="K1149" i="5"/>
  <c r="J1149" i="5"/>
  <c r="I1149" i="5"/>
  <c r="W1149" i="5" s="1"/>
  <c r="H1149" i="5"/>
  <c r="G1149" i="5"/>
  <c r="F1149" i="5"/>
  <c r="K1148" i="5"/>
  <c r="J1148" i="5"/>
  <c r="I1148" i="5"/>
  <c r="H1148" i="5"/>
  <c r="G1148" i="5"/>
  <c r="F1148" i="5"/>
  <c r="K1147" i="5"/>
  <c r="P1155" i="5" s="1"/>
  <c r="J1147" i="5"/>
  <c r="W1147" i="5"/>
  <c r="I1147" i="5"/>
  <c r="H1147" i="5"/>
  <c r="G1147" i="5"/>
  <c r="F1147" i="5"/>
  <c r="C1146" i="5"/>
  <c r="V1145" i="5"/>
  <c r="T1145" i="5"/>
  <c r="R1145" i="5"/>
  <c r="K1151" i="5" s="1"/>
  <c r="U1145" i="5"/>
  <c r="I1153" i="5" s="1"/>
  <c r="S1145" i="5"/>
  <c r="I1152" i="5" s="1"/>
  <c r="O1155" i="5" s="1"/>
  <c r="Q1145" i="5"/>
  <c r="E1145" i="5"/>
  <c r="D1145" i="5"/>
  <c r="B1145" i="5"/>
  <c r="A1145" i="5"/>
  <c r="AA1144" i="5"/>
  <c r="Z1144" i="5"/>
  <c r="Y1144" i="5"/>
  <c r="K1143" i="5"/>
  <c r="J1144" i="5" s="1"/>
  <c r="J1143" i="5"/>
  <c r="I1143" i="5"/>
  <c r="H1143" i="5"/>
  <c r="G1143" i="5"/>
  <c r="F1143" i="5"/>
  <c r="V1143" i="5"/>
  <c r="T1143" i="5"/>
  <c r="R1143" i="5"/>
  <c r="U1143" i="5"/>
  <c r="S1143" i="5"/>
  <c r="Q1143" i="5"/>
  <c r="E1143" i="5"/>
  <c r="D1143" i="5"/>
  <c r="B1143" i="5"/>
  <c r="A1143" i="5"/>
  <c r="AA1142" i="5"/>
  <c r="Z1142" i="5"/>
  <c r="Y1142" i="5"/>
  <c r="I1141" i="5"/>
  <c r="H1141" i="5"/>
  <c r="G1141" i="5"/>
  <c r="E1141" i="5"/>
  <c r="K1140" i="5"/>
  <c r="J1140" i="5"/>
  <c r="E1140" i="5"/>
  <c r="J1139" i="5"/>
  <c r="I1139" i="5"/>
  <c r="E1139" i="5"/>
  <c r="K1138" i="5"/>
  <c r="J1138" i="5"/>
  <c r="I1138" i="5"/>
  <c r="H1138" i="5"/>
  <c r="G1138" i="5"/>
  <c r="F1138" i="5"/>
  <c r="K1137" i="5"/>
  <c r="J1137" i="5"/>
  <c r="W1137" i="5"/>
  <c r="I1137" i="5"/>
  <c r="H1137" i="5"/>
  <c r="G1137" i="5"/>
  <c r="F1137" i="5"/>
  <c r="C1136" i="5"/>
  <c r="V1135" i="5"/>
  <c r="T1135" i="5"/>
  <c r="R1135" i="5"/>
  <c r="K1139" i="5" s="1"/>
  <c r="U1135" i="5"/>
  <c r="S1135" i="5"/>
  <c r="I1140" i="5" s="1"/>
  <c r="Q1135" i="5"/>
  <c r="E1135" i="5"/>
  <c r="D1135" i="5"/>
  <c r="B1135" i="5"/>
  <c r="A1135" i="5"/>
  <c r="AA1134" i="5"/>
  <c r="Z1134" i="5"/>
  <c r="Y1134" i="5"/>
  <c r="I1133" i="5"/>
  <c r="H1133" i="5"/>
  <c r="G1133" i="5"/>
  <c r="E1133" i="5"/>
  <c r="J1132" i="5"/>
  <c r="I1132" i="5"/>
  <c r="E1132" i="5"/>
  <c r="J1131" i="5"/>
  <c r="E1131" i="5"/>
  <c r="K1130" i="5"/>
  <c r="J1130" i="5"/>
  <c r="H1130" i="5"/>
  <c r="AA1130" i="5"/>
  <c r="Z1130" i="5"/>
  <c r="Y1130" i="5"/>
  <c r="X1130" i="5"/>
  <c r="I1130" i="5"/>
  <c r="F1130" i="5"/>
  <c r="V1130" i="5"/>
  <c r="T1130" i="5"/>
  <c r="R1130" i="5"/>
  <c r="U1130" i="5"/>
  <c r="S1130" i="5"/>
  <c r="Q1130" i="5"/>
  <c r="I1131" i="5" s="1"/>
  <c r="E1130" i="5"/>
  <c r="D1130" i="5"/>
  <c r="B1130" i="5"/>
  <c r="A1130" i="5"/>
  <c r="K1129" i="5"/>
  <c r="J1129" i="5"/>
  <c r="I1129" i="5"/>
  <c r="H1129" i="5"/>
  <c r="G1129" i="5"/>
  <c r="F1129" i="5"/>
  <c r="C1128" i="5"/>
  <c r="V1127" i="5"/>
  <c r="T1127" i="5"/>
  <c r="R1127" i="5"/>
  <c r="K1131" i="5" s="1"/>
  <c r="U1127" i="5"/>
  <c r="S1127" i="5"/>
  <c r="Q1127" i="5"/>
  <c r="E1127" i="5"/>
  <c r="D1127" i="5"/>
  <c r="B1127" i="5"/>
  <c r="A1127" i="5"/>
  <c r="AA1126" i="5"/>
  <c r="Z1126" i="5"/>
  <c r="Y1126" i="5"/>
  <c r="I1125" i="5"/>
  <c r="H1125" i="5"/>
  <c r="G1125" i="5"/>
  <c r="E1125" i="5"/>
  <c r="J1124" i="5"/>
  <c r="E1124" i="5"/>
  <c r="J1123" i="5"/>
  <c r="E1123" i="5"/>
  <c r="K1122" i="5"/>
  <c r="J1122" i="5"/>
  <c r="H1122" i="5"/>
  <c r="AA1122" i="5"/>
  <c r="Z1122" i="5"/>
  <c r="Y1122" i="5"/>
  <c r="I1122" i="5"/>
  <c r="X1122" i="5" s="1"/>
  <c r="F1122" i="5"/>
  <c r="V1122" i="5"/>
  <c r="T1122" i="5"/>
  <c r="R1122" i="5"/>
  <c r="U1122" i="5"/>
  <c r="S1122" i="5"/>
  <c r="Q1122" i="5"/>
  <c r="E1122" i="5"/>
  <c r="D1122" i="5"/>
  <c r="B1122" i="5"/>
  <c r="A1122" i="5"/>
  <c r="K1121" i="5"/>
  <c r="J1121" i="5"/>
  <c r="W1121" i="5"/>
  <c r="I1121" i="5"/>
  <c r="H1121" i="5"/>
  <c r="G1121" i="5"/>
  <c r="F1121" i="5"/>
  <c r="C1120" i="5"/>
  <c r="V1119" i="5"/>
  <c r="T1119" i="5"/>
  <c r="K1124" i="5" s="1"/>
  <c r="R1119" i="5"/>
  <c r="K1123" i="5" s="1"/>
  <c r="U1119" i="5"/>
  <c r="S1119" i="5"/>
  <c r="Q1119" i="5"/>
  <c r="I1123" i="5" s="1"/>
  <c r="E1119" i="5"/>
  <c r="D1119" i="5"/>
  <c r="B1119" i="5"/>
  <c r="A1119" i="5"/>
  <c r="AA1118" i="5"/>
  <c r="Z1118" i="5"/>
  <c r="Y1118" i="5"/>
  <c r="I1117" i="5"/>
  <c r="H1117" i="5"/>
  <c r="G1117" i="5"/>
  <c r="E1117" i="5"/>
  <c r="K1116" i="5"/>
  <c r="J1116" i="5"/>
  <c r="E1116" i="5"/>
  <c r="K1115" i="5"/>
  <c r="J1115" i="5"/>
  <c r="E1115" i="5"/>
  <c r="J1114" i="5"/>
  <c r="E1114" i="5"/>
  <c r="K1113" i="5"/>
  <c r="J1113" i="5"/>
  <c r="H1113" i="5"/>
  <c r="AA1113" i="5"/>
  <c r="Z1113" i="5"/>
  <c r="Y1113" i="5"/>
  <c r="I1113" i="5"/>
  <c r="X1113" i="5" s="1"/>
  <c r="F1113" i="5"/>
  <c r="V1113" i="5"/>
  <c r="T1113" i="5"/>
  <c r="R1113" i="5"/>
  <c r="U1113" i="5"/>
  <c r="S1113" i="5"/>
  <c r="Q1113" i="5"/>
  <c r="I1114" i="5" s="1"/>
  <c r="E1113" i="5"/>
  <c r="D1113" i="5"/>
  <c r="B1113" i="5"/>
  <c r="A1113" i="5"/>
  <c r="K1112" i="5"/>
  <c r="J1112" i="5"/>
  <c r="I1112" i="5"/>
  <c r="W1112" i="5" s="1"/>
  <c r="H1112" i="5"/>
  <c r="G1112" i="5"/>
  <c r="F1112" i="5"/>
  <c r="K1111" i="5"/>
  <c r="J1111" i="5"/>
  <c r="I1111" i="5"/>
  <c r="H1111" i="5"/>
  <c r="G1111" i="5"/>
  <c r="F1111" i="5"/>
  <c r="K1110" i="5"/>
  <c r="P1118" i="5" s="1"/>
  <c r="J1110" i="5"/>
  <c r="W1110" i="5"/>
  <c r="I1110" i="5"/>
  <c r="H1110" i="5"/>
  <c r="G1110" i="5"/>
  <c r="F1110" i="5"/>
  <c r="C1109" i="5"/>
  <c r="V1108" i="5"/>
  <c r="T1108" i="5"/>
  <c r="R1108" i="5"/>
  <c r="K1114" i="5" s="1"/>
  <c r="U1108" i="5"/>
  <c r="I1116" i="5" s="1"/>
  <c r="S1108" i="5"/>
  <c r="I1115" i="5" s="1"/>
  <c r="O1118" i="5" s="1"/>
  <c r="Q1108" i="5"/>
  <c r="E1108" i="5"/>
  <c r="D1108" i="5"/>
  <c r="B1108" i="5"/>
  <c r="A1108" i="5"/>
  <c r="AA1107" i="5"/>
  <c r="Z1107" i="5"/>
  <c r="Y1107" i="5"/>
  <c r="I1106" i="5"/>
  <c r="H1106" i="5"/>
  <c r="G1106" i="5"/>
  <c r="E1106" i="5"/>
  <c r="J1105" i="5"/>
  <c r="I1105" i="5"/>
  <c r="E1105" i="5"/>
  <c r="J1104" i="5"/>
  <c r="I1104" i="5"/>
  <c r="O1107" i="5" s="1"/>
  <c r="E1104" i="5"/>
  <c r="K1103" i="5"/>
  <c r="J1103" i="5"/>
  <c r="W1103" i="5"/>
  <c r="I1103" i="5"/>
  <c r="H1103" i="5"/>
  <c r="G1103" i="5"/>
  <c r="F1103" i="5"/>
  <c r="V1102" i="5"/>
  <c r="T1102" i="5"/>
  <c r="K1105" i="5" s="1"/>
  <c r="R1102" i="5"/>
  <c r="K1104" i="5" s="1"/>
  <c r="U1102" i="5"/>
  <c r="S1102" i="5"/>
  <c r="Q1102" i="5"/>
  <c r="E1102" i="5"/>
  <c r="D1102" i="5"/>
  <c r="B1102" i="5"/>
  <c r="A1102" i="5"/>
  <c r="AA1101" i="5"/>
  <c r="Z1101" i="5"/>
  <c r="Y1101" i="5"/>
  <c r="H1101" i="5"/>
  <c r="I1100" i="5"/>
  <c r="H1100" i="5"/>
  <c r="G1100" i="5"/>
  <c r="E1100" i="5"/>
  <c r="J1099" i="5"/>
  <c r="E1099" i="5"/>
  <c r="K1098" i="5"/>
  <c r="J1098" i="5"/>
  <c r="E1098" i="5"/>
  <c r="K1097" i="5"/>
  <c r="J1097" i="5"/>
  <c r="I1097" i="5"/>
  <c r="W1097" i="5" s="1"/>
  <c r="H1097" i="5"/>
  <c r="G1097" i="5"/>
  <c r="F1097" i="5"/>
  <c r="C1096" i="5"/>
  <c r="V1095" i="5"/>
  <c r="T1095" i="5"/>
  <c r="K1099" i="5" s="1"/>
  <c r="R1095" i="5"/>
  <c r="U1095" i="5"/>
  <c r="S1095" i="5"/>
  <c r="I1099" i="5" s="1"/>
  <c r="Q1095" i="5"/>
  <c r="I1098" i="5" s="1"/>
  <c r="O1101" i="5" s="1"/>
  <c r="E1095" i="5"/>
  <c r="D1095" i="5"/>
  <c r="B1095" i="5"/>
  <c r="A1095" i="5"/>
  <c r="A1094" i="5"/>
  <c r="H1092" i="5"/>
  <c r="J1092" i="5"/>
  <c r="H1091" i="5"/>
  <c r="J1091" i="5"/>
  <c r="A1090" i="5"/>
  <c r="H1088" i="5"/>
  <c r="J1088" i="5"/>
  <c r="H1087" i="5"/>
  <c r="J1087" i="5"/>
  <c r="A1086" i="5"/>
  <c r="AA1084" i="5"/>
  <c r="Z1084" i="5"/>
  <c r="Y1084" i="5"/>
  <c r="I1083" i="5"/>
  <c r="H1083" i="5"/>
  <c r="G1083" i="5"/>
  <c r="E1083" i="5"/>
  <c r="J1082" i="5"/>
  <c r="E1082" i="5"/>
  <c r="J1081" i="5"/>
  <c r="E1081" i="5"/>
  <c r="J1080" i="5"/>
  <c r="E1080" i="5"/>
  <c r="K1079" i="5"/>
  <c r="J1079" i="5"/>
  <c r="H1079" i="5"/>
  <c r="AA1079" i="5"/>
  <c r="Z1079" i="5"/>
  <c r="Y1079" i="5"/>
  <c r="X1079" i="5"/>
  <c r="I1079" i="5"/>
  <c r="F1079" i="5"/>
  <c r="V1079" i="5"/>
  <c r="T1079" i="5"/>
  <c r="R1079" i="5"/>
  <c r="U1079" i="5"/>
  <c r="S1079" i="5"/>
  <c r="Q1079" i="5"/>
  <c r="E1079" i="5"/>
  <c r="D1079" i="5"/>
  <c r="B1079" i="5"/>
  <c r="A1079" i="5"/>
  <c r="K1078" i="5"/>
  <c r="J1078" i="5"/>
  <c r="H1078" i="5"/>
  <c r="AA1078" i="5"/>
  <c r="Z1078" i="5"/>
  <c r="Y1078" i="5"/>
  <c r="I1078" i="5"/>
  <c r="X1078" i="5" s="1"/>
  <c r="F1078" i="5"/>
  <c r="V1078" i="5"/>
  <c r="T1078" i="5"/>
  <c r="R1078" i="5"/>
  <c r="U1078" i="5"/>
  <c r="S1078" i="5"/>
  <c r="Q1078" i="5"/>
  <c r="E1078" i="5"/>
  <c r="D1078" i="5"/>
  <c r="B1078" i="5"/>
  <c r="A1078" i="5"/>
  <c r="K1077" i="5"/>
  <c r="J1077" i="5"/>
  <c r="H1077" i="5"/>
  <c r="AA1077" i="5"/>
  <c r="Z1077" i="5"/>
  <c r="Y1077" i="5"/>
  <c r="X1077" i="5"/>
  <c r="I1077" i="5"/>
  <c r="F1077" i="5"/>
  <c r="V1077" i="5"/>
  <c r="T1077" i="5"/>
  <c r="R1077" i="5"/>
  <c r="U1077" i="5"/>
  <c r="S1077" i="5"/>
  <c r="Q1077" i="5"/>
  <c r="E1077" i="5"/>
  <c r="D1077" i="5"/>
  <c r="B1077" i="5"/>
  <c r="A1077" i="5"/>
  <c r="K1076" i="5"/>
  <c r="J1076" i="5"/>
  <c r="H1076" i="5"/>
  <c r="AA1076" i="5"/>
  <c r="Z1076" i="5"/>
  <c r="Y1076" i="5"/>
  <c r="X1076" i="5"/>
  <c r="I1076" i="5"/>
  <c r="F1076" i="5"/>
  <c r="V1076" i="5"/>
  <c r="T1076" i="5"/>
  <c r="R1076" i="5"/>
  <c r="U1076" i="5"/>
  <c r="S1076" i="5"/>
  <c r="Q1076" i="5"/>
  <c r="I1080" i="5" s="1"/>
  <c r="E1076" i="5"/>
  <c r="D1076" i="5"/>
  <c r="B1076" i="5"/>
  <c r="A1076" i="5"/>
  <c r="K1075" i="5"/>
  <c r="J1075" i="5"/>
  <c r="H1075" i="5"/>
  <c r="AA1075" i="5"/>
  <c r="Z1075" i="5"/>
  <c r="Y1075" i="5"/>
  <c r="I1075" i="5"/>
  <c r="X1075" i="5" s="1"/>
  <c r="F1075" i="5"/>
  <c r="V1075" i="5"/>
  <c r="T1075" i="5"/>
  <c r="R1075" i="5"/>
  <c r="U1075" i="5"/>
  <c r="S1075" i="5"/>
  <c r="Q1075" i="5"/>
  <c r="E1075" i="5"/>
  <c r="D1075" i="5"/>
  <c r="B1075" i="5"/>
  <c r="A1075" i="5"/>
  <c r="K1074" i="5"/>
  <c r="J1074" i="5"/>
  <c r="H1074" i="5"/>
  <c r="AA1074" i="5"/>
  <c r="Z1074" i="5"/>
  <c r="Y1074" i="5"/>
  <c r="I1074" i="5"/>
  <c r="X1074" i="5" s="1"/>
  <c r="F1074" i="5"/>
  <c r="V1074" i="5"/>
  <c r="K1082" i="5" s="1"/>
  <c r="T1074" i="5"/>
  <c r="R1074" i="5"/>
  <c r="U1074" i="5"/>
  <c r="S1074" i="5"/>
  <c r="I1081" i="5" s="1"/>
  <c r="Q1074" i="5"/>
  <c r="E1074" i="5"/>
  <c r="D1074" i="5"/>
  <c r="B1074" i="5"/>
  <c r="A1074" i="5"/>
  <c r="K1073" i="5"/>
  <c r="J1073" i="5"/>
  <c r="I1073" i="5"/>
  <c r="H1073" i="5"/>
  <c r="G1073" i="5"/>
  <c r="F1073" i="5"/>
  <c r="K1072" i="5"/>
  <c r="J1072" i="5"/>
  <c r="I1072" i="5"/>
  <c r="W1072" i="5" s="1"/>
  <c r="H1072" i="5"/>
  <c r="G1072" i="5"/>
  <c r="F1072" i="5"/>
  <c r="K1071" i="5"/>
  <c r="J1071" i="5"/>
  <c r="I1071" i="5"/>
  <c r="H1071" i="5"/>
  <c r="G1071" i="5"/>
  <c r="F1071" i="5"/>
  <c r="K1070" i="5"/>
  <c r="J1070" i="5"/>
  <c r="I1070" i="5"/>
  <c r="H1070" i="5"/>
  <c r="G1070" i="5"/>
  <c r="F1070" i="5"/>
  <c r="C1069" i="5"/>
  <c r="V1068" i="5"/>
  <c r="T1068" i="5"/>
  <c r="K1081" i="5" s="1"/>
  <c r="R1068" i="5"/>
  <c r="U1068" i="5"/>
  <c r="I1082" i="5" s="1"/>
  <c r="S1068" i="5"/>
  <c r="Q1068" i="5"/>
  <c r="E1068" i="5"/>
  <c r="D1068" i="5"/>
  <c r="B1068" i="5"/>
  <c r="A1068" i="5"/>
  <c r="A1067" i="5"/>
  <c r="H1065" i="5"/>
  <c r="J1065" i="5"/>
  <c r="H1064" i="5"/>
  <c r="J1064" i="5"/>
  <c r="A1063" i="5"/>
  <c r="AA1061" i="5"/>
  <c r="Z1061" i="5"/>
  <c r="Y1061" i="5"/>
  <c r="X1061" i="5"/>
  <c r="O1061" i="5"/>
  <c r="H1061" i="5"/>
  <c r="J1061" i="5"/>
  <c r="K1060" i="5"/>
  <c r="P1061" i="5" s="1"/>
  <c r="J1060" i="5"/>
  <c r="I1060" i="5"/>
  <c r="H1060" i="5"/>
  <c r="G1060" i="5"/>
  <c r="F1060" i="5"/>
  <c r="V1060" i="5"/>
  <c r="T1060" i="5"/>
  <c r="R1060" i="5"/>
  <c r="U1060" i="5"/>
  <c r="S1060" i="5"/>
  <c r="Q1060" i="5"/>
  <c r="E1060" i="5"/>
  <c r="D1060" i="5"/>
  <c r="B1060" i="5"/>
  <c r="A1060" i="5"/>
  <c r="AA1059" i="5"/>
  <c r="Z1059" i="5"/>
  <c r="Y1059" i="5"/>
  <c r="X1059" i="5"/>
  <c r="O1059" i="5"/>
  <c r="H1059" i="5"/>
  <c r="K1058" i="5"/>
  <c r="J1058" i="5"/>
  <c r="I1058" i="5"/>
  <c r="H1058" i="5"/>
  <c r="G1058" i="5"/>
  <c r="F1058" i="5"/>
  <c r="V1058" i="5"/>
  <c r="T1058" i="5"/>
  <c r="R1058" i="5"/>
  <c r="U1058" i="5"/>
  <c r="S1058" i="5"/>
  <c r="Q1058" i="5"/>
  <c r="E1058" i="5"/>
  <c r="D1058" i="5"/>
  <c r="B1058" i="5"/>
  <c r="A1058" i="5"/>
  <c r="AA1057" i="5"/>
  <c r="Z1057" i="5"/>
  <c r="Y1057" i="5"/>
  <c r="X1057" i="5"/>
  <c r="O1057" i="5"/>
  <c r="H1057" i="5"/>
  <c r="K1056" i="5"/>
  <c r="P1057" i="5" s="1"/>
  <c r="J1056" i="5"/>
  <c r="I1056" i="5"/>
  <c r="H1056" i="5"/>
  <c r="G1056" i="5"/>
  <c r="F1056" i="5"/>
  <c r="V1056" i="5"/>
  <c r="T1056" i="5"/>
  <c r="R1056" i="5"/>
  <c r="U1056" i="5"/>
  <c r="S1056" i="5"/>
  <c r="Q1056" i="5"/>
  <c r="E1056" i="5"/>
  <c r="D1056" i="5"/>
  <c r="B1056" i="5"/>
  <c r="A1056" i="5"/>
  <c r="AA1055" i="5"/>
  <c r="Z1055" i="5"/>
  <c r="Y1055" i="5"/>
  <c r="X1055" i="5"/>
  <c r="O1055" i="5"/>
  <c r="H1055" i="5"/>
  <c r="K1054" i="5"/>
  <c r="P1055" i="5" s="1"/>
  <c r="J1054" i="5"/>
  <c r="I1054" i="5"/>
  <c r="H1054" i="5"/>
  <c r="G1054" i="5"/>
  <c r="F1054" i="5"/>
  <c r="V1054" i="5"/>
  <c r="T1054" i="5"/>
  <c r="R1054" i="5"/>
  <c r="U1054" i="5"/>
  <c r="S1054" i="5"/>
  <c r="Q1054" i="5"/>
  <c r="E1054" i="5"/>
  <c r="D1054" i="5"/>
  <c r="B1054" i="5"/>
  <c r="A1054" i="5"/>
  <c r="AA1053" i="5"/>
  <c r="Z1053" i="5"/>
  <c r="X1053" i="5"/>
  <c r="O1053" i="5"/>
  <c r="H1053" i="5"/>
  <c r="K1052" i="5"/>
  <c r="J1052" i="5"/>
  <c r="I1052" i="5"/>
  <c r="Y1053" i="5" s="1"/>
  <c r="H1052" i="5"/>
  <c r="G1052" i="5"/>
  <c r="F1052" i="5"/>
  <c r="V1052" i="5"/>
  <c r="T1052" i="5"/>
  <c r="R1052" i="5"/>
  <c r="U1052" i="5"/>
  <c r="S1052" i="5"/>
  <c r="Q1052" i="5"/>
  <c r="E1052" i="5"/>
  <c r="D1052" i="5"/>
  <c r="B1052" i="5"/>
  <c r="A1052" i="5"/>
  <c r="AA1051" i="5"/>
  <c r="Z1051" i="5"/>
  <c r="X1051" i="5"/>
  <c r="O1051" i="5"/>
  <c r="H1051" i="5"/>
  <c r="K1050" i="5"/>
  <c r="P1051" i="5" s="1"/>
  <c r="J1050" i="5"/>
  <c r="I1050" i="5"/>
  <c r="Y1051" i="5" s="1"/>
  <c r="H1050" i="5"/>
  <c r="G1050" i="5"/>
  <c r="F1050" i="5"/>
  <c r="V1050" i="5"/>
  <c r="T1050" i="5"/>
  <c r="R1050" i="5"/>
  <c r="U1050" i="5"/>
  <c r="S1050" i="5"/>
  <c r="Q1050" i="5"/>
  <c r="E1050" i="5"/>
  <c r="D1050" i="5"/>
  <c r="B1050" i="5"/>
  <c r="A1050" i="5"/>
  <c r="AA1049" i="5"/>
  <c r="Z1049" i="5"/>
  <c r="Y1049" i="5"/>
  <c r="X1049" i="5"/>
  <c r="O1049" i="5"/>
  <c r="H1049" i="5"/>
  <c r="J1049" i="5"/>
  <c r="K1048" i="5"/>
  <c r="P1049" i="5" s="1"/>
  <c r="J1048" i="5"/>
  <c r="I1048" i="5"/>
  <c r="H1048" i="5"/>
  <c r="G1048" i="5"/>
  <c r="F1048" i="5"/>
  <c r="V1048" i="5"/>
  <c r="T1048" i="5"/>
  <c r="R1048" i="5"/>
  <c r="U1048" i="5"/>
  <c r="S1048" i="5"/>
  <c r="Q1048" i="5"/>
  <c r="E1048" i="5"/>
  <c r="D1048" i="5"/>
  <c r="B1048" i="5"/>
  <c r="A1048" i="5"/>
  <c r="AA1047" i="5"/>
  <c r="Z1047" i="5"/>
  <c r="Y1047" i="5"/>
  <c r="X1047" i="5"/>
  <c r="O1047" i="5"/>
  <c r="H1047" i="5"/>
  <c r="K1046" i="5"/>
  <c r="J1046" i="5"/>
  <c r="I1046" i="5"/>
  <c r="H1046" i="5"/>
  <c r="G1046" i="5"/>
  <c r="F1046" i="5"/>
  <c r="V1046" i="5"/>
  <c r="T1046" i="5"/>
  <c r="R1046" i="5"/>
  <c r="U1046" i="5"/>
  <c r="S1046" i="5"/>
  <c r="Q1046" i="5"/>
  <c r="E1046" i="5"/>
  <c r="D1046" i="5"/>
  <c r="B1046" i="5"/>
  <c r="A1046" i="5"/>
  <c r="AA1045" i="5"/>
  <c r="Z1045" i="5"/>
  <c r="Y1045" i="5"/>
  <c r="X1045" i="5"/>
  <c r="O1045" i="5"/>
  <c r="H1063" i="5" s="1"/>
  <c r="H1045" i="5"/>
  <c r="K1044" i="5"/>
  <c r="P1045" i="5" s="1"/>
  <c r="J1044" i="5"/>
  <c r="I1044" i="5"/>
  <c r="H1044" i="5"/>
  <c r="G1044" i="5"/>
  <c r="F1044" i="5"/>
  <c r="V1044" i="5"/>
  <c r="T1044" i="5"/>
  <c r="R1044" i="5"/>
  <c r="U1044" i="5"/>
  <c r="S1044" i="5"/>
  <c r="Q1044" i="5"/>
  <c r="E1044" i="5"/>
  <c r="D1044" i="5"/>
  <c r="B1044" i="5"/>
  <c r="A1044" i="5"/>
  <c r="AA1043" i="5"/>
  <c r="Z1043" i="5"/>
  <c r="Y1043" i="5"/>
  <c r="X1043" i="5"/>
  <c r="O1043" i="5"/>
  <c r="H1043" i="5"/>
  <c r="K1042" i="5"/>
  <c r="P1043" i="5" s="1"/>
  <c r="J1042" i="5"/>
  <c r="I1042" i="5"/>
  <c r="H1042" i="5"/>
  <c r="G1042" i="5"/>
  <c r="F1042" i="5"/>
  <c r="V1042" i="5"/>
  <c r="T1042" i="5"/>
  <c r="R1042" i="5"/>
  <c r="U1042" i="5"/>
  <c r="S1042" i="5"/>
  <c r="Q1042" i="5"/>
  <c r="E1042" i="5"/>
  <c r="D1042" i="5"/>
  <c r="B1042" i="5"/>
  <c r="A1042" i="5"/>
  <c r="AA1041" i="5"/>
  <c r="Z1041" i="5"/>
  <c r="Y1041" i="5"/>
  <c r="X1041" i="5"/>
  <c r="O1041" i="5"/>
  <c r="H1041" i="5"/>
  <c r="J1041" i="5"/>
  <c r="K1040" i="5"/>
  <c r="P1041" i="5" s="1"/>
  <c r="J1040" i="5"/>
  <c r="I1040" i="5"/>
  <c r="H1040" i="5"/>
  <c r="G1040" i="5"/>
  <c r="F1040" i="5"/>
  <c r="V1040" i="5"/>
  <c r="T1040" i="5"/>
  <c r="R1040" i="5"/>
  <c r="U1040" i="5"/>
  <c r="S1040" i="5"/>
  <c r="Q1040" i="5"/>
  <c r="E1040" i="5"/>
  <c r="D1040" i="5"/>
  <c r="B1040" i="5"/>
  <c r="A1040" i="5"/>
  <c r="AA1039" i="5"/>
  <c r="Z1039" i="5"/>
  <c r="Y1039" i="5"/>
  <c r="X1039" i="5"/>
  <c r="O1039" i="5"/>
  <c r="H1039" i="5"/>
  <c r="K1038" i="5"/>
  <c r="J1038" i="5"/>
  <c r="I1038" i="5"/>
  <c r="H1038" i="5"/>
  <c r="G1038" i="5"/>
  <c r="F1038" i="5"/>
  <c r="V1038" i="5"/>
  <c r="T1038" i="5"/>
  <c r="R1038" i="5"/>
  <c r="U1038" i="5"/>
  <c r="S1038" i="5"/>
  <c r="Q1038" i="5"/>
  <c r="E1038" i="5"/>
  <c r="D1038" i="5"/>
  <c r="B1038" i="5"/>
  <c r="A1038" i="5"/>
  <c r="AA1037" i="5"/>
  <c r="Z1037" i="5"/>
  <c r="Y1037" i="5"/>
  <c r="X1037" i="5"/>
  <c r="O1037" i="5"/>
  <c r="H1037" i="5"/>
  <c r="K1036" i="5"/>
  <c r="P1037" i="5" s="1"/>
  <c r="J1036" i="5"/>
  <c r="I1036" i="5"/>
  <c r="H1036" i="5"/>
  <c r="G1036" i="5"/>
  <c r="F1036" i="5"/>
  <c r="V1036" i="5"/>
  <c r="T1036" i="5"/>
  <c r="R1036" i="5"/>
  <c r="U1036" i="5"/>
  <c r="S1036" i="5"/>
  <c r="Q1036" i="5"/>
  <c r="E1036" i="5"/>
  <c r="D1036" i="5"/>
  <c r="B1036" i="5"/>
  <c r="A1036" i="5"/>
  <c r="AA1035" i="5"/>
  <c r="Z1035" i="5"/>
  <c r="Y1035" i="5"/>
  <c r="X1035" i="5"/>
  <c r="O1035" i="5"/>
  <c r="H1035" i="5"/>
  <c r="K1034" i="5"/>
  <c r="P1035" i="5" s="1"/>
  <c r="J1034" i="5"/>
  <c r="I1034" i="5"/>
  <c r="H1034" i="5"/>
  <c r="G1034" i="5"/>
  <c r="F1034" i="5"/>
  <c r="V1034" i="5"/>
  <c r="T1034" i="5"/>
  <c r="R1034" i="5"/>
  <c r="U1034" i="5"/>
  <c r="S1034" i="5"/>
  <c r="Q1034" i="5"/>
  <c r="E1034" i="5"/>
  <c r="D1034" i="5"/>
  <c r="B1034" i="5"/>
  <c r="A1034" i="5"/>
  <c r="A1033" i="5"/>
  <c r="H1031" i="5"/>
  <c r="J1031" i="5"/>
  <c r="H1030" i="5"/>
  <c r="J1030" i="5"/>
  <c r="A1029" i="5"/>
  <c r="AA1027" i="5"/>
  <c r="Z1027" i="5"/>
  <c r="Y1027" i="5"/>
  <c r="I1026" i="5"/>
  <c r="H1026" i="5"/>
  <c r="G1026" i="5"/>
  <c r="E1026" i="5"/>
  <c r="J1025" i="5"/>
  <c r="E1025" i="5"/>
  <c r="J1024" i="5"/>
  <c r="I1024" i="5"/>
  <c r="E1024" i="5"/>
  <c r="J1023" i="5"/>
  <c r="E1023" i="5"/>
  <c r="K1022" i="5"/>
  <c r="J1022" i="5"/>
  <c r="H1022" i="5"/>
  <c r="AA1022" i="5"/>
  <c r="Z1022" i="5"/>
  <c r="Y1022" i="5"/>
  <c r="X1022" i="5"/>
  <c r="I1022" i="5"/>
  <c r="F1022" i="5"/>
  <c r="V1022" i="5"/>
  <c r="T1022" i="5"/>
  <c r="R1022" i="5"/>
  <c r="U1022" i="5"/>
  <c r="S1022" i="5"/>
  <c r="Q1022" i="5"/>
  <c r="I1023" i="5" s="1"/>
  <c r="E1022" i="5"/>
  <c r="D1022" i="5"/>
  <c r="B1022" i="5"/>
  <c r="A1022" i="5"/>
  <c r="K1021" i="5"/>
  <c r="J1021" i="5"/>
  <c r="H1021" i="5"/>
  <c r="AA1021" i="5"/>
  <c r="Z1021" i="5"/>
  <c r="Y1021" i="5"/>
  <c r="I1021" i="5"/>
  <c r="X1021" i="5" s="1"/>
  <c r="F1021" i="5"/>
  <c r="V1021" i="5"/>
  <c r="K1025" i="5" s="1"/>
  <c r="T1021" i="5"/>
  <c r="R1021" i="5"/>
  <c r="U1021" i="5"/>
  <c r="S1021" i="5"/>
  <c r="Q1021" i="5"/>
  <c r="E1021" i="5"/>
  <c r="D1021" i="5"/>
  <c r="B1021" i="5"/>
  <c r="A1021" i="5"/>
  <c r="K1020" i="5"/>
  <c r="J1020" i="5"/>
  <c r="H1020" i="5"/>
  <c r="AA1020" i="5"/>
  <c r="Z1020" i="5"/>
  <c r="Y1020" i="5"/>
  <c r="I1020" i="5"/>
  <c r="X1020" i="5" s="1"/>
  <c r="F1020" i="5"/>
  <c r="V1020" i="5"/>
  <c r="T1020" i="5"/>
  <c r="R1020" i="5"/>
  <c r="U1020" i="5"/>
  <c r="S1020" i="5"/>
  <c r="Q1020" i="5"/>
  <c r="E1020" i="5"/>
  <c r="D1020" i="5"/>
  <c r="B1020" i="5"/>
  <c r="A1020" i="5"/>
  <c r="K1019" i="5"/>
  <c r="J1019" i="5"/>
  <c r="I1019" i="5"/>
  <c r="H1019" i="5"/>
  <c r="G1019" i="5"/>
  <c r="F1019" i="5"/>
  <c r="K1018" i="5"/>
  <c r="J1018" i="5"/>
  <c r="I1018" i="5"/>
  <c r="W1018" i="5" s="1"/>
  <c r="H1018" i="5"/>
  <c r="G1018" i="5"/>
  <c r="F1018" i="5"/>
  <c r="K1017" i="5"/>
  <c r="J1017" i="5"/>
  <c r="I1017" i="5"/>
  <c r="H1017" i="5"/>
  <c r="G1017" i="5"/>
  <c r="F1017" i="5"/>
  <c r="K1016" i="5"/>
  <c r="J1016" i="5"/>
  <c r="W1016" i="5"/>
  <c r="I1016" i="5"/>
  <c r="H1016" i="5"/>
  <c r="G1016" i="5"/>
  <c r="F1016" i="5"/>
  <c r="V1015" i="5"/>
  <c r="T1015" i="5"/>
  <c r="K1024" i="5" s="1"/>
  <c r="R1015" i="5"/>
  <c r="U1015" i="5"/>
  <c r="I1025" i="5" s="1"/>
  <c r="S1015" i="5"/>
  <c r="Q1015" i="5"/>
  <c r="E1015" i="5"/>
  <c r="D1015" i="5"/>
  <c r="B1015" i="5"/>
  <c r="A1015" i="5"/>
  <c r="AA1014" i="5"/>
  <c r="Z1014" i="5"/>
  <c r="Y1014" i="5"/>
  <c r="I1013" i="5"/>
  <c r="H1013" i="5"/>
  <c r="G1013" i="5"/>
  <c r="E1013" i="5"/>
  <c r="J1012" i="5"/>
  <c r="E1012" i="5"/>
  <c r="J1011" i="5"/>
  <c r="E1011" i="5"/>
  <c r="J1010" i="5"/>
  <c r="E1010" i="5"/>
  <c r="K1009" i="5"/>
  <c r="J1009" i="5"/>
  <c r="H1009" i="5"/>
  <c r="AA1009" i="5"/>
  <c r="Z1009" i="5"/>
  <c r="Y1009" i="5"/>
  <c r="I1009" i="5"/>
  <c r="X1009" i="5" s="1"/>
  <c r="F1009" i="5"/>
  <c r="V1009" i="5"/>
  <c r="T1009" i="5"/>
  <c r="R1009" i="5"/>
  <c r="U1009" i="5"/>
  <c r="S1009" i="5"/>
  <c r="Q1009" i="5"/>
  <c r="E1009" i="5"/>
  <c r="D1009" i="5"/>
  <c r="B1009" i="5"/>
  <c r="A1009" i="5"/>
  <c r="K1008" i="5"/>
  <c r="J1008" i="5"/>
  <c r="H1008" i="5"/>
  <c r="AA1008" i="5"/>
  <c r="Z1008" i="5"/>
  <c r="Y1008" i="5"/>
  <c r="X1008" i="5"/>
  <c r="I1008" i="5"/>
  <c r="F1008" i="5"/>
  <c r="V1008" i="5"/>
  <c r="T1008" i="5"/>
  <c r="R1008" i="5"/>
  <c r="U1008" i="5"/>
  <c r="S1008" i="5"/>
  <c r="Q1008" i="5"/>
  <c r="E1008" i="5"/>
  <c r="D1008" i="5"/>
  <c r="B1008" i="5"/>
  <c r="A1008" i="5"/>
  <c r="K1007" i="5"/>
  <c r="J1007" i="5"/>
  <c r="H1007" i="5"/>
  <c r="AA1007" i="5"/>
  <c r="Z1007" i="5"/>
  <c r="Y1007" i="5"/>
  <c r="I1007" i="5"/>
  <c r="X1007" i="5" s="1"/>
  <c r="F1007" i="5"/>
  <c r="V1007" i="5"/>
  <c r="T1007" i="5"/>
  <c r="R1007" i="5"/>
  <c r="U1007" i="5"/>
  <c r="S1007" i="5"/>
  <c r="Q1007" i="5"/>
  <c r="E1007" i="5"/>
  <c r="D1007" i="5"/>
  <c r="B1007" i="5"/>
  <c r="A1007" i="5"/>
  <c r="K1006" i="5"/>
  <c r="J1006" i="5"/>
  <c r="H1006" i="5"/>
  <c r="AA1006" i="5"/>
  <c r="Z1006" i="5"/>
  <c r="Y1006" i="5"/>
  <c r="I1006" i="5"/>
  <c r="X1006" i="5" s="1"/>
  <c r="F1006" i="5"/>
  <c r="V1006" i="5"/>
  <c r="T1006" i="5"/>
  <c r="R1006" i="5"/>
  <c r="U1006" i="5"/>
  <c r="S1006" i="5"/>
  <c r="Q1006" i="5"/>
  <c r="E1006" i="5"/>
  <c r="D1006" i="5"/>
  <c r="B1006" i="5"/>
  <c r="A1006" i="5"/>
  <c r="K1005" i="5"/>
  <c r="J1005" i="5"/>
  <c r="H1005" i="5"/>
  <c r="AA1005" i="5"/>
  <c r="Z1005" i="5"/>
  <c r="Y1005" i="5"/>
  <c r="X1005" i="5"/>
  <c r="I1005" i="5"/>
  <c r="F1005" i="5"/>
  <c r="V1005" i="5"/>
  <c r="T1005" i="5"/>
  <c r="R1005" i="5"/>
  <c r="U1005" i="5"/>
  <c r="S1005" i="5"/>
  <c r="Q1005" i="5"/>
  <c r="E1005" i="5"/>
  <c r="D1005" i="5"/>
  <c r="B1005" i="5"/>
  <c r="A1005" i="5"/>
  <c r="K1004" i="5"/>
  <c r="J1004" i="5"/>
  <c r="H1004" i="5"/>
  <c r="AA1004" i="5"/>
  <c r="Z1004" i="5"/>
  <c r="Y1004" i="5"/>
  <c r="I1004" i="5"/>
  <c r="X1004" i="5" s="1"/>
  <c r="F1004" i="5"/>
  <c r="V1004" i="5"/>
  <c r="T1004" i="5"/>
  <c r="R1004" i="5"/>
  <c r="U1004" i="5"/>
  <c r="S1004" i="5"/>
  <c r="Q1004" i="5"/>
  <c r="E1004" i="5"/>
  <c r="D1004" i="5"/>
  <c r="B1004" i="5"/>
  <c r="A1004" i="5"/>
  <c r="K1003" i="5"/>
  <c r="J1003" i="5"/>
  <c r="H1003" i="5"/>
  <c r="AA1003" i="5"/>
  <c r="Z1003" i="5"/>
  <c r="Y1003" i="5"/>
  <c r="I1003" i="5"/>
  <c r="X1003" i="5" s="1"/>
  <c r="F1003" i="5"/>
  <c r="V1003" i="5"/>
  <c r="T1003" i="5"/>
  <c r="R1003" i="5"/>
  <c r="U1003" i="5"/>
  <c r="S1003" i="5"/>
  <c r="Q1003" i="5"/>
  <c r="E1003" i="5"/>
  <c r="D1003" i="5"/>
  <c r="B1003" i="5"/>
  <c r="A1003" i="5"/>
  <c r="K1002" i="5"/>
  <c r="J1002" i="5"/>
  <c r="I1002" i="5"/>
  <c r="H1002" i="5"/>
  <c r="G1002" i="5"/>
  <c r="F1002" i="5"/>
  <c r="K1001" i="5"/>
  <c r="J1001" i="5"/>
  <c r="W1001" i="5"/>
  <c r="I1001" i="5"/>
  <c r="H1001" i="5"/>
  <c r="G1001" i="5"/>
  <c r="F1001" i="5"/>
  <c r="K1000" i="5"/>
  <c r="J1000" i="5"/>
  <c r="I1000" i="5"/>
  <c r="H1000" i="5"/>
  <c r="G1000" i="5"/>
  <c r="F1000" i="5"/>
  <c r="K999" i="5"/>
  <c r="J999" i="5"/>
  <c r="W999" i="5"/>
  <c r="I999" i="5"/>
  <c r="H999" i="5"/>
  <c r="G999" i="5"/>
  <c r="F999" i="5"/>
  <c r="C998" i="5"/>
  <c r="V997" i="5"/>
  <c r="K1012" i="5" s="1"/>
  <c r="T997" i="5"/>
  <c r="R997" i="5"/>
  <c r="U997" i="5"/>
  <c r="I1012" i="5" s="1"/>
  <c r="S997" i="5"/>
  <c r="Q997" i="5"/>
  <c r="E997" i="5"/>
  <c r="D997" i="5"/>
  <c r="B997" i="5"/>
  <c r="A997" i="5"/>
  <c r="AA996" i="5"/>
  <c r="Z996" i="5"/>
  <c r="Y996" i="5"/>
  <c r="I995" i="5"/>
  <c r="H995" i="5"/>
  <c r="G995" i="5"/>
  <c r="E995" i="5"/>
  <c r="J994" i="5"/>
  <c r="E994" i="5"/>
  <c r="J993" i="5"/>
  <c r="E993" i="5"/>
  <c r="J992" i="5"/>
  <c r="E992" i="5"/>
  <c r="K991" i="5"/>
  <c r="J991" i="5"/>
  <c r="H991" i="5"/>
  <c r="AA991" i="5"/>
  <c r="Z991" i="5"/>
  <c r="Y991" i="5"/>
  <c r="I991" i="5"/>
  <c r="X991" i="5" s="1"/>
  <c r="F991" i="5"/>
  <c r="V991" i="5"/>
  <c r="T991" i="5"/>
  <c r="R991" i="5"/>
  <c r="U991" i="5"/>
  <c r="S991" i="5"/>
  <c r="Q991" i="5"/>
  <c r="E991" i="5"/>
  <c r="D991" i="5"/>
  <c r="B991" i="5"/>
  <c r="A991" i="5"/>
  <c r="K990" i="5"/>
  <c r="J990" i="5"/>
  <c r="H990" i="5"/>
  <c r="AA990" i="5"/>
  <c r="Z990" i="5"/>
  <c r="Y990" i="5"/>
  <c r="I990" i="5"/>
  <c r="X990" i="5" s="1"/>
  <c r="F990" i="5"/>
  <c r="V990" i="5"/>
  <c r="K994" i="5" s="1"/>
  <c r="T990" i="5"/>
  <c r="R990" i="5"/>
  <c r="U990" i="5"/>
  <c r="S990" i="5"/>
  <c r="Q990" i="5"/>
  <c r="E990" i="5"/>
  <c r="D990" i="5"/>
  <c r="B990" i="5"/>
  <c r="A990" i="5"/>
  <c r="K989" i="5"/>
  <c r="J989" i="5"/>
  <c r="H989" i="5"/>
  <c r="AA989" i="5"/>
  <c r="Z989" i="5"/>
  <c r="Y989" i="5"/>
  <c r="X989" i="5"/>
  <c r="I989" i="5"/>
  <c r="F989" i="5"/>
  <c r="V989" i="5"/>
  <c r="T989" i="5"/>
  <c r="K993" i="5" s="1"/>
  <c r="R989" i="5"/>
  <c r="U989" i="5"/>
  <c r="S989" i="5"/>
  <c r="Q989" i="5"/>
  <c r="E989" i="5"/>
  <c r="D989" i="5"/>
  <c r="B989" i="5"/>
  <c r="A989" i="5"/>
  <c r="K988" i="5"/>
  <c r="J988" i="5"/>
  <c r="H988" i="5"/>
  <c r="AA988" i="5"/>
  <c r="Z988" i="5"/>
  <c r="Y988" i="5"/>
  <c r="I988" i="5"/>
  <c r="X988" i="5" s="1"/>
  <c r="F988" i="5"/>
  <c r="V988" i="5"/>
  <c r="T988" i="5"/>
  <c r="R988" i="5"/>
  <c r="U988" i="5"/>
  <c r="S988" i="5"/>
  <c r="Q988" i="5"/>
  <c r="E988" i="5"/>
  <c r="D988" i="5"/>
  <c r="B988" i="5"/>
  <c r="A988" i="5"/>
  <c r="K987" i="5"/>
  <c r="J987" i="5"/>
  <c r="H987" i="5"/>
  <c r="AA987" i="5"/>
  <c r="Z987" i="5"/>
  <c r="Y987" i="5"/>
  <c r="I987" i="5"/>
  <c r="X987" i="5" s="1"/>
  <c r="F987" i="5"/>
  <c r="V987" i="5"/>
  <c r="T987" i="5"/>
  <c r="R987" i="5"/>
  <c r="U987" i="5"/>
  <c r="S987" i="5"/>
  <c r="Q987" i="5"/>
  <c r="E987" i="5"/>
  <c r="D987" i="5"/>
  <c r="B987" i="5"/>
  <c r="A987" i="5"/>
  <c r="K986" i="5"/>
  <c r="J986" i="5"/>
  <c r="I986" i="5"/>
  <c r="H986" i="5"/>
  <c r="G986" i="5"/>
  <c r="F986" i="5"/>
  <c r="K985" i="5"/>
  <c r="J985" i="5"/>
  <c r="W985" i="5"/>
  <c r="I985" i="5"/>
  <c r="H985" i="5"/>
  <c r="G985" i="5"/>
  <c r="F985" i="5"/>
  <c r="K984" i="5"/>
  <c r="J984" i="5"/>
  <c r="I984" i="5"/>
  <c r="H984" i="5"/>
  <c r="G984" i="5"/>
  <c r="F984" i="5"/>
  <c r="K983" i="5"/>
  <c r="J983" i="5"/>
  <c r="W983" i="5"/>
  <c r="I983" i="5"/>
  <c r="H983" i="5"/>
  <c r="G983" i="5"/>
  <c r="F983" i="5"/>
  <c r="C982" i="5"/>
  <c r="V981" i="5"/>
  <c r="T981" i="5"/>
  <c r="R981" i="5"/>
  <c r="K992" i="5" s="1"/>
  <c r="J996" i="5" s="1"/>
  <c r="U981" i="5"/>
  <c r="I994" i="5" s="1"/>
  <c r="S981" i="5"/>
  <c r="Q981" i="5"/>
  <c r="E981" i="5"/>
  <c r="D981" i="5"/>
  <c r="B981" i="5"/>
  <c r="A981" i="5"/>
  <c r="AA980" i="5"/>
  <c r="Z980" i="5"/>
  <c r="Y980" i="5"/>
  <c r="I979" i="5"/>
  <c r="H979" i="5"/>
  <c r="G979" i="5"/>
  <c r="E979" i="5"/>
  <c r="K978" i="5"/>
  <c r="J978" i="5"/>
  <c r="E978" i="5"/>
  <c r="J977" i="5"/>
  <c r="E977" i="5"/>
  <c r="J976" i="5"/>
  <c r="E976" i="5"/>
  <c r="K975" i="5"/>
  <c r="J975" i="5"/>
  <c r="H975" i="5"/>
  <c r="AA975" i="5"/>
  <c r="Z975" i="5"/>
  <c r="Y975" i="5"/>
  <c r="I975" i="5"/>
  <c r="X975" i="5" s="1"/>
  <c r="F975" i="5"/>
  <c r="V975" i="5"/>
  <c r="T975" i="5"/>
  <c r="R975" i="5"/>
  <c r="U975" i="5"/>
  <c r="S975" i="5"/>
  <c r="Q975" i="5"/>
  <c r="E975" i="5"/>
  <c r="D975" i="5"/>
  <c r="B975" i="5"/>
  <c r="A975" i="5"/>
  <c r="K974" i="5"/>
  <c r="J974" i="5"/>
  <c r="I974" i="5"/>
  <c r="H974" i="5"/>
  <c r="G974" i="5"/>
  <c r="F974" i="5"/>
  <c r="K973" i="5"/>
  <c r="J973" i="5"/>
  <c r="W973" i="5"/>
  <c r="I973" i="5"/>
  <c r="H973" i="5"/>
  <c r="G973" i="5"/>
  <c r="F973" i="5"/>
  <c r="K972" i="5"/>
  <c r="J972" i="5"/>
  <c r="I972" i="5"/>
  <c r="H972" i="5"/>
  <c r="G972" i="5"/>
  <c r="F972" i="5"/>
  <c r="K971" i="5"/>
  <c r="J971" i="5"/>
  <c r="I971" i="5"/>
  <c r="H971" i="5"/>
  <c r="G971" i="5"/>
  <c r="F971" i="5"/>
  <c r="C970" i="5"/>
  <c r="V969" i="5"/>
  <c r="T969" i="5"/>
  <c r="K977" i="5" s="1"/>
  <c r="R969" i="5"/>
  <c r="K976" i="5" s="1"/>
  <c r="U969" i="5"/>
  <c r="I978" i="5" s="1"/>
  <c r="S969" i="5"/>
  <c r="I977" i="5" s="1"/>
  <c r="Q969" i="5"/>
  <c r="I976" i="5" s="1"/>
  <c r="E969" i="5"/>
  <c r="D969" i="5"/>
  <c r="B969" i="5"/>
  <c r="A969" i="5"/>
  <c r="A968" i="5"/>
  <c r="A966" i="5"/>
  <c r="H964" i="5"/>
  <c r="J964" i="5"/>
  <c r="H963" i="5"/>
  <c r="J963" i="5"/>
  <c r="A962" i="5"/>
  <c r="Z960" i="5"/>
  <c r="Y960" i="5"/>
  <c r="X960" i="5"/>
  <c r="K959" i="5"/>
  <c r="J959" i="5"/>
  <c r="I959" i="5"/>
  <c r="H960" i="5" s="1"/>
  <c r="H959" i="5"/>
  <c r="G959" i="5"/>
  <c r="F959" i="5"/>
  <c r="V958" i="5"/>
  <c r="T958" i="5"/>
  <c r="R958" i="5"/>
  <c r="U958" i="5"/>
  <c r="S958" i="5"/>
  <c r="Q958" i="5"/>
  <c r="E958" i="5"/>
  <c r="D958" i="5"/>
  <c r="B958" i="5"/>
  <c r="A958" i="5"/>
  <c r="AA957" i="5"/>
  <c r="Z957" i="5"/>
  <c r="Y957" i="5"/>
  <c r="X957" i="5"/>
  <c r="O957" i="5"/>
  <c r="P957" i="5"/>
  <c r="J957" i="5"/>
  <c r="K956" i="5"/>
  <c r="J956" i="5"/>
  <c r="I956" i="5"/>
  <c r="H957" i="5" s="1"/>
  <c r="H956" i="5"/>
  <c r="G956" i="5"/>
  <c r="F956" i="5"/>
  <c r="V955" i="5"/>
  <c r="T955" i="5"/>
  <c r="R955" i="5"/>
  <c r="U955" i="5"/>
  <c r="S955" i="5"/>
  <c r="Q955" i="5"/>
  <c r="E955" i="5"/>
  <c r="D955" i="5"/>
  <c r="B955" i="5"/>
  <c r="A955" i="5"/>
  <c r="AA954" i="5"/>
  <c r="Z954" i="5"/>
  <c r="Y954" i="5"/>
  <c r="P954" i="5"/>
  <c r="K953" i="5"/>
  <c r="J953" i="5"/>
  <c r="I953" i="5"/>
  <c r="E953" i="5"/>
  <c r="K952" i="5"/>
  <c r="J952" i="5"/>
  <c r="W952" i="5"/>
  <c r="I952" i="5"/>
  <c r="H952" i="5"/>
  <c r="G952" i="5"/>
  <c r="F952" i="5"/>
  <c r="K951" i="5"/>
  <c r="J954" i="5" s="1"/>
  <c r="J951" i="5"/>
  <c r="I951" i="5"/>
  <c r="H951" i="5"/>
  <c r="G951" i="5"/>
  <c r="F951" i="5"/>
  <c r="V950" i="5"/>
  <c r="T950" i="5"/>
  <c r="R950" i="5"/>
  <c r="U950" i="5"/>
  <c r="S950" i="5"/>
  <c r="Q950" i="5"/>
  <c r="E950" i="5"/>
  <c r="D950" i="5"/>
  <c r="B950" i="5"/>
  <c r="A950" i="5"/>
  <c r="AA949" i="5"/>
  <c r="Z949" i="5"/>
  <c r="Y949" i="5"/>
  <c r="I948" i="5"/>
  <c r="H948" i="5"/>
  <c r="G948" i="5"/>
  <c r="E948" i="5"/>
  <c r="J947" i="5"/>
  <c r="E947" i="5"/>
  <c r="K946" i="5"/>
  <c r="J946" i="5"/>
  <c r="E946" i="5"/>
  <c r="K945" i="5"/>
  <c r="J945" i="5"/>
  <c r="E945" i="5"/>
  <c r="K944" i="5"/>
  <c r="J944" i="5"/>
  <c r="H944" i="5"/>
  <c r="AA944" i="5"/>
  <c r="Z944" i="5"/>
  <c r="Y944" i="5"/>
  <c r="X944" i="5"/>
  <c r="I944" i="5"/>
  <c r="F944" i="5"/>
  <c r="V944" i="5"/>
  <c r="T944" i="5"/>
  <c r="R944" i="5"/>
  <c r="U944" i="5"/>
  <c r="S944" i="5"/>
  <c r="Q944" i="5"/>
  <c r="E944" i="5"/>
  <c r="D944" i="5"/>
  <c r="B944" i="5"/>
  <c r="A944" i="5"/>
  <c r="K943" i="5"/>
  <c r="J943" i="5"/>
  <c r="H943" i="5"/>
  <c r="AA943" i="5"/>
  <c r="Z943" i="5"/>
  <c r="Y943" i="5"/>
  <c r="I943" i="5"/>
  <c r="X943" i="5" s="1"/>
  <c r="F943" i="5"/>
  <c r="V943" i="5"/>
  <c r="K947" i="5" s="1"/>
  <c r="T943" i="5"/>
  <c r="R943" i="5"/>
  <c r="U943" i="5"/>
  <c r="S943" i="5"/>
  <c r="I946" i="5" s="1"/>
  <c r="Q943" i="5"/>
  <c r="E943" i="5"/>
  <c r="D943" i="5"/>
  <c r="B943" i="5"/>
  <c r="A943" i="5"/>
  <c r="K942" i="5"/>
  <c r="J942" i="5"/>
  <c r="I942" i="5"/>
  <c r="H942" i="5"/>
  <c r="G942" i="5"/>
  <c r="F942" i="5"/>
  <c r="K941" i="5"/>
  <c r="J941" i="5"/>
  <c r="W941" i="5"/>
  <c r="I941" i="5"/>
  <c r="H941" i="5"/>
  <c r="G941" i="5"/>
  <c r="F941" i="5"/>
  <c r="K940" i="5"/>
  <c r="J940" i="5"/>
  <c r="I940" i="5"/>
  <c r="H940" i="5"/>
  <c r="G940" i="5"/>
  <c r="F940" i="5"/>
  <c r="K939" i="5"/>
  <c r="J939" i="5"/>
  <c r="I939" i="5"/>
  <c r="H939" i="5"/>
  <c r="G939" i="5"/>
  <c r="F939" i="5"/>
  <c r="C938" i="5"/>
  <c r="V937" i="5"/>
  <c r="T937" i="5"/>
  <c r="R937" i="5"/>
  <c r="U937" i="5"/>
  <c r="I947" i="5" s="1"/>
  <c r="S937" i="5"/>
  <c r="Q937" i="5"/>
  <c r="I945" i="5" s="1"/>
  <c r="E937" i="5"/>
  <c r="D937" i="5"/>
  <c r="B937" i="5"/>
  <c r="A937" i="5"/>
  <c r="AA936" i="5"/>
  <c r="Z936" i="5"/>
  <c r="Y936" i="5"/>
  <c r="I935" i="5"/>
  <c r="H935" i="5"/>
  <c r="G935" i="5"/>
  <c r="E935" i="5"/>
  <c r="J934" i="5"/>
  <c r="E934" i="5"/>
  <c r="J933" i="5"/>
  <c r="E933" i="5"/>
  <c r="K932" i="5"/>
  <c r="J932" i="5"/>
  <c r="H932" i="5"/>
  <c r="AA932" i="5"/>
  <c r="Z932" i="5"/>
  <c r="Y932" i="5"/>
  <c r="I932" i="5"/>
  <c r="X932" i="5" s="1"/>
  <c r="F932" i="5"/>
  <c r="V932" i="5"/>
  <c r="T932" i="5"/>
  <c r="R932" i="5"/>
  <c r="U932" i="5"/>
  <c r="S932" i="5"/>
  <c r="Q932" i="5"/>
  <c r="E932" i="5"/>
  <c r="D932" i="5"/>
  <c r="B932" i="5"/>
  <c r="A932" i="5"/>
  <c r="K931" i="5"/>
  <c r="J931" i="5"/>
  <c r="H931" i="5"/>
  <c r="AA931" i="5"/>
  <c r="Z931" i="5"/>
  <c r="Y931" i="5"/>
  <c r="X931" i="5"/>
  <c r="I931" i="5"/>
  <c r="F931" i="5"/>
  <c r="V931" i="5"/>
  <c r="T931" i="5"/>
  <c r="R931" i="5"/>
  <c r="U931" i="5"/>
  <c r="S931" i="5"/>
  <c r="Q931" i="5"/>
  <c r="E931" i="5"/>
  <c r="D931" i="5"/>
  <c r="B931" i="5"/>
  <c r="A931" i="5"/>
  <c r="K930" i="5"/>
  <c r="J930" i="5"/>
  <c r="I930" i="5"/>
  <c r="H930" i="5"/>
  <c r="G930" i="5"/>
  <c r="F930" i="5"/>
  <c r="K929" i="5"/>
  <c r="J929" i="5"/>
  <c r="I929" i="5"/>
  <c r="W929" i="5" s="1"/>
  <c r="H929" i="5"/>
  <c r="G929" i="5"/>
  <c r="F929" i="5"/>
  <c r="V928" i="5"/>
  <c r="T928" i="5"/>
  <c r="R928" i="5"/>
  <c r="K933" i="5" s="1"/>
  <c r="U928" i="5"/>
  <c r="S928" i="5"/>
  <c r="Q928" i="5"/>
  <c r="E928" i="5"/>
  <c r="D928" i="5"/>
  <c r="B928" i="5"/>
  <c r="A928" i="5"/>
  <c r="AA927" i="5"/>
  <c r="Z927" i="5"/>
  <c r="Y927" i="5"/>
  <c r="I926" i="5"/>
  <c r="H926" i="5"/>
  <c r="G926" i="5"/>
  <c r="E926" i="5"/>
  <c r="K925" i="5"/>
  <c r="J925" i="5"/>
  <c r="E925" i="5"/>
  <c r="K924" i="5"/>
  <c r="J924" i="5"/>
  <c r="I924" i="5"/>
  <c r="E924" i="5"/>
  <c r="K923" i="5"/>
  <c r="P927" i="5" s="1"/>
  <c r="J923" i="5"/>
  <c r="E923" i="5"/>
  <c r="K922" i="5"/>
  <c r="J922" i="5"/>
  <c r="W922" i="5"/>
  <c r="I922" i="5"/>
  <c r="H922" i="5"/>
  <c r="G922" i="5"/>
  <c r="F922" i="5"/>
  <c r="K921" i="5"/>
  <c r="J921" i="5"/>
  <c r="I921" i="5"/>
  <c r="H921" i="5"/>
  <c r="G921" i="5"/>
  <c r="F921" i="5"/>
  <c r="K920" i="5"/>
  <c r="J927" i="5" s="1"/>
  <c r="J920" i="5"/>
  <c r="I920" i="5"/>
  <c r="H920" i="5"/>
  <c r="G920" i="5"/>
  <c r="F920" i="5"/>
  <c r="C919" i="5"/>
  <c r="V918" i="5"/>
  <c r="T918" i="5"/>
  <c r="R918" i="5"/>
  <c r="U918" i="5"/>
  <c r="I925" i="5" s="1"/>
  <c r="S918" i="5"/>
  <c r="Q918" i="5"/>
  <c r="I923" i="5" s="1"/>
  <c r="E918" i="5"/>
  <c r="D918" i="5"/>
  <c r="B918" i="5"/>
  <c r="A918" i="5"/>
  <c r="A917" i="5"/>
  <c r="H915" i="5"/>
  <c r="J915" i="5"/>
  <c r="H914" i="5"/>
  <c r="J914" i="5"/>
  <c r="AL913" i="5"/>
  <c r="A913" i="5"/>
  <c r="AA911" i="5"/>
  <c r="Z911" i="5"/>
  <c r="Y911" i="5"/>
  <c r="X911" i="5"/>
  <c r="O911" i="5"/>
  <c r="K910" i="5"/>
  <c r="J910" i="5"/>
  <c r="I910" i="5"/>
  <c r="H911" i="5" s="1"/>
  <c r="H910" i="5"/>
  <c r="G910" i="5"/>
  <c r="F910" i="5"/>
  <c r="V909" i="5"/>
  <c r="T909" i="5"/>
  <c r="R909" i="5"/>
  <c r="U909" i="5"/>
  <c r="S909" i="5"/>
  <c r="Q909" i="5"/>
  <c r="E909" i="5"/>
  <c r="D909" i="5"/>
  <c r="B909" i="5"/>
  <c r="A909" i="5"/>
  <c r="AA908" i="5"/>
  <c r="Z908" i="5"/>
  <c r="Y908" i="5"/>
  <c r="X908" i="5"/>
  <c r="O908" i="5"/>
  <c r="K907" i="5"/>
  <c r="J907" i="5"/>
  <c r="I907" i="5"/>
  <c r="H908" i="5" s="1"/>
  <c r="H907" i="5"/>
  <c r="G907" i="5"/>
  <c r="F907" i="5"/>
  <c r="V906" i="5"/>
  <c r="T906" i="5"/>
  <c r="R906" i="5"/>
  <c r="U906" i="5"/>
  <c r="S906" i="5"/>
  <c r="Q906" i="5"/>
  <c r="E906" i="5"/>
  <c r="D906" i="5"/>
  <c r="B906" i="5"/>
  <c r="A906" i="5"/>
  <c r="AA905" i="5"/>
  <c r="Z905" i="5"/>
  <c r="Y905" i="5"/>
  <c r="X905" i="5"/>
  <c r="O905" i="5"/>
  <c r="K904" i="5"/>
  <c r="J904" i="5"/>
  <c r="I904" i="5"/>
  <c r="H905" i="5" s="1"/>
  <c r="H904" i="5"/>
  <c r="G904" i="5"/>
  <c r="F904" i="5"/>
  <c r="V903" i="5"/>
  <c r="T903" i="5"/>
  <c r="R903" i="5"/>
  <c r="U903" i="5"/>
  <c r="S903" i="5"/>
  <c r="Q903" i="5"/>
  <c r="E903" i="5"/>
  <c r="D903" i="5"/>
  <c r="B903" i="5"/>
  <c r="A903" i="5"/>
  <c r="AA902" i="5"/>
  <c r="Z902" i="5"/>
  <c r="Y902" i="5"/>
  <c r="X902" i="5"/>
  <c r="O902" i="5"/>
  <c r="K901" i="5"/>
  <c r="J901" i="5"/>
  <c r="I901" i="5"/>
  <c r="H902" i="5" s="1"/>
  <c r="H901" i="5"/>
  <c r="G901" i="5"/>
  <c r="F901" i="5"/>
  <c r="V900" i="5"/>
  <c r="T900" i="5"/>
  <c r="R900" i="5"/>
  <c r="U900" i="5"/>
  <c r="S900" i="5"/>
  <c r="Q900" i="5"/>
  <c r="E900" i="5"/>
  <c r="D900" i="5"/>
  <c r="B900" i="5"/>
  <c r="A900" i="5"/>
  <c r="AA899" i="5"/>
  <c r="Z899" i="5"/>
  <c r="Y899" i="5"/>
  <c r="K898" i="5"/>
  <c r="P899" i="5" s="1"/>
  <c r="J898" i="5"/>
  <c r="E898" i="5"/>
  <c r="K897" i="5"/>
  <c r="J897" i="5"/>
  <c r="W897" i="5"/>
  <c r="I897" i="5"/>
  <c r="H897" i="5"/>
  <c r="G897" i="5"/>
  <c r="F897" i="5"/>
  <c r="K896" i="5"/>
  <c r="J899" i="5" s="1"/>
  <c r="J896" i="5"/>
  <c r="I896" i="5"/>
  <c r="H899" i="5" s="1"/>
  <c r="H896" i="5"/>
  <c r="G896" i="5"/>
  <c r="F896" i="5"/>
  <c r="V895" i="5"/>
  <c r="T895" i="5"/>
  <c r="R895" i="5"/>
  <c r="U895" i="5"/>
  <c r="I898" i="5" s="1"/>
  <c r="O899" i="5" s="1"/>
  <c r="S895" i="5"/>
  <c r="Q895" i="5"/>
  <c r="E895" i="5"/>
  <c r="D895" i="5"/>
  <c r="B895" i="5"/>
  <c r="A895" i="5"/>
  <c r="AA894" i="5"/>
  <c r="Z894" i="5"/>
  <c r="Y894" i="5"/>
  <c r="I893" i="5"/>
  <c r="H893" i="5"/>
  <c r="G893" i="5"/>
  <c r="E893" i="5"/>
  <c r="J892" i="5"/>
  <c r="E892" i="5"/>
  <c r="J891" i="5"/>
  <c r="E891" i="5"/>
  <c r="J890" i="5"/>
  <c r="E890" i="5"/>
  <c r="K889" i="5"/>
  <c r="J889" i="5"/>
  <c r="H889" i="5"/>
  <c r="AA889" i="5"/>
  <c r="Z889" i="5"/>
  <c r="Y889" i="5"/>
  <c r="I889" i="5"/>
  <c r="X889" i="5" s="1"/>
  <c r="F889" i="5"/>
  <c r="V889" i="5"/>
  <c r="T889" i="5"/>
  <c r="R889" i="5"/>
  <c r="U889" i="5"/>
  <c r="S889" i="5"/>
  <c r="Q889" i="5"/>
  <c r="E889" i="5"/>
  <c r="D889" i="5"/>
  <c r="B889" i="5"/>
  <c r="A889" i="5"/>
  <c r="K888" i="5"/>
  <c r="J888" i="5"/>
  <c r="W888" i="5"/>
  <c r="I888" i="5"/>
  <c r="H888" i="5"/>
  <c r="G888" i="5"/>
  <c r="F888" i="5"/>
  <c r="K887" i="5"/>
  <c r="J887" i="5"/>
  <c r="I887" i="5"/>
  <c r="H887" i="5"/>
  <c r="G887" i="5"/>
  <c r="F887" i="5"/>
  <c r="K886" i="5"/>
  <c r="J886" i="5"/>
  <c r="I886" i="5"/>
  <c r="W886" i="5" s="1"/>
  <c r="H886" i="5"/>
  <c r="G886" i="5"/>
  <c r="F886" i="5"/>
  <c r="C885" i="5"/>
  <c r="V884" i="5"/>
  <c r="K892" i="5" s="1"/>
  <c r="T884" i="5"/>
  <c r="K891" i="5" s="1"/>
  <c r="R884" i="5"/>
  <c r="K890" i="5" s="1"/>
  <c r="U884" i="5"/>
  <c r="I892" i="5" s="1"/>
  <c r="S884" i="5"/>
  <c r="I891" i="5" s="1"/>
  <c r="Q884" i="5"/>
  <c r="I890" i="5" s="1"/>
  <c r="E884" i="5"/>
  <c r="D884" i="5"/>
  <c r="B884" i="5"/>
  <c r="A884" i="5"/>
  <c r="AA883" i="5"/>
  <c r="Z883" i="5"/>
  <c r="Y883" i="5"/>
  <c r="I882" i="5"/>
  <c r="H882" i="5"/>
  <c r="G882" i="5"/>
  <c r="E882" i="5"/>
  <c r="J881" i="5"/>
  <c r="E881" i="5"/>
  <c r="J880" i="5"/>
  <c r="E880" i="5"/>
  <c r="J879" i="5"/>
  <c r="E879" i="5"/>
  <c r="K878" i="5"/>
  <c r="J878" i="5"/>
  <c r="H878" i="5"/>
  <c r="AA878" i="5"/>
  <c r="Z878" i="5"/>
  <c r="Y878" i="5"/>
  <c r="I878" i="5"/>
  <c r="X878" i="5" s="1"/>
  <c r="F878" i="5"/>
  <c r="V878" i="5"/>
  <c r="T878" i="5"/>
  <c r="R878" i="5"/>
  <c r="U878" i="5"/>
  <c r="S878" i="5"/>
  <c r="Q878" i="5"/>
  <c r="E878" i="5"/>
  <c r="D878" i="5"/>
  <c r="B878" i="5"/>
  <c r="A878" i="5"/>
  <c r="K877" i="5"/>
  <c r="J877" i="5"/>
  <c r="W877" i="5"/>
  <c r="I877" i="5"/>
  <c r="H877" i="5"/>
  <c r="G877" i="5"/>
  <c r="F877" i="5"/>
  <c r="K876" i="5"/>
  <c r="J876" i="5"/>
  <c r="I876" i="5"/>
  <c r="H876" i="5"/>
  <c r="G876" i="5"/>
  <c r="F876" i="5"/>
  <c r="K875" i="5"/>
  <c r="J875" i="5"/>
  <c r="I875" i="5"/>
  <c r="H875" i="5"/>
  <c r="G875" i="5"/>
  <c r="F875" i="5"/>
  <c r="V874" i="5"/>
  <c r="K881" i="5" s="1"/>
  <c r="T874" i="5"/>
  <c r="K880" i="5" s="1"/>
  <c r="R874" i="5"/>
  <c r="K879" i="5" s="1"/>
  <c r="J883" i="5" s="1"/>
  <c r="U874" i="5"/>
  <c r="I881" i="5" s="1"/>
  <c r="S874" i="5"/>
  <c r="I880" i="5" s="1"/>
  <c r="Q874" i="5"/>
  <c r="I879" i="5" s="1"/>
  <c r="E874" i="5"/>
  <c r="D874" i="5"/>
  <c r="B874" i="5"/>
  <c r="A874" i="5"/>
  <c r="AA873" i="5"/>
  <c r="Z873" i="5"/>
  <c r="Y873" i="5"/>
  <c r="I872" i="5"/>
  <c r="H872" i="5"/>
  <c r="G872" i="5"/>
  <c r="E872" i="5"/>
  <c r="J871" i="5"/>
  <c r="E871" i="5"/>
  <c r="J870" i="5"/>
  <c r="I870" i="5"/>
  <c r="E870" i="5"/>
  <c r="J869" i="5"/>
  <c r="E869" i="5"/>
  <c r="K868" i="5"/>
  <c r="J868" i="5"/>
  <c r="H868" i="5"/>
  <c r="AA868" i="5"/>
  <c r="Z868" i="5"/>
  <c r="Y868" i="5"/>
  <c r="X868" i="5"/>
  <c r="I868" i="5"/>
  <c r="F868" i="5"/>
  <c r="V868" i="5"/>
  <c r="T868" i="5"/>
  <c r="R868" i="5"/>
  <c r="U868" i="5"/>
  <c r="S868" i="5"/>
  <c r="Q868" i="5"/>
  <c r="I869" i="5" s="1"/>
  <c r="E868" i="5"/>
  <c r="D868" i="5"/>
  <c r="B868" i="5"/>
  <c r="A868" i="5"/>
  <c r="K867" i="5"/>
  <c r="J867" i="5"/>
  <c r="H867" i="5"/>
  <c r="AA867" i="5"/>
  <c r="Z867" i="5"/>
  <c r="Y867" i="5"/>
  <c r="I867" i="5"/>
  <c r="X867" i="5" s="1"/>
  <c r="F867" i="5"/>
  <c r="V867" i="5"/>
  <c r="T867" i="5"/>
  <c r="R867" i="5"/>
  <c r="U867" i="5"/>
  <c r="S867" i="5"/>
  <c r="Q867" i="5"/>
  <c r="E867" i="5"/>
  <c r="D867" i="5"/>
  <c r="B867" i="5"/>
  <c r="A867" i="5"/>
  <c r="K866" i="5"/>
  <c r="J866" i="5"/>
  <c r="H866" i="5"/>
  <c r="AA866" i="5"/>
  <c r="Z866" i="5"/>
  <c r="Y866" i="5"/>
  <c r="I866" i="5"/>
  <c r="X866" i="5" s="1"/>
  <c r="F866" i="5"/>
  <c r="V866" i="5"/>
  <c r="T866" i="5"/>
  <c r="K870" i="5" s="1"/>
  <c r="R866" i="5"/>
  <c r="U866" i="5"/>
  <c r="I871" i="5" s="1"/>
  <c r="S866" i="5"/>
  <c r="Q866" i="5"/>
  <c r="E866" i="5"/>
  <c r="D866" i="5"/>
  <c r="B866" i="5"/>
  <c r="A866" i="5"/>
  <c r="K865" i="5"/>
  <c r="J865" i="5"/>
  <c r="I865" i="5"/>
  <c r="W865" i="5" s="1"/>
  <c r="H865" i="5"/>
  <c r="G865" i="5"/>
  <c r="F865" i="5"/>
  <c r="K864" i="5"/>
  <c r="J864" i="5"/>
  <c r="I864" i="5"/>
  <c r="H864" i="5"/>
  <c r="G864" i="5"/>
  <c r="F864" i="5"/>
  <c r="K863" i="5"/>
  <c r="J863" i="5"/>
  <c r="I863" i="5"/>
  <c r="H863" i="5"/>
  <c r="G863" i="5"/>
  <c r="F863" i="5"/>
  <c r="C862" i="5"/>
  <c r="V861" i="5"/>
  <c r="K871" i="5" s="1"/>
  <c r="T861" i="5"/>
  <c r="R861" i="5"/>
  <c r="U861" i="5"/>
  <c r="S861" i="5"/>
  <c r="Q861" i="5"/>
  <c r="E861" i="5"/>
  <c r="D861" i="5"/>
  <c r="B861" i="5"/>
  <c r="A861" i="5"/>
  <c r="AA860" i="5"/>
  <c r="Z860" i="5"/>
  <c r="Y860" i="5"/>
  <c r="I859" i="5"/>
  <c r="H859" i="5"/>
  <c r="G859" i="5"/>
  <c r="E859" i="5"/>
  <c r="J858" i="5"/>
  <c r="I858" i="5"/>
  <c r="E858" i="5"/>
  <c r="K857" i="5"/>
  <c r="J857" i="5"/>
  <c r="E857" i="5"/>
  <c r="K856" i="5"/>
  <c r="J856" i="5"/>
  <c r="H856" i="5"/>
  <c r="AA856" i="5"/>
  <c r="Z856" i="5"/>
  <c r="Y856" i="5"/>
  <c r="X856" i="5"/>
  <c r="I856" i="5"/>
  <c r="F856" i="5"/>
  <c r="V856" i="5"/>
  <c r="T856" i="5"/>
  <c r="R856" i="5"/>
  <c r="U856" i="5"/>
  <c r="S856" i="5"/>
  <c r="Q856" i="5"/>
  <c r="I857" i="5" s="1"/>
  <c r="E856" i="5"/>
  <c r="D856" i="5"/>
  <c r="B856" i="5"/>
  <c r="A856" i="5"/>
  <c r="K855" i="5"/>
  <c r="J855" i="5"/>
  <c r="I855" i="5"/>
  <c r="H855" i="5"/>
  <c r="G855" i="5"/>
  <c r="F855" i="5"/>
  <c r="K854" i="5"/>
  <c r="J854" i="5"/>
  <c r="I854" i="5"/>
  <c r="H854" i="5"/>
  <c r="G854" i="5"/>
  <c r="F854" i="5"/>
  <c r="C853" i="5"/>
  <c r="V852" i="5"/>
  <c r="T852" i="5"/>
  <c r="R852" i="5"/>
  <c r="U852" i="5"/>
  <c r="S852" i="5"/>
  <c r="Q852" i="5"/>
  <c r="E852" i="5"/>
  <c r="D852" i="5"/>
  <c r="B852" i="5"/>
  <c r="A852" i="5"/>
  <c r="AA851" i="5"/>
  <c r="Z851" i="5"/>
  <c r="Y851" i="5"/>
  <c r="I850" i="5"/>
  <c r="H850" i="5"/>
  <c r="G850" i="5"/>
  <c r="E850" i="5"/>
  <c r="J849" i="5"/>
  <c r="I849" i="5"/>
  <c r="E849" i="5"/>
  <c r="J848" i="5"/>
  <c r="E848" i="5"/>
  <c r="J847" i="5"/>
  <c r="E847" i="5"/>
  <c r="K846" i="5"/>
  <c r="J846" i="5"/>
  <c r="H846" i="5"/>
  <c r="AA846" i="5"/>
  <c r="Z846" i="5"/>
  <c r="Y846" i="5"/>
  <c r="I846" i="5"/>
  <c r="X846" i="5" s="1"/>
  <c r="F846" i="5"/>
  <c r="V846" i="5"/>
  <c r="T846" i="5"/>
  <c r="R846" i="5"/>
  <c r="U846" i="5"/>
  <c r="S846" i="5"/>
  <c r="Q846" i="5"/>
  <c r="E846" i="5"/>
  <c r="D846" i="5"/>
  <c r="B846" i="5"/>
  <c r="A846" i="5"/>
  <c r="K845" i="5"/>
  <c r="J845" i="5"/>
  <c r="I845" i="5"/>
  <c r="H845" i="5"/>
  <c r="G845" i="5"/>
  <c r="F845" i="5"/>
  <c r="K844" i="5"/>
  <c r="J844" i="5"/>
  <c r="W844" i="5"/>
  <c r="I844" i="5"/>
  <c r="H844" i="5"/>
  <c r="G844" i="5"/>
  <c r="F844" i="5"/>
  <c r="K843" i="5"/>
  <c r="J843" i="5"/>
  <c r="I843" i="5"/>
  <c r="H843" i="5"/>
  <c r="G843" i="5"/>
  <c r="F843" i="5"/>
  <c r="K842" i="5"/>
  <c r="J842" i="5"/>
  <c r="I842" i="5"/>
  <c r="H842" i="5"/>
  <c r="G842" i="5"/>
  <c r="F842" i="5"/>
  <c r="C841" i="5"/>
  <c r="V840" i="5"/>
  <c r="K849" i="5" s="1"/>
  <c r="T840" i="5"/>
  <c r="K848" i="5" s="1"/>
  <c r="R840" i="5"/>
  <c r="K847" i="5" s="1"/>
  <c r="U840" i="5"/>
  <c r="S840" i="5"/>
  <c r="I848" i="5" s="1"/>
  <c r="X851" i="5" s="1"/>
  <c r="Q840" i="5"/>
  <c r="I847" i="5" s="1"/>
  <c r="E840" i="5"/>
  <c r="D840" i="5"/>
  <c r="B840" i="5"/>
  <c r="A840" i="5"/>
  <c r="AA839" i="5"/>
  <c r="Z839" i="5"/>
  <c r="Y839" i="5"/>
  <c r="I838" i="5"/>
  <c r="H838" i="5"/>
  <c r="G838" i="5"/>
  <c r="E838" i="5"/>
  <c r="J837" i="5"/>
  <c r="E837" i="5"/>
  <c r="J836" i="5"/>
  <c r="E836" i="5"/>
  <c r="J835" i="5"/>
  <c r="E835" i="5"/>
  <c r="K834" i="5"/>
  <c r="J834" i="5"/>
  <c r="H834" i="5"/>
  <c r="AA834" i="5"/>
  <c r="Z834" i="5"/>
  <c r="Y834" i="5"/>
  <c r="I834" i="5"/>
  <c r="X834" i="5" s="1"/>
  <c r="F834" i="5"/>
  <c r="V834" i="5"/>
  <c r="T834" i="5"/>
  <c r="R834" i="5"/>
  <c r="U834" i="5"/>
  <c r="S834" i="5"/>
  <c r="Q834" i="5"/>
  <c r="E834" i="5"/>
  <c r="D834" i="5"/>
  <c r="B834" i="5"/>
  <c r="A834" i="5"/>
  <c r="K833" i="5"/>
  <c r="J833" i="5"/>
  <c r="H833" i="5"/>
  <c r="AA833" i="5"/>
  <c r="Z833" i="5"/>
  <c r="Y833" i="5"/>
  <c r="I833" i="5"/>
  <c r="X833" i="5" s="1"/>
  <c r="F833" i="5"/>
  <c r="V833" i="5"/>
  <c r="T833" i="5"/>
  <c r="R833" i="5"/>
  <c r="U833" i="5"/>
  <c r="S833" i="5"/>
  <c r="Q833" i="5"/>
  <c r="E833" i="5"/>
  <c r="D833" i="5"/>
  <c r="B833" i="5"/>
  <c r="A833" i="5"/>
  <c r="K832" i="5"/>
  <c r="J832" i="5"/>
  <c r="H832" i="5"/>
  <c r="AA832" i="5"/>
  <c r="Z832" i="5"/>
  <c r="Y832" i="5"/>
  <c r="I832" i="5"/>
  <c r="X832" i="5" s="1"/>
  <c r="F832" i="5"/>
  <c r="V832" i="5"/>
  <c r="T832" i="5"/>
  <c r="R832" i="5"/>
  <c r="U832" i="5"/>
  <c r="S832" i="5"/>
  <c r="Q832" i="5"/>
  <c r="E832" i="5"/>
  <c r="D832" i="5"/>
  <c r="B832" i="5"/>
  <c r="A832" i="5"/>
  <c r="K831" i="5"/>
  <c r="J831" i="5"/>
  <c r="H831" i="5"/>
  <c r="AA831" i="5"/>
  <c r="Z831" i="5"/>
  <c r="Y831" i="5"/>
  <c r="X831" i="5"/>
  <c r="I831" i="5"/>
  <c r="F831" i="5"/>
  <c r="V831" i="5"/>
  <c r="T831" i="5"/>
  <c r="R831" i="5"/>
  <c r="U831" i="5"/>
  <c r="S831" i="5"/>
  <c r="Q831" i="5"/>
  <c r="I835" i="5" s="1"/>
  <c r="E831" i="5"/>
  <c r="D831" i="5"/>
  <c r="B831" i="5"/>
  <c r="A831" i="5"/>
  <c r="K830" i="5"/>
  <c r="J830" i="5"/>
  <c r="I830" i="5"/>
  <c r="H830" i="5"/>
  <c r="G830" i="5"/>
  <c r="F830" i="5"/>
  <c r="K829" i="5"/>
  <c r="J829" i="5"/>
  <c r="I829" i="5"/>
  <c r="W829" i="5" s="1"/>
  <c r="H829" i="5"/>
  <c r="G829" i="5"/>
  <c r="F829" i="5"/>
  <c r="K828" i="5"/>
  <c r="J828" i="5"/>
  <c r="I828" i="5"/>
  <c r="H828" i="5"/>
  <c r="G828" i="5"/>
  <c r="F828" i="5"/>
  <c r="K827" i="5"/>
  <c r="J827" i="5"/>
  <c r="I827" i="5"/>
  <c r="H827" i="5"/>
  <c r="G827" i="5"/>
  <c r="F827" i="5"/>
  <c r="C826" i="5"/>
  <c r="V825" i="5"/>
  <c r="K837" i="5" s="1"/>
  <c r="T825" i="5"/>
  <c r="K836" i="5" s="1"/>
  <c r="R825" i="5"/>
  <c r="U825" i="5"/>
  <c r="I837" i="5" s="1"/>
  <c r="S825" i="5"/>
  <c r="I836" i="5" s="1"/>
  <c r="Q825" i="5"/>
  <c r="E825" i="5"/>
  <c r="D825" i="5"/>
  <c r="B825" i="5"/>
  <c r="A825" i="5"/>
  <c r="AA824" i="5"/>
  <c r="Z824" i="5"/>
  <c r="Y824" i="5"/>
  <c r="I823" i="5"/>
  <c r="H823" i="5"/>
  <c r="G823" i="5"/>
  <c r="E823" i="5"/>
  <c r="J822" i="5"/>
  <c r="I822" i="5"/>
  <c r="E822" i="5"/>
  <c r="J821" i="5"/>
  <c r="I821" i="5"/>
  <c r="E821" i="5"/>
  <c r="K820" i="5"/>
  <c r="J820" i="5"/>
  <c r="W820" i="5"/>
  <c r="I820" i="5"/>
  <c r="X824" i="5" s="1"/>
  <c r="H820" i="5"/>
  <c r="G820" i="5"/>
  <c r="F820" i="5"/>
  <c r="C819" i="5"/>
  <c r="V818" i="5"/>
  <c r="T818" i="5"/>
  <c r="K822" i="5" s="1"/>
  <c r="P824" i="5" s="1"/>
  <c r="R818" i="5"/>
  <c r="K821" i="5" s="1"/>
  <c r="U818" i="5"/>
  <c r="S818" i="5"/>
  <c r="Q818" i="5"/>
  <c r="E818" i="5"/>
  <c r="D818" i="5"/>
  <c r="B818" i="5"/>
  <c r="A818" i="5"/>
  <c r="AA817" i="5"/>
  <c r="Z817" i="5"/>
  <c r="Y817" i="5"/>
  <c r="O817" i="5"/>
  <c r="I816" i="5"/>
  <c r="H816" i="5"/>
  <c r="G816" i="5"/>
  <c r="E816" i="5"/>
  <c r="K815" i="5"/>
  <c r="J815" i="5"/>
  <c r="E815" i="5"/>
  <c r="K814" i="5"/>
  <c r="J814" i="5"/>
  <c r="I814" i="5"/>
  <c r="E814" i="5"/>
  <c r="K813" i="5"/>
  <c r="J813" i="5"/>
  <c r="E813" i="5"/>
  <c r="K812" i="5"/>
  <c r="J812" i="5"/>
  <c r="I812" i="5"/>
  <c r="W812" i="5" s="1"/>
  <c r="H812" i="5"/>
  <c r="G812" i="5"/>
  <c r="F812" i="5"/>
  <c r="K811" i="5"/>
  <c r="J811" i="5"/>
  <c r="I811" i="5"/>
  <c r="H811" i="5"/>
  <c r="G811" i="5"/>
  <c r="F811" i="5"/>
  <c r="K810" i="5"/>
  <c r="J810" i="5"/>
  <c r="I810" i="5"/>
  <c r="H810" i="5"/>
  <c r="G810" i="5"/>
  <c r="F810" i="5"/>
  <c r="C809" i="5"/>
  <c r="V808" i="5"/>
  <c r="T808" i="5"/>
  <c r="R808" i="5"/>
  <c r="U808" i="5"/>
  <c r="I815" i="5" s="1"/>
  <c r="S808" i="5"/>
  <c r="Q808" i="5"/>
  <c r="I813" i="5" s="1"/>
  <c r="E808" i="5"/>
  <c r="D808" i="5"/>
  <c r="B808" i="5"/>
  <c r="A808" i="5"/>
  <c r="AA807" i="5"/>
  <c r="Z807" i="5"/>
  <c r="Y807" i="5"/>
  <c r="I806" i="5"/>
  <c r="H806" i="5"/>
  <c r="G806" i="5"/>
  <c r="E806" i="5"/>
  <c r="J805" i="5"/>
  <c r="E805" i="5"/>
  <c r="J804" i="5"/>
  <c r="E804" i="5"/>
  <c r="K803" i="5"/>
  <c r="J803" i="5"/>
  <c r="E803" i="5"/>
  <c r="K802" i="5"/>
  <c r="J802" i="5"/>
  <c r="I802" i="5"/>
  <c r="W802" i="5" s="1"/>
  <c r="H802" i="5"/>
  <c r="G802" i="5"/>
  <c r="F802" i="5"/>
  <c r="K801" i="5"/>
  <c r="J801" i="5"/>
  <c r="I801" i="5"/>
  <c r="H807" i="5" s="1"/>
  <c r="H801" i="5"/>
  <c r="G801" i="5"/>
  <c r="F801" i="5"/>
  <c r="K800" i="5"/>
  <c r="J800" i="5"/>
  <c r="I800" i="5"/>
  <c r="H800" i="5"/>
  <c r="G800" i="5"/>
  <c r="F800" i="5"/>
  <c r="V799" i="5"/>
  <c r="K805" i="5" s="1"/>
  <c r="T799" i="5"/>
  <c r="K804" i="5" s="1"/>
  <c r="R799" i="5"/>
  <c r="U799" i="5"/>
  <c r="I805" i="5" s="1"/>
  <c r="S799" i="5"/>
  <c r="I804" i="5" s="1"/>
  <c r="Q799" i="5"/>
  <c r="I803" i="5" s="1"/>
  <c r="E799" i="5"/>
  <c r="D799" i="5"/>
  <c r="B799" i="5"/>
  <c r="A799" i="5"/>
  <c r="AA798" i="5"/>
  <c r="Z798" i="5"/>
  <c r="Y798" i="5"/>
  <c r="X798" i="5"/>
  <c r="I797" i="5"/>
  <c r="H797" i="5"/>
  <c r="G797" i="5"/>
  <c r="E797" i="5"/>
  <c r="J796" i="5"/>
  <c r="I796" i="5"/>
  <c r="E796" i="5"/>
  <c r="J795" i="5"/>
  <c r="I795" i="5"/>
  <c r="E795" i="5"/>
  <c r="J794" i="5"/>
  <c r="E794" i="5"/>
  <c r="K793" i="5"/>
  <c r="J793" i="5"/>
  <c r="I793" i="5"/>
  <c r="W793" i="5" s="1"/>
  <c r="H793" i="5"/>
  <c r="G793" i="5"/>
  <c r="F793" i="5"/>
  <c r="K792" i="5"/>
  <c r="J792" i="5"/>
  <c r="I792" i="5"/>
  <c r="H798" i="5" s="1"/>
  <c r="H792" i="5"/>
  <c r="G792" i="5"/>
  <c r="F792" i="5"/>
  <c r="K791" i="5"/>
  <c r="J791" i="5"/>
  <c r="W791" i="5"/>
  <c r="I791" i="5"/>
  <c r="O798" i="5" s="1"/>
  <c r="H791" i="5"/>
  <c r="G791" i="5"/>
  <c r="F791" i="5"/>
  <c r="C790" i="5"/>
  <c r="V789" i="5"/>
  <c r="K796" i="5" s="1"/>
  <c r="T789" i="5"/>
  <c r="K795" i="5" s="1"/>
  <c r="R789" i="5"/>
  <c r="K794" i="5" s="1"/>
  <c r="U789" i="5"/>
  <c r="S789" i="5"/>
  <c r="Q789" i="5"/>
  <c r="I794" i="5" s="1"/>
  <c r="E789" i="5"/>
  <c r="D789" i="5"/>
  <c r="B789" i="5"/>
  <c r="A789" i="5"/>
  <c r="Z788" i="5"/>
  <c r="Y788" i="5"/>
  <c r="X788" i="5"/>
  <c r="I787" i="5"/>
  <c r="H787" i="5"/>
  <c r="G787" i="5"/>
  <c r="E787" i="5"/>
  <c r="K786" i="5"/>
  <c r="J786" i="5"/>
  <c r="E786" i="5"/>
  <c r="K785" i="5"/>
  <c r="J785" i="5"/>
  <c r="E785" i="5"/>
  <c r="K784" i="5"/>
  <c r="J784" i="5"/>
  <c r="H784" i="5"/>
  <c r="Z784" i="5"/>
  <c r="Y784" i="5"/>
  <c r="X784" i="5"/>
  <c r="I784" i="5"/>
  <c r="AA784" i="5" s="1"/>
  <c r="F784" i="5"/>
  <c r="V784" i="5"/>
  <c r="T784" i="5"/>
  <c r="R784" i="5"/>
  <c r="U784" i="5"/>
  <c r="S784" i="5"/>
  <c r="Q784" i="5"/>
  <c r="E784" i="5"/>
  <c r="D784" i="5"/>
  <c r="B784" i="5"/>
  <c r="A784" i="5"/>
  <c r="K783" i="5"/>
  <c r="J783" i="5"/>
  <c r="I783" i="5"/>
  <c r="H783" i="5"/>
  <c r="G783" i="5"/>
  <c r="F783" i="5"/>
  <c r="V782" i="5"/>
  <c r="T782" i="5"/>
  <c r="R782" i="5"/>
  <c r="U782" i="5"/>
  <c r="S782" i="5"/>
  <c r="I786" i="5" s="1"/>
  <c r="Q782" i="5"/>
  <c r="I785" i="5" s="1"/>
  <c r="AA788" i="5" s="1"/>
  <c r="E782" i="5"/>
  <c r="D782" i="5"/>
  <c r="B782" i="5"/>
  <c r="A782" i="5"/>
  <c r="Z781" i="5"/>
  <c r="Y781" i="5"/>
  <c r="X781" i="5"/>
  <c r="I780" i="5"/>
  <c r="H780" i="5"/>
  <c r="G780" i="5"/>
  <c r="E780" i="5"/>
  <c r="K779" i="5"/>
  <c r="J779" i="5"/>
  <c r="E779" i="5"/>
  <c r="K778" i="5"/>
  <c r="J778" i="5"/>
  <c r="E778" i="5"/>
  <c r="K777" i="5"/>
  <c r="J777" i="5"/>
  <c r="I777" i="5"/>
  <c r="H777" i="5"/>
  <c r="G777" i="5"/>
  <c r="F777" i="5"/>
  <c r="V776" i="5"/>
  <c r="T776" i="5"/>
  <c r="R776" i="5"/>
  <c r="U776" i="5"/>
  <c r="S776" i="5"/>
  <c r="I779" i="5" s="1"/>
  <c r="AA781" i="5" s="1"/>
  <c r="Q776" i="5"/>
  <c r="I778" i="5" s="1"/>
  <c r="E776" i="5"/>
  <c r="D776" i="5"/>
  <c r="B776" i="5"/>
  <c r="A776" i="5"/>
  <c r="A775" i="5"/>
  <c r="H773" i="5"/>
  <c r="J773" i="5"/>
  <c r="H772" i="5"/>
  <c r="J772" i="5"/>
  <c r="A771" i="5"/>
  <c r="H769" i="5"/>
  <c r="J769" i="5"/>
  <c r="H768" i="5"/>
  <c r="J768" i="5"/>
  <c r="A767" i="5"/>
  <c r="AA765" i="5"/>
  <c r="Z765" i="5"/>
  <c r="Y765" i="5"/>
  <c r="X765" i="5"/>
  <c r="O765" i="5"/>
  <c r="K764" i="5"/>
  <c r="J764" i="5"/>
  <c r="I764" i="5"/>
  <c r="H765" i="5" s="1"/>
  <c r="H764" i="5"/>
  <c r="G764" i="5"/>
  <c r="F764" i="5"/>
  <c r="V764" i="5"/>
  <c r="T764" i="5"/>
  <c r="R764" i="5"/>
  <c r="U764" i="5"/>
  <c r="S764" i="5"/>
  <c r="Q764" i="5"/>
  <c r="E764" i="5"/>
  <c r="D764" i="5"/>
  <c r="B764" i="5"/>
  <c r="A764" i="5"/>
  <c r="AA763" i="5"/>
  <c r="Z763" i="5"/>
  <c r="Y763" i="5"/>
  <c r="X763" i="5"/>
  <c r="O763" i="5"/>
  <c r="H767" i="5" s="1"/>
  <c r="K762" i="5"/>
  <c r="J762" i="5"/>
  <c r="I762" i="5"/>
  <c r="H763" i="5" s="1"/>
  <c r="H762" i="5"/>
  <c r="G762" i="5"/>
  <c r="F762" i="5"/>
  <c r="V762" i="5"/>
  <c r="T762" i="5"/>
  <c r="R762" i="5"/>
  <c r="U762" i="5"/>
  <c r="S762" i="5"/>
  <c r="Q762" i="5"/>
  <c r="E762" i="5"/>
  <c r="D762" i="5"/>
  <c r="B762" i="5"/>
  <c r="A762" i="5"/>
  <c r="A761" i="5"/>
  <c r="AA759" i="5"/>
  <c r="Z759" i="5"/>
  <c r="Y759" i="5"/>
  <c r="I758" i="5"/>
  <c r="H758" i="5"/>
  <c r="G758" i="5"/>
  <c r="E758" i="5"/>
  <c r="J757" i="5"/>
  <c r="E757" i="5"/>
  <c r="J756" i="5"/>
  <c r="I756" i="5"/>
  <c r="E756" i="5"/>
  <c r="J755" i="5"/>
  <c r="E755" i="5"/>
  <c r="K754" i="5"/>
  <c r="J754" i="5"/>
  <c r="H754" i="5"/>
  <c r="AA754" i="5"/>
  <c r="Z754" i="5"/>
  <c r="Y754" i="5"/>
  <c r="I754" i="5"/>
  <c r="X754" i="5" s="1"/>
  <c r="F754" i="5"/>
  <c r="V754" i="5"/>
  <c r="T754" i="5"/>
  <c r="R754" i="5"/>
  <c r="U754" i="5"/>
  <c r="S754" i="5"/>
  <c r="Q754" i="5"/>
  <c r="E754" i="5"/>
  <c r="D754" i="5"/>
  <c r="B754" i="5"/>
  <c r="A754" i="5"/>
  <c r="K753" i="5"/>
  <c r="J753" i="5"/>
  <c r="H753" i="5"/>
  <c r="AA753" i="5"/>
  <c r="Z753" i="5"/>
  <c r="Y753" i="5"/>
  <c r="I753" i="5"/>
  <c r="X753" i="5" s="1"/>
  <c r="F753" i="5"/>
  <c r="V753" i="5"/>
  <c r="T753" i="5"/>
  <c r="R753" i="5"/>
  <c r="U753" i="5"/>
  <c r="I757" i="5" s="1"/>
  <c r="S753" i="5"/>
  <c r="Q753" i="5"/>
  <c r="E753" i="5"/>
  <c r="D753" i="5"/>
  <c r="B753" i="5"/>
  <c r="A753" i="5"/>
  <c r="K752" i="5"/>
  <c r="J752" i="5"/>
  <c r="I752" i="5"/>
  <c r="H752" i="5"/>
  <c r="G752" i="5"/>
  <c r="F752" i="5"/>
  <c r="K751" i="5"/>
  <c r="J751" i="5"/>
  <c r="I751" i="5"/>
  <c r="W751" i="5" s="1"/>
  <c r="H751" i="5"/>
  <c r="G751" i="5"/>
  <c r="F751" i="5"/>
  <c r="K750" i="5"/>
  <c r="J750" i="5"/>
  <c r="I750" i="5"/>
  <c r="H759" i="5" s="1"/>
  <c r="H750" i="5"/>
  <c r="G750" i="5"/>
  <c r="F750" i="5"/>
  <c r="K749" i="5"/>
  <c r="J749" i="5"/>
  <c r="W749" i="5"/>
  <c r="I749" i="5"/>
  <c r="H749" i="5"/>
  <c r="G749" i="5"/>
  <c r="F749" i="5"/>
  <c r="C748" i="5"/>
  <c r="V747" i="5"/>
  <c r="K757" i="5" s="1"/>
  <c r="T747" i="5"/>
  <c r="K756" i="5" s="1"/>
  <c r="R747" i="5"/>
  <c r="U747" i="5"/>
  <c r="S747" i="5"/>
  <c r="Q747" i="5"/>
  <c r="I755" i="5" s="1"/>
  <c r="X759" i="5" s="1"/>
  <c r="E747" i="5"/>
  <c r="D747" i="5"/>
  <c r="B747" i="5"/>
  <c r="A747" i="5"/>
  <c r="AA746" i="5"/>
  <c r="Z746" i="5"/>
  <c r="X746" i="5"/>
  <c r="I745" i="5"/>
  <c r="H745" i="5"/>
  <c r="G745" i="5"/>
  <c r="E745" i="5"/>
  <c r="K744" i="5"/>
  <c r="J744" i="5"/>
  <c r="E744" i="5"/>
  <c r="J743" i="5"/>
  <c r="E743" i="5"/>
  <c r="K742" i="5"/>
  <c r="J742" i="5"/>
  <c r="E742" i="5"/>
  <c r="K741" i="5"/>
  <c r="J741" i="5"/>
  <c r="I741" i="5"/>
  <c r="H741" i="5"/>
  <c r="G741" i="5"/>
  <c r="F741" i="5"/>
  <c r="K740" i="5"/>
  <c r="J740" i="5"/>
  <c r="W740" i="5"/>
  <c r="I740" i="5"/>
  <c r="H740" i="5"/>
  <c r="G740" i="5"/>
  <c r="F740" i="5"/>
  <c r="K739" i="5"/>
  <c r="J739" i="5"/>
  <c r="I739" i="5"/>
  <c r="H739" i="5"/>
  <c r="G739" i="5"/>
  <c r="F739" i="5"/>
  <c r="K738" i="5"/>
  <c r="J738" i="5"/>
  <c r="I738" i="5"/>
  <c r="H738" i="5"/>
  <c r="G738" i="5"/>
  <c r="F738" i="5"/>
  <c r="C737" i="5"/>
  <c r="V736" i="5"/>
  <c r="T736" i="5"/>
  <c r="K743" i="5" s="1"/>
  <c r="R736" i="5"/>
  <c r="U736" i="5"/>
  <c r="I744" i="5" s="1"/>
  <c r="S736" i="5"/>
  <c r="I743" i="5" s="1"/>
  <c r="Q736" i="5"/>
  <c r="I742" i="5" s="1"/>
  <c r="E736" i="5"/>
  <c r="D736" i="5"/>
  <c r="B736" i="5"/>
  <c r="A736" i="5"/>
  <c r="AA735" i="5"/>
  <c r="Z735" i="5"/>
  <c r="X735" i="5"/>
  <c r="I734" i="5"/>
  <c r="H734" i="5"/>
  <c r="G734" i="5"/>
  <c r="E734" i="5"/>
  <c r="J733" i="5"/>
  <c r="E733" i="5"/>
  <c r="J732" i="5"/>
  <c r="E732" i="5"/>
  <c r="J731" i="5"/>
  <c r="I731" i="5"/>
  <c r="E731" i="5"/>
  <c r="K730" i="5"/>
  <c r="J730" i="5"/>
  <c r="I730" i="5"/>
  <c r="H730" i="5"/>
  <c r="G730" i="5"/>
  <c r="F730" i="5"/>
  <c r="K729" i="5"/>
  <c r="J729" i="5"/>
  <c r="I729" i="5"/>
  <c r="W729" i="5" s="1"/>
  <c r="H729" i="5"/>
  <c r="G729" i="5"/>
  <c r="F729" i="5"/>
  <c r="K728" i="5"/>
  <c r="J728" i="5"/>
  <c r="I728" i="5"/>
  <c r="H728" i="5"/>
  <c r="G728" i="5"/>
  <c r="F728" i="5"/>
  <c r="K727" i="5"/>
  <c r="J727" i="5"/>
  <c r="I727" i="5"/>
  <c r="H727" i="5"/>
  <c r="G727" i="5"/>
  <c r="F727" i="5"/>
  <c r="C726" i="5"/>
  <c r="V725" i="5"/>
  <c r="K733" i="5" s="1"/>
  <c r="T725" i="5"/>
  <c r="K732" i="5" s="1"/>
  <c r="R725" i="5"/>
  <c r="K731" i="5" s="1"/>
  <c r="U725" i="5"/>
  <c r="I733" i="5" s="1"/>
  <c r="S725" i="5"/>
  <c r="I732" i="5" s="1"/>
  <c r="Q725" i="5"/>
  <c r="E725" i="5"/>
  <c r="D725" i="5"/>
  <c r="B725" i="5"/>
  <c r="A725" i="5"/>
  <c r="AA724" i="5"/>
  <c r="Z724" i="5"/>
  <c r="X724" i="5"/>
  <c r="I723" i="5"/>
  <c r="H723" i="5"/>
  <c r="G723" i="5"/>
  <c r="E723" i="5"/>
  <c r="K722" i="5"/>
  <c r="J722" i="5"/>
  <c r="E722" i="5"/>
  <c r="J721" i="5"/>
  <c r="I721" i="5"/>
  <c r="E721" i="5"/>
  <c r="J720" i="5"/>
  <c r="I720" i="5"/>
  <c r="E720" i="5"/>
  <c r="K719" i="5"/>
  <c r="J719" i="5"/>
  <c r="I719" i="5"/>
  <c r="H719" i="5"/>
  <c r="G719" i="5"/>
  <c r="F719" i="5"/>
  <c r="K718" i="5"/>
  <c r="J718" i="5"/>
  <c r="I718" i="5"/>
  <c r="W718" i="5" s="1"/>
  <c r="H718" i="5"/>
  <c r="G718" i="5"/>
  <c r="F718" i="5"/>
  <c r="K717" i="5"/>
  <c r="J717" i="5"/>
  <c r="I717" i="5"/>
  <c r="H717" i="5"/>
  <c r="G717" i="5"/>
  <c r="F717" i="5"/>
  <c r="K716" i="5"/>
  <c r="J716" i="5"/>
  <c r="I716" i="5"/>
  <c r="H716" i="5"/>
  <c r="G716" i="5"/>
  <c r="F716" i="5"/>
  <c r="C715" i="5"/>
  <c r="V714" i="5"/>
  <c r="T714" i="5"/>
  <c r="K721" i="5" s="1"/>
  <c r="P724" i="5" s="1"/>
  <c r="R714" i="5"/>
  <c r="K720" i="5" s="1"/>
  <c r="U714" i="5"/>
  <c r="I722" i="5" s="1"/>
  <c r="S714" i="5"/>
  <c r="Q714" i="5"/>
  <c r="E714" i="5"/>
  <c r="D714" i="5"/>
  <c r="B714" i="5"/>
  <c r="A714" i="5"/>
  <c r="AA713" i="5"/>
  <c r="Z713" i="5"/>
  <c r="X713" i="5"/>
  <c r="I712" i="5"/>
  <c r="H712" i="5"/>
  <c r="G712" i="5"/>
  <c r="E712" i="5"/>
  <c r="K711" i="5"/>
  <c r="J711" i="5"/>
  <c r="E711" i="5"/>
  <c r="K710" i="5"/>
  <c r="J710" i="5"/>
  <c r="E710" i="5"/>
  <c r="J709" i="5"/>
  <c r="E709" i="5"/>
  <c r="K708" i="5"/>
  <c r="J708" i="5"/>
  <c r="I708" i="5"/>
  <c r="H708" i="5"/>
  <c r="G708" i="5"/>
  <c r="F708" i="5"/>
  <c r="K707" i="5"/>
  <c r="J707" i="5"/>
  <c r="I707" i="5"/>
  <c r="W707" i="5" s="1"/>
  <c r="H707" i="5"/>
  <c r="G707" i="5"/>
  <c r="F707" i="5"/>
  <c r="K706" i="5"/>
  <c r="J706" i="5"/>
  <c r="I706" i="5"/>
  <c r="H706" i="5"/>
  <c r="G706" i="5"/>
  <c r="F706" i="5"/>
  <c r="K705" i="5"/>
  <c r="J705" i="5"/>
  <c r="W705" i="5"/>
  <c r="I705" i="5"/>
  <c r="Y713" i="5" s="1"/>
  <c r="H705" i="5"/>
  <c r="G705" i="5"/>
  <c r="F705" i="5"/>
  <c r="V704" i="5"/>
  <c r="T704" i="5"/>
  <c r="R704" i="5"/>
  <c r="K709" i="5" s="1"/>
  <c r="U704" i="5"/>
  <c r="I711" i="5" s="1"/>
  <c r="S704" i="5"/>
  <c r="I710" i="5" s="1"/>
  <c r="H713" i="5" s="1"/>
  <c r="Q704" i="5"/>
  <c r="I709" i="5" s="1"/>
  <c r="E704" i="5"/>
  <c r="D704" i="5"/>
  <c r="B704" i="5"/>
  <c r="A704" i="5"/>
  <c r="AA703" i="5"/>
  <c r="Z703" i="5"/>
  <c r="X703" i="5"/>
  <c r="I702" i="5"/>
  <c r="H702" i="5"/>
  <c r="G702" i="5"/>
  <c r="E702" i="5"/>
  <c r="K701" i="5"/>
  <c r="J701" i="5"/>
  <c r="E701" i="5"/>
  <c r="J700" i="5"/>
  <c r="E700" i="5"/>
  <c r="J699" i="5"/>
  <c r="E699" i="5"/>
  <c r="K698" i="5"/>
  <c r="J698" i="5"/>
  <c r="I698" i="5"/>
  <c r="H698" i="5"/>
  <c r="G698" i="5"/>
  <c r="F698" i="5"/>
  <c r="K697" i="5"/>
  <c r="J697" i="5"/>
  <c r="I697" i="5"/>
  <c r="W697" i="5" s="1"/>
  <c r="H697" i="5"/>
  <c r="G697" i="5"/>
  <c r="F697" i="5"/>
  <c r="K696" i="5"/>
  <c r="J696" i="5"/>
  <c r="I696" i="5"/>
  <c r="H696" i="5"/>
  <c r="G696" i="5"/>
  <c r="F696" i="5"/>
  <c r="K695" i="5"/>
  <c r="J695" i="5"/>
  <c r="W695" i="5"/>
  <c r="I695" i="5"/>
  <c r="H695" i="5"/>
  <c r="G695" i="5"/>
  <c r="F695" i="5"/>
  <c r="C694" i="5"/>
  <c r="V693" i="5"/>
  <c r="T693" i="5"/>
  <c r="K700" i="5" s="1"/>
  <c r="R693" i="5"/>
  <c r="K699" i="5" s="1"/>
  <c r="U693" i="5"/>
  <c r="I701" i="5" s="1"/>
  <c r="S693" i="5"/>
  <c r="I700" i="5" s="1"/>
  <c r="Q693" i="5"/>
  <c r="I699" i="5" s="1"/>
  <c r="E693" i="5"/>
  <c r="D693" i="5"/>
  <c r="B693" i="5"/>
  <c r="A693" i="5"/>
  <c r="AA692" i="5"/>
  <c r="Z692" i="5"/>
  <c r="X692" i="5"/>
  <c r="I691" i="5"/>
  <c r="H691" i="5"/>
  <c r="G691" i="5"/>
  <c r="E691" i="5"/>
  <c r="K690" i="5"/>
  <c r="J690" i="5"/>
  <c r="I690" i="5"/>
  <c r="E690" i="5"/>
  <c r="K689" i="5"/>
  <c r="J689" i="5"/>
  <c r="E689" i="5"/>
  <c r="K688" i="5"/>
  <c r="J688" i="5"/>
  <c r="E688" i="5"/>
  <c r="K687" i="5"/>
  <c r="J687" i="5"/>
  <c r="I687" i="5"/>
  <c r="H687" i="5"/>
  <c r="G687" i="5"/>
  <c r="F687" i="5"/>
  <c r="K686" i="5"/>
  <c r="J686" i="5"/>
  <c r="W686" i="5"/>
  <c r="I686" i="5"/>
  <c r="H686" i="5"/>
  <c r="G686" i="5"/>
  <c r="F686" i="5"/>
  <c r="K685" i="5"/>
  <c r="J685" i="5"/>
  <c r="I685" i="5"/>
  <c r="H685" i="5"/>
  <c r="G685" i="5"/>
  <c r="F685" i="5"/>
  <c r="K684" i="5"/>
  <c r="J684" i="5"/>
  <c r="I684" i="5"/>
  <c r="H684" i="5"/>
  <c r="G684" i="5"/>
  <c r="F684" i="5"/>
  <c r="V683" i="5"/>
  <c r="T683" i="5"/>
  <c r="R683" i="5"/>
  <c r="U683" i="5"/>
  <c r="S683" i="5"/>
  <c r="I689" i="5" s="1"/>
  <c r="O692" i="5" s="1"/>
  <c r="Q683" i="5"/>
  <c r="I688" i="5" s="1"/>
  <c r="E683" i="5"/>
  <c r="D683" i="5"/>
  <c r="B683" i="5"/>
  <c r="A683" i="5"/>
  <c r="AA682" i="5"/>
  <c r="Z682" i="5"/>
  <c r="Y682" i="5"/>
  <c r="I681" i="5"/>
  <c r="H681" i="5"/>
  <c r="G681" i="5"/>
  <c r="E681" i="5"/>
  <c r="K680" i="5"/>
  <c r="J680" i="5"/>
  <c r="I680" i="5"/>
  <c r="E680" i="5"/>
  <c r="K679" i="5"/>
  <c r="J679" i="5"/>
  <c r="E679" i="5"/>
  <c r="K678" i="5"/>
  <c r="J678" i="5"/>
  <c r="E678" i="5"/>
  <c r="K677" i="5"/>
  <c r="J677" i="5"/>
  <c r="I677" i="5"/>
  <c r="H677" i="5"/>
  <c r="G677" i="5"/>
  <c r="F677" i="5"/>
  <c r="K676" i="5"/>
  <c r="J676" i="5"/>
  <c r="W676" i="5"/>
  <c r="I676" i="5"/>
  <c r="H676" i="5"/>
  <c r="G676" i="5"/>
  <c r="F676" i="5"/>
  <c r="K675" i="5"/>
  <c r="J675" i="5"/>
  <c r="I675" i="5"/>
  <c r="H675" i="5"/>
  <c r="G675" i="5"/>
  <c r="F675" i="5"/>
  <c r="K674" i="5"/>
  <c r="J674" i="5"/>
  <c r="I674" i="5"/>
  <c r="H674" i="5"/>
  <c r="G674" i="5"/>
  <c r="F674" i="5"/>
  <c r="V673" i="5"/>
  <c r="T673" i="5"/>
  <c r="R673" i="5"/>
  <c r="U673" i="5"/>
  <c r="S673" i="5"/>
  <c r="I679" i="5" s="1"/>
  <c r="Q673" i="5"/>
  <c r="I678" i="5" s="1"/>
  <c r="O682" i="5" s="1"/>
  <c r="E673" i="5"/>
  <c r="D673" i="5"/>
  <c r="B673" i="5"/>
  <c r="A673" i="5"/>
  <c r="AA672" i="5"/>
  <c r="Z672" i="5"/>
  <c r="Y672" i="5"/>
  <c r="I671" i="5"/>
  <c r="H671" i="5"/>
  <c r="G671" i="5"/>
  <c r="E671" i="5"/>
  <c r="K670" i="5"/>
  <c r="J670" i="5"/>
  <c r="I670" i="5"/>
  <c r="E670" i="5"/>
  <c r="K669" i="5"/>
  <c r="J669" i="5"/>
  <c r="E669" i="5"/>
  <c r="J668" i="5"/>
  <c r="E668" i="5"/>
  <c r="K667" i="5"/>
  <c r="J667" i="5"/>
  <c r="I667" i="5"/>
  <c r="H667" i="5"/>
  <c r="G667" i="5"/>
  <c r="F667" i="5"/>
  <c r="K666" i="5"/>
  <c r="J666" i="5"/>
  <c r="W666" i="5"/>
  <c r="I666" i="5"/>
  <c r="H666" i="5"/>
  <c r="G666" i="5"/>
  <c r="F666" i="5"/>
  <c r="K665" i="5"/>
  <c r="J665" i="5"/>
  <c r="I665" i="5"/>
  <c r="X672" i="5" s="1"/>
  <c r="H665" i="5"/>
  <c r="G665" i="5"/>
  <c r="F665" i="5"/>
  <c r="K664" i="5"/>
  <c r="J664" i="5"/>
  <c r="I664" i="5"/>
  <c r="H664" i="5"/>
  <c r="G664" i="5"/>
  <c r="F664" i="5"/>
  <c r="V663" i="5"/>
  <c r="T663" i="5"/>
  <c r="R663" i="5"/>
  <c r="K668" i="5" s="1"/>
  <c r="U663" i="5"/>
  <c r="S663" i="5"/>
  <c r="I669" i="5" s="1"/>
  <c r="O672" i="5" s="1"/>
  <c r="Q663" i="5"/>
  <c r="I668" i="5" s="1"/>
  <c r="E663" i="5"/>
  <c r="D663" i="5"/>
  <c r="B663" i="5"/>
  <c r="A663" i="5"/>
  <c r="AA662" i="5"/>
  <c r="Z662" i="5"/>
  <c r="Y662" i="5"/>
  <c r="I661" i="5"/>
  <c r="H661" i="5"/>
  <c r="G661" i="5"/>
  <c r="E661" i="5"/>
  <c r="K660" i="5"/>
  <c r="J660" i="5"/>
  <c r="I660" i="5"/>
  <c r="E660" i="5"/>
  <c r="K659" i="5"/>
  <c r="J659" i="5"/>
  <c r="E659" i="5"/>
  <c r="J658" i="5"/>
  <c r="E658" i="5"/>
  <c r="K657" i="5"/>
  <c r="J657" i="5"/>
  <c r="I657" i="5"/>
  <c r="H657" i="5"/>
  <c r="G657" i="5"/>
  <c r="F657" i="5"/>
  <c r="K656" i="5"/>
  <c r="J656" i="5"/>
  <c r="W656" i="5"/>
  <c r="I656" i="5"/>
  <c r="H656" i="5"/>
  <c r="G656" i="5"/>
  <c r="F656" i="5"/>
  <c r="K655" i="5"/>
  <c r="J655" i="5"/>
  <c r="I655" i="5"/>
  <c r="H655" i="5"/>
  <c r="G655" i="5"/>
  <c r="F655" i="5"/>
  <c r="K654" i="5"/>
  <c r="J654" i="5"/>
  <c r="I654" i="5"/>
  <c r="H654" i="5"/>
  <c r="G654" i="5"/>
  <c r="F654" i="5"/>
  <c r="V653" i="5"/>
  <c r="T653" i="5"/>
  <c r="R653" i="5"/>
  <c r="K658" i="5" s="1"/>
  <c r="U653" i="5"/>
  <c r="S653" i="5"/>
  <c r="I659" i="5" s="1"/>
  <c r="Q653" i="5"/>
  <c r="I658" i="5" s="1"/>
  <c r="O662" i="5" s="1"/>
  <c r="E653" i="5"/>
  <c r="D653" i="5"/>
  <c r="B653" i="5"/>
  <c r="A653" i="5"/>
  <c r="AA652" i="5"/>
  <c r="Z652" i="5"/>
  <c r="Y652" i="5"/>
  <c r="I651" i="5"/>
  <c r="H651" i="5"/>
  <c r="G651" i="5"/>
  <c r="E651" i="5"/>
  <c r="J650" i="5"/>
  <c r="E650" i="5"/>
  <c r="K649" i="5"/>
  <c r="J649" i="5"/>
  <c r="E649" i="5"/>
  <c r="K648" i="5"/>
  <c r="J648" i="5"/>
  <c r="E648" i="5"/>
  <c r="K647" i="5"/>
  <c r="J647" i="5"/>
  <c r="H647" i="5"/>
  <c r="AA647" i="5"/>
  <c r="Z647" i="5"/>
  <c r="Y647" i="5"/>
  <c r="I647" i="5"/>
  <c r="X647" i="5" s="1"/>
  <c r="F647" i="5"/>
  <c r="V647" i="5"/>
  <c r="T647" i="5"/>
  <c r="R647" i="5"/>
  <c r="U647" i="5"/>
  <c r="S647" i="5"/>
  <c r="Q647" i="5"/>
  <c r="E647" i="5"/>
  <c r="D647" i="5"/>
  <c r="B647" i="5"/>
  <c r="A647" i="5"/>
  <c r="K646" i="5"/>
  <c r="J646" i="5"/>
  <c r="H646" i="5"/>
  <c r="AA646" i="5"/>
  <c r="Z646" i="5"/>
  <c r="Y646" i="5"/>
  <c r="I646" i="5"/>
  <c r="X646" i="5" s="1"/>
  <c r="F646" i="5"/>
  <c r="V646" i="5"/>
  <c r="K650" i="5" s="1"/>
  <c r="T646" i="5"/>
  <c r="R646" i="5"/>
  <c r="U646" i="5"/>
  <c r="S646" i="5"/>
  <c r="I649" i="5" s="1"/>
  <c r="Q646" i="5"/>
  <c r="E646" i="5"/>
  <c r="D646" i="5"/>
  <c r="B646" i="5"/>
  <c r="A646" i="5"/>
  <c r="K645" i="5"/>
  <c r="J645" i="5"/>
  <c r="I645" i="5"/>
  <c r="O652" i="5" s="1"/>
  <c r="H645" i="5"/>
  <c r="G645" i="5"/>
  <c r="F645" i="5"/>
  <c r="K644" i="5"/>
  <c r="J644" i="5"/>
  <c r="I644" i="5"/>
  <c r="W644" i="5" s="1"/>
  <c r="H644" i="5"/>
  <c r="G644" i="5"/>
  <c r="F644" i="5"/>
  <c r="K643" i="5"/>
  <c r="J643" i="5"/>
  <c r="I643" i="5"/>
  <c r="H643" i="5"/>
  <c r="G643" i="5"/>
  <c r="F643" i="5"/>
  <c r="K642" i="5"/>
  <c r="J642" i="5"/>
  <c r="I642" i="5"/>
  <c r="H642" i="5"/>
  <c r="G642" i="5"/>
  <c r="F642" i="5"/>
  <c r="C641" i="5"/>
  <c r="V640" i="5"/>
  <c r="T640" i="5"/>
  <c r="R640" i="5"/>
  <c r="U640" i="5"/>
  <c r="I650" i="5" s="1"/>
  <c r="S640" i="5"/>
  <c r="Q640" i="5"/>
  <c r="I648" i="5" s="1"/>
  <c r="E640" i="5"/>
  <c r="D640" i="5"/>
  <c r="B640" i="5"/>
  <c r="A640" i="5"/>
  <c r="AA639" i="5"/>
  <c r="Z639" i="5"/>
  <c r="Y639" i="5"/>
  <c r="X639" i="5"/>
  <c r="O639" i="5"/>
  <c r="H639" i="5"/>
  <c r="K638" i="5"/>
  <c r="P639" i="5" s="1"/>
  <c r="J638" i="5"/>
  <c r="I638" i="5"/>
  <c r="H638" i="5"/>
  <c r="G638" i="5"/>
  <c r="F638" i="5"/>
  <c r="V637" i="5"/>
  <c r="T637" i="5"/>
  <c r="R637" i="5"/>
  <c r="U637" i="5"/>
  <c r="S637" i="5"/>
  <c r="Q637" i="5"/>
  <c r="E637" i="5"/>
  <c r="D637" i="5"/>
  <c r="B637" i="5"/>
  <c r="A637" i="5"/>
  <c r="AA636" i="5"/>
  <c r="Z636" i="5"/>
  <c r="Y636" i="5"/>
  <c r="X636" i="5"/>
  <c r="O636" i="5"/>
  <c r="H636" i="5"/>
  <c r="K635" i="5"/>
  <c r="P636" i="5" s="1"/>
  <c r="J635" i="5"/>
  <c r="I635" i="5"/>
  <c r="H635" i="5"/>
  <c r="G635" i="5"/>
  <c r="F635" i="5"/>
  <c r="V634" i="5"/>
  <c r="T634" i="5"/>
  <c r="R634" i="5"/>
  <c r="U634" i="5"/>
  <c r="S634" i="5"/>
  <c r="Q634" i="5"/>
  <c r="E634" i="5"/>
  <c r="D634" i="5"/>
  <c r="B634" i="5"/>
  <c r="A634" i="5"/>
  <c r="AA633" i="5"/>
  <c r="Z633" i="5"/>
  <c r="Y633" i="5"/>
  <c r="H633" i="5"/>
  <c r="I632" i="5"/>
  <c r="H632" i="5"/>
  <c r="G632" i="5"/>
  <c r="E632" i="5"/>
  <c r="K631" i="5"/>
  <c r="J631" i="5"/>
  <c r="E631" i="5"/>
  <c r="J630" i="5"/>
  <c r="E630" i="5"/>
  <c r="J629" i="5"/>
  <c r="E629" i="5"/>
  <c r="K628" i="5"/>
  <c r="J628" i="5"/>
  <c r="I628" i="5"/>
  <c r="H628" i="5"/>
  <c r="G628" i="5"/>
  <c r="F628" i="5"/>
  <c r="K627" i="5"/>
  <c r="J627" i="5"/>
  <c r="I627" i="5"/>
  <c r="W627" i="5" s="1"/>
  <c r="H627" i="5"/>
  <c r="G627" i="5"/>
  <c r="F627" i="5"/>
  <c r="K626" i="5"/>
  <c r="J626" i="5"/>
  <c r="I626" i="5"/>
  <c r="H626" i="5"/>
  <c r="G626" i="5"/>
  <c r="F626" i="5"/>
  <c r="K625" i="5"/>
  <c r="J625" i="5"/>
  <c r="W625" i="5"/>
  <c r="I625" i="5"/>
  <c r="H625" i="5"/>
  <c r="G625" i="5"/>
  <c r="F625" i="5"/>
  <c r="C624" i="5"/>
  <c r="V623" i="5"/>
  <c r="T623" i="5"/>
  <c r="K630" i="5" s="1"/>
  <c r="R623" i="5"/>
  <c r="K629" i="5" s="1"/>
  <c r="U623" i="5"/>
  <c r="I631" i="5" s="1"/>
  <c r="S623" i="5"/>
  <c r="I630" i="5" s="1"/>
  <c r="Q623" i="5"/>
  <c r="I629" i="5" s="1"/>
  <c r="E623" i="5"/>
  <c r="D623" i="5"/>
  <c r="B623" i="5"/>
  <c r="A623" i="5"/>
  <c r="AA622" i="5"/>
  <c r="Z622" i="5"/>
  <c r="Y622" i="5"/>
  <c r="I621" i="5"/>
  <c r="H621" i="5"/>
  <c r="G621" i="5"/>
  <c r="E621" i="5"/>
  <c r="K620" i="5"/>
  <c r="J620" i="5"/>
  <c r="E620" i="5"/>
  <c r="K619" i="5"/>
  <c r="J619" i="5"/>
  <c r="E619" i="5"/>
  <c r="K618" i="5"/>
  <c r="J618" i="5"/>
  <c r="E618" i="5"/>
  <c r="K617" i="5"/>
  <c r="J617" i="5"/>
  <c r="H617" i="5"/>
  <c r="AA617" i="5"/>
  <c r="Z617" i="5"/>
  <c r="Y617" i="5"/>
  <c r="I617" i="5"/>
  <c r="X617" i="5" s="1"/>
  <c r="F617" i="5"/>
  <c r="V617" i="5"/>
  <c r="T617" i="5"/>
  <c r="R617" i="5"/>
  <c r="U617" i="5"/>
  <c r="S617" i="5"/>
  <c r="Q617" i="5"/>
  <c r="I618" i="5" s="1"/>
  <c r="E617" i="5"/>
  <c r="D617" i="5"/>
  <c r="B617" i="5"/>
  <c r="A617" i="5"/>
  <c r="K616" i="5"/>
  <c r="J616" i="5"/>
  <c r="I616" i="5"/>
  <c r="W616" i="5" s="1"/>
  <c r="H616" i="5"/>
  <c r="G616" i="5"/>
  <c r="F616" i="5"/>
  <c r="K615" i="5"/>
  <c r="J615" i="5"/>
  <c r="I615" i="5"/>
  <c r="H615" i="5"/>
  <c r="G615" i="5"/>
  <c r="F615" i="5"/>
  <c r="K614" i="5"/>
  <c r="J614" i="5"/>
  <c r="I614" i="5"/>
  <c r="H614" i="5"/>
  <c r="G614" i="5"/>
  <c r="F614" i="5"/>
  <c r="C613" i="5"/>
  <c r="V612" i="5"/>
  <c r="T612" i="5"/>
  <c r="R612" i="5"/>
  <c r="U612" i="5"/>
  <c r="S612" i="5"/>
  <c r="I619" i="5" s="1"/>
  <c r="Q612" i="5"/>
  <c r="E612" i="5"/>
  <c r="D612" i="5"/>
  <c r="B612" i="5"/>
  <c r="A612" i="5"/>
  <c r="AA611" i="5"/>
  <c r="Z611" i="5"/>
  <c r="Y611" i="5"/>
  <c r="I610" i="5"/>
  <c r="H610" i="5"/>
  <c r="G610" i="5"/>
  <c r="E610" i="5"/>
  <c r="J609" i="5"/>
  <c r="I609" i="5"/>
  <c r="E609" i="5"/>
  <c r="J608" i="5"/>
  <c r="I608" i="5"/>
  <c r="E608" i="5"/>
  <c r="J607" i="5"/>
  <c r="E607" i="5"/>
  <c r="K606" i="5"/>
  <c r="J606" i="5"/>
  <c r="H606" i="5"/>
  <c r="AA606" i="5"/>
  <c r="Z606" i="5"/>
  <c r="Y606" i="5"/>
  <c r="X606" i="5"/>
  <c r="I606" i="5"/>
  <c r="F606" i="5"/>
  <c r="V606" i="5"/>
  <c r="T606" i="5"/>
  <c r="R606" i="5"/>
  <c r="U606" i="5"/>
  <c r="S606" i="5"/>
  <c r="Q606" i="5"/>
  <c r="I607" i="5" s="1"/>
  <c r="H611" i="5" s="1"/>
  <c r="E606" i="5"/>
  <c r="D606" i="5"/>
  <c r="B606" i="5"/>
  <c r="A606" i="5"/>
  <c r="K605" i="5"/>
  <c r="J605" i="5"/>
  <c r="I605" i="5"/>
  <c r="W605" i="5" s="1"/>
  <c r="H605" i="5"/>
  <c r="G605" i="5"/>
  <c r="F605" i="5"/>
  <c r="K604" i="5"/>
  <c r="P611" i="5" s="1"/>
  <c r="J604" i="5"/>
  <c r="I604" i="5"/>
  <c r="H604" i="5"/>
  <c r="G604" i="5"/>
  <c r="F604" i="5"/>
  <c r="K603" i="5"/>
  <c r="J603" i="5"/>
  <c r="W603" i="5"/>
  <c r="I603" i="5"/>
  <c r="H603" i="5"/>
  <c r="G603" i="5"/>
  <c r="F603" i="5"/>
  <c r="C602" i="5"/>
  <c r="V601" i="5"/>
  <c r="K609" i="5" s="1"/>
  <c r="T601" i="5"/>
  <c r="K608" i="5" s="1"/>
  <c r="R601" i="5"/>
  <c r="K607" i="5" s="1"/>
  <c r="U601" i="5"/>
  <c r="S601" i="5"/>
  <c r="Q601" i="5"/>
  <c r="E601" i="5"/>
  <c r="D601" i="5"/>
  <c r="B601" i="5"/>
  <c r="A601" i="5"/>
  <c r="AA600" i="5"/>
  <c r="Z600" i="5"/>
  <c r="Y600" i="5"/>
  <c r="I599" i="5"/>
  <c r="H599" i="5"/>
  <c r="G599" i="5"/>
  <c r="E599" i="5"/>
  <c r="K598" i="5"/>
  <c r="J598" i="5"/>
  <c r="E598" i="5"/>
  <c r="K597" i="5"/>
  <c r="J597" i="5"/>
  <c r="I597" i="5"/>
  <c r="E597" i="5"/>
  <c r="K596" i="5"/>
  <c r="J596" i="5"/>
  <c r="E596" i="5"/>
  <c r="K595" i="5"/>
  <c r="J595" i="5"/>
  <c r="I595" i="5"/>
  <c r="W595" i="5" s="1"/>
  <c r="H595" i="5"/>
  <c r="G595" i="5"/>
  <c r="F595" i="5"/>
  <c r="K594" i="5"/>
  <c r="P600" i="5" s="1"/>
  <c r="J594" i="5"/>
  <c r="I594" i="5"/>
  <c r="H594" i="5"/>
  <c r="G594" i="5"/>
  <c r="F594" i="5"/>
  <c r="K593" i="5"/>
  <c r="J593" i="5"/>
  <c r="I593" i="5"/>
  <c r="H593" i="5"/>
  <c r="G593" i="5"/>
  <c r="F593" i="5"/>
  <c r="C592" i="5"/>
  <c r="V591" i="5"/>
  <c r="T591" i="5"/>
  <c r="R591" i="5"/>
  <c r="U591" i="5"/>
  <c r="I598" i="5" s="1"/>
  <c r="S591" i="5"/>
  <c r="Q591" i="5"/>
  <c r="I596" i="5" s="1"/>
  <c r="E591" i="5"/>
  <c r="D591" i="5"/>
  <c r="B591" i="5"/>
  <c r="A591" i="5"/>
  <c r="A590" i="5"/>
  <c r="H588" i="5"/>
  <c r="J588" i="5"/>
  <c r="H587" i="5"/>
  <c r="J587" i="5"/>
  <c r="A586" i="5"/>
  <c r="AA584" i="5"/>
  <c r="Z584" i="5"/>
  <c r="Y584" i="5"/>
  <c r="I583" i="5"/>
  <c r="H583" i="5"/>
  <c r="G583" i="5"/>
  <c r="E583" i="5"/>
  <c r="J582" i="5"/>
  <c r="E582" i="5"/>
  <c r="J581" i="5"/>
  <c r="E581" i="5"/>
  <c r="J580" i="5"/>
  <c r="E580" i="5"/>
  <c r="K579" i="5"/>
  <c r="J579" i="5"/>
  <c r="H579" i="5"/>
  <c r="AA579" i="5"/>
  <c r="Z579" i="5"/>
  <c r="Y579" i="5"/>
  <c r="I579" i="5"/>
  <c r="X579" i="5" s="1"/>
  <c r="F579" i="5"/>
  <c r="V579" i="5"/>
  <c r="T579" i="5"/>
  <c r="R579" i="5"/>
  <c r="U579" i="5"/>
  <c r="S579" i="5"/>
  <c r="Q579" i="5"/>
  <c r="E579" i="5"/>
  <c r="D579" i="5"/>
  <c r="B579" i="5"/>
  <c r="A579" i="5"/>
  <c r="K578" i="5"/>
  <c r="J578" i="5"/>
  <c r="H578" i="5"/>
  <c r="AA578" i="5"/>
  <c r="Z578" i="5"/>
  <c r="Y578" i="5"/>
  <c r="X578" i="5"/>
  <c r="I578" i="5"/>
  <c r="F578" i="5"/>
  <c r="V578" i="5"/>
  <c r="T578" i="5"/>
  <c r="R578" i="5"/>
  <c r="U578" i="5"/>
  <c r="S578" i="5"/>
  <c r="Q578" i="5"/>
  <c r="E578" i="5"/>
  <c r="D578" i="5"/>
  <c r="B578" i="5"/>
  <c r="A578" i="5"/>
  <c r="K577" i="5"/>
  <c r="J577" i="5"/>
  <c r="H577" i="5"/>
  <c r="AA577" i="5"/>
  <c r="Z577" i="5"/>
  <c r="Y577" i="5"/>
  <c r="I577" i="5"/>
  <c r="X577" i="5" s="1"/>
  <c r="F577" i="5"/>
  <c r="V577" i="5"/>
  <c r="T577" i="5"/>
  <c r="R577" i="5"/>
  <c r="K580" i="5" s="1"/>
  <c r="U577" i="5"/>
  <c r="S577" i="5"/>
  <c r="Q577" i="5"/>
  <c r="E577" i="5"/>
  <c r="D577" i="5"/>
  <c r="B577" i="5"/>
  <c r="A577" i="5"/>
  <c r="K576" i="5"/>
  <c r="J576" i="5"/>
  <c r="I576" i="5"/>
  <c r="H576" i="5"/>
  <c r="G576" i="5"/>
  <c r="F576" i="5"/>
  <c r="K575" i="5"/>
  <c r="J575" i="5"/>
  <c r="W575" i="5"/>
  <c r="I575" i="5"/>
  <c r="H575" i="5"/>
  <c r="G575" i="5"/>
  <c r="F575" i="5"/>
  <c r="K574" i="5"/>
  <c r="J574" i="5"/>
  <c r="I574" i="5"/>
  <c r="H574" i="5"/>
  <c r="G574" i="5"/>
  <c r="F574" i="5"/>
  <c r="K573" i="5"/>
  <c r="J573" i="5"/>
  <c r="I573" i="5"/>
  <c r="W573" i="5" s="1"/>
  <c r="H573" i="5"/>
  <c r="G573" i="5"/>
  <c r="F573" i="5"/>
  <c r="C572" i="5"/>
  <c r="V571" i="5"/>
  <c r="T571" i="5"/>
  <c r="K581" i="5" s="1"/>
  <c r="R571" i="5"/>
  <c r="U571" i="5"/>
  <c r="I582" i="5" s="1"/>
  <c r="S571" i="5"/>
  <c r="Q571" i="5"/>
  <c r="I580" i="5" s="1"/>
  <c r="E571" i="5"/>
  <c r="D571" i="5"/>
  <c r="B571" i="5"/>
  <c r="A571" i="5"/>
  <c r="AA570" i="5"/>
  <c r="Z570" i="5"/>
  <c r="Y570" i="5"/>
  <c r="I569" i="5"/>
  <c r="H569" i="5"/>
  <c r="G569" i="5"/>
  <c r="E569" i="5"/>
  <c r="J568" i="5"/>
  <c r="I568" i="5"/>
  <c r="E568" i="5"/>
  <c r="J567" i="5"/>
  <c r="I567" i="5"/>
  <c r="E567" i="5"/>
  <c r="J566" i="5"/>
  <c r="E566" i="5"/>
  <c r="K565" i="5"/>
  <c r="J565" i="5"/>
  <c r="H565" i="5"/>
  <c r="AA565" i="5"/>
  <c r="Z565" i="5"/>
  <c r="Y565" i="5"/>
  <c r="X565" i="5"/>
  <c r="I565" i="5"/>
  <c r="F565" i="5"/>
  <c r="V565" i="5"/>
  <c r="T565" i="5"/>
  <c r="R565" i="5"/>
  <c r="U565" i="5"/>
  <c r="S565" i="5"/>
  <c r="Q565" i="5"/>
  <c r="I566" i="5" s="1"/>
  <c r="X570" i="5" s="1"/>
  <c r="E565" i="5"/>
  <c r="D565" i="5"/>
  <c r="B565" i="5"/>
  <c r="A565" i="5"/>
  <c r="K564" i="5"/>
  <c r="J564" i="5"/>
  <c r="H564" i="5"/>
  <c r="AA564" i="5"/>
  <c r="Z564" i="5"/>
  <c r="Y564" i="5"/>
  <c r="I564" i="5"/>
  <c r="X564" i="5" s="1"/>
  <c r="F564" i="5"/>
  <c r="V564" i="5"/>
  <c r="T564" i="5"/>
  <c r="R564" i="5"/>
  <c r="U564" i="5"/>
  <c r="S564" i="5"/>
  <c r="Q564" i="5"/>
  <c r="E564" i="5"/>
  <c r="D564" i="5"/>
  <c r="B564" i="5"/>
  <c r="A564" i="5"/>
  <c r="K563" i="5"/>
  <c r="J563" i="5"/>
  <c r="I563" i="5"/>
  <c r="H563" i="5"/>
  <c r="G563" i="5"/>
  <c r="F563" i="5"/>
  <c r="K562" i="5"/>
  <c r="J562" i="5"/>
  <c r="I562" i="5"/>
  <c r="W562" i="5" s="1"/>
  <c r="H562" i="5"/>
  <c r="G562" i="5"/>
  <c r="F562" i="5"/>
  <c r="K561" i="5"/>
  <c r="J561" i="5"/>
  <c r="I561" i="5"/>
  <c r="H561" i="5"/>
  <c r="G561" i="5"/>
  <c r="F561" i="5"/>
  <c r="K560" i="5"/>
  <c r="J560" i="5"/>
  <c r="W560" i="5"/>
  <c r="I560" i="5"/>
  <c r="H560" i="5"/>
  <c r="G560" i="5"/>
  <c r="F560" i="5"/>
  <c r="C559" i="5"/>
  <c r="V558" i="5"/>
  <c r="K568" i="5" s="1"/>
  <c r="T558" i="5"/>
  <c r="R558" i="5"/>
  <c r="K566" i="5" s="1"/>
  <c r="U558" i="5"/>
  <c r="S558" i="5"/>
  <c r="Q558" i="5"/>
  <c r="E558" i="5"/>
  <c r="D558" i="5"/>
  <c r="B558" i="5"/>
  <c r="A558" i="5"/>
  <c r="AA557" i="5"/>
  <c r="Z557" i="5"/>
  <c r="Y557" i="5"/>
  <c r="I556" i="5"/>
  <c r="H556" i="5"/>
  <c r="G556" i="5"/>
  <c r="E556" i="5"/>
  <c r="K555" i="5"/>
  <c r="J555" i="5"/>
  <c r="E555" i="5"/>
  <c r="K554" i="5"/>
  <c r="J554" i="5"/>
  <c r="I554" i="5"/>
  <c r="E554" i="5"/>
  <c r="K553" i="5"/>
  <c r="J553" i="5"/>
  <c r="I553" i="5"/>
  <c r="H553" i="5"/>
  <c r="G553" i="5"/>
  <c r="F553" i="5"/>
  <c r="C552" i="5"/>
  <c r="V551" i="5"/>
  <c r="T551" i="5"/>
  <c r="R551" i="5"/>
  <c r="U551" i="5"/>
  <c r="S551" i="5"/>
  <c r="I555" i="5" s="1"/>
  <c r="O557" i="5" s="1"/>
  <c r="Q551" i="5"/>
  <c r="E551" i="5"/>
  <c r="D551" i="5"/>
  <c r="B551" i="5"/>
  <c r="A551" i="5"/>
  <c r="A550" i="5"/>
  <c r="H548" i="5"/>
  <c r="J548" i="5"/>
  <c r="H547" i="5"/>
  <c r="J547" i="5"/>
  <c r="AL546" i="5"/>
  <c r="A546" i="5"/>
  <c r="AA544" i="5"/>
  <c r="Z544" i="5"/>
  <c r="Y544" i="5"/>
  <c r="X544" i="5"/>
  <c r="O544" i="5"/>
  <c r="H544" i="5"/>
  <c r="K543" i="5"/>
  <c r="J543" i="5"/>
  <c r="I543" i="5"/>
  <c r="H543" i="5"/>
  <c r="G543" i="5"/>
  <c r="F543" i="5"/>
  <c r="V542" i="5"/>
  <c r="T542" i="5"/>
  <c r="R542" i="5"/>
  <c r="U542" i="5"/>
  <c r="S542" i="5"/>
  <c r="Q542" i="5"/>
  <c r="E542" i="5"/>
  <c r="D542" i="5"/>
  <c r="B542" i="5"/>
  <c r="A542" i="5"/>
  <c r="AA541" i="5"/>
  <c r="Z541" i="5"/>
  <c r="Y541" i="5"/>
  <c r="X541" i="5"/>
  <c r="O541" i="5"/>
  <c r="H541" i="5"/>
  <c r="K540" i="5"/>
  <c r="J540" i="5"/>
  <c r="I540" i="5"/>
  <c r="H540" i="5"/>
  <c r="G540" i="5"/>
  <c r="F540" i="5"/>
  <c r="V539" i="5"/>
  <c r="T539" i="5"/>
  <c r="R539" i="5"/>
  <c r="U539" i="5"/>
  <c r="S539" i="5"/>
  <c r="Q539" i="5"/>
  <c r="E539" i="5"/>
  <c r="D539" i="5"/>
  <c r="B539" i="5"/>
  <c r="A539" i="5"/>
  <c r="AA538" i="5"/>
  <c r="Z538" i="5"/>
  <c r="Y538" i="5"/>
  <c r="J537" i="5"/>
  <c r="E537" i="5"/>
  <c r="K536" i="5"/>
  <c r="J536" i="5"/>
  <c r="I536" i="5"/>
  <c r="W536" i="5" s="1"/>
  <c r="H536" i="5"/>
  <c r="G536" i="5"/>
  <c r="F536" i="5"/>
  <c r="K535" i="5"/>
  <c r="J535" i="5"/>
  <c r="I535" i="5"/>
  <c r="H538" i="5" s="1"/>
  <c r="H535" i="5"/>
  <c r="G535" i="5"/>
  <c r="F535" i="5"/>
  <c r="V534" i="5"/>
  <c r="K537" i="5" s="1"/>
  <c r="T534" i="5"/>
  <c r="R534" i="5"/>
  <c r="U534" i="5"/>
  <c r="I537" i="5" s="1"/>
  <c r="S534" i="5"/>
  <c r="Q534" i="5"/>
  <c r="E534" i="5"/>
  <c r="D534" i="5"/>
  <c r="B534" i="5"/>
  <c r="A534" i="5"/>
  <c r="AA533" i="5"/>
  <c r="Z533" i="5"/>
  <c r="Y533" i="5"/>
  <c r="J532" i="5"/>
  <c r="I532" i="5"/>
  <c r="H533" i="5" s="1"/>
  <c r="E532" i="5"/>
  <c r="K531" i="5"/>
  <c r="J531" i="5"/>
  <c r="W531" i="5"/>
  <c r="I531" i="5"/>
  <c r="H531" i="5"/>
  <c r="G531" i="5"/>
  <c r="F531" i="5"/>
  <c r="K530" i="5"/>
  <c r="J530" i="5"/>
  <c r="I530" i="5"/>
  <c r="H530" i="5"/>
  <c r="G530" i="5"/>
  <c r="F530" i="5"/>
  <c r="C529" i="5"/>
  <c r="V528" i="5"/>
  <c r="K532" i="5" s="1"/>
  <c r="P533" i="5" s="1"/>
  <c r="T528" i="5"/>
  <c r="R528" i="5"/>
  <c r="U528" i="5"/>
  <c r="S528" i="5"/>
  <c r="Q528" i="5"/>
  <c r="E528" i="5"/>
  <c r="D528" i="5"/>
  <c r="B528" i="5"/>
  <c r="A528" i="5"/>
  <c r="AA527" i="5"/>
  <c r="Z527" i="5"/>
  <c r="Y527" i="5"/>
  <c r="I526" i="5"/>
  <c r="H526" i="5"/>
  <c r="G526" i="5"/>
  <c r="E526" i="5"/>
  <c r="J525" i="5"/>
  <c r="I525" i="5"/>
  <c r="E525" i="5"/>
  <c r="J524" i="5"/>
  <c r="E524" i="5"/>
  <c r="K523" i="5"/>
  <c r="J523" i="5"/>
  <c r="E523" i="5"/>
  <c r="K522" i="5"/>
  <c r="J522" i="5"/>
  <c r="W522" i="5"/>
  <c r="I522" i="5"/>
  <c r="H522" i="5"/>
  <c r="G522" i="5"/>
  <c r="F522" i="5"/>
  <c r="K521" i="5"/>
  <c r="J521" i="5"/>
  <c r="I521" i="5"/>
  <c r="H521" i="5"/>
  <c r="G521" i="5"/>
  <c r="F521" i="5"/>
  <c r="K520" i="5"/>
  <c r="J520" i="5"/>
  <c r="I520" i="5"/>
  <c r="H520" i="5"/>
  <c r="G520" i="5"/>
  <c r="F520" i="5"/>
  <c r="C519" i="5"/>
  <c r="V518" i="5"/>
  <c r="K525" i="5" s="1"/>
  <c r="T518" i="5"/>
  <c r="K524" i="5" s="1"/>
  <c r="R518" i="5"/>
  <c r="U518" i="5"/>
  <c r="S518" i="5"/>
  <c r="I524" i="5" s="1"/>
  <c r="Q518" i="5"/>
  <c r="I523" i="5" s="1"/>
  <c r="E518" i="5"/>
  <c r="D518" i="5"/>
  <c r="B518" i="5"/>
  <c r="A518" i="5"/>
  <c r="AA517" i="5"/>
  <c r="Z517" i="5"/>
  <c r="Y517" i="5"/>
  <c r="I516" i="5"/>
  <c r="H516" i="5"/>
  <c r="G516" i="5"/>
  <c r="E516" i="5"/>
  <c r="J515" i="5"/>
  <c r="I515" i="5"/>
  <c r="E515" i="5"/>
  <c r="J514" i="5"/>
  <c r="I514" i="5"/>
  <c r="E514" i="5"/>
  <c r="J513" i="5"/>
  <c r="E513" i="5"/>
  <c r="K512" i="5"/>
  <c r="J512" i="5"/>
  <c r="W512" i="5"/>
  <c r="I512" i="5"/>
  <c r="H512" i="5"/>
  <c r="G512" i="5"/>
  <c r="F512" i="5"/>
  <c r="K511" i="5"/>
  <c r="J511" i="5"/>
  <c r="I511" i="5"/>
  <c r="H511" i="5"/>
  <c r="G511" i="5"/>
  <c r="F511" i="5"/>
  <c r="K510" i="5"/>
  <c r="J510" i="5"/>
  <c r="W510" i="5"/>
  <c r="I510" i="5"/>
  <c r="H510" i="5"/>
  <c r="G510" i="5"/>
  <c r="F510" i="5"/>
  <c r="C509" i="5"/>
  <c r="V508" i="5"/>
  <c r="K515" i="5" s="1"/>
  <c r="T508" i="5"/>
  <c r="K514" i="5" s="1"/>
  <c r="J517" i="5" s="1"/>
  <c r="R508" i="5"/>
  <c r="K513" i="5" s="1"/>
  <c r="U508" i="5"/>
  <c r="S508" i="5"/>
  <c r="Q508" i="5"/>
  <c r="I513" i="5" s="1"/>
  <c r="X517" i="5" s="1"/>
  <c r="E508" i="5"/>
  <c r="D508" i="5"/>
  <c r="B508" i="5"/>
  <c r="A508" i="5"/>
  <c r="A507" i="5"/>
  <c r="H505" i="5"/>
  <c r="J505" i="5"/>
  <c r="H504" i="5"/>
  <c r="J504" i="5"/>
  <c r="AL503" i="5"/>
  <c r="A503" i="5"/>
  <c r="Z501" i="5"/>
  <c r="Y501" i="5"/>
  <c r="X501" i="5"/>
  <c r="P501" i="5"/>
  <c r="J501" i="5"/>
  <c r="K500" i="5"/>
  <c r="J500" i="5"/>
  <c r="I500" i="5"/>
  <c r="H500" i="5"/>
  <c r="G500" i="5"/>
  <c r="F500" i="5"/>
  <c r="V499" i="5"/>
  <c r="T499" i="5"/>
  <c r="R499" i="5"/>
  <c r="U499" i="5"/>
  <c r="S499" i="5"/>
  <c r="Q499" i="5"/>
  <c r="E499" i="5"/>
  <c r="D499" i="5"/>
  <c r="B499" i="5"/>
  <c r="A499" i="5"/>
  <c r="Z498" i="5"/>
  <c r="Y498" i="5"/>
  <c r="X498" i="5"/>
  <c r="P498" i="5"/>
  <c r="J498" i="5"/>
  <c r="K497" i="5"/>
  <c r="J497" i="5"/>
  <c r="I497" i="5"/>
  <c r="H497" i="5"/>
  <c r="G497" i="5"/>
  <c r="F497" i="5"/>
  <c r="V496" i="5"/>
  <c r="T496" i="5"/>
  <c r="R496" i="5"/>
  <c r="U496" i="5"/>
  <c r="S496" i="5"/>
  <c r="Q496" i="5"/>
  <c r="E496" i="5"/>
  <c r="D496" i="5"/>
  <c r="B496" i="5"/>
  <c r="A496" i="5"/>
  <c r="Z495" i="5"/>
  <c r="Y495" i="5"/>
  <c r="X495" i="5"/>
  <c r="P495" i="5"/>
  <c r="J495" i="5"/>
  <c r="K494" i="5"/>
  <c r="J494" i="5"/>
  <c r="I494" i="5"/>
  <c r="H494" i="5"/>
  <c r="G494" i="5"/>
  <c r="F494" i="5"/>
  <c r="V493" i="5"/>
  <c r="T493" i="5"/>
  <c r="R493" i="5"/>
  <c r="U493" i="5"/>
  <c r="S493" i="5"/>
  <c r="Q493" i="5"/>
  <c r="E493" i="5"/>
  <c r="D493" i="5"/>
  <c r="B493" i="5"/>
  <c r="A493" i="5"/>
  <c r="AA492" i="5"/>
  <c r="Z492" i="5"/>
  <c r="Y492" i="5"/>
  <c r="H492" i="5"/>
  <c r="J492" i="5"/>
  <c r="J491" i="5"/>
  <c r="I491" i="5"/>
  <c r="E491" i="5"/>
  <c r="K490" i="5"/>
  <c r="J490" i="5"/>
  <c r="W490" i="5"/>
  <c r="I490" i="5"/>
  <c r="H490" i="5"/>
  <c r="G490" i="5"/>
  <c r="F490" i="5"/>
  <c r="K489" i="5"/>
  <c r="P492" i="5" s="1"/>
  <c r="J489" i="5"/>
  <c r="I489" i="5"/>
  <c r="H489" i="5"/>
  <c r="G489" i="5"/>
  <c r="F489" i="5"/>
  <c r="V488" i="5"/>
  <c r="K491" i="5" s="1"/>
  <c r="T488" i="5"/>
  <c r="R488" i="5"/>
  <c r="U488" i="5"/>
  <c r="S488" i="5"/>
  <c r="Q488" i="5"/>
  <c r="E488" i="5"/>
  <c r="D488" i="5"/>
  <c r="B488" i="5"/>
  <c r="A488" i="5"/>
  <c r="AA487" i="5"/>
  <c r="Z487" i="5"/>
  <c r="Y487" i="5"/>
  <c r="I486" i="5"/>
  <c r="H486" i="5"/>
  <c r="G486" i="5"/>
  <c r="E486" i="5"/>
  <c r="K485" i="5"/>
  <c r="J485" i="5"/>
  <c r="E485" i="5"/>
  <c r="K484" i="5"/>
  <c r="J484" i="5"/>
  <c r="E484" i="5"/>
  <c r="J483" i="5"/>
  <c r="E483" i="5"/>
  <c r="K482" i="5"/>
  <c r="J482" i="5"/>
  <c r="H482" i="5"/>
  <c r="AA482" i="5"/>
  <c r="Z482" i="5"/>
  <c r="Y482" i="5"/>
  <c r="X482" i="5"/>
  <c r="I482" i="5"/>
  <c r="F482" i="5"/>
  <c r="V482" i="5"/>
  <c r="T482" i="5"/>
  <c r="R482" i="5"/>
  <c r="U482" i="5"/>
  <c r="I485" i="5" s="1"/>
  <c r="S482" i="5"/>
  <c r="Q482" i="5"/>
  <c r="I483" i="5" s="1"/>
  <c r="X487" i="5" s="1"/>
  <c r="E482" i="5"/>
  <c r="D482" i="5"/>
  <c r="B482" i="5"/>
  <c r="A482" i="5"/>
  <c r="K481" i="5"/>
  <c r="J481" i="5"/>
  <c r="I481" i="5"/>
  <c r="H481" i="5"/>
  <c r="G481" i="5"/>
  <c r="F481" i="5"/>
  <c r="K480" i="5"/>
  <c r="J480" i="5"/>
  <c r="I480" i="5"/>
  <c r="W480" i="5" s="1"/>
  <c r="H480" i="5"/>
  <c r="G480" i="5"/>
  <c r="F480" i="5"/>
  <c r="K479" i="5"/>
  <c r="J479" i="5"/>
  <c r="I479" i="5"/>
  <c r="H479" i="5"/>
  <c r="G479" i="5"/>
  <c r="F479" i="5"/>
  <c r="K478" i="5"/>
  <c r="J478" i="5"/>
  <c r="W478" i="5"/>
  <c r="I478" i="5"/>
  <c r="H478" i="5"/>
  <c r="G478" i="5"/>
  <c r="F478" i="5"/>
  <c r="C477" i="5"/>
  <c r="V476" i="5"/>
  <c r="T476" i="5"/>
  <c r="R476" i="5"/>
  <c r="K483" i="5" s="1"/>
  <c r="U476" i="5"/>
  <c r="S476" i="5"/>
  <c r="I484" i="5" s="1"/>
  <c r="Q476" i="5"/>
  <c r="E476" i="5"/>
  <c r="D476" i="5"/>
  <c r="B476" i="5"/>
  <c r="A476" i="5"/>
  <c r="AA475" i="5"/>
  <c r="Z475" i="5"/>
  <c r="Y475" i="5"/>
  <c r="I474" i="5"/>
  <c r="H474" i="5"/>
  <c r="G474" i="5"/>
  <c r="E474" i="5"/>
  <c r="J473" i="5"/>
  <c r="E473" i="5"/>
  <c r="J472" i="5"/>
  <c r="E472" i="5"/>
  <c r="J471" i="5"/>
  <c r="E471" i="5"/>
  <c r="K470" i="5"/>
  <c r="J470" i="5"/>
  <c r="H470" i="5"/>
  <c r="AA470" i="5"/>
  <c r="Z470" i="5"/>
  <c r="Y470" i="5"/>
  <c r="I470" i="5"/>
  <c r="X470" i="5" s="1"/>
  <c r="F470" i="5"/>
  <c r="V470" i="5"/>
  <c r="T470" i="5"/>
  <c r="R470" i="5"/>
  <c r="U470" i="5"/>
  <c r="S470" i="5"/>
  <c r="Q470" i="5"/>
  <c r="E470" i="5"/>
  <c r="D470" i="5"/>
  <c r="B470" i="5"/>
  <c r="A470" i="5"/>
  <c r="K469" i="5"/>
  <c r="J469" i="5"/>
  <c r="H469" i="5"/>
  <c r="AA469" i="5"/>
  <c r="Z469" i="5"/>
  <c r="Y469" i="5"/>
  <c r="I469" i="5"/>
  <c r="X469" i="5" s="1"/>
  <c r="F469" i="5"/>
  <c r="V469" i="5"/>
  <c r="T469" i="5"/>
  <c r="R469" i="5"/>
  <c r="U469" i="5"/>
  <c r="S469" i="5"/>
  <c r="Q469" i="5"/>
  <c r="E469" i="5"/>
  <c r="D469" i="5"/>
  <c r="B469" i="5"/>
  <c r="A469" i="5"/>
  <c r="K468" i="5"/>
  <c r="J468" i="5"/>
  <c r="H468" i="5"/>
  <c r="AA468" i="5"/>
  <c r="Z468" i="5"/>
  <c r="Y468" i="5"/>
  <c r="X468" i="5"/>
  <c r="I468" i="5"/>
  <c r="F468" i="5"/>
  <c r="V468" i="5"/>
  <c r="T468" i="5"/>
  <c r="K472" i="5" s="1"/>
  <c r="R468" i="5"/>
  <c r="U468" i="5"/>
  <c r="S468" i="5"/>
  <c r="Q468" i="5"/>
  <c r="I471" i="5" s="1"/>
  <c r="E468" i="5"/>
  <c r="D468" i="5"/>
  <c r="B468" i="5"/>
  <c r="A468" i="5"/>
  <c r="K467" i="5"/>
  <c r="J467" i="5"/>
  <c r="I467" i="5"/>
  <c r="H467" i="5"/>
  <c r="G467" i="5"/>
  <c r="F467" i="5"/>
  <c r="K466" i="5"/>
  <c r="J466" i="5"/>
  <c r="I466" i="5"/>
  <c r="W466" i="5" s="1"/>
  <c r="H466" i="5"/>
  <c r="G466" i="5"/>
  <c r="F466" i="5"/>
  <c r="K465" i="5"/>
  <c r="J465" i="5"/>
  <c r="I465" i="5"/>
  <c r="H465" i="5"/>
  <c r="G465" i="5"/>
  <c r="F465" i="5"/>
  <c r="K464" i="5"/>
  <c r="J464" i="5"/>
  <c r="I464" i="5"/>
  <c r="O475" i="5" s="1"/>
  <c r="H464" i="5"/>
  <c r="G464" i="5"/>
  <c r="F464" i="5"/>
  <c r="C463" i="5"/>
  <c r="V462" i="5"/>
  <c r="K473" i="5" s="1"/>
  <c r="T462" i="5"/>
  <c r="R462" i="5"/>
  <c r="K471" i="5" s="1"/>
  <c r="J475" i="5" s="1"/>
  <c r="U462" i="5"/>
  <c r="I473" i="5" s="1"/>
  <c r="S462" i="5"/>
  <c r="I472" i="5" s="1"/>
  <c r="Q462" i="5"/>
  <c r="E462" i="5"/>
  <c r="D462" i="5"/>
  <c r="B462" i="5"/>
  <c r="A462" i="5"/>
  <c r="AA461" i="5"/>
  <c r="Z461" i="5"/>
  <c r="Y461" i="5"/>
  <c r="P461" i="5"/>
  <c r="I460" i="5"/>
  <c r="H460" i="5"/>
  <c r="G460" i="5"/>
  <c r="E460" i="5"/>
  <c r="J459" i="5"/>
  <c r="E459" i="5"/>
  <c r="K458" i="5"/>
  <c r="J458" i="5"/>
  <c r="E458" i="5"/>
  <c r="J457" i="5"/>
  <c r="E457" i="5"/>
  <c r="K456" i="5"/>
  <c r="J456" i="5"/>
  <c r="H456" i="5"/>
  <c r="AA456" i="5"/>
  <c r="Z456" i="5"/>
  <c r="Y456" i="5"/>
  <c r="X456" i="5"/>
  <c r="I456" i="5"/>
  <c r="F456" i="5"/>
  <c r="V456" i="5"/>
  <c r="T456" i="5"/>
  <c r="R456" i="5"/>
  <c r="U456" i="5"/>
  <c r="S456" i="5"/>
  <c r="Q456" i="5"/>
  <c r="E456" i="5"/>
  <c r="D456" i="5"/>
  <c r="B456" i="5"/>
  <c r="A456" i="5"/>
  <c r="K455" i="5"/>
  <c r="J455" i="5"/>
  <c r="I455" i="5"/>
  <c r="H455" i="5"/>
  <c r="G455" i="5"/>
  <c r="F455" i="5"/>
  <c r="K454" i="5"/>
  <c r="J454" i="5"/>
  <c r="I454" i="5"/>
  <c r="W454" i="5" s="1"/>
  <c r="H454" i="5"/>
  <c r="G454" i="5"/>
  <c r="F454" i="5"/>
  <c r="K453" i="5"/>
  <c r="J453" i="5"/>
  <c r="I453" i="5"/>
  <c r="O461" i="5" s="1"/>
  <c r="H453" i="5"/>
  <c r="G453" i="5"/>
  <c r="F453" i="5"/>
  <c r="K452" i="5"/>
  <c r="J452" i="5"/>
  <c r="W452" i="5"/>
  <c r="I452" i="5"/>
  <c r="H452" i="5"/>
  <c r="G452" i="5"/>
  <c r="F452" i="5"/>
  <c r="C451" i="5"/>
  <c r="V450" i="5"/>
  <c r="K459" i="5" s="1"/>
  <c r="T450" i="5"/>
  <c r="R450" i="5"/>
  <c r="K457" i="5" s="1"/>
  <c r="U450" i="5"/>
  <c r="I459" i="5" s="1"/>
  <c r="S450" i="5"/>
  <c r="I458" i="5" s="1"/>
  <c r="Q450" i="5"/>
  <c r="I457" i="5" s="1"/>
  <c r="E450" i="5"/>
  <c r="D450" i="5"/>
  <c r="B450" i="5"/>
  <c r="A450" i="5"/>
  <c r="AA449" i="5"/>
  <c r="Z449" i="5"/>
  <c r="Y449" i="5"/>
  <c r="I448" i="5"/>
  <c r="H448" i="5"/>
  <c r="G448" i="5"/>
  <c r="E448" i="5"/>
  <c r="J447" i="5"/>
  <c r="I447" i="5"/>
  <c r="E447" i="5"/>
  <c r="K446" i="5"/>
  <c r="J446" i="5"/>
  <c r="E446" i="5"/>
  <c r="K445" i="5"/>
  <c r="J445" i="5"/>
  <c r="W445" i="5"/>
  <c r="I445" i="5"/>
  <c r="H445" i="5"/>
  <c r="G445" i="5"/>
  <c r="F445" i="5"/>
  <c r="V444" i="5"/>
  <c r="T444" i="5"/>
  <c r="K447" i="5" s="1"/>
  <c r="R444" i="5"/>
  <c r="U444" i="5"/>
  <c r="S444" i="5"/>
  <c r="Q444" i="5"/>
  <c r="I446" i="5" s="1"/>
  <c r="E444" i="5"/>
  <c r="D444" i="5"/>
  <c r="B444" i="5"/>
  <c r="A444" i="5"/>
  <c r="AA443" i="5"/>
  <c r="Z443" i="5"/>
  <c r="Y443" i="5"/>
  <c r="I442" i="5"/>
  <c r="H442" i="5"/>
  <c r="G442" i="5"/>
  <c r="E442" i="5"/>
  <c r="J441" i="5"/>
  <c r="E441" i="5"/>
  <c r="J440" i="5"/>
  <c r="E440" i="5"/>
  <c r="K439" i="5"/>
  <c r="J439" i="5"/>
  <c r="I439" i="5"/>
  <c r="H439" i="5"/>
  <c r="G439" i="5"/>
  <c r="F439" i="5"/>
  <c r="K438" i="5"/>
  <c r="J438" i="5"/>
  <c r="I438" i="5"/>
  <c r="H438" i="5"/>
  <c r="G438" i="5"/>
  <c r="F438" i="5"/>
  <c r="C437" i="5"/>
  <c r="V436" i="5"/>
  <c r="T436" i="5"/>
  <c r="K441" i="5" s="1"/>
  <c r="R436" i="5"/>
  <c r="K440" i="5" s="1"/>
  <c r="J443" i="5" s="1"/>
  <c r="U436" i="5"/>
  <c r="S436" i="5"/>
  <c r="I441" i="5" s="1"/>
  <c r="X443" i="5" s="1"/>
  <c r="Q436" i="5"/>
  <c r="I440" i="5" s="1"/>
  <c r="H443" i="5" s="1"/>
  <c r="E436" i="5"/>
  <c r="D436" i="5"/>
  <c r="B436" i="5"/>
  <c r="A436" i="5"/>
  <c r="A435" i="5"/>
  <c r="H433" i="5"/>
  <c r="J433" i="5"/>
  <c r="H432" i="5"/>
  <c r="J432" i="5"/>
  <c r="AL431" i="5"/>
  <c r="A431" i="5"/>
  <c r="Z429" i="5"/>
  <c r="Y429" i="5"/>
  <c r="X429" i="5"/>
  <c r="K428" i="5"/>
  <c r="J429" i="5" s="1"/>
  <c r="J428" i="5"/>
  <c r="I428" i="5"/>
  <c r="H429" i="5" s="1"/>
  <c r="H428" i="5"/>
  <c r="G428" i="5"/>
  <c r="F428" i="5"/>
  <c r="V427" i="5"/>
  <c r="T427" i="5"/>
  <c r="R427" i="5"/>
  <c r="U427" i="5"/>
  <c r="S427" i="5"/>
  <c r="Q427" i="5"/>
  <c r="E427" i="5"/>
  <c r="D427" i="5"/>
  <c r="B427" i="5"/>
  <c r="A427" i="5"/>
  <c r="Z426" i="5"/>
  <c r="Y426" i="5"/>
  <c r="X426" i="5"/>
  <c r="P426" i="5"/>
  <c r="K425" i="5"/>
  <c r="J426" i="5" s="1"/>
  <c r="J425" i="5"/>
  <c r="I425" i="5"/>
  <c r="H426" i="5" s="1"/>
  <c r="H425" i="5"/>
  <c r="G425" i="5"/>
  <c r="F425" i="5"/>
  <c r="V424" i="5"/>
  <c r="T424" i="5"/>
  <c r="R424" i="5"/>
  <c r="U424" i="5"/>
  <c r="S424" i="5"/>
  <c r="Q424" i="5"/>
  <c r="E424" i="5"/>
  <c r="D424" i="5"/>
  <c r="B424" i="5"/>
  <c r="A424" i="5"/>
  <c r="AA423" i="5"/>
  <c r="Z423" i="5"/>
  <c r="Y423" i="5"/>
  <c r="I422" i="5"/>
  <c r="H422" i="5"/>
  <c r="G422" i="5"/>
  <c r="E422" i="5"/>
  <c r="J421" i="5"/>
  <c r="I421" i="5"/>
  <c r="E421" i="5"/>
  <c r="J420" i="5"/>
  <c r="E420" i="5"/>
  <c r="K419" i="5"/>
  <c r="J419" i="5"/>
  <c r="H419" i="5"/>
  <c r="AA419" i="5"/>
  <c r="Z419" i="5"/>
  <c r="Y419" i="5"/>
  <c r="X419" i="5"/>
  <c r="I419" i="5"/>
  <c r="F419" i="5"/>
  <c r="V419" i="5"/>
  <c r="T419" i="5"/>
  <c r="K421" i="5" s="1"/>
  <c r="R419" i="5"/>
  <c r="U419" i="5"/>
  <c r="S419" i="5"/>
  <c r="Q419" i="5"/>
  <c r="I420" i="5" s="1"/>
  <c r="O423" i="5" s="1"/>
  <c r="E419" i="5"/>
  <c r="D419" i="5"/>
  <c r="B419" i="5"/>
  <c r="A419" i="5"/>
  <c r="K418" i="5"/>
  <c r="J418" i="5"/>
  <c r="H418" i="5"/>
  <c r="AA418" i="5"/>
  <c r="Z418" i="5"/>
  <c r="Y418" i="5"/>
  <c r="I418" i="5"/>
  <c r="X418" i="5" s="1"/>
  <c r="F418" i="5"/>
  <c r="V418" i="5"/>
  <c r="T418" i="5"/>
  <c r="R418" i="5"/>
  <c r="U418" i="5"/>
  <c r="S418" i="5"/>
  <c r="Q418" i="5"/>
  <c r="E418" i="5"/>
  <c r="D418" i="5"/>
  <c r="B418" i="5"/>
  <c r="A418" i="5"/>
  <c r="K417" i="5"/>
  <c r="J417" i="5"/>
  <c r="I417" i="5"/>
  <c r="H417" i="5"/>
  <c r="G417" i="5"/>
  <c r="F417" i="5"/>
  <c r="K416" i="5"/>
  <c r="J416" i="5"/>
  <c r="W416" i="5"/>
  <c r="I416" i="5"/>
  <c r="H416" i="5"/>
  <c r="G416" i="5"/>
  <c r="F416" i="5"/>
  <c r="C415" i="5"/>
  <c r="V414" i="5"/>
  <c r="T414" i="5"/>
  <c r="R414" i="5"/>
  <c r="K420" i="5" s="1"/>
  <c r="U414" i="5"/>
  <c r="S414" i="5"/>
  <c r="Q414" i="5"/>
  <c r="E414" i="5"/>
  <c r="D414" i="5"/>
  <c r="B414" i="5"/>
  <c r="A414" i="5"/>
  <c r="AA413" i="5"/>
  <c r="Z413" i="5"/>
  <c r="Y413" i="5"/>
  <c r="I412" i="5"/>
  <c r="H412" i="5"/>
  <c r="G412" i="5"/>
  <c r="E412" i="5"/>
  <c r="J411" i="5"/>
  <c r="E411" i="5"/>
  <c r="J410" i="5"/>
  <c r="E410" i="5"/>
  <c r="K409" i="5"/>
  <c r="J409" i="5"/>
  <c r="E409" i="5"/>
  <c r="K408" i="5"/>
  <c r="J408" i="5"/>
  <c r="H408" i="5"/>
  <c r="AA408" i="5"/>
  <c r="Z408" i="5"/>
  <c r="Y408" i="5"/>
  <c r="X408" i="5"/>
  <c r="I408" i="5"/>
  <c r="F408" i="5"/>
  <c r="V408" i="5"/>
  <c r="T408" i="5"/>
  <c r="R408" i="5"/>
  <c r="U408" i="5"/>
  <c r="S408" i="5"/>
  <c r="Q408" i="5"/>
  <c r="E408" i="5"/>
  <c r="D408" i="5"/>
  <c r="B408" i="5"/>
  <c r="A408" i="5"/>
  <c r="K407" i="5"/>
  <c r="J407" i="5"/>
  <c r="H407" i="5"/>
  <c r="AA407" i="5"/>
  <c r="Z407" i="5"/>
  <c r="Y407" i="5"/>
  <c r="I407" i="5"/>
  <c r="X407" i="5" s="1"/>
  <c r="F407" i="5"/>
  <c r="V407" i="5"/>
  <c r="K411" i="5" s="1"/>
  <c r="T407" i="5"/>
  <c r="R407" i="5"/>
  <c r="U407" i="5"/>
  <c r="S407" i="5"/>
  <c r="I410" i="5" s="1"/>
  <c r="Q407" i="5"/>
  <c r="E407" i="5"/>
  <c r="D407" i="5"/>
  <c r="B407" i="5"/>
  <c r="A407" i="5"/>
  <c r="K406" i="5"/>
  <c r="J406" i="5"/>
  <c r="I406" i="5"/>
  <c r="H406" i="5"/>
  <c r="G406" i="5"/>
  <c r="F406" i="5"/>
  <c r="K405" i="5"/>
  <c r="J405" i="5"/>
  <c r="W405" i="5"/>
  <c r="I405" i="5"/>
  <c r="H405" i="5"/>
  <c r="G405" i="5"/>
  <c r="F405" i="5"/>
  <c r="K404" i="5"/>
  <c r="J404" i="5"/>
  <c r="I404" i="5"/>
  <c r="H404" i="5"/>
  <c r="G404" i="5"/>
  <c r="F404" i="5"/>
  <c r="K403" i="5"/>
  <c r="J403" i="5"/>
  <c r="I403" i="5"/>
  <c r="H403" i="5"/>
  <c r="G403" i="5"/>
  <c r="F403" i="5"/>
  <c r="C402" i="5"/>
  <c r="V401" i="5"/>
  <c r="T401" i="5"/>
  <c r="K410" i="5" s="1"/>
  <c r="P413" i="5" s="1"/>
  <c r="R401" i="5"/>
  <c r="U401" i="5"/>
  <c r="I411" i="5" s="1"/>
  <c r="S401" i="5"/>
  <c r="Q401" i="5"/>
  <c r="I409" i="5" s="1"/>
  <c r="E401" i="5"/>
  <c r="D401" i="5"/>
  <c r="B401" i="5"/>
  <c r="A401" i="5"/>
  <c r="AA400" i="5"/>
  <c r="Z400" i="5"/>
  <c r="Y400" i="5"/>
  <c r="I399" i="5"/>
  <c r="H399" i="5"/>
  <c r="G399" i="5"/>
  <c r="E399" i="5"/>
  <c r="J398" i="5"/>
  <c r="E398" i="5"/>
  <c r="J397" i="5"/>
  <c r="E397" i="5"/>
  <c r="J396" i="5"/>
  <c r="E396" i="5"/>
  <c r="K395" i="5"/>
  <c r="J395" i="5"/>
  <c r="H395" i="5"/>
  <c r="AA395" i="5"/>
  <c r="Z395" i="5"/>
  <c r="Y395" i="5"/>
  <c r="I395" i="5"/>
  <c r="X395" i="5" s="1"/>
  <c r="F395" i="5"/>
  <c r="V395" i="5"/>
  <c r="T395" i="5"/>
  <c r="R395" i="5"/>
  <c r="U395" i="5"/>
  <c r="S395" i="5"/>
  <c r="Q395" i="5"/>
  <c r="E395" i="5"/>
  <c r="D395" i="5"/>
  <c r="B395" i="5"/>
  <c r="A395" i="5"/>
  <c r="K394" i="5"/>
  <c r="J394" i="5"/>
  <c r="H394" i="5"/>
  <c r="AA394" i="5"/>
  <c r="Z394" i="5"/>
  <c r="Y394" i="5"/>
  <c r="X394" i="5"/>
  <c r="I394" i="5"/>
  <c r="F394" i="5"/>
  <c r="V394" i="5"/>
  <c r="T394" i="5"/>
  <c r="R394" i="5"/>
  <c r="U394" i="5"/>
  <c r="S394" i="5"/>
  <c r="Q394" i="5"/>
  <c r="E394" i="5"/>
  <c r="D394" i="5"/>
  <c r="B394" i="5"/>
  <c r="A394" i="5"/>
  <c r="K393" i="5"/>
  <c r="J393" i="5"/>
  <c r="H393" i="5"/>
  <c r="AA393" i="5"/>
  <c r="Z393" i="5"/>
  <c r="Y393" i="5"/>
  <c r="I393" i="5"/>
  <c r="X393" i="5" s="1"/>
  <c r="F393" i="5"/>
  <c r="V393" i="5"/>
  <c r="T393" i="5"/>
  <c r="R393" i="5"/>
  <c r="U393" i="5"/>
  <c r="S393" i="5"/>
  <c r="Q393" i="5"/>
  <c r="E393" i="5"/>
  <c r="D393" i="5"/>
  <c r="B393" i="5"/>
  <c r="A393" i="5"/>
  <c r="K392" i="5"/>
  <c r="J392" i="5"/>
  <c r="I392" i="5"/>
  <c r="H392" i="5"/>
  <c r="G392" i="5"/>
  <c r="F392" i="5"/>
  <c r="K391" i="5"/>
  <c r="J391" i="5"/>
  <c r="W391" i="5"/>
  <c r="I391" i="5"/>
  <c r="H391" i="5"/>
  <c r="G391" i="5"/>
  <c r="F391" i="5"/>
  <c r="K390" i="5"/>
  <c r="J390" i="5"/>
  <c r="I390" i="5"/>
  <c r="H390" i="5"/>
  <c r="G390" i="5"/>
  <c r="F390" i="5"/>
  <c r="K389" i="5"/>
  <c r="J389" i="5"/>
  <c r="I389" i="5"/>
  <c r="H389" i="5"/>
  <c r="G389" i="5"/>
  <c r="F389" i="5"/>
  <c r="C388" i="5"/>
  <c r="V387" i="5"/>
  <c r="T387" i="5"/>
  <c r="K397" i="5" s="1"/>
  <c r="R387" i="5"/>
  <c r="U387" i="5"/>
  <c r="S387" i="5"/>
  <c r="Q387" i="5"/>
  <c r="I396" i="5" s="1"/>
  <c r="E387" i="5"/>
  <c r="D387" i="5"/>
  <c r="B387" i="5"/>
  <c r="A387" i="5"/>
  <c r="AA386" i="5"/>
  <c r="Z386" i="5"/>
  <c r="Y386" i="5"/>
  <c r="I385" i="5"/>
  <c r="H385" i="5"/>
  <c r="G385" i="5"/>
  <c r="E385" i="5"/>
  <c r="J384" i="5"/>
  <c r="E384" i="5"/>
  <c r="J383" i="5"/>
  <c r="E383" i="5"/>
  <c r="J382" i="5"/>
  <c r="E382" i="5"/>
  <c r="K381" i="5"/>
  <c r="J381" i="5"/>
  <c r="H381" i="5"/>
  <c r="AA381" i="5"/>
  <c r="Z381" i="5"/>
  <c r="Y381" i="5"/>
  <c r="I381" i="5"/>
  <c r="X381" i="5" s="1"/>
  <c r="F381" i="5"/>
  <c r="V381" i="5"/>
  <c r="K384" i="5" s="1"/>
  <c r="T381" i="5"/>
  <c r="R381" i="5"/>
  <c r="U381" i="5"/>
  <c r="S381" i="5"/>
  <c r="Q381" i="5"/>
  <c r="E381" i="5"/>
  <c r="D381" i="5"/>
  <c r="B381" i="5"/>
  <c r="A381" i="5"/>
  <c r="K380" i="5"/>
  <c r="J380" i="5"/>
  <c r="I380" i="5"/>
  <c r="H380" i="5"/>
  <c r="G380" i="5"/>
  <c r="F380" i="5"/>
  <c r="K379" i="5"/>
  <c r="J379" i="5"/>
  <c r="W379" i="5"/>
  <c r="I379" i="5"/>
  <c r="H379" i="5"/>
  <c r="G379" i="5"/>
  <c r="F379" i="5"/>
  <c r="K378" i="5"/>
  <c r="J378" i="5"/>
  <c r="I378" i="5"/>
  <c r="H378" i="5"/>
  <c r="G378" i="5"/>
  <c r="F378" i="5"/>
  <c r="K377" i="5"/>
  <c r="J377" i="5"/>
  <c r="I377" i="5"/>
  <c r="X386" i="5" s="1"/>
  <c r="H377" i="5"/>
  <c r="G377" i="5"/>
  <c r="F377" i="5"/>
  <c r="C376" i="5"/>
  <c r="V375" i="5"/>
  <c r="T375" i="5"/>
  <c r="K383" i="5" s="1"/>
  <c r="J386" i="5" s="1"/>
  <c r="R375" i="5"/>
  <c r="K382" i="5" s="1"/>
  <c r="U375" i="5"/>
  <c r="I384" i="5" s="1"/>
  <c r="S375" i="5"/>
  <c r="I383" i="5" s="1"/>
  <c r="Q375" i="5"/>
  <c r="I382" i="5" s="1"/>
  <c r="E375" i="5"/>
  <c r="D375" i="5"/>
  <c r="B375" i="5"/>
  <c r="A375" i="5"/>
  <c r="AA374" i="5"/>
  <c r="Z374" i="5"/>
  <c r="Y374" i="5"/>
  <c r="I373" i="5"/>
  <c r="H373" i="5"/>
  <c r="G373" i="5"/>
  <c r="E373" i="5"/>
  <c r="J372" i="5"/>
  <c r="E372" i="5"/>
  <c r="J371" i="5"/>
  <c r="E371" i="5"/>
  <c r="K370" i="5"/>
  <c r="J370" i="5"/>
  <c r="I370" i="5"/>
  <c r="H370" i="5"/>
  <c r="G370" i="5"/>
  <c r="F370" i="5"/>
  <c r="V369" i="5"/>
  <c r="T369" i="5"/>
  <c r="K372" i="5" s="1"/>
  <c r="J374" i="5" s="1"/>
  <c r="R369" i="5"/>
  <c r="K371" i="5" s="1"/>
  <c r="U369" i="5"/>
  <c r="S369" i="5"/>
  <c r="I372" i="5" s="1"/>
  <c r="Q369" i="5"/>
  <c r="I371" i="5" s="1"/>
  <c r="X374" i="5" s="1"/>
  <c r="E369" i="5"/>
  <c r="D369" i="5"/>
  <c r="B369" i="5"/>
  <c r="A369" i="5"/>
  <c r="A368" i="5"/>
  <c r="H366" i="5"/>
  <c r="J366" i="5"/>
  <c r="H365" i="5"/>
  <c r="J365" i="5"/>
  <c r="A364" i="5"/>
  <c r="Z362" i="5"/>
  <c r="Y362" i="5"/>
  <c r="X362" i="5"/>
  <c r="K361" i="5"/>
  <c r="J362" i="5" s="1"/>
  <c r="J361" i="5"/>
  <c r="I361" i="5"/>
  <c r="H362" i="5" s="1"/>
  <c r="H361" i="5"/>
  <c r="G361" i="5"/>
  <c r="F361" i="5"/>
  <c r="V360" i="5"/>
  <c r="T360" i="5"/>
  <c r="R360" i="5"/>
  <c r="U360" i="5"/>
  <c r="S360" i="5"/>
  <c r="Q360" i="5"/>
  <c r="E360" i="5"/>
  <c r="D360" i="5"/>
  <c r="B360" i="5"/>
  <c r="A360" i="5"/>
  <c r="Z359" i="5"/>
  <c r="Y359" i="5"/>
  <c r="X359" i="5"/>
  <c r="K358" i="5"/>
  <c r="J359" i="5" s="1"/>
  <c r="J358" i="5"/>
  <c r="I358" i="5"/>
  <c r="H359" i="5" s="1"/>
  <c r="H358" i="5"/>
  <c r="G358" i="5"/>
  <c r="F358" i="5"/>
  <c r="V357" i="5"/>
  <c r="T357" i="5"/>
  <c r="R357" i="5"/>
  <c r="U357" i="5"/>
  <c r="S357" i="5"/>
  <c r="Q357" i="5"/>
  <c r="E357" i="5"/>
  <c r="D357" i="5"/>
  <c r="B357" i="5"/>
  <c r="A357" i="5"/>
  <c r="Z356" i="5"/>
  <c r="Y356" i="5"/>
  <c r="X356" i="5"/>
  <c r="K355" i="5"/>
  <c r="J356" i="5" s="1"/>
  <c r="J355" i="5"/>
  <c r="I355" i="5"/>
  <c r="H356" i="5" s="1"/>
  <c r="H355" i="5"/>
  <c r="G355" i="5"/>
  <c r="F355" i="5"/>
  <c r="V354" i="5"/>
  <c r="T354" i="5"/>
  <c r="R354" i="5"/>
  <c r="U354" i="5"/>
  <c r="S354" i="5"/>
  <c r="Q354" i="5"/>
  <c r="E354" i="5"/>
  <c r="D354" i="5"/>
  <c r="B354" i="5"/>
  <c r="A354" i="5"/>
  <c r="Z353" i="5"/>
  <c r="Y353" i="5"/>
  <c r="X353" i="5"/>
  <c r="K352" i="5"/>
  <c r="J353" i="5" s="1"/>
  <c r="J352" i="5"/>
  <c r="I352" i="5"/>
  <c r="H353" i="5" s="1"/>
  <c r="H352" i="5"/>
  <c r="G352" i="5"/>
  <c r="F352" i="5"/>
  <c r="V351" i="5"/>
  <c r="T351" i="5"/>
  <c r="R351" i="5"/>
  <c r="U351" i="5"/>
  <c r="S351" i="5"/>
  <c r="Q351" i="5"/>
  <c r="E351" i="5"/>
  <c r="D351" i="5"/>
  <c r="B351" i="5"/>
  <c r="A351" i="5"/>
  <c r="AA350" i="5"/>
  <c r="Z350" i="5"/>
  <c r="Y350" i="5"/>
  <c r="P350" i="5"/>
  <c r="K349" i="5"/>
  <c r="J349" i="5"/>
  <c r="E349" i="5"/>
  <c r="K348" i="5"/>
  <c r="J348" i="5"/>
  <c r="W348" i="5"/>
  <c r="I348" i="5"/>
  <c r="H348" i="5"/>
  <c r="G348" i="5"/>
  <c r="F348" i="5"/>
  <c r="K347" i="5"/>
  <c r="J350" i="5" s="1"/>
  <c r="J347" i="5"/>
  <c r="I347" i="5"/>
  <c r="H347" i="5"/>
  <c r="G347" i="5"/>
  <c r="F347" i="5"/>
  <c r="V346" i="5"/>
  <c r="T346" i="5"/>
  <c r="R346" i="5"/>
  <c r="U346" i="5"/>
  <c r="I349" i="5" s="1"/>
  <c r="S346" i="5"/>
  <c r="Q346" i="5"/>
  <c r="E346" i="5"/>
  <c r="D346" i="5"/>
  <c r="B346" i="5"/>
  <c r="A346" i="5"/>
  <c r="AA345" i="5"/>
  <c r="Z345" i="5"/>
  <c r="Y345" i="5"/>
  <c r="X345" i="5"/>
  <c r="O345" i="5"/>
  <c r="H345" i="5"/>
  <c r="J345" i="5"/>
  <c r="K344" i="5"/>
  <c r="P345" i="5" s="1"/>
  <c r="J344" i="5"/>
  <c r="I344" i="5"/>
  <c r="H344" i="5"/>
  <c r="G344" i="5"/>
  <c r="F344" i="5"/>
  <c r="V344" i="5"/>
  <c r="T344" i="5"/>
  <c r="R344" i="5"/>
  <c r="U344" i="5"/>
  <c r="S344" i="5"/>
  <c r="Q344" i="5"/>
  <c r="E344" i="5"/>
  <c r="D344" i="5"/>
  <c r="B344" i="5"/>
  <c r="A344" i="5"/>
  <c r="AA343" i="5"/>
  <c r="Z343" i="5"/>
  <c r="Y343" i="5"/>
  <c r="I342" i="5"/>
  <c r="H342" i="5"/>
  <c r="G342" i="5"/>
  <c r="E342" i="5"/>
  <c r="J341" i="5"/>
  <c r="E341" i="5"/>
  <c r="J340" i="5"/>
  <c r="E340" i="5"/>
  <c r="J339" i="5"/>
  <c r="E339" i="5"/>
  <c r="K338" i="5"/>
  <c r="J338" i="5"/>
  <c r="H338" i="5"/>
  <c r="AA338" i="5"/>
  <c r="Z338" i="5"/>
  <c r="Y338" i="5"/>
  <c r="I338" i="5"/>
  <c r="X338" i="5" s="1"/>
  <c r="F338" i="5"/>
  <c r="V338" i="5"/>
  <c r="T338" i="5"/>
  <c r="R338" i="5"/>
  <c r="U338" i="5"/>
  <c r="S338" i="5"/>
  <c r="Q338" i="5"/>
  <c r="E338" i="5"/>
  <c r="D338" i="5"/>
  <c r="B338" i="5"/>
  <c r="A338" i="5"/>
  <c r="K337" i="5"/>
  <c r="J337" i="5"/>
  <c r="H337" i="5"/>
  <c r="AA337" i="5"/>
  <c r="Z337" i="5"/>
  <c r="Y337" i="5"/>
  <c r="X337" i="5"/>
  <c r="I337" i="5"/>
  <c r="F337" i="5"/>
  <c r="V337" i="5"/>
  <c r="T337" i="5"/>
  <c r="R337" i="5"/>
  <c r="U337" i="5"/>
  <c r="S337" i="5"/>
  <c r="Q337" i="5"/>
  <c r="E337" i="5"/>
  <c r="D337" i="5"/>
  <c r="B337" i="5"/>
  <c r="A337" i="5"/>
  <c r="K336" i="5"/>
  <c r="J336" i="5"/>
  <c r="H336" i="5"/>
  <c r="AA336" i="5"/>
  <c r="Z336" i="5"/>
  <c r="Y336" i="5"/>
  <c r="I336" i="5"/>
  <c r="X336" i="5" s="1"/>
  <c r="F336" i="5"/>
  <c r="V336" i="5"/>
  <c r="T336" i="5"/>
  <c r="R336" i="5"/>
  <c r="K339" i="5" s="1"/>
  <c r="U336" i="5"/>
  <c r="S336" i="5"/>
  <c r="Q336" i="5"/>
  <c r="E336" i="5"/>
  <c r="D336" i="5"/>
  <c r="B336" i="5"/>
  <c r="A336" i="5"/>
  <c r="K335" i="5"/>
  <c r="J335" i="5"/>
  <c r="I335" i="5"/>
  <c r="H335" i="5"/>
  <c r="G335" i="5"/>
  <c r="F335" i="5"/>
  <c r="K334" i="5"/>
  <c r="J334" i="5"/>
  <c r="W334" i="5"/>
  <c r="I334" i="5"/>
  <c r="H334" i="5"/>
  <c r="G334" i="5"/>
  <c r="F334" i="5"/>
  <c r="K333" i="5"/>
  <c r="J333" i="5"/>
  <c r="I333" i="5"/>
  <c r="H333" i="5"/>
  <c r="G333" i="5"/>
  <c r="F333" i="5"/>
  <c r="K332" i="5"/>
  <c r="J332" i="5"/>
  <c r="I332" i="5"/>
  <c r="H332" i="5"/>
  <c r="G332" i="5"/>
  <c r="F332" i="5"/>
  <c r="C331" i="5"/>
  <c r="V330" i="5"/>
  <c r="K341" i="5" s="1"/>
  <c r="J343" i="5" s="1"/>
  <c r="T330" i="5"/>
  <c r="K340" i="5" s="1"/>
  <c r="R330" i="5"/>
  <c r="U330" i="5"/>
  <c r="S330" i="5"/>
  <c r="I340" i="5" s="1"/>
  <c r="Q330" i="5"/>
  <c r="I339" i="5" s="1"/>
  <c r="E330" i="5"/>
  <c r="D330" i="5"/>
  <c r="B330" i="5"/>
  <c r="A330" i="5"/>
  <c r="AA329" i="5"/>
  <c r="Z329" i="5"/>
  <c r="Y329" i="5"/>
  <c r="H329" i="5"/>
  <c r="I328" i="5"/>
  <c r="H328" i="5"/>
  <c r="G328" i="5"/>
  <c r="E328" i="5"/>
  <c r="J327" i="5"/>
  <c r="I327" i="5"/>
  <c r="E327" i="5"/>
  <c r="J326" i="5"/>
  <c r="E326" i="5"/>
  <c r="K325" i="5"/>
  <c r="J325" i="5"/>
  <c r="I325" i="5"/>
  <c r="H325" i="5"/>
  <c r="G325" i="5"/>
  <c r="F325" i="5"/>
  <c r="C324" i="5"/>
  <c r="V323" i="5"/>
  <c r="T323" i="5"/>
  <c r="K327" i="5" s="1"/>
  <c r="R323" i="5"/>
  <c r="K326" i="5" s="1"/>
  <c r="P329" i="5" s="1"/>
  <c r="U323" i="5"/>
  <c r="S323" i="5"/>
  <c r="Q323" i="5"/>
  <c r="I326" i="5" s="1"/>
  <c r="X329" i="5" s="1"/>
  <c r="E323" i="5"/>
  <c r="D323" i="5"/>
  <c r="B323" i="5"/>
  <c r="A323" i="5"/>
  <c r="AA322" i="5"/>
  <c r="Z322" i="5"/>
  <c r="Y322" i="5"/>
  <c r="I321" i="5"/>
  <c r="H321" i="5"/>
  <c r="G321" i="5"/>
  <c r="E321" i="5"/>
  <c r="J320" i="5"/>
  <c r="E320" i="5"/>
  <c r="K319" i="5"/>
  <c r="J319" i="5"/>
  <c r="E319" i="5"/>
  <c r="K318" i="5"/>
  <c r="J318" i="5"/>
  <c r="I318" i="5"/>
  <c r="H318" i="5"/>
  <c r="G318" i="5"/>
  <c r="F318" i="5"/>
  <c r="C317" i="5"/>
  <c r="V316" i="5"/>
  <c r="T316" i="5"/>
  <c r="K320" i="5" s="1"/>
  <c r="J322" i="5" s="1"/>
  <c r="R316" i="5"/>
  <c r="U316" i="5"/>
  <c r="S316" i="5"/>
  <c r="I320" i="5" s="1"/>
  <c r="H322" i="5" s="1"/>
  <c r="Q316" i="5"/>
  <c r="I319" i="5" s="1"/>
  <c r="X322" i="5" s="1"/>
  <c r="E316" i="5"/>
  <c r="D316" i="5"/>
  <c r="B316" i="5"/>
  <c r="A316" i="5"/>
  <c r="A315" i="5"/>
  <c r="H313" i="5"/>
  <c r="J313" i="5"/>
  <c r="H312" i="5"/>
  <c r="J312" i="5"/>
  <c r="A311" i="5"/>
  <c r="Z309" i="5"/>
  <c r="Y309" i="5"/>
  <c r="X309" i="5"/>
  <c r="H309" i="5"/>
  <c r="P309" i="5"/>
  <c r="J309" i="5"/>
  <c r="K308" i="5"/>
  <c r="J308" i="5"/>
  <c r="I308" i="5"/>
  <c r="AA309" i="5" s="1"/>
  <c r="H308" i="5"/>
  <c r="G308" i="5"/>
  <c r="F308" i="5"/>
  <c r="V307" i="5"/>
  <c r="T307" i="5"/>
  <c r="R307" i="5"/>
  <c r="U307" i="5"/>
  <c r="S307" i="5"/>
  <c r="Q307" i="5"/>
  <c r="E307" i="5"/>
  <c r="D307" i="5"/>
  <c r="B307" i="5"/>
  <c r="A307" i="5"/>
  <c r="Z306" i="5"/>
  <c r="Y306" i="5"/>
  <c r="X306" i="5"/>
  <c r="H306" i="5"/>
  <c r="P306" i="5"/>
  <c r="J306" i="5"/>
  <c r="K305" i="5"/>
  <c r="J305" i="5"/>
  <c r="I305" i="5"/>
  <c r="AA306" i="5" s="1"/>
  <c r="H305" i="5"/>
  <c r="G305" i="5"/>
  <c r="F305" i="5"/>
  <c r="V304" i="5"/>
  <c r="T304" i="5"/>
  <c r="R304" i="5"/>
  <c r="U304" i="5"/>
  <c r="S304" i="5"/>
  <c r="Q304" i="5"/>
  <c r="E304" i="5"/>
  <c r="D304" i="5"/>
  <c r="B304" i="5"/>
  <c r="A304" i="5"/>
  <c r="Z303" i="5"/>
  <c r="Y303" i="5"/>
  <c r="X303" i="5"/>
  <c r="H303" i="5"/>
  <c r="P303" i="5"/>
  <c r="J303" i="5"/>
  <c r="K302" i="5"/>
  <c r="J302" i="5"/>
  <c r="I302" i="5"/>
  <c r="AA303" i="5" s="1"/>
  <c r="H302" i="5"/>
  <c r="G302" i="5"/>
  <c r="F302" i="5"/>
  <c r="V301" i="5"/>
  <c r="T301" i="5"/>
  <c r="R301" i="5"/>
  <c r="U301" i="5"/>
  <c r="S301" i="5"/>
  <c r="Q301" i="5"/>
  <c r="E301" i="5"/>
  <c r="D301" i="5"/>
  <c r="B301" i="5"/>
  <c r="A301" i="5"/>
  <c r="Z300" i="5"/>
  <c r="Y300" i="5"/>
  <c r="X300" i="5"/>
  <c r="H300" i="5"/>
  <c r="P300" i="5"/>
  <c r="J300" i="5"/>
  <c r="K299" i="5"/>
  <c r="J299" i="5"/>
  <c r="I299" i="5"/>
  <c r="AA300" i="5" s="1"/>
  <c r="H299" i="5"/>
  <c r="G299" i="5"/>
  <c r="F299" i="5"/>
  <c r="V298" i="5"/>
  <c r="T298" i="5"/>
  <c r="R298" i="5"/>
  <c r="U298" i="5"/>
  <c r="S298" i="5"/>
  <c r="Q298" i="5"/>
  <c r="E298" i="5"/>
  <c r="D298" i="5"/>
  <c r="B298" i="5"/>
  <c r="A298" i="5"/>
  <c r="AA297" i="5"/>
  <c r="Z297" i="5"/>
  <c r="Y297" i="5"/>
  <c r="X297" i="5"/>
  <c r="J296" i="5"/>
  <c r="I296" i="5"/>
  <c r="E296" i="5"/>
  <c r="K295" i="5"/>
  <c r="J295" i="5"/>
  <c r="I295" i="5"/>
  <c r="W295" i="5" s="1"/>
  <c r="H295" i="5"/>
  <c r="G295" i="5"/>
  <c r="F295" i="5"/>
  <c r="K294" i="5"/>
  <c r="P297" i="5" s="1"/>
  <c r="J294" i="5"/>
  <c r="I294" i="5"/>
  <c r="O297" i="5" s="1"/>
  <c r="H294" i="5"/>
  <c r="G294" i="5"/>
  <c r="F294" i="5"/>
  <c r="V293" i="5"/>
  <c r="K296" i="5" s="1"/>
  <c r="T293" i="5"/>
  <c r="R293" i="5"/>
  <c r="U293" i="5"/>
  <c r="S293" i="5"/>
  <c r="Q293" i="5"/>
  <c r="E293" i="5"/>
  <c r="D293" i="5"/>
  <c r="B293" i="5"/>
  <c r="A293" i="5"/>
  <c r="AA292" i="5"/>
  <c r="Z292" i="5"/>
  <c r="Y292" i="5"/>
  <c r="I291" i="5"/>
  <c r="H291" i="5"/>
  <c r="G291" i="5"/>
  <c r="E291" i="5"/>
  <c r="J290" i="5"/>
  <c r="E290" i="5"/>
  <c r="J289" i="5"/>
  <c r="E289" i="5"/>
  <c r="J288" i="5"/>
  <c r="E288" i="5"/>
  <c r="K287" i="5"/>
  <c r="J287" i="5"/>
  <c r="H287" i="5"/>
  <c r="AA287" i="5"/>
  <c r="Z287" i="5"/>
  <c r="Y287" i="5"/>
  <c r="X287" i="5"/>
  <c r="I287" i="5"/>
  <c r="F287" i="5"/>
  <c r="V287" i="5"/>
  <c r="T287" i="5"/>
  <c r="R287" i="5"/>
  <c r="U287" i="5"/>
  <c r="S287" i="5"/>
  <c r="Q287" i="5"/>
  <c r="E287" i="5"/>
  <c r="D287" i="5"/>
  <c r="B287" i="5"/>
  <c r="A287" i="5"/>
  <c r="K286" i="5"/>
  <c r="J286" i="5"/>
  <c r="H286" i="5"/>
  <c r="AA286" i="5"/>
  <c r="Z286" i="5"/>
  <c r="Y286" i="5"/>
  <c r="I286" i="5"/>
  <c r="X286" i="5" s="1"/>
  <c r="F286" i="5"/>
  <c r="V286" i="5"/>
  <c r="K290" i="5" s="1"/>
  <c r="T286" i="5"/>
  <c r="R286" i="5"/>
  <c r="U286" i="5"/>
  <c r="S286" i="5"/>
  <c r="Q286" i="5"/>
  <c r="E286" i="5"/>
  <c r="D286" i="5"/>
  <c r="B286" i="5"/>
  <c r="A286" i="5"/>
  <c r="K285" i="5"/>
  <c r="J285" i="5"/>
  <c r="H285" i="5"/>
  <c r="AA285" i="5"/>
  <c r="Z285" i="5"/>
  <c r="Y285" i="5"/>
  <c r="X285" i="5"/>
  <c r="I285" i="5"/>
  <c r="F285" i="5"/>
  <c r="V285" i="5"/>
  <c r="T285" i="5"/>
  <c r="K289" i="5" s="1"/>
  <c r="R285" i="5"/>
  <c r="U285" i="5"/>
  <c r="I290" i="5" s="1"/>
  <c r="S285" i="5"/>
  <c r="Q285" i="5"/>
  <c r="I288" i="5" s="1"/>
  <c r="E285" i="5"/>
  <c r="D285" i="5"/>
  <c r="B285" i="5"/>
  <c r="A285" i="5"/>
  <c r="K284" i="5"/>
  <c r="J284" i="5"/>
  <c r="I284" i="5"/>
  <c r="H284" i="5"/>
  <c r="G284" i="5"/>
  <c r="F284" i="5"/>
  <c r="K283" i="5"/>
  <c r="J283" i="5"/>
  <c r="I283" i="5"/>
  <c r="W283" i="5" s="1"/>
  <c r="H283" i="5"/>
  <c r="G283" i="5"/>
  <c r="F283" i="5"/>
  <c r="K282" i="5"/>
  <c r="J282" i="5"/>
  <c r="I282" i="5"/>
  <c r="H282" i="5"/>
  <c r="G282" i="5"/>
  <c r="F282" i="5"/>
  <c r="K281" i="5"/>
  <c r="J281" i="5"/>
  <c r="W281" i="5"/>
  <c r="I281" i="5"/>
  <c r="H281" i="5"/>
  <c r="G281" i="5"/>
  <c r="F281" i="5"/>
  <c r="C280" i="5"/>
  <c r="V279" i="5"/>
  <c r="T279" i="5"/>
  <c r="R279" i="5"/>
  <c r="K288" i="5" s="1"/>
  <c r="U279" i="5"/>
  <c r="S279" i="5"/>
  <c r="I289" i="5" s="1"/>
  <c r="Q279" i="5"/>
  <c r="E279" i="5"/>
  <c r="D279" i="5"/>
  <c r="B279" i="5"/>
  <c r="A279" i="5"/>
  <c r="AA278" i="5"/>
  <c r="Z278" i="5"/>
  <c r="Y278" i="5"/>
  <c r="I277" i="5"/>
  <c r="H277" i="5"/>
  <c r="G277" i="5"/>
  <c r="E277" i="5"/>
  <c r="K276" i="5"/>
  <c r="J276" i="5"/>
  <c r="I276" i="5"/>
  <c r="E276" i="5"/>
  <c r="J275" i="5"/>
  <c r="I275" i="5"/>
  <c r="E275" i="5"/>
  <c r="K274" i="5"/>
  <c r="J274" i="5"/>
  <c r="E274" i="5"/>
  <c r="K273" i="5"/>
  <c r="J273" i="5"/>
  <c r="H273" i="5"/>
  <c r="AA273" i="5"/>
  <c r="Z273" i="5"/>
  <c r="Y273" i="5"/>
  <c r="X273" i="5"/>
  <c r="I273" i="5"/>
  <c r="F273" i="5"/>
  <c r="V273" i="5"/>
  <c r="T273" i="5"/>
  <c r="K275" i="5" s="1"/>
  <c r="R273" i="5"/>
  <c r="U273" i="5"/>
  <c r="S273" i="5"/>
  <c r="Q273" i="5"/>
  <c r="I274" i="5" s="1"/>
  <c r="O278" i="5" s="1"/>
  <c r="E273" i="5"/>
  <c r="D273" i="5"/>
  <c r="B273" i="5"/>
  <c r="A273" i="5"/>
  <c r="K272" i="5"/>
  <c r="J272" i="5"/>
  <c r="I272" i="5"/>
  <c r="H272" i="5"/>
  <c r="G272" i="5"/>
  <c r="F272" i="5"/>
  <c r="K271" i="5"/>
  <c r="J271" i="5"/>
  <c r="I271" i="5"/>
  <c r="W271" i="5" s="1"/>
  <c r="H271" i="5"/>
  <c r="G271" i="5"/>
  <c r="F271" i="5"/>
  <c r="K270" i="5"/>
  <c r="J270" i="5"/>
  <c r="I270" i="5"/>
  <c r="H270" i="5"/>
  <c r="G270" i="5"/>
  <c r="F270" i="5"/>
  <c r="K269" i="5"/>
  <c r="J269" i="5"/>
  <c r="W269" i="5"/>
  <c r="I269" i="5"/>
  <c r="H269" i="5"/>
  <c r="G269" i="5"/>
  <c r="F269" i="5"/>
  <c r="C268" i="5"/>
  <c r="V267" i="5"/>
  <c r="T267" i="5"/>
  <c r="R267" i="5"/>
  <c r="U267" i="5"/>
  <c r="S267" i="5"/>
  <c r="Q267" i="5"/>
  <c r="E267" i="5"/>
  <c r="D267" i="5"/>
  <c r="B267" i="5"/>
  <c r="A267" i="5"/>
  <c r="AA266" i="5"/>
  <c r="Z266" i="5"/>
  <c r="Y266" i="5"/>
  <c r="I265" i="5"/>
  <c r="H265" i="5"/>
  <c r="G265" i="5"/>
  <c r="E265" i="5"/>
  <c r="K264" i="5"/>
  <c r="J264" i="5"/>
  <c r="I264" i="5"/>
  <c r="E264" i="5"/>
  <c r="K263" i="5"/>
  <c r="J263" i="5"/>
  <c r="I263" i="5"/>
  <c r="E263" i="5"/>
  <c r="K262" i="5"/>
  <c r="P266" i="5" s="1"/>
  <c r="J262" i="5"/>
  <c r="I262" i="5"/>
  <c r="O266" i="5" s="1"/>
  <c r="E262" i="5"/>
  <c r="K261" i="5"/>
  <c r="J261" i="5"/>
  <c r="W261" i="5"/>
  <c r="I261" i="5"/>
  <c r="H261" i="5"/>
  <c r="G261" i="5"/>
  <c r="F261" i="5"/>
  <c r="K260" i="5"/>
  <c r="J260" i="5"/>
  <c r="I260" i="5"/>
  <c r="H260" i="5"/>
  <c r="G260" i="5"/>
  <c r="F260" i="5"/>
  <c r="K259" i="5"/>
  <c r="J259" i="5"/>
  <c r="I259" i="5"/>
  <c r="H259" i="5"/>
  <c r="G259" i="5"/>
  <c r="F259" i="5"/>
  <c r="C258" i="5"/>
  <c r="V257" i="5"/>
  <c r="T257" i="5"/>
  <c r="R257" i="5"/>
  <c r="U257" i="5"/>
  <c r="S257" i="5"/>
  <c r="Q257" i="5"/>
  <c r="E257" i="5"/>
  <c r="D257" i="5"/>
  <c r="B257" i="5"/>
  <c r="A257" i="5"/>
  <c r="AA256" i="5"/>
  <c r="Z256" i="5"/>
  <c r="Y256" i="5"/>
  <c r="I255" i="5"/>
  <c r="H255" i="5"/>
  <c r="G255" i="5"/>
  <c r="E255" i="5"/>
  <c r="J254" i="5"/>
  <c r="E254" i="5"/>
  <c r="J253" i="5"/>
  <c r="E253" i="5"/>
  <c r="J252" i="5"/>
  <c r="E252" i="5"/>
  <c r="K251" i="5"/>
  <c r="J251" i="5"/>
  <c r="H251" i="5"/>
  <c r="AA251" i="5"/>
  <c r="Z251" i="5"/>
  <c r="Y251" i="5"/>
  <c r="I251" i="5"/>
  <c r="X251" i="5" s="1"/>
  <c r="F251" i="5"/>
  <c r="V251" i="5"/>
  <c r="T251" i="5"/>
  <c r="R251" i="5"/>
  <c r="U251" i="5"/>
  <c r="S251" i="5"/>
  <c r="Q251" i="5"/>
  <c r="E251" i="5"/>
  <c r="D251" i="5"/>
  <c r="B251" i="5"/>
  <c r="A251" i="5"/>
  <c r="K250" i="5"/>
  <c r="J256" i="5" s="1"/>
  <c r="J250" i="5"/>
  <c r="I250" i="5"/>
  <c r="H256" i="5" s="1"/>
  <c r="H250" i="5"/>
  <c r="G250" i="5"/>
  <c r="F250" i="5"/>
  <c r="K249" i="5"/>
  <c r="J249" i="5"/>
  <c r="W249" i="5"/>
  <c r="I249" i="5"/>
  <c r="H249" i="5"/>
  <c r="G249" i="5"/>
  <c r="F249" i="5"/>
  <c r="K248" i="5"/>
  <c r="J248" i="5"/>
  <c r="I248" i="5"/>
  <c r="H248" i="5"/>
  <c r="G248" i="5"/>
  <c r="F248" i="5"/>
  <c r="K247" i="5"/>
  <c r="J247" i="5"/>
  <c r="I247" i="5"/>
  <c r="H247" i="5"/>
  <c r="G247" i="5"/>
  <c r="F247" i="5"/>
  <c r="C246" i="5"/>
  <c r="V245" i="5"/>
  <c r="K254" i="5" s="1"/>
  <c r="T245" i="5"/>
  <c r="K253" i="5" s="1"/>
  <c r="R245" i="5"/>
  <c r="K252" i="5" s="1"/>
  <c r="U245" i="5"/>
  <c r="I254" i="5" s="1"/>
  <c r="S245" i="5"/>
  <c r="I253" i="5" s="1"/>
  <c r="Q245" i="5"/>
  <c r="I252" i="5" s="1"/>
  <c r="E245" i="5"/>
  <c r="D245" i="5"/>
  <c r="B245" i="5"/>
  <c r="A245" i="5"/>
  <c r="AA244" i="5"/>
  <c r="Z244" i="5"/>
  <c r="Y244" i="5"/>
  <c r="I243" i="5"/>
  <c r="H243" i="5"/>
  <c r="G243" i="5"/>
  <c r="E243" i="5"/>
  <c r="J242" i="5"/>
  <c r="E242" i="5"/>
  <c r="J241" i="5"/>
  <c r="E241" i="5"/>
  <c r="J240" i="5"/>
  <c r="E240" i="5"/>
  <c r="K239" i="5"/>
  <c r="J239" i="5"/>
  <c r="H239" i="5"/>
  <c r="AA239" i="5"/>
  <c r="Z239" i="5"/>
  <c r="Y239" i="5"/>
  <c r="I239" i="5"/>
  <c r="X239" i="5" s="1"/>
  <c r="F239" i="5"/>
  <c r="V239" i="5"/>
  <c r="T239" i="5"/>
  <c r="R239" i="5"/>
  <c r="U239" i="5"/>
  <c r="S239" i="5"/>
  <c r="Q239" i="5"/>
  <c r="E239" i="5"/>
  <c r="D239" i="5"/>
  <c r="B239" i="5"/>
  <c r="A239" i="5"/>
  <c r="K238" i="5"/>
  <c r="J244" i="5" s="1"/>
  <c r="J238" i="5"/>
  <c r="I238" i="5"/>
  <c r="H244" i="5" s="1"/>
  <c r="H238" i="5"/>
  <c r="G238" i="5"/>
  <c r="F238" i="5"/>
  <c r="K237" i="5"/>
  <c r="J237" i="5"/>
  <c r="W237" i="5"/>
  <c r="I237" i="5"/>
  <c r="H237" i="5"/>
  <c r="G237" i="5"/>
  <c r="F237" i="5"/>
  <c r="K236" i="5"/>
  <c r="J236" i="5"/>
  <c r="I236" i="5"/>
  <c r="H236" i="5"/>
  <c r="G236" i="5"/>
  <c r="F236" i="5"/>
  <c r="K235" i="5"/>
  <c r="J235" i="5"/>
  <c r="I235" i="5"/>
  <c r="H235" i="5"/>
  <c r="G235" i="5"/>
  <c r="F235" i="5"/>
  <c r="C234" i="5"/>
  <c r="V233" i="5"/>
  <c r="K242" i="5" s="1"/>
  <c r="T233" i="5"/>
  <c r="K241" i="5" s="1"/>
  <c r="R233" i="5"/>
  <c r="K240" i="5" s="1"/>
  <c r="U233" i="5"/>
  <c r="I242" i="5" s="1"/>
  <c r="S233" i="5"/>
  <c r="I241" i="5" s="1"/>
  <c r="Q233" i="5"/>
  <c r="I240" i="5" s="1"/>
  <c r="E233" i="5"/>
  <c r="D233" i="5"/>
  <c r="B233" i="5"/>
  <c r="A233" i="5"/>
  <c r="AA232" i="5"/>
  <c r="Z232" i="5"/>
  <c r="Y232" i="5"/>
  <c r="H232" i="5"/>
  <c r="I231" i="5"/>
  <c r="H231" i="5"/>
  <c r="G231" i="5"/>
  <c r="E231" i="5"/>
  <c r="J230" i="5"/>
  <c r="I230" i="5"/>
  <c r="E230" i="5"/>
  <c r="J229" i="5"/>
  <c r="E229" i="5"/>
  <c r="J228" i="5"/>
  <c r="E228" i="5"/>
  <c r="K227" i="5"/>
  <c r="J227" i="5"/>
  <c r="I227" i="5"/>
  <c r="W227" i="5" s="1"/>
  <c r="H227" i="5"/>
  <c r="G227" i="5"/>
  <c r="F227" i="5"/>
  <c r="K226" i="5"/>
  <c r="J226" i="5"/>
  <c r="I226" i="5"/>
  <c r="X232" i="5" s="1"/>
  <c r="H226" i="5"/>
  <c r="G226" i="5"/>
  <c r="F226" i="5"/>
  <c r="K225" i="5"/>
  <c r="J225" i="5"/>
  <c r="W225" i="5"/>
  <c r="I225" i="5"/>
  <c r="O232" i="5" s="1"/>
  <c r="H225" i="5"/>
  <c r="G225" i="5"/>
  <c r="F225" i="5"/>
  <c r="C224" i="5"/>
  <c r="V223" i="5"/>
  <c r="K230" i="5" s="1"/>
  <c r="T223" i="5"/>
  <c r="K229" i="5" s="1"/>
  <c r="R223" i="5"/>
  <c r="K228" i="5" s="1"/>
  <c r="U223" i="5"/>
  <c r="S223" i="5"/>
  <c r="I229" i="5" s="1"/>
  <c r="Q223" i="5"/>
  <c r="I228" i="5" s="1"/>
  <c r="E223" i="5"/>
  <c r="D223" i="5"/>
  <c r="B223" i="5"/>
  <c r="A223" i="5"/>
  <c r="AA222" i="5"/>
  <c r="Z222" i="5"/>
  <c r="Y222" i="5"/>
  <c r="I221" i="5"/>
  <c r="H221" i="5"/>
  <c r="G221" i="5"/>
  <c r="E221" i="5"/>
  <c r="K220" i="5"/>
  <c r="J220" i="5"/>
  <c r="E220" i="5"/>
  <c r="K219" i="5"/>
  <c r="J219" i="5"/>
  <c r="I219" i="5"/>
  <c r="E219" i="5"/>
  <c r="K218" i="5"/>
  <c r="J218" i="5"/>
  <c r="W218" i="5"/>
  <c r="I218" i="5"/>
  <c r="H218" i="5"/>
  <c r="G218" i="5"/>
  <c r="F218" i="5"/>
  <c r="C217" i="5"/>
  <c r="V216" i="5"/>
  <c r="T216" i="5"/>
  <c r="R216" i="5"/>
  <c r="U216" i="5"/>
  <c r="S216" i="5"/>
  <c r="I220" i="5" s="1"/>
  <c r="Q216" i="5"/>
  <c r="E216" i="5"/>
  <c r="D216" i="5"/>
  <c r="B216" i="5"/>
  <c r="A216" i="5"/>
  <c r="AA215" i="5"/>
  <c r="Z215" i="5"/>
  <c r="Y215" i="5"/>
  <c r="I214" i="5"/>
  <c r="H214" i="5"/>
  <c r="G214" i="5"/>
  <c r="E214" i="5"/>
  <c r="K213" i="5"/>
  <c r="J213" i="5"/>
  <c r="I213" i="5"/>
  <c r="E213" i="5"/>
  <c r="J212" i="5"/>
  <c r="I212" i="5"/>
  <c r="H215" i="5" s="1"/>
  <c r="E212" i="5"/>
  <c r="K211" i="5"/>
  <c r="J211" i="5"/>
  <c r="W211" i="5"/>
  <c r="I211" i="5"/>
  <c r="X215" i="5" s="1"/>
  <c r="H211" i="5"/>
  <c r="G211" i="5"/>
  <c r="F211" i="5"/>
  <c r="C210" i="5"/>
  <c r="V209" i="5"/>
  <c r="T209" i="5"/>
  <c r="R209" i="5"/>
  <c r="K212" i="5" s="1"/>
  <c r="P215" i="5" s="1"/>
  <c r="U209" i="5"/>
  <c r="S209" i="5"/>
  <c r="Q209" i="5"/>
  <c r="E209" i="5"/>
  <c r="D209" i="5"/>
  <c r="B209" i="5"/>
  <c r="A209" i="5"/>
  <c r="A208" i="5"/>
  <c r="H206" i="5"/>
  <c r="J206" i="5"/>
  <c r="H205" i="5"/>
  <c r="J205" i="5"/>
  <c r="AL204" i="5"/>
  <c r="A204" i="5"/>
  <c r="Z202" i="5"/>
  <c r="Y202" i="5"/>
  <c r="X202" i="5"/>
  <c r="H202" i="5"/>
  <c r="P202" i="5"/>
  <c r="J202" i="5"/>
  <c r="K201" i="5"/>
  <c r="J201" i="5"/>
  <c r="I201" i="5"/>
  <c r="AA202" i="5" s="1"/>
  <c r="H201" i="5"/>
  <c r="G201" i="5"/>
  <c r="F201" i="5"/>
  <c r="V200" i="5"/>
  <c r="T200" i="5"/>
  <c r="R200" i="5"/>
  <c r="U200" i="5"/>
  <c r="S200" i="5"/>
  <c r="Q200" i="5"/>
  <c r="E200" i="5"/>
  <c r="D200" i="5"/>
  <c r="B200" i="5"/>
  <c r="A200" i="5"/>
  <c r="Z199" i="5"/>
  <c r="Y199" i="5"/>
  <c r="X199" i="5"/>
  <c r="H199" i="5"/>
  <c r="P199" i="5"/>
  <c r="J199" i="5"/>
  <c r="K198" i="5"/>
  <c r="J198" i="5"/>
  <c r="I198" i="5"/>
  <c r="AA199" i="5" s="1"/>
  <c r="H198" i="5"/>
  <c r="G198" i="5"/>
  <c r="F198" i="5"/>
  <c r="V197" i="5"/>
  <c r="T197" i="5"/>
  <c r="R197" i="5"/>
  <c r="U197" i="5"/>
  <c r="S197" i="5"/>
  <c r="Q197" i="5"/>
  <c r="E197" i="5"/>
  <c r="D197" i="5"/>
  <c r="B197" i="5"/>
  <c r="A197" i="5"/>
  <c r="AA196" i="5"/>
  <c r="Z196" i="5"/>
  <c r="Y196" i="5"/>
  <c r="I195" i="5"/>
  <c r="H195" i="5"/>
  <c r="G195" i="5"/>
  <c r="E195" i="5"/>
  <c r="J194" i="5"/>
  <c r="I194" i="5"/>
  <c r="E194" i="5"/>
  <c r="J193" i="5"/>
  <c r="E193" i="5"/>
  <c r="K192" i="5"/>
  <c r="J192" i="5"/>
  <c r="I192" i="5"/>
  <c r="H192" i="5"/>
  <c r="G192" i="5"/>
  <c r="F192" i="5"/>
  <c r="C191" i="5"/>
  <c r="V190" i="5"/>
  <c r="T190" i="5"/>
  <c r="K194" i="5" s="1"/>
  <c r="J196" i="5" s="1"/>
  <c r="R190" i="5"/>
  <c r="K193" i="5" s="1"/>
  <c r="U190" i="5"/>
  <c r="S190" i="5"/>
  <c r="Q190" i="5"/>
  <c r="I193" i="5" s="1"/>
  <c r="X196" i="5" s="1"/>
  <c r="E190" i="5"/>
  <c r="D190" i="5"/>
  <c r="B190" i="5"/>
  <c r="A190" i="5"/>
  <c r="AA189" i="5"/>
  <c r="Z189" i="5"/>
  <c r="Y189" i="5"/>
  <c r="X189" i="5"/>
  <c r="O189" i="5"/>
  <c r="H189" i="5"/>
  <c r="J189" i="5"/>
  <c r="K188" i="5"/>
  <c r="P189" i="5" s="1"/>
  <c r="J188" i="5"/>
  <c r="I188" i="5"/>
  <c r="H188" i="5"/>
  <c r="G188" i="5"/>
  <c r="F188" i="5"/>
  <c r="V187" i="5"/>
  <c r="T187" i="5"/>
  <c r="R187" i="5"/>
  <c r="U187" i="5"/>
  <c r="S187" i="5"/>
  <c r="Q187" i="5"/>
  <c r="E187" i="5"/>
  <c r="D187" i="5"/>
  <c r="B187" i="5"/>
  <c r="A187" i="5"/>
  <c r="AA186" i="5"/>
  <c r="Z186" i="5"/>
  <c r="Y186" i="5"/>
  <c r="X186" i="5"/>
  <c r="O186" i="5"/>
  <c r="H186" i="5"/>
  <c r="J186" i="5"/>
  <c r="K185" i="5"/>
  <c r="P186" i="5" s="1"/>
  <c r="J185" i="5"/>
  <c r="I185" i="5"/>
  <c r="H185" i="5"/>
  <c r="G185" i="5"/>
  <c r="F185" i="5"/>
  <c r="V184" i="5"/>
  <c r="T184" i="5"/>
  <c r="R184" i="5"/>
  <c r="U184" i="5"/>
  <c r="S184" i="5"/>
  <c r="Q184" i="5"/>
  <c r="E184" i="5"/>
  <c r="D184" i="5"/>
  <c r="B184" i="5"/>
  <c r="A184" i="5"/>
  <c r="AA183" i="5"/>
  <c r="Z183" i="5"/>
  <c r="Y183" i="5"/>
  <c r="J183" i="5"/>
  <c r="J182" i="5"/>
  <c r="E182" i="5"/>
  <c r="K181" i="5"/>
  <c r="J181" i="5"/>
  <c r="I181" i="5"/>
  <c r="W181" i="5" s="1"/>
  <c r="H181" i="5"/>
  <c r="G181" i="5"/>
  <c r="F181" i="5"/>
  <c r="K180" i="5"/>
  <c r="P183" i="5" s="1"/>
  <c r="J180" i="5"/>
  <c r="I180" i="5"/>
  <c r="H180" i="5"/>
  <c r="G180" i="5"/>
  <c r="F180" i="5"/>
  <c r="V179" i="5"/>
  <c r="K182" i="5" s="1"/>
  <c r="T179" i="5"/>
  <c r="R179" i="5"/>
  <c r="U179" i="5"/>
  <c r="I182" i="5" s="1"/>
  <c r="X183" i="5" s="1"/>
  <c r="S179" i="5"/>
  <c r="Q179" i="5"/>
  <c r="E179" i="5"/>
  <c r="D179" i="5"/>
  <c r="B179" i="5"/>
  <c r="A179" i="5"/>
  <c r="AA178" i="5"/>
  <c r="Z178" i="5"/>
  <c r="Y178" i="5"/>
  <c r="I177" i="5"/>
  <c r="H177" i="5"/>
  <c r="G177" i="5"/>
  <c r="E177" i="5"/>
  <c r="K176" i="5"/>
  <c r="J176" i="5"/>
  <c r="I176" i="5"/>
  <c r="E176" i="5"/>
  <c r="J175" i="5"/>
  <c r="I175" i="5"/>
  <c r="E175" i="5"/>
  <c r="K174" i="5"/>
  <c r="J174" i="5"/>
  <c r="E174" i="5"/>
  <c r="K173" i="5"/>
  <c r="J173" i="5"/>
  <c r="H173" i="5"/>
  <c r="AA173" i="5"/>
  <c r="Z173" i="5"/>
  <c r="Y173" i="5"/>
  <c r="X173" i="5"/>
  <c r="I173" i="5"/>
  <c r="F173" i="5"/>
  <c r="V173" i="5"/>
  <c r="T173" i="5"/>
  <c r="R173" i="5"/>
  <c r="U173" i="5"/>
  <c r="S173" i="5"/>
  <c r="Q173" i="5"/>
  <c r="E173" i="5"/>
  <c r="D173" i="5"/>
  <c r="B173" i="5"/>
  <c r="A173" i="5"/>
  <c r="K172" i="5"/>
  <c r="J172" i="5"/>
  <c r="H172" i="5"/>
  <c r="AA172" i="5"/>
  <c r="Z172" i="5"/>
  <c r="Y172" i="5"/>
  <c r="I172" i="5"/>
  <c r="X172" i="5" s="1"/>
  <c r="F172" i="5"/>
  <c r="V172" i="5"/>
  <c r="T172" i="5"/>
  <c r="R172" i="5"/>
  <c r="U172" i="5"/>
  <c r="S172" i="5"/>
  <c r="Q172" i="5"/>
  <c r="E172" i="5"/>
  <c r="D172" i="5"/>
  <c r="B172" i="5"/>
  <c r="A172" i="5"/>
  <c r="K171" i="5"/>
  <c r="J171" i="5"/>
  <c r="H171" i="5"/>
  <c r="AA171" i="5"/>
  <c r="Z171" i="5"/>
  <c r="Y171" i="5"/>
  <c r="X171" i="5"/>
  <c r="I171" i="5"/>
  <c r="F171" i="5"/>
  <c r="V171" i="5"/>
  <c r="T171" i="5"/>
  <c r="R171" i="5"/>
  <c r="U171" i="5"/>
  <c r="S171" i="5"/>
  <c r="Q171" i="5"/>
  <c r="E171" i="5"/>
  <c r="D171" i="5"/>
  <c r="B171" i="5"/>
  <c r="A171" i="5"/>
  <c r="K170" i="5"/>
  <c r="J170" i="5"/>
  <c r="I170" i="5"/>
  <c r="H170" i="5"/>
  <c r="G170" i="5"/>
  <c r="F170" i="5"/>
  <c r="K169" i="5"/>
  <c r="J169" i="5"/>
  <c r="I169" i="5"/>
  <c r="W169" i="5" s="1"/>
  <c r="H169" i="5"/>
  <c r="G169" i="5"/>
  <c r="F169" i="5"/>
  <c r="K168" i="5"/>
  <c r="J168" i="5"/>
  <c r="I168" i="5"/>
  <c r="H168" i="5"/>
  <c r="G168" i="5"/>
  <c r="F168" i="5"/>
  <c r="K167" i="5"/>
  <c r="J167" i="5"/>
  <c r="W167" i="5"/>
  <c r="I167" i="5"/>
  <c r="H167" i="5"/>
  <c r="G167" i="5"/>
  <c r="F167" i="5"/>
  <c r="V166" i="5"/>
  <c r="T166" i="5"/>
  <c r="K175" i="5" s="1"/>
  <c r="R166" i="5"/>
  <c r="U166" i="5"/>
  <c r="S166" i="5"/>
  <c r="Q166" i="5"/>
  <c r="I174" i="5" s="1"/>
  <c r="E166" i="5"/>
  <c r="D166" i="5"/>
  <c r="B166" i="5"/>
  <c r="A166" i="5"/>
  <c r="AA165" i="5"/>
  <c r="Z165" i="5"/>
  <c r="Y165" i="5"/>
  <c r="I164" i="5"/>
  <c r="H164" i="5"/>
  <c r="G164" i="5"/>
  <c r="E164" i="5"/>
  <c r="J163" i="5"/>
  <c r="E163" i="5"/>
  <c r="J162" i="5"/>
  <c r="E162" i="5"/>
  <c r="J161" i="5"/>
  <c r="E161" i="5"/>
  <c r="K160" i="5"/>
  <c r="J160" i="5"/>
  <c r="H160" i="5"/>
  <c r="AA160" i="5"/>
  <c r="Z160" i="5"/>
  <c r="Y160" i="5"/>
  <c r="I160" i="5"/>
  <c r="X160" i="5" s="1"/>
  <c r="F160" i="5"/>
  <c r="V160" i="5"/>
  <c r="T160" i="5"/>
  <c r="R160" i="5"/>
  <c r="U160" i="5"/>
  <c r="S160" i="5"/>
  <c r="Q160" i="5"/>
  <c r="E160" i="5"/>
  <c r="D160" i="5"/>
  <c r="B160" i="5"/>
  <c r="A160" i="5"/>
  <c r="K159" i="5"/>
  <c r="J159" i="5"/>
  <c r="I159" i="5"/>
  <c r="H159" i="5"/>
  <c r="G159" i="5"/>
  <c r="F159" i="5"/>
  <c r="K158" i="5"/>
  <c r="J158" i="5"/>
  <c r="W158" i="5"/>
  <c r="I158" i="5"/>
  <c r="H158" i="5"/>
  <c r="G158" i="5"/>
  <c r="F158" i="5"/>
  <c r="K157" i="5"/>
  <c r="J157" i="5"/>
  <c r="I157" i="5"/>
  <c r="H157" i="5"/>
  <c r="G157" i="5"/>
  <c r="F157" i="5"/>
  <c r="K156" i="5"/>
  <c r="J156" i="5"/>
  <c r="I156" i="5"/>
  <c r="H156" i="5"/>
  <c r="G156" i="5"/>
  <c r="F156" i="5"/>
  <c r="C155" i="5"/>
  <c r="V154" i="5"/>
  <c r="K163" i="5" s="1"/>
  <c r="T154" i="5"/>
  <c r="K162" i="5" s="1"/>
  <c r="J165" i="5" s="1"/>
  <c r="R154" i="5"/>
  <c r="K161" i="5" s="1"/>
  <c r="U154" i="5"/>
  <c r="I163" i="5" s="1"/>
  <c r="S154" i="5"/>
  <c r="I162" i="5" s="1"/>
  <c r="Q154" i="5"/>
  <c r="I161" i="5" s="1"/>
  <c r="E154" i="5"/>
  <c r="D154" i="5"/>
  <c r="B154" i="5"/>
  <c r="A154" i="5"/>
  <c r="AA153" i="5"/>
  <c r="Z153" i="5"/>
  <c r="Y153" i="5"/>
  <c r="I152" i="5"/>
  <c r="H152" i="5"/>
  <c r="G152" i="5"/>
  <c r="E152" i="5"/>
  <c r="J151" i="5"/>
  <c r="E151" i="5"/>
  <c r="J150" i="5"/>
  <c r="E150" i="5"/>
  <c r="J149" i="5"/>
  <c r="E149" i="5"/>
  <c r="K148" i="5"/>
  <c r="J148" i="5"/>
  <c r="H148" i="5"/>
  <c r="AA148" i="5"/>
  <c r="Z148" i="5"/>
  <c r="Y148" i="5"/>
  <c r="I148" i="5"/>
  <c r="X148" i="5" s="1"/>
  <c r="F148" i="5"/>
  <c r="V148" i="5"/>
  <c r="T148" i="5"/>
  <c r="R148" i="5"/>
  <c r="U148" i="5"/>
  <c r="S148" i="5"/>
  <c r="Q148" i="5"/>
  <c r="E148" i="5"/>
  <c r="D148" i="5"/>
  <c r="B148" i="5"/>
  <c r="A148" i="5"/>
  <c r="K147" i="5"/>
  <c r="J147" i="5"/>
  <c r="H147" i="5"/>
  <c r="AA147" i="5"/>
  <c r="Z147" i="5"/>
  <c r="Y147" i="5"/>
  <c r="X147" i="5"/>
  <c r="I147" i="5"/>
  <c r="F147" i="5"/>
  <c r="V147" i="5"/>
  <c r="T147" i="5"/>
  <c r="R147" i="5"/>
  <c r="U147" i="5"/>
  <c r="S147" i="5"/>
  <c r="Q147" i="5"/>
  <c r="E147" i="5"/>
  <c r="D147" i="5"/>
  <c r="B147" i="5"/>
  <c r="A147" i="5"/>
  <c r="K146" i="5"/>
  <c r="J146" i="5"/>
  <c r="H146" i="5"/>
  <c r="AA146" i="5"/>
  <c r="Z146" i="5"/>
  <c r="Y146" i="5"/>
  <c r="I146" i="5"/>
  <c r="X146" i="5" s="1"/>
  <c r="F146" i="5"/>
  <c r="V146" i="5"/>
  <c r="T146" i="5"/>
  <c r="R146" i="5"/>
  <c r="U146" i="5"/>
  <c r="S146" i="5"/>
  <c r="Q146" i="5"/>
  <c r="E146" i="5"/>
  <c r="D146" i="5"/>
  <c r="B146" i="5"/>
  <c r="A146" i="5"/>
  <c r="K145" i="5"/>
  <c r="J145" i="5"/>
  <c r="H145" i="5"/>
  <c r="AA145" i="5"/>
  <c r="Z145" i="5"/>
  <c r="Y145" i="5"/>
  <c r="X145" i="5"/>
  <c r="I145" i="5"/>
  <c r="F145" i="5"/>
  <c r="V145" i="5"/>
  <c r="T145" i="5"/>
  <c r="R145" i="5"/>
  <c r="U145" i="5"/>
  <c r="S145" i="5"/>
  <c r="Q145" i="5"/>
  <c r="E145" i="5"/>
  <c r="D145" i="5"/>
  <c r="B145" i="5"/>
  <c r="A145" i="5"/>
  <c r="K144" i="5"/>
  <c r="J144" i="5"/>
  <c r="H144" i="5"/>
  <c r="AA144" i="5"/>
  <c r="Z144" i="5"/>
  <c r="Y144" i="5"/>
  <c r="I144" i="5"/>
  <c r="X144" i="5" s="1"/>
  <c r="F144" i="5"/>
  <c r="V144" i="5"/>
  <c r="T144" i="5"/>
  <c r="R144" i="5"/>
  <c r="U144" i="5"/>
  <c r="S144" i="5"/>
  <c r="Q144" i="5"/>
  <c r="E144" i="5"/>
  <c r="D144" i="5"/>
  <c r="B144" i="5"/>
  <c r="A144" i="5"/>
  <c r="K143" i="5"/>
  <c r="J143" i="5"/>
  <c r="H143" i="5"/>
  <c r="AA143" i="5"/>
  <c r="Z143" i="5"/>
  <c r="Y143" i="5"/>
  <c r="X143" i="5"/>
  <c r="I143" i="5"/>
  <c r="F143" i="5"/>
  <c r="V143" i="5"/>
  <c r="T143" i="5"/>
  <c r="R143" i="5"/>
  <c r="U143" i="5"/>
  <c r="S143" i="5"/>
  <c r="Q143" i="5"/>
  <c r="E143" i="5"/>
  <c r="D143" i="5"/>
  <c r="B143" i="5"/>
  <c r="A143" i="5"/>
  <c r="K142" i="5"/>
  <c r="J142" i="5"/>
  <c r="I142" i="5"/>
  <c r="H142" i="5"/>
  <c r="G142" i="5"/>
  <c r="F142" i="5"/>
  <c r="K141" i="5"/>
  <c r="J141" i="5"/>
  <c r="I141" i="5"/>
  <c r="W141" i="5" s="1"/>
  <c r="H141" i="5"/>
  <c r="G141" i="5"/>
  <c r="F141" i="5"/>
  <c r="K140" i="5"/>
  <c r="J140" i="5"/>
  <c r="I140" i="5"/>
  <c r="H140" i="5"/>
  <c r="G140" i="5"/>
  <c r="F140" i="5"/>
  <c r="K139" i="5"/>
  <c r="J139" i="5"/>
  <c r="W139" i="5"/>
  <c r="I139" i="5"/>
  <c r="H139" i="5"/>
  <c r="G139" i="5"/>
  <c r="F139" i="5"/>
  <c r="C138" i="5"/>
  <c r="V137" i="5"/>
  <c r="K151" i="5" s="1"/>
  <c r="T137" i="5"/>
  <c r="R137" i="5"/>
  <c r="K149" i="5" s="1"/>
  <c r="U137" i="5"/>
  <c r="S137" i="5"/>
  <c r="I150" i="5" s="1"/>
  <c r="Q137" i="5"/>
  <c r="E137" i="5"/>
  <c r="D137" i="5"/>
  <c r="B137" i="5"/>
  <c r="A137" i="5"/>
  <c r="AA136" i="5"/>
  <c r="Z136" i="5"/>
  <c r="Y136" i="5"/>
  <c r="I135" i="5"/>
  <c r="H135" i="5"/>
  <c r="G135" i="5"/>
  <c r="E135" i="5"/>
  <c r="K134" i="5"/>
  <c r="J134" i="5"/>
  <c r="E134" i="5"/>
  <c r="J133" i="5"/>
  <c r="E133" i="5"/>
  <c r="J132" i="5"/>
  <c r="E132" i="5"/>
  <c r="K131" i="5"/>
  <c r="J131" i="5"/>
  <c r="H131" i="5"/>
  <c r="AA131" i="5"/>
  <c r="Z131" i="5"/>
  <c r="Y131" i="5"/>
  <c r="I131" i="5"/>
  <c r="X131" i="5" s="1"/>
  <c r="F131" i="5"/>
  <c r="V131" i="5"/>
  <c r="T131" i="5"/>
  <c r="R131" i="5"/>
  <c r="U131" i="5"/>
  <c r="I134" i="5" s="1"/>
  <c r="S131" i="5"/>
  <c r="Q131" i="5"/>
  <c r="E131" i="5"/>
  <c r="D131" i="5"/>
  <c r="B131" i="5"/>
  <c r="A131" i="5"/>
  <c r="K130" i="5"/>
  <c r="J130" i="5"/>
  <c r="I130" i="5"/>
  <c r="H130" i="5"/>
  <c r="G130" i="5"/>
  <c r="F130" i="5"/>
  <c r="K129" i="5"/>
  <c r="J129" i="5"/>
  <c r="W129" i="5"/>
  <c r="I129" i="5"/>
  <c r="H129" i="5"/>
  <c r="G129" i="5"/>
  <c r="F129" i="5"/>
  <c r="K128" i="5"/>
  <c r="J128" i="5"/>
  <c r="I128" i="5"/>
  <c r="H128" i="5"/>
  <c r="G128" i="5"/>
  <c r="F128" i="5"/>
  <c r="K127" i="5"/>
  <c r="J127" i="5"/>
  <c r="W127" i="5"/>
  <c r="I127" i="5"/>
  <c r="H127" i="5"/>
  <c r="G127" i="5"/>
  <c r="F127" i="5"/>
  <c r="C126" i="5"/>
  <c r="V125" i="5"/>
  <c r="T125" i="5"/>
  <c r="K133" i="5" s="1"/>
  <c r="R125" i="5"/>
  <c r="K132" i="5" s="1"/>
  <c r="U125" i="5"/>
  <c r="S125" i="5"/>
  <c r="I133" i="5" s="1"/>
  <c r="Q125" i="5"/>
  <c r="I132" i="5" s="1"/>
  <c r="E125" i="5"/>
  <c r="D125" i="5"/>
  <c r="B125" i="5"/>
  <c r="A125" i="5"/>
  <c r="AA124" i="5"/>
  <c r="Z124" i="5"/>
  <c r="Y124" i="5"/>
  <c r="I123" i="5"/>
  <c r="H123" i="5"/>
  <c r="G123" i="5"/>
  <c r="E123" i="5"/>
  <c r="K122" i="5"/>
  <c r="J122" i="5"/>
  <c r="E122" i="5"/>
  <c r="K121" i="5"/>
  <c r="J121" i="5"/>
  <c r="I121" i="5"/>
  <c r="E121" i="5"/>
  <c r="K120" i="5"/>
  <c r="J120" i="5"/>
  <c r="E120" i="5"/>
  <c r="K119" i="5"/>
  <c r="J119" i="5"/>
  <c r="H119" i="5"/>
  <c r="AA119" i="5"/>
  <c r="Z119" i="5"/>
  <c r="Y119" i="5"/>
  <c r="X119" i="5"/>
  <c r="I119" i="5"/>
  <c r="F119" i="5"/>
  <c r="V119" i="5"/>
  <c r="T119" i="5"/>
  <c r="R119" i="5"/>
  <c r="U119" i="5"/>
  <c r="S119" i="5"/>
  <c r="Q119" i="5"/>
  <c r="I120" i="5" s="1"/>
  <c r="E119" i="5"/>
  <c r="D119" i="5"/>
  <c r="B119" i="5"/>
  <c r="A119" i="5"/>
  <c r="K118" i="5"/>
  <c r="J118" i="5"/>
  <c r="H118" i="5"/>
  <c r="AA118" i="5"/>
  <c r="Z118" i="5"/>
  <c r="Y118" i="5"/>
  <c r="I118" i="5"/>
  <c r="X118" i="5" s="1"/>
  <c r="F118" i="5"/>
  <c r="V118" i="5"/>
  <c r="T118" i="5"/>
  <c r="R118" i="5"/>
  <c r="U118" i="5"/>
  <c r="I122" i="5" s="1"/>
  <c r="S118" i="5"/>
  <c r="Q118" i="5"/>
  <c r="E118" i="5"/>
  <c r="D118" i="5"/>
  <c r="B118" i="5"/>
  <c r="A118" i="5"/>
  <c r="K117" i="5"/>
  <c r="J117" i="5"/>
  <c r="I117" i="5"/>
  <c r="H117" i="5"/>
  <c r="G117" i="5"/>
  <c r="F117" i="5"/>
  <c r="K116" i="5"/>
  <c r="J116" i="5"/>
  <c r="I116" i="5"/>
  <c r="W116" i="5" s="1"/>
  <c r="H116" i="5"/>
  <c r="G116" i="5"/>
  <c r="F116" i="5"/>
  <c r="K115" i="5"/>
  <c r="P124" i="5" s="1"/>
  <c r="J115" i="5"/>
  <c r="I115" i="5"/>
  <c r="H115" i="5"/>
  <c r="G115" i="5"/>
  <c r="F115" i="5"/>
  <c r="K114" i="5"/>
  <c r="J114" i="5"/>
  <c r="W114" i="5"/>
  <c r="I114" i="5"/>
  <c r="H114" i="5"/>
  <c r="G114" i="5"/>
  <c r="F114" i="5"/>
  <c r="C113" i="5"/>
  <c r="V112" i="5"/>
  <c r="T112" i="5"/>
  <c r="R112" i="5"/>
  <c r="U112" i="5"/>
  <c r="S112" i="5"/>
  <c r="Q112" i="5"/>
  <c r="E112" i="5"/>
  <c r="D112" i="5"/>
  <c r="B112" i="5"/>
  <c r="A112" i="5"/>
  <c r="AA111" i="5"/>
  <c r="Z111" i="5"/>
  <c r="Y111" i="5"/>
  <c r="I110" i="5"/>
  <c r="H110" i="5"/>
  <c r="G110" i="5"/>
  <c r="E110" i="5"/>
  <c r="J109" i="5"/>
  <c r="E109" i="5"/>
  <c r="J108" i="5"/>
  <c r="E108" i="5"/>
  <c r="J107" i="5"/>
  <c r="E107" i="5"/>
  <c r="K106" i="5"/>
  <c r="J106" i="5"/>
  <c r="H106" i="5"/>
  <c r="AA106" i="5"/>
  <c r="Z106" i="5"/>
  <c r="Y106" i="5"/>
  <c r="X106" i="5"/>
  <c r="I106" i="5"/>
  <c r="F106" i="5"/>
  <c r="V106" i="5"/>
  <c r="T106" i="5"/>
  <c r="K108" i="5" s="1"/>
  <c r="R106" i="5"/>
  <c r="U106" i="5"/>
  <c r="S106" i="5"/>
  <c r="Q106" i="5"/>
  <c r="E106" i="5"/>
  <c r="D106" i="5"/>
  <c r="B106" i="5"/>
  <c r="A106" i="5"/>
  <c r="K105" i="5"/>
  <c r="J105" i="5"/>
  <c r="I105" i="5"/>
  <c r="H105" i="5"/>
  <c r="G105" i="5"/>
  <c r="F105" i="5"/>
  <c r="K104" i="5"/>
  <c r="J104" i="5"/>
  <c r="I104" i="5"/>
  <c r="W104" i="5" s="1"/>
  <c r="H104" i="5"/>
  <c r="G104" i="5"/>
  <c r="F104" i="5"/>
  <c r="K103" i="5"/>
  <c r="J103" i="5"/>
  <c r="I103" i="5"/>
  <c r="H103" i="5"/>
  <c r="G103" i="5"/>
  <c r="F103" i="5"/>
  <c r="K102" i="5"/>
  <c r="J102" i="5"/>
  <c r="W102" i="5"/>
  <c r="I102" i="5"/>
  <c r="H102" i="5"/>
  <c r="G102" i="5"/>
  <c r="F102" i="5"/>
  <c r="C101" i="5"/>
  <c r="V100" i="5"/>
  <c r="K109" i="5" s="1"/>
  <c r="T100" i="5"/>
  <c r="R100" i="5"/>
  <c r="K107" i="5" s="1"/>
  <c r="U100" i="5"/>
  <c r="S100" i="5"/>
  <c r="I108" i="5" s="1"/>
  <c r="Q100" i="5"/>
  <c r="E100" i="5"/>
  <c r="D100" i="5"/>
  <c r="B100" i="5"/>
  <c r="A100" i="5"/>
  <c r="AA99" i="5"/>
  <c r="Z99" i="5"/>
  <c r="Y99" i="5"/>
  <c r="I98" i="5"/>
  <c r="H98" i="5"/>
  <c r="G98" i="5"/>
  <c r="E98" i="5"/>
  <c r="J97" i="5"/>
  <c r="I97" i="5"/>
  <c r="E97" i="5"/>
  <c r="J96" i="5"/>
  <c r="E96" i="5"/>
  <c r="J95" i="5"/>
  <c r="E95" i="5"/>
  <c r="K94" i="5"/>
  <c r="J94" i="5"/>
  <c r="H94" i="5"/>
  <c r="AA94" i="5"/>
  <c r="Z94" i="5"/>
  <c r="Y94" i="5"/>
  <c r="X94" i="5"/>
  <c r="I94" i="5"/>
  <c r="F94" i="5"/>
  <c r="V94" i="5"/>
  <c r="T94" i="5"/>
  <c r="K96" i="5" s="1"/>
  <c r="R94" i="5"/>
  <c r="U94" i="5"/>
  <c r="S94" i="5"/>
  <c r="Q94" i="5"/>
  <c r="I95" i="5" s="1"/>
  <c r="E94" i="5"/>
  <c r="D94" i="5"/>
  <c r="B94" i="5"/>
  <c r="A94" i="5"/>
  <c r="K93" i="5"/>
  <c r="J93" i="5"/>
  <c r="I93" i="5"/>
  <c r="H93" i="5"/>
  <c r="G93" i="5"/>
  <c r="F93" i="5"/>
  <c r="K92" i="5"/>
  <c r="J92" i="5"/>
  <c r="I92" i="5"/>
  <c r="W92" i="5" s="1"/>
  <c r="H92" i="5"/>
  <c r="G92" i="5"/>
  <c r="F92" i="5"/>
  <c r="K91" i="5"/>
  <c r="J91" i="5"/>
  <c r="I91" i="5"/>
  <c r="H91" i="5"/>
  <c r="G91" i="5"/>
  <c r="F91" i="5"/>
  <c r="K90" i="5"/>
  <c r="J90" i="5"/>
  <c r="W90" i="5"/>
  <c r="I90" i="5"/>
  <c r="H90" i="5"/>
  <c r="G90" i="5"/>
  <c r="F90" i="5"/>
  <c r="C89" i="5"/>
  <c r="V88" i="5"/>
  <c r="K97" i="5" s="1"/>
  <c r="T88" i="5"/>
  <c r="R88" i="5"/>
  <c r="K95" i="5" s="1"/>
  <c r="U88" i="5"/>
  <c r="S88" i="5"/>
  <c r="I96" i="5" s="1"/>
  <c r="Q88" i="5"/>
  <c r="E88" i="5"/>
  <c r="D88" i="5"/>
  <c r="B88" i="5"/>
  <c r="A88" i="5"/>
  <c r="AA87" i="5"/>
  <c r="Z87" i="5"/>
  <c r="Y87" i="5"/>
  <c r="I86" i="5"/>
  <c r="H86" i="5"/>
  <c r="G86" i="5"/>
  <c r="E86" i="5"/>
  <c r="K85" i="5"/>
  <c r="J85" i="5"/>
  <c r="I85" i="5"/>
  <c r="E85" i="5"/>
  <c r="J84" i="5"/>
  <c r="I84" i="5"/>
  <c r="E84" i="5"/>
  <c r="K83" i="5"/>
  <c r="J83" i="5"/>
  <c r="E83" i="5"/>
  <c r="K82" i="5"/>
  <c r="J82" i="5"/>
  <c r="W82" i="5"/>
  <c r="I82" i="5"/>
  <c r="H82" i="5"/>
  <c r="G82" i="5"/>
  <c r="F82" i="5"/>
  <c r="K81" i="5"/>
  <c r="J81" i="5"/>
  <c r="I81" i="5"/>
  <c r="H81" i="5"/>
  <c r="G81" i="5"/>
  <c r="F81" i="5"/>
  <c r="K80" i="5"/>
  <c r="J80" i="5"/>
  <c r="I80" i="5"/>
  <c r="H80" i="5"/>
  <c r="G80" i="5"/>
  <c r="F80" i="5"/>
  <c r="C79" i="5"/>
  <c r="V78" i="5"/>
  <c r="T78" i="5"/>
  <c r="K84" i="5" s="1"/>
  <c r="P87" i="5" s="1"/>
  <c r="R78" i="5"/>
  <c r="U78" i="5"/>
  <c r="S78" i="5"/>
  <c r="Q78" i="5"/>
  <c r="I83" i="5" s="1"/>
  <c r="E78" i="5"/>
  <c r="D78" i="5"/>
  <c r="B78" i="5"/>
  <c r="A78" i="5"/>
  <c r="AA77" i="5"/>
  <c r="Z77" i="5"/>
  <c r="Y77" i="5"/>
  <c r="I76" i="5"/>
  <c r="H76" i="5"/>
  <c r="G76" i="5"/>
  <c r="E76" i="5"/>
  <c r="J75" i="5"/>
  <c r="E75" i="5"/>
  <c r="K74" i="5"/>
  <c r="J74" i="5"/>
  <c r="E74" i="5"/>
  <c r="K73" i="5"/>
  <c r="J73" i="5"/>
  <c r="I73" i="5"/>
  <c r="H73" i="5"/>
  <c r="G73" i="5"/>
  <c r="F73" i="5"/>
  <c r="C72" i="5"/>
  <c r="V71" i="5"/>
  <c r="T71" i="5"/>
  <c r="K75" i="5" s="1"/>
  <c r="J77" i="5" s="1"/>
  <c r="R71" i="5"/>
  <c r="U71" i="5"/>
  <c r="S71" i="5"/>
  <c r="I75" i="5" s="1"/>
  <c r="Q71" i="5"/>
  <c r="I74" i="5" s="1"/>
  <c r="E71" i="5"/>
  <c r="D71" i="5"/>
  <c r="B71" i="5"/>
  <c r="A71" i="5"/>
  <c r="AA70" i="5"/>
  <c r="Z70" i="5"/>
  <c r="Y70" i="5"/>
  <c r="J69" i="5"/>
  <c r="E69" i="5"/>
  <c r="K68" i="5"/>
  <c r="J68" i="5"/>
  <c r="I68" i="5"/>
  <c r="W68" i="5" s="1"/>
  <c r="H68" i="5"/>
  <c r="G68" i="5"/>
  <c r="F68" i="5"/>
  <c r="K67" i="5"/>
  <c r="J67" i="5"/>
  <c r="I67" i="5"/>
  <c r="H67" i="5"/>
  <c r="G67" i="5"/>
  <c r="F67" i="5"/>
  <c r="C66" i="5"/>
  <c r="V65" i="5"/>
  <c r="K69" i="5" s="1"/>
  <c r="T65" i="5"/>
  <c r="R65" i="5"/>
  <c r="U65" i="5"/>
  <c r="I69" i="5" s="1"/>
  <c r="S65" i="5"/>
  <c r="Q65" i="5"/>
  <c r="E65" i="5"/>
  <c r="D65" i="5"/>
  <c r="B65" i="5"/>
  <c r="A65" i="5"/>
  <c r="AA64" i="5"/>
  <c r="Z64" i="5"/>
  <c r="Y64" i="5"/>
  <c r="I63" i="5"/>
  <c r="H63" i="5"/>
  <c r="G63" i="5"/>
  <c r="E63" i="5"/>
  <c r="J62" i="5"/>
  <c r="I62" i="5"/>
  <c r="E62" i="5"/>
  <c r="J61" i="5"/>
  <c r="E61" i="5"/>
  <c r="K60" i="5"/>
  <c r="J60" i="5"/>
  <c r="I60" i="5"/>
  <c r="W60" i="5" s="1"/>
  <c r="H60" i="5"/>
  <c r="G60" i="5"/>
  <c r="F60" i="5"/>
  <c r="C59" i="5"/>
  <c r="V58" i="5"/>
  <c r="T58" i="5"/>
  <c r="K62" i="5" s="1"/>
  <c r="R58" i="5"/>
  <c r="K61" i="5" s="1"/>
  <c r="U58" i="5"/>
  <c r="S58" i="5"/>
  <c r="Q58" i="5"/>
  <c r="I61" i="5" s="1"/>
  <c r="H64" i="5" s="1"/>
  <c r="E58" i="5"/>
  <c r="D58" i="5"/>
  <c r="B58" i="5"/>
  <c r="A58" i="5"/>
  <c r="AA57" i="5"/>
  <c r="Z57" i="5"/>
  <c r="Y57" i="5"/>
  <c r="I56" i="5"/>
  <c r="H56" i="5"/>
  <c r="G56" i="5"/>
  <c r="E56" i="5"/>
  <c r="J55" i="5"/>
  <c r="E55" i="5"/>
  <c r="K54" i="5"/>
  <c r="J54" i="5"/>
  <c r="E54" i="5"/>
  <c r="J53" i="5"/>
  <c r="E53" i="5"/>
  <c r="K52" i="5"/>
  <c r="J52" i="5"/>
  <c r="I52" i="5"/>
  <c r="W52" i="5" s="1"/>
  <c r="H52" i="5"/>
  <c r="G52" i="5"/>
  <c r="F52" i="5"/>
  <c r="K51" i="5"/>
  <c r="J51" i="5"/>
  <c r="I51" i="5"/>
  <c r="H51" i="5"/>
  <c r="G51" i="5"/>
  <c r="F51" i="5"/>
  <c r="K50" i="5"/>
  <c r="J50" i="5"/>
  <c r="W50" i="5"/>
  <c r="I50" i="5"/>
  <c r="H50" i="5"/>
  <c r="G50" i="5"/>
  <c r="F50" i="5"/>
  <c r="C49" i="5"/>
  <c r="V48" i="5"/>
  <c r="K55" i="5" s="1"/>
  <c r="T48" i="5"/>
  <c r="R48" i="5"/>
  <c r="K53" i="5" s="1"/>
  <c r="U48" i="5"/>
  <c r="I55" i="5" s="1"/>
  <c r="S48" i="5"/>
  <c r="I54" i="5" s="1"/>
  <c r="Q48" i="5"/>
  <c r="I53" i="5" s="1"/>
  <c r="E48" i="5"/>
  <c r="D48" i="5"/>
  <c r="B48" i="5"/>
  <c r="A48" i="5"/>
  <c r="AA47" i="5"/>
  <c r="Z47" i="5"/>
  <c r="Y47" i="5"/>
  <c r="I46" i="5"/>
  <c r="H46" i="5"/>
  <c r="G46" i="5"/>
  <c r="E46" i="5"/>
  <c r="K45" i="5"/>
  <c r="J45" i="5"/>
  <c r="E45" i="5"/>
  <c r="K44" i="5"/>
  <c r="J44" i="5"/>
  <c r="I44" i="5"/>
  <c r="E44" i="5"/>
  <c r="K43" i="5"/>
  <c r="P47" i="5" s="1"/>
  <c r="J43" i="5"/>
  <c r="E43" i="5"/>
  <c r="K42" i="5"/>
  <c r="J42" i="5"/>
  <c r="W42" i="5"/>
  <c r="I42" i="5"/>
  <c r="H42" i="5"/>
  <c r="G42" i="5"/>
  <c r="F42" i="5"/>
  <c r="K41" i="5"/>
  <c r="J41" i="5"/>
  <c r="I41" i="5"/>
  <c r="H41" i="5"/>
  <c r="G41" i="5"/>
  <c r="F41" i="5"/>
  <c r="K40" i="5"/>
  <c r="J47" i="5" s="1"/>
  <c r="J40" i="5"/>
  <c r="I40" i="5"/>
  <c r="H40" i="5"/>
  <c r="G40" i="5"/>
  <c r="F40" i="5"/>
  <c r="C39" i="5"/>
  <c r="V38" i="5"/>
  <c r="T38" i="5"/>
  <c r="R38" i="5"/>
  <c r="U38" i="5"/>
  <c r="I45" i="5" s="1"/>
  <c r="S38" i="5"/>
  <c r="Q38" i="5"/>
  <c r="I43" i="5" s="1"/>
  <c r="E38" i="5"/>
  <c r="D38" i="5"/>
  <c r="B38" i="5"/>
  <c r="A38" i="5"/>
  <c r="AA37" i="5"/>
  <c r="Z37" i="5"/>
  <c r="I19" i="5" s="1"/>
  <c r="Y37" i="5"/>
  <c r="I36" i="5"/>
  <c r="H36" i="5"/>
  <c r="G36" i="5"/>
  <c r="E36" i="5"/>
  <c r="J35" i="5"/>
  <c r="I35" i="5"/>
  <c r="E35" i="5"/>
  <c r="J34" i="5"/>
  <c r="E34" i="5"/>
  <c r="K33" i="5"/>
  <c r="J33" i="5"/>
  <c r="I33" i="5"/>
  <c r="W33" i="5" s="1"/>
  <c r="H33" i="5"/>
  <c r="G33" i="5"/>
  <c r="F33" i="5"/>
  <c r="C32" i="5"/>
  <c r="V31" i="5"/>
  <c r="T31" i="5"/>
  <c r="K35" i="5" s="1"/>
  <c r="R31" i="5"/>
  <c r="K34" i="5" s="1"/>
  <c r="U31" i="5"/>
  <c r="S31" i="5"/>
  <c r="Q31" i="5"/>
  <c r="I34" i="5" s="1"/>
  <c r="H37" i="5" s="1"/>
  <c r="E31" i="5"/>
  <c r="D31" i="5"/>
  <c r="B31" i="5"/>
  <c r="A31" i="5"/>
  <c r="A30" i="5"/>
  <c r="A28" i="5"/>
  <c r="A14" i="5"/>
  <c r="A6" i="5"/>
  <c r="A1" i="5"/>
  <c r="X350" i="5" l="1"/>
  <c r="O350" i="5"/>
  <c r="X57" i="5"/>
  <c r="X87" i="5"/>
  <c r="J87" i="5"/>
  <c r="O124" i="5"/>
  <c r="X124" i="5"/>
  <c r="X136" i="5"/>
  <c r="O136" i="5"/>
  <c r="J136" i="5"/>
  <c r="O178" i="5"/>
  <c r="O57" i="5"/>
  <c r="J99" i="5"/>
  <c r="X343" i="5"/>
  <c r="H449" i="5"/>
  <c r="O449" i="5"/>
  <c r="P57" i="5"/>
  <c r="H57" i="5"/>
  <c r="P70" i="5"/>
  <c r="P77" i="5"/>
  <c r="P136" i="5"/>
  <c r="O222" i="5"/>
  <c r="P278" i="5"/>
  <c r="P292" i="5"/>
  <c r="X99" i="5"/>
  <c r="P37" i="5"/>
  <c r="J37" i="5"/>
  <c r="H47" i="5"/>
  <c r="J57" i="5"/>
  <c r="P64" i="5"/>
  <c r="J64" i="5"/>
  <c r="X70" i="5"/>
  <c r="O77" i="5"/>
  <c r="H99" i="5"/>
  <c r="X111" i="5"/>
  <c r="O292" i="5"/>
  <c r="O47" i="5"/>
  <c r="H70" i="5"/>
  <c r="O426" i="5"/>
  <c r="J449" i="5"/>
  <c r="J222" i="5"/>
  <c r="AA356" i="5"/>
  <c r="AA362" i="5"/>
  <c r="AA426" i="5"/>
  <c r="H461" i="5"/>
  <c r="P672" i="5"/>
  <c r="H746" i="5"/>
  <c r="P765" i="5"/>
  <c r="J765" i="5"/>
  <c r="P781" i="5"/>
  <c r="J781" i="5"/>
  <c r="P883" i="5"/>
  <c r="P908" i="5"/>
  <c r="J908" i="5"/>
  <c r="H927" i="5"/>
  <c r="X927" i="5"/>
  <c r="W920" i="5"/>
  <c r="O927" i="5"/>
  <c r="P960" i="5"/>
  <c r="J960" i="5"/>
  <c r="O37" i="5"/>
  <c r="W40" i="5"/>
  <c r="I21" i="5" s="1"/>
  <c r="X47" i="5"/>
  <c r="O64" i="5"/>
  <c r="O70" i="5"/>
  <c r="W73" i="5"/>
  <c r="H87" i="5"/>
  <c r="I109" i="5"/>
  <c r="H124" i="5"/>
  <c r="J124" i="5"/>
  <c r="I151" i="5"/>
  <c r="H178" i="5"/>
  <c r="O183" i="5"/>
  <c r="H183" i="5"/>
  <c r="J215" i="5"/>
  <c r="X222" i="5"/>
  <c r="P222" i="5"/>
  <c r="P244" i="5"/>
  <c r="O256" i="5"/>
  <c r="W247" i="5"/>
  <c r="X256" i="5"/>
  <c r="J266" i="5"/>
  <c r="J278" i="5"/>
  <c r="J292" i="5"/>
  <c r="O322" i="5"/>
  <c r="W318" i="5"/>
  <c r="W325" i="5"/>
  <c r="O329" i="5"/>
  <c r="J329" i="5"/>
  <c r="I341" i="5"/>
  <c r="H343" i="5" s="1"/>
  <c r="O343" i="5"/>
  <c r="W332" i="5"/>
  <c r="P353" i="5"/>
  <c r="P359" i="5"/>
  <c r="O374" i="5"/>
  <c r="W370" i="5"/>
  <c r="H374" i="5"/>
  <c r="K398" i="5"/>
  <c r="P400" i="5" s="1"/>
  <c r="I397" i="5"/>
  <c r="X400" i="5" s="1"/>
  <c r="H413" i="5"/>
  <c r="X413" i="5"/>
  <c r="W403" i="5"/>
  <c r="O413" i="5"/>
  <c r="P429" i="5"/>
  <c r="O443" i="5"/>
  <c r="W438" i="5"/>
  <c r="X449" i="5"/>
  <c r="P449" i="5"/>
  <c r="P475" i="5"/>
  <c r="X527" i="5"/>
  <c r="P541" i="5"/>
  <c r="J541" i="5"/>
  <c r="H570" i="5"/>
  <c r="H584" i="5"/>
  <c r="O584" i="5"/>
  <c r="H692" i="5"/>
  <c r="O703" i="5"/>
  <c r="H703" i="5"/>
  <c r="P735" i="5"/>
  <c r="J735" i="5"/>
  <c r="X839" i="5"/>
  <c r="H894" i="5"/>
  <c r="P1047" i="5"/>
  <c r="J1047" i="5"/>
  <c r="P99" i="5"/>
  <c r="P111" i="5"/>
  <c r="J111" i="5"/>
  <c r="O165" i="5"/>
  <c r="W156" i="5"/>
  <c r="X165" i="5"/>
  <c r="J70" i="5"/>
  <c r="H77" i="5"/>
  <c r="O87" i="5"/>
  <c r="O99" i="5"/>
  <c r="H278" i="5"/>
  <c r="X292" i="5"/>
  <c r="J297" i="5"/>
  <c r="H350" i="5"/>
  <c r="O353" i="5"/>
  <c r="AA353" i="5"/>
  <c r="O359" i="5"/>
  <c r="AA359" i="5"/>
  <c r="P386" i="5"/>
  <c r="I398" i="5"/>
  <c r="W389" i="5"/>
  <c r="O400" i="5"/>
  <c r="J423" i="5"/>
  <c r="P423" i="5"/>
  <c r="O429" i="5"/>
  <c r="AA429" i="5"/>
  <c r="P487" i="5"/>
  <c r="O487" i="5"/>
  <c r="AA498" i="5"/>
  <c r="O498" i="5"/>
  <c r="H498" i="5"/>
  <c r="P517" i="5"/>
  <c r="J611" i="5"/>
  <c r="O611" i="5"/>
  <c r="O746" i="5"/>
  <c r="O788" i="5"/>
  <c r="P798" i="5"/>
  <c r="J798" i="5"/>
  <c r="J851" i="5"/>
  <c r="J980" i="5"/>
  <c r="X77" i="5"/>
  <c r="J153" i="5"/>
  <c r="J178" i="5"/>
  <c r="O356" i="5"/>
  <c r="O362" i="5"/>
  <c r="O386" i="5"/>
  <c r="W377" i="5"/>
  <c r="X37" i="5"/>
  <c r="X64" i="5"/>
  <c r="O111" i="5"/>
  <c r="H136" i="5"/>
  <c r="P165" i="5"/>
  <c r="W192" i="5"/>
  <c r="O196" i="5"/>
  <c r="W80" i="5"/>
  <c r="I107" i="5"/>
  <c r="H111" i="5" s="1"/>
  <c r="I149" i="5"/>
  <c r="X153" i="5" s="1"/>
  <c r="K150" i="5"/>
  <c r="P153" i="5" s="1"/>
  <c r="H165" i="5"/>
  <c r="P178" i="5"/>
  <c r="P196" i="5"/>
  <c r="H196" i="5"/>
  <c r="O215" i="5"/>
  <c r="P232" i="5"/>
  <c r="J232" i="5"/>
  <c r="O244" i="5"/>
  <c r="W235" i="5"/>
  <c r="X244" i="5"/>
  <c r="P256" i="5"/>
  <c r="J311" i="5" s="1"/>
  <c r="H266" i="5"/>
  <c r="X266" i="5"/>
  <c r="W259" i="5"/>
  <c r="H297" i="5"/>
  <c r="P322" i="5"/>
  <c r="P343" i="5"/>
  <c r="P356" i="5"/>
  <c r="P362" i="5"/>
  <c r="P374" i="5"/>
  <c r="H386" i="5"/>
  <c r="K396" i="5"/>
  <c r="J413" i="5"/>
  <c r="X423" i="5"/>
  <c r="P443" i="5"/>
  <c r="J461" i="5"/>
  <c r="H475" i="5"/>
  <c r="X475" i="5"/>
  <c r="W464" i="5"/>
  <c r="H527" i="5"/>
  <c r="X538" i="5"/>
  <c r="O538" i="5"/>
  <c r="O724" i="5"/>
  <c r="H724" i="5"/>
  <c r="W716" i="5"/>
  <c r="Y724" i="5"/>
  <c r="O839" i="5"/>
  <c r="X178" i="5"/>
  <c r="O199" i="5"/>
  <c r="O202" i="5"/>
  <c r="H222" i="5"/>
  <c r="X278" i="5"/>
  <c r="H292" i="5"/>
  <c r="O300" i="5"/>
  <c r="O303" i="5"/>
  <c r="O306" i="5"/>
  <c r="O309" i="5"/>
  <c r="H423" i="5"/>
  <c r="J487" i="5"/>
  <c r="O492" i="5"/>
  <c r="X492" i="5"/>
  <c r="H517" i="5"/>
  <c r="X533" i="5"/>
  <c r="O533" i="5"/>
  <c r="P557" i="5"/>
  <c r="J557" i="5"/>
  <c r="O570" i="5"/>
  <c r="H586" i="5" s="1"/>
  <c r="I581" i="5"/>
  <c r="K582" i="5"/>
  <c r="P584" i="5" s="1"/>
  <c r="X611" i="5"/>
  <c r="P622" i="5"/>
  <c r="J622" i="5"/>
  <c r="O633" i="5"/>
  <c r="H662" i="5"/>
  <c r="P682" i="5"/>
  <c r="X682" i="5"/>
  <c r="P703" i="5"/>
  <c r="O759" i="5"/>
  <c r="H788" i="5"/>
  <c r="X807" i="5"/>
  <c r="H817" i="5"/>
  <c r="X817" i="5"/>
  <c r="W810" i="5"/>
  <c r="P817" i="5"/>
  <c r="O824" i="5"/>
  <c r="H824" i="5"/>
  <c r="K835" i="5"/>
  <c r="J839" i="5" s="1"/>
  <c r="P851" i="5"/>
  <c r="X860" i="5"/>
  <c r="P911" i="5"/>
  <c r="J911" i="5"/>
  <c r="P936" i="5"/>
  <c r="J949" i="5"/>
  <c r="O980" i="5"/>
  <c r="H1027" i="5"/>
  <c r="Y1383" i="5"/>
  <c r="AA495" i="5"/>
  <c r="I20" i="5" s="1"/>
  <c r="O495" i="5"/>
  <c r="AA501" i="5"/>
  <c r="O501" i="5"/>
  <c r="O517" i="5"/>
  <c r="H546" i="5" s="1"/>
  <c r="J527" i="5"/>
  <c r="P527" i="5"/>
  <c r="P538" i="5"/>
  <c r="P544" i="5"/>
  <c r="J544" i="5"/>
  <c r="H600" i="5"/>
  <c r="X600" i="5"/>
  <c r="W593" i="5"/>
  <c r="P633" i="5"/>
  <c r="X633" i="5"/>
  <c r="H652" i="5"/>
  <c r="X652" i="5"/>
  <c r="W642" i="5"/>
  <c r="P652" i="5"/>
  <c r="H672" i="5"/>
  <c r="P692" i="5"/>
  <c r="Y703" i="5"/>
  <c r="J724" i="5"/>
  <c r="O735" i="5"/>
  <c r="P746" i="5"/>
  <c r="K755" i="5"/>
  <c r="P759" i="5" s="1"/>
  <c r="H781" i="5"/>
  <c r="P839" i="5"/>
  <c r="X873" i="5"/>
  <c r="O883" i="5"/>
  <c r="H883" i="5"/>
  <c r="W875" i="5"/>
  <c r="J894" i="5"/>
  <c r="P902" i="5"/>
  <c r="J902" i="5"/>
  <c r="J962" i="5"/>
  <c r="I933" i="5"/>
  <c r="H936" i="5" s="1"/>
  <c r="K934" i="5"/>
  <c r="J936" i="5" s="1"/>
  <c r="X461" i="5"/>
  <c r="H487" i="5"/>
  <c r="H495" i="5"/>
  <c r="H501" i="5"/>
  <c r="J533" i="5"/>
  <c r="H557" i="5"/>
  <c r="W553" i="5"/>
  <c r="X557" i="5"/>
  <c r="K567" i="5"/>
  <c r="P570" i="5" s="1"/>
  <c r="O600" i="5"/>
  <c r="I620" i="5"/>
  <c r="O622" i="5" s="1"/>
  <c r="H622" i="5"/>
  <c r="P662" i="5"/>
  <c r="X662" i="5"/>
  <c r="H682" i="5"/>
  <c r="O713" i="5"/>
  <c r="P713" i="5"/>
  <c r="P763" i="5"/>
  <c r="J767" i="5" s="1"/>
  <c r="J763" i="5"/>
  <c r="O781" i="5"/>
  <c r="P788" i="5"/>
  <c r="P807" i="5"/>
  <c r="J807" i="5"/>
  <c r="J824" i="5"/>
  <c r="O851" i="5"/>
  <c r="K858" i="5"/>
  <c r="P860" i="5" s="1"/>
  <c r="H860" i="5"/>
  <c r="K869" i="5"/>
  <c r="P873" i="5" s="1"/>
  <c r="X883" i="5"/>
  <c r="P894" i="5"/>
  <c r="P905" i="5"/>
  <c r="J905" i="5"/>
  <c r="I934" i="5"/>
  <c r="O949" i="5"/>
  <c r="H949" i="5"/>
  <c r="W939" i="5"/>
  <c r="X949" i="5"/>
  <c r="X954" i="5"/>
  <c r="O954" i="5"/>
  <c r="P1142" i="5"/>
  <c r="X1144" i="5"/>
  <c r="O1144" i="5"/>
  <c r="H1144" i="5"/>
  <c r="X1198" i="5"/>
  <c r="O1198" i="5"/>
  <c r="H1198" i="5"/>
  <c r="W1190" i="5"/>
  <c r="J1214" i="5"/>
  <c r="P1266" i="5"/>
  <c r="J1266" i="5"/>
  <c r="J600" i="5"/>
  <c r="X622" i="5"/>
  <c r="J652" i="5"/>
  <c r="J662" i="5"/>
  <c r="J672" i="5"/>
  <c r="J682" i="5"/>
  <c r="J692" i="5"/>
  <c r="Y735" i="5"/>
  <c r="J746" i="5"/>
  <c r="J788" i="5"/>
  <c r="O807" i="5"/>
  <c r="J817" i="5"/>
  <c r="H873" i="5"/>
  <c r="O894" i="5"/>
  <c r="X899" i="5"/>
  <c r="O936" i="5"/>
  <c r="H954" i="5"/>
  <c r="P980" i="5"/>
  <c r="K1010" i="5"/>
  <c r="K1023" i="5"/>
  <c r="P1027" i="5" s="1"/>
  <c r="X1118" i="5"/>
  <c r="X1134" i="5"/>
  <c r="O1134" i="5"/>
  <c r="W1129" i="5"/>
  <c r="H1134" i="5"/>
  <c r="X1155" i="5"/>
  <c r="P1226" i="5"/>
  <c r="J1226" i="5"/>
  <c r="P1230" i="5"/>
  <c r="J1230" i="5"/>
  <c r="P1234" i="5"/>
  <c r="J1234" i="5"/>
  <c r="P1238" i="5"/>
  <c r="J1238" i="5"/>
  <c r="P1243" i="5"/>
  <c r="J1243" i="5"/>
  <c r="X1266" i="5"/>
  <c r="P1324" i="5"/>
  <c r="P1363" i="5"/>
  <c r="P1375" i="5"/>
  <c r="X1375" i="5"/>
  <c r="J1515" i="5"/>
  <c r="P1515" i="5"/>
  <c r="H1515" i="5"/>
  <c r="O527" i="5"/>
  <c r="J538" i="5"/>
  <c r="J584" i="5"/>
  <c r="X584" i="5"/>
  <c r="W614" i="5"/>
  <c r="J633" i="5"/>
  <c r="J636" i="5"/>
  <c r="J639" i="5"/>
  <c r="Y692" i="5"/>
  <c r="J703" i="5"/>
  <c r="J713" i="5"/>
  <c r="W727" i="5"/>
  <c r="H735" i="5"/>
  <c r="Y746" i="5"/>
  <c r="W777" i="5"/>
  <c r="W800" i="5"/>
  <c r="W827" i="5"/>
  <c r="H839" i="5"/>
  <c r="H851" i="5"/>
  <c r="O860" i="5"/>
  <c r="W863" i="5"/>
  <c r="O873" i="5"/>
  <c r="X894" i="5"/>
  <c r="H980" i="5"/>
  <c r="X980" i="5"/>
  <c r="I992" i="5"/>
  <c r="I1010" i="5"/>
  <c r="X1014" i="5" s="1"/>
  <c r="K1011" i="5"/>
  <c r="J1027" i="5"/>
  <c r="O1027" i="5"/>
  <c r="P1053" i="5"/>
  <c r="J1053" i="5"/>
  <c r="H1084" i="5"/>
  <c r="X1084" i="5"/>
  <c r="O1084" i="5"/>
  <c r="H1086" i="5" s="1"/>
  <c r="W1070" i="5"/>
  <c r="P1101" i="5"/>
  <c r="J1101" i="5"/>
  <c r="P1134" i="5"/>
  <c r="H1142" i="5"/>
  <c r="P1158" i="5"/>
  <c r="J1158" i="5"/>
  <c r="H1293" i="5"/>
  <c r="W1286" i="5"/>
  <c r="X1293" i="5"/>
  <c r="P1316" i="5"/>
  <c r="P1341" i="5"/>
  <c r="J1341" i="5"/>
  <c r="O1352" i="5"/>
  <c r="X1472" i="5"/>
  <c r="O1472" i="5"/>
  <c r="W1463" i="5"/>
  <c r="H1472" i="5"/>
  <c r="P1546" i="5"/>
  <c r="J1546" i="5"/>
  <c r="W520" i="5"/>
  <c r="W654" i="5"/>
  <c r="W664" i="5"/>
  <c r="W674" i="5"/>
  <c r="W684" i="5"/>
  <c r="W738" i="5"/>
  <c r="W783" i="5"/>
  <c r="W842" i="5"/>
  <c r="W854" i="5"/>
  <c r="P949" i="5"/>
  <c r="O960" i="5"/>
  <c r="AA960" i="5"/>
  <c r="W971" i="5"/>
  <c r="I993" i="5"/>
  <c r="P996" i="5"/>
  <c r="I1011" i="5"/>
  <c r="P1014" i="5"/>
  <c r="X1027" i="5"/>
  <c r="P1039" i="5"/>
  <c r="J1063" i="5" s="1"/>
  <c r="J1039" i="5"/>
  <c r="P1059" i="5"/>
  <c r="J1059" i="5"/>
  <c r="K1080" i="5"/>
  <c r="P1084" i="5" s="1"/>
  <c r="J1086" i="5" s="1"/>
  <c r="H1107" i="5"/>
  <c r="K1132" i="5"/>
  <c r="X1207" i="5"/>
  <c r="O1207" i="5"/>
  <c r="H1252" i="5" s="1"/>
  <c r="W1201" i="5"/>
  <c r="P1306" i="5"/>
  <c r="O1014" i="5"/>
  <c r="H1176" i="5"/>
  <c r="X1176" i="5"/>
  <c r="O1284" i="5"/>
  <c r="H1284" i="5"/>
  <c r="K1303" i="5"/>
  <c r="J1306" i="5" s="1"/>
  <c r="P1331" i="5"/>
  <c r="J1331" i="5"/>
  <c r="O1363" i="5"/>
  <c r="H1363" i="5"/>
  <c r="W1354" i="5"/>
  <c r="P1395" i="5"/>
  <c r="P1403" i="5"/>
  <c r="J1403" i="5"/>
  <c r="J1425" i="5"/>
  <c r="O1425" i="5"/>
  <c r="P1493" i="5"/>
  <c r="P1555" i="5"/>
  <c r="J1555" i="5"/>
  <c r="I1588" i="5"/>
  <c r="AA1602" i="5"/>
  <c r="O1602" i="5"/>
  <c r="H1602" i="5"/>
  <c r="AA1605" i="5"/>
  <c r="O1605" i="5"/>
  <c r="H1605" i="5"/>
  <c r="J1014" i="5"/>
  <c r="J1037" i="5"/>
  <c r="J1045" i="5"/>
  <c r="J1057" i="5"/>
  <c r="X1101" i="5"/>
  <c r="J1107" i="5"/>
  <c r="J1118" i="5"/>
  <c r="I1124" i="5"/>
  <c r="H1126" i="5" s="1"/>
  <c r="P1126" i="5"/>
  <c r="J1142" i="5"/>
  <c r="J1155" i="5"/>
  <c r="O1161" i="5"/>
  <c r="AA1161" i="5"/>
  <c r="W1170" i="5"/>
  <c r="J1176" i="5"/>
  <c r="P1187" i="5"/>
  <c r="J1252" i="5" s="1"/>
  <c r="H1214" i="5"/>
  <c r="W1210" i="5"/>
  <c r="X1214" i="5"/>
  <c r="J1217" i="5"/>
  <c r="P1224" i="5"/>
  <c r="J1224" i="5"/>
  <c r="P1228" i="5"/>
  <c r="J1228" i="5"/>
  <c r="P1232" i="5"/>
  <c r="J1232" i="5"/>
  <c r="P1236" i="5"/>
  <c r="J1236" i="5"/>
  <c r="P1240" i="5"/>
  <c r="J1240" i="5"/>
  <c r="P1246" i="5"/>
  <c r="J1246" i="5"/>
  <c r="H1266" i="5"/>
  <c r="K1280" i="5"/>
  <c r="P1284" i="5" s="1"/>
  <c r="W1276" i="5"/>
  <c r="P1293" i="5"/>
  <c r="H1306" i="5"/>
  <c r="O1316" i="5"/>
  <c r="H1316" i="5"/>
  <c r="W1308" i="5"/>
  <c r="O1324" i="5"/>
  <c r="K1348" i="5"/>
  <c r="P1352" i="5" s="1"/>
  <c r="O1375" i="5"/>
  <c r="H1385" i="5"/>
  <c r="Y1385" i="5"/>
  <c r="O1385" i="5"/>
  <c r="O1403" i="5"/>
  <c r="AA1403" i="5"/>
  <c r="P1406" i="5"/>
  <c r="J1406" i="5"/>
  <c r="X1425" i="5"/>
  <c r="H1425" i="5"/>
  <c r="I1434" i="5"/>
  <c r="X1436" i="5" s="1"/>
  <c r="W1427" i="5"/>
  <c r="J1436" i="5"/>
  <c r="H1436" i="5"/>
  <c r="AA1457" i="5"/>
  <c r="O1457" i="5"/>
  <c r="H1457" i="5"/>
  <c r="P1526" i="5"/>
  <c r="J1565" i="5"/>
  <c r="O1565" i="5"/>
  <c r="O1576" i="5"/>
  <c r="H1576" i="5"/>
  <c r="W1598" i="5"/>
  <c r="J1035" i="5"/>
  <c r="J1043" i="5"/>
  <c r="J1051" i="5"/>
  <c r="J1055" i="5"/>
  <c r="X1107" i="5"/>
  <c r="P1107" i="5"/>
  <c r="H1118" i="5"/>
  <c r="J1126" i="5"/>
  <c r="J1134" i="5"/>
  <c r="X1142" i="5"/>
  <c r="O1142" i="5"/>
  <c r="P1144" i="5"/>
  <c r="H1155" i="5"/>
  <c r="O1158" i="5"/>
  <c r="AA1158" i="5"/>
  <c r="J1187" i="5"/>
  <c r="J1198" i="5"/>
  <c r="K1205" i="5"/>
  <c r="P1207" i="5" s="1"/>
  <c r="O1266" i="5"/>
  <c r="P1273" i="5"/>
  <c r="J1273" i="5"/>
  <c r="K1281" i="5"/>
  <c r="X1284" i="5"/>
  <c r="J1293" i="5"/>
  <c r="O1306" i="5"/>
  <c r="Y1316" i="5"/>
  <c r="O1318" i="5"/>
  <c r="H1318" i="5"/>
  <c r="H1341" i="5"/>
  <c r="X1341" i="5"/>
  <c r="K1349" i="5"/>
  <c r="K1359" i="5"/>
  <c r="J1363" i="5" s="1"/>
  <c r="P1425" i="5"/>
  <c r="J1438" i="5" s="1"/>
  <c r="K1478" i="5"/>
  <c r="O1493" i="5"/>
  <c r="O1505" i="5"/>
  <c r="J1536" i="5"/>
  <c r="O1536" i="5"/>
  <c r="O1546" i="5"/>
  <c r="H1546" i="5"/>
  <c r="X1546" i="5"/>
  <c r="X1565" i="5"/>
  <c r="H1565" i="5"/>
  <c r="I1574" i="5"/>
  <c r="Y1576" i="5" s="1"/>
  <c r="W1567" i="5"/>
  <c r="J1576" i="5"/>
  <c r="AA1596" i="5"/>
  <c r="X1273" i="5"/>
  <c r="H1324" i="5"/>
  <c r="X1331" i="5"/>
  <c r="H1352" i="5"/>
  <c r="H1375" i="5"/>
  <c r="H1383" i="5"/>
  <c r="O1383" i="5"/>
  <c r="P1409" i="5"/>
  <c r="J1409" i="5"/>
  <c r="AA1460" i="5"/>
  <c r="O1460" i="5"/>
  <c r="H1460" i="5"/>
  <c r="X1515" i="5"/>
  <c r="I1523" i="5"/>
  <c r="O1526" i="5" s="1"/>
  <c r="P1596" i="5"/>
  <c r="AA1608" i="5"/>
  <c r="O1608" i="5"/>
  <c r="H1608" i="5"/>
  <c r="W1343" i="5"/>
  <c r="W1366" i="5"/>
  <c r="W1378" i="5"/>
  <c r="H1395" i="5"/>
  <c r="W1387" i="5"/>
  <c r="O1395" i="5"/>
  <c r="P1436" i="5"/>
  <c r="J1454" i="5"/>
  <c r="P1454" i="5"/>
  <c r="K1470" i="5"/>
  <c r="P1472" i="5" s="1"/>
  <c r="O1481" i="5"/>
  <c r="H1481" i="5"/>
  <c r="I1524" i="5"/>
  <c r="W1517" i="5"/>
  <c r="J1526" i="5"/>
  <c r="K1543" i="5"/>
  <c r="X1555" i="5"/>
  <c r="W1548" i="5"/>
  <c r="H1555" i="5"/>
  <c r="P1576" i="5"/>
  <c r="I1586" i="5"/>
  <c r="P1590" i="5"/>
  <c r="O1454" i="5"/>
  <c r="H1493" i="5"/>
  <c r="H1505" i="5"/>
  <c r="O1515" i="5"/>
  <c r="J1590" i="5"/>
  <c r="O1596" i="5"/>
  <c r="H1397" i="5"/>
  <c r="W1447" i="5"/>
  <c r="W1484" i="5"/>
  <c r="W1496" i="5"/>
  <c r="W1508" i="5"/>
  <c r="A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1" i="3"/>
  <c r="CY1" i="3"/>
  <c r="CZ1" i="3"/>
  <c r="DB1" i="3" s="1"/>
  <c r="DA1" i="3"/>
  <c r="DC1" i="3"/>
  <c r="A2" i="3"/>
  <c r="CY2" i="3"/>
  <c r="CZ2" i="3"/>
  <c r="DA2" i="3"/>
  <c r="DB2" i="3"/>
  <c r="DC2" i="3"/>
  <c r="A3" i="3"/>
  <c r="CY3" i="3"/>
  <c r="CZ3" i="3"/>
  <c r="DA3" i="3"/>
  <c r="DB3" i="3"/>
  <c r="DC3" i="3"/>
  <c r="A4" i="3"/>
  <c r="CY4" i="3"/>
  <c r="CZ4" i="3"/>
  <c r="DB4" i="3" s="1"/>
  <c r="DA4" i="3"/>
  <c r="DC4" i="3"/>
  <c r="A5" i="3"/>
  <c r="CY5" i="3"/>
  <c r="CZ5" i="3"/>
  <c r="DB5" i="3" s="1"/>
  <c r="DA5" i="3"/>
  <c r="DC5" i="3"/>
  <c r="A6" i="3"/>
  <c r="CY6" i="3"/>
  <c r="CZ6" i="3"/>
  <c r="DA6" i="3"/>
  <c r="DB6" i="3"/>
  <c r="DC6" i="3"/>
  <c r="A7" i="3"/>
  <c r="CY7" i="3"/>
  <c r="CZ7" i="3"/>
  <c r="DA7" i="3"/>
  <c r="DB7" i="3"/>
  <c r="DC7" i="3"/>
  <c r="A8" i="3"/>
  <c r="CY8" i="3"/>
  <c r="CZ8" i="3"/>
  <c r="DB8" i="3" s="1"/>
  <c r="DA8" i="3"/>
  <c r="DC8" i="3"/>
  <c r="A9" i="3"/>
  <c r="CY9" i="3"/>
  <c r="CZ9" i="3"/>
  <c r="DB9" i="3" s="1"/>
  <c r="DA9" i="3"/>
  <c r="DC9" i="3"/>
  <c r="A10" i="3"/>
  <c r="CY10" i="3"/>
  <c r="CZ10" i="3"/>
  <c r="DA10" i="3"/>
  <c r="DB10" i="3"/>
  <c r="DC10" i="3"/>
  <c r="A11" i="3"/>
  <c r="CY11" i="3"/>
  <c r="CZ11" i="3"/>
  <c r="DA11" i="3"/>
  <c r="DB11" i="3"/>
  <c r="DC11" i="3"/>
  <c r="A12" i="3"/>
  <c r="CY12" i="3"/>
  <c r="CZ12" i="3"/>
  <c r="DB12" i="3" s="1"/>
  <c r="DA12" i="3"/>
  <c r="DC12" i="3"/>
  <c r="A13" i="3"/>
  <c r="CY13" i="3"/>
  <c r="CZ13" i="3"/>
  <c r="DB13" i="3" s="1"/>
  <c r="DA13" i="3"/>
  <c r="DC13" i="3"/>
  <c r="A14" i="3"/>
  <c r="CY14" i="3"/>
  <c r="CZ14" i="3"/>
  <c r="DA14" i="3"/>
  <c r="DB14" i="3"/>
  <c r="DC14" i="3"/>
  <c r="A15" i="3"/>
  <c r="CY15" i="3"/>
  <c r="CZ15" i="3"/>
  <c r="DA15" i="3"/>
  <c r="DB15" i="3"/>
  <c r="DC15" i="3"/>
  <c r="A16" i="3"/>
  <c r="CY16" i="3"/>
  <c r="CZ16" i="3"/>
  <c r="DB16" i="3" s="1"/>
  <c r="DA16" i="3"/>
  <c r="DC16" i="3"/>
  <c r="A17" i="3"/>
  <c r="CY17" i="3"/>
  <c r="CZ17" i="3"/>
  <c r="DB17" i="3" s="1"/>
  <c r="DA17" i="3"/>
  <c r="DC17" i="3"/>
  <c r="A18" i="3"/>
  <c r="CY18" i="3"/>
  <c r="CZ18" i="3"/>
  <c r="DA18" i="3"/>
  <c r="DB18" i="3"/>
  <c r="DC18" i="3"/>
  <c r="A19" i="3"/>
  <c r="CY19" i="3"/>
  <c r="CZ19" i="3"/>
  <c r="DA19" i="3"/>
  <c r="DB19" i="3"/>
  <c r="DC19" i="3"/>
  <c r="A20" i="3"/>
  <c r="CY20" i="3"/>
  <c r="CZ20" i="3"/>
  <c r="DB20" i="3" s="1"/>
  <c r="DA20" i="3"/>
  <c r="DC20" i="3"/>
  <c r="A21" i="3"/>
  <c r="CY21" i="3"/>
  <c r="CZ21" i="3"/>
  <c r="DB21" i="3" s="1"/>
  <c r="DA21" i="3"/>
  <c r="DC21" i="3"/>
  <c r="A22" i="3"/>
  <c r="CY22" i="3"/>
  <c r="CZ22" i="3"/>
  <c r="DA22" i="3"/>
  <c r="DB22" i="3"/>
  <c r="DC22" i="3"/>
  <c r="A23" i="3"/>
  <c r="CY23" i="3"/>
  <c r="CZ23" i="3"/>
  <c r="DA23" i="3"/>
  <c r="DB23" i="3"/>
  <c r="DC23" i="3"/>
  <c r="A24" i="3"/>
  <c r="CY24" i="3"/>
  <c r="CZ24" i="3"/>
  <c r="DB24" i="3" s="1"/>
  <c r="DA24" i="3"/>
  <c r="DC24" i="3"/>
  <c r="A25" i="3"/>
  <c r="CY25" i="3"/>
  <c r="CZ25" i="3"/>
  <c r="DB25" i="3" s="1"/>
  <c r="DA25" i="3"/>
  <c r="DC25" i="3"/>
  <c r="A26" i="3"/>
  <c r="CY26" i="3"/>
  <c r="CZ26" i="3"/>
  <c r="DA26" i="3"/>
  <c r="DB26" i="3"/>
  <c r="DC26" i="3"/>
  <c r="A27" i="3"/>
  <c r="CY27" i="3"/>
  <c r="CZ27" i="3"/>
  <c r="DA27" i="3"/>
  <c r="DB27" i="3"/>
  <c r="DC27" i="3"/>
  <c r="A28" i="3"/>
  <c r="CY28" i="3"/>
  <c r="CZ28" i="3"/>
  <c r="DB28" i="3" s="1"/>
  <c r="DA28" i="3"/>
  <c r="DC28" i="3"/>
  <c r="A29" i="3"/>
  <c r="CY29" i="3"/>
  <c r="CZ29" i="3"/>
  <c r="DB29" i="3" s="1"/>
  <c r="DA29" i="3"/>
  <c r="DC29" i="3"/>
  <c r="A30" i="3"/>
  <c r="CY30" i="3"/>
  <c r="CZ30" i="3"/>
  <c r="DA30" i="3"/>
  <c r="DB30" i="3"/>
  <c r="DC30" i="3"/>
  <c r="A31" i="3"/>
  <c r="CY31" i="3"/>
  <c r="CZ31" i="3"/>
  <c r="DA31" i="3"/>
  <c r="DB31" i="3"/>
  <c r="DC31" i="3"/>
  <c r="A32" i="3"/>
  <c r="CY32" i="3"/>
  <c r="CZ32" i="3"/>
  <c r="DB32" i="3" s="1"/>
  <c r="DA32" i="3"/>
  <c r="DC32" i="3"/>
  <c r="A33" i="3"/>
  <c r="CY33" i="3"/>
  <c r="CZ33" i="3"/>
  <c r="DB33" i="3" s="1"/>
  <c r="DA33" i="3"/>
  <c r="DC33" i="3"/>
  <c r="A34" i="3"/>
  <c r="CY34" i="3"/>
  <c r="CZ34" i="3"/>
  <c r="DA34" i="3"/>
  <c r="DB34" i="3"/>
  <c r="DC34" i="3"/>
  <c r="A35" i="3"/>
  <c r="CY35" i="3"/>
  <c r="CZ35" i="3"/>
  <c r="DA35" i="3"/>
  <c r="DB35" i="3"/>
  <c r="DC35" i="3"/>
  <c r="A36" i="3"/>
  <c r="CY36" i="3"/>
  <c r="CZ36" i="3"/>
  <c r="DB36" i="3" s="1"/>
  <c r="DA36" i="3"/>
  <c r="DC36" i="3"/>
  <c r="A37" i="3"/>
  <c r="CY37" i="3"/>
  <c r="CZ37" i="3"/>
  <c r="DB37" i="3" s="1"/>
  <c r="DA37" i="3"/>
  <c r="DC37" i="3"/>
  <c r="A38" i="3"/>
  <c r="CY38" i="3"/>
  <c r="CZ38" i="3"/>
  <c r="DA38" i="3"/>
  <c r="DB38" i="3"/>
  <c r="DC38" i="3"/>
  <c r="A39" i="3"/>
  <c r="CY39" i="3"/>
  <c r="CZ39" i="3"/>
  <c r="DA39" i="3"/>
  <c r="DB39" i="3"/>
  <c r="DC39" i="3"/>
  <c r="A40" i="3"/>
  <c r="CY40" i="3"/>
  <c r="CZ40" i="3"/>
  <c r="DB40" i="3" s="1"/>
  <c r="DA40" i="3"/>
  <c r="DC40" i="3"/>
  <c r="A41" i="3"/>
  <c r="CY41" i="3"/>
  <c r="CZ41" i="3"/>
  <c r="DB41" i="3" s="1"/>
  <c r="DA41" i="3"/>
  <c r="DC41" i="3"/>
  <c r="A42" i="3"/>
  <c r="CY42" i="3"/>
  <c r="CZ42" i="3"/>
  <c r="DA42" i="3"/>
  <c r="DB42" i="3"/>
  <c r="DC42" i="3"/>
  <c r="A43" i="3"/>
  <c r="CY43" i="3"/>
  <c r="CZ43" i="3"/>
  <c r="DA43" i="3"/>
  <c r="DB43" i="3"/>
  <c r="DC43" i="3"/>
  <c r="A44" i="3"/>
  <c r="CY44" i="3"/>
  <c r="CZ44" i="3"/>
  <c r="DB44" i="3" s="1"/>
  <c r="DA44" i="3"/>
  <c r="DC44" i="3"/>
  <c r="A45" i="3"/>
  <c r="CY45" i="3"/>
  <c r="CZ45" i="3"/>
  <c r="DB45" i="3" s="1"/>
  <c r="DA45" i="3"/>
  <c r="DC45" i="3"/>
  <c r="A46" i="3"/>
  <c r="CY46" i="3"/>
  <c r="CZ46" i="3"/>
  <c r="DA46" i="3"/>
  <c r="DB46" i="3"/>
  <c r="DC46" i="3"/>
  <c r="A47" i="3"/>
  <c r="CY47" i="3"/>
  <c r="CZ47" i="3"/>
  <c r="DA47" i="3"/>
  <c r="DB47" i="3"/>
  <c r="DC47" i="3"/>
  <c r="A48" i="3"/>
  <c r="CY48" i="3"/>
  <c r="CZ48" i="3"/>
  <c r="DB48" i="3" s="1"/>
  <c r="DA48" i="3"/>
  <c r="DC48" i="3"/>
  <c r="A49" i="3"/>
  <c r="CY49" i="3"/>
  <c r="CZ49" i="3"/>
  <c r="DB49" i="3" s="1"/>
  <c r="DA49" i="3"/>
  <c r="DC49" i="3"/>
  <c r="A50" i="3"/>
  <c r="CY50" i="3"/>
  <c r="CZ50" i="3"/>
  <c r="DA50" i="3"/>
  <c r="DB50" i="3"/>
  <c r="DC50" i="3"/>
  <c r="A51" i="3"/>
  <c r="CY51" i="3"/>
  <c r="CZ51" i="3"/>
  <c r="DA51" i="3"/>
  <c r="DB51" i="3"/>
  <c r="DC51" i="3"/>
  <c r="A52" i="3"/>
  <c r="CY52" i="3"/>
  <c r="CZ52" i="3"/>
  <c r="DB52" i="3" s="1"/>
  <c r="DA52" i="3"/>
  <c r="DC52" i="3"/>
  <c r="A53" i="3"/>
  <c r="CY53" i="3"/>
  <c r="CZ53" i="3"/>
  <c r="DB53" i="3" s="1"/>
  <c r="DA53" i="3"/>
  <c r="DC53" i="3"/>
  <c r="A54" i="3"/>
  <c r="CY54" i="3"/>
  <c r="CZ54" i="3"/>
  <c r="DA54" i="3"/>
  <c r="DB54" i="3"/>
  <c r="DC54" i="3"/>
  <c r="A55" i="3"/>
  <c r="CY55" i="3"/>
  <c r="CZ55" i="3"/>
  <c r="DA55" i="3"/>
  <c r="DB55" i="3"/>
  <c r="DC55" i="3"/>
  <c r="A56" i="3"/>
  <c r="CY56" i="3"/>
  <c r="CZ56" i="3"/>
  <c r="DB56" i="3" s="1"/>
  <c r="DA56" i="3"/>
  <c r="DC56" i="3"/>
  <c r="A57" i="3"/>
  <c r="CY57" i="3"/>
  <c r="CZ57" i="3"/>
  <c r="DB57" i="3" s="1"/>
  <c r="DA57" i="3"/>
  <c r="DC57" i="3"/>
  <c r="A58" i="3"/>
  <c r="CY58" i="3"/>
  <c r="CZ58" i="3"/>
  <c r="DA58" i="3"/>
  <c r="DB58" i="3"/>
  <c r="DC58" i="3"/>
  <c r="A59" i="3"/>
  <c r="CY59" i="3"/>
  <c r="CZ59" i="3"/>
  <c r="DA59" i="3"/>
  <c r="DB59" i="3"/>
  <c r="DC59" i="3"/>
  <c r="A60" i="3"/>
  <c r="CY60" i="3"/>
  <c r="CZ60" i="3"/>
  <c r="DB60" i="3" s="1"/>
  <c r="DA60" i="3"/>
  <c r="DC60" i="3"/>
  <c r="A61" i="3"/>
  <c r="CY61" i="3"/>
  <c r="CZ61" i="3"/>
  <c r="DB61" i="3" s="1"/>
  <c r="DA61" i="3"/>
  <c r="DC61" i="3"/>
  <c r="A62" i="3"/>
  <c r="CY62" i="3"/>
  <c r="CZ62" i="3"/>
  <c r="DA62" i="3"/>
  <c r="DB62" i="3"/>
  <c r="DC62" i="3"/>
  <c r="A63" i="3"/>
  <c r="CY63" i="3"/>
  <c r="CZ63" i="3"/>
  <c r="DA63" i="3"/>
  <c r="DB63" i="3"/>
  <c r="DC63" i="3"/>
  <c r="A64" i="3"/>
  <c r="CY64" i="3"/>
  <c r="CZ64" i="3"/>
  <c r="DB64" i="3" s="1"/>
  <c r="DA64" i="3"/>
  <c r="DC64" i="3"/>
  <c r="A65" i="3"/>
  <c r="CY65" i="3"/>
  <c r="CZ65" i="3"/>
  <c r="DB65" i="3" s="1"/>
  <c r="DA65" i="3"/>
  <c r="DC65" i="3"/>
  <c r="A66" i="3"/>
  <c r="CY66" i="3"/>
  <c r="CZ66" i="3"/>
  <c r="DA66" i="3"/>
  <c r="DB66" i="3"/>
  <c r="DC66" i="3"/>
  <c r="A67" i="3"/>
  <c r="CY67" i="3"/>
  <c r="CZ67" i="3"/>
  <c r="DA67" i="3"/>
  <c r="DB67" i="3"/>
  <c r="DC67" i="3"/>
  <c r="A68" i="3"/>
  <c r="CY68" i="3"/>
  <c r="CZ68" i="3"/>
  <c r="DB68" i="3" s="1"/>
  <c r="DA68" i="3"/>
  <c r="DC68" i="3"/>
  <c r="A69" i="3"/>
  <c r="CY69" i="3"/>
  <c r="CZ69" i="3"/>
  <c r="DB69" i="3" s="1"/>
  <c r="DA69" i="3"/>
  <c r="DC69" i="3"/>
  <c r="A70" i="3"/>
  <c r="CY70" i="3"/>
  <c r="CZ70" i="3"/>
  <c r="DA70" i="3"/>
  <c r="DB70" i="3"/>
  <c r="DC70" i="3"/>
  <c r="A71" i="3"/>
  <c r="CY71" i="3"/>
  <c r="CZ71" i="3"/>
  <c r="DA71" i="3"/>
  <c r="DB71" i="3"/>
  <c r="DC71" i="3"/>
  <c r="A72" i="3"/>
  <c r="CY72" i="3"/>
  <c r="CZ72" i="3"/>
  <c r="DB72" i="3" s="1"/>
  <c r="DA72" i="3"/>
  <c r="DC72" i="3"/>
  <c r="A73" i="3"/>
  <c r="CY73" i="3"/>
  <c r="CZ73" i="3"/>
  <c r="DB73" i="3" s="1"/>
  <c r="DA73" i="3"/>
  <c r="DC73" i="3"/>
  <c r="A74" i="3"/>
  <c r="CY74" i="3"/>
  <c r="CZ74" i="3"/>
  <c r="DA74" i="3"/>
  <c r="DB74" i="3"/>
  <c r="DC74" i="3"/>
  <c r="A75" i="3"/>
  <c r="CY75" i="3"/>
  <c r="CZ75" i="3"/>
  <c r="DA75" i="3"/>
  <c r="DB75" i="3"/>
  <c r="DC75" i="3"/>
  <c r="A76" i="3"/>
  <c r="CX76" i="3"/>
  <c r="CY76" i="3"/>
  <c r="CZ76" i="3"/>
  <c r="DB76" i="3" s="1"/>
  <c r="DA76" i="3"/>
  <c r="DC76" i="3"/>
  <c r="A77" i="3"/>
  <c r="CX77" i="3"/>
  <c r="CY77" i="3"/>
  <c r="CZ77" i="3"/>
  <c r="DB77" i="3" s="1"/>
  <c r="DA77" i="3"/>
  <c r="DC77" i="3"/>
  <c r="A78" i="3"/>
  <c r="CX78" i="3"/>
  <c r="CY78" i="3"/>
  <c r="CZ78" i="3"/>
  <c r="DA78" i="3"/>
  <c r="DB78" i="3"/>
  <c r="DC78" i="3"/>
  <c r="A79" i="3"/>
  <c r="CX79" i="3"/>
  <c r="CY79" i="3"/>
  <c r="CZ79" i="3"/>
  <c r="DA79" i="3"/>
  <c r="DB79" i="3"/>
  <c r="DC79" i="3"/>
  <c r="A80" i="3"/>
  <c r="CX80" i="3"/>
  <c r="CY80" i="3"/>
  <c r="CZ80" i="3"/>
  <c r="DB80" i="3" s="1"/>
  <c r="DA80" i="3"/>
  <c r="DC80" i="3"/>
  <c r="A81" i="3"/>
  <c r="CX81" i="3"/>
  <c r="CY81" i="3"/>
  <c r="CZ81" i="3"/>
  <c r="DB81" i="3" s="1"/>
  <c r="DA81" i="3"/>
  <c r="DC81" i="3"/>
  <c r="A82" i="3"/>
  <c r="CX82" i="3"/>
  <c r="CY82" i="3"/>
  <c r="CZ82" i="3"/>
  <c r="DA82" i="3"/>
  <c r="DB82" i="3"/>
  <c r="DC82" i="3"/>
  <c r="A83" i="3"/>
  <c r="CX83" i="3"/>
  <c r="CY83" i="3"/>
  <c r="CZ83" i="3"/>
  <c r="DA83" i="3"/>
  <c r="DB83" i="3"/>
  <c r="DC83" i="3"/>
  <c r="A84" i="3"/>
  <c r="CX84" i="3"/>
  <c r="CY84" i="3"/>
  <c r="CZ84" i="3"/>
  <c r="DB84" i="3" s="1"/>
  <c r="DA84" i="3"/>
  <c r="DC84" i="3"/>
  <c r="A85" i="3"/>
  <c r="CX85" i="3"/>
  <c r="CY85" i="3"/>
  <c r="CZ85" i="3"/>
  <c r="DB85" i="3" s="1"/>
  <c r="DA85" i="3"/>
  <c r="DC85" i="3"/>
  <c r="A86" i="3"/>
  <c r="CX86" i="3"/>
  <c r="CY86" i="3"/>
  <c r="CZ86" i="3"/>
  <c r="DA86" i="3"/>
  <c r="DB86" i="3"/>
  <c r="DC86" i="3"/>
  <c r="A87" i="3"/>
  <c r="CX87" i="3"/>
  <c r="CY87" i="3"/>
  <c r="CZ87" i="3"/>
  <c r="DA87" i="3"/>
  <c r="DB87" i="3"/>
  <c r="DC87" i="3"/>
  <c r="A88" i="3"/>
  <c r="CX88" i="3"/>
  <c r="CY88" i="3"/>
  <c r="CZ88" i="3"/>
  <c r="DB88" i="3" s="1"/>
  <c r="DA88" i="3"/>
  <c r="DC88" i="3"/>
  <c r="A89" i="3"/>
  <c r="CX89" i="3"/>
  <c r="CY89" i="3"/>
  <c r="CZ89" i="3"/>
  <c r="DB89" i="3" s="1"/>
  <c r="DA89" i="3"/>
  <c r="DC89" i="3"/>
  <c r="A90" i="3"/>
  <c r="CX90" i="3"/>
  <c r="CY90" i="3"/>
  <c r="CZ90" i="3"/>
  <c r="DA90" i="3"/>
  <c r="DB90" i="3"/>
  <c r="DC90" i="3"/>
  <c r="A91" i="3"/>
  <c r="CX91" i="3"/>
  <c r="CY91" i="3"/>
  <c r="CZ91" i="3"/>
  <c r="DA91" i="3"/>
  <c r="DB91" i="3"/>
  <c r="DC91" i="3"/>
  <c r="A92" i="3"/>
  <c r="CX92" i="3"/>
  <c r="CY92" i="3"/>
  <c r="CZ92" i="3"/>
  <c r="DB92" i="3" s="1"/>
  <c r="DA92" i="3"/>
  <c r="DC92" i="3"/>
  <c r="A93" i="3"/>
  <c r="CY93" i="3"/>
  <c r="CZ93" i="3"/>
  <c r="DB93" i="3" s="1"/>
  <c r="DA93" i="3"/>
  <c r="DC93" i="3"/>
  <c r="A94" i="3"/>
  <c r="CX94" i="3"/>
  <c r="CY94" i="3"/>
  <c r="CZ94" i="3"/>
  <c r="DA94" i="3"/>
  <c r="DB94" i="3"/>
  <c r="DC94" i="3"/>
  <c r="A95" i="3"/>
  <c r="CX95" i="3"/>
  <c r="CY95" i="3"/>
  <c r="CZ95" i="3"/>
  <c r="DA95" i="3"/>
  <c r="DB95" i="3"/>
  <c r="DC95" i="3"/>
  <c r="A96" i="3"/>
  <c r="CY96" i="3"/>
  <c r="CZ96" i="3"/>
  <c r="DB96" i="3" s="1"/>
  <c r="DA96" i="3"/>
  <c r="DC96" i="3"/>
  <c r="A97" i="3"/>
  <c r="CY97" i="3"/>
  <c r="CZ97" i="3"/>
  <c r="DB97" i="3" s="1"/>
  <c r="DA97" i="3"/>
  <c r="DC97" i="3"/>
  <c r="A98" i="3"/>
  <c r="CY98" i="3"/>
  <c r="CZ98" i="3"/>
  <c r="DA98" i="3"/>
  <c r="DB98" i="3"/>
  <c r="DC98" i="3"/>
  <c r="A99" i="3"/>
  <c r="CY99" i="3"/>
  <c r="CZ99" i="3"/>
  <c r="DA99" i="3"/>
  <c r="DB99" i="3"/>
  <c r="DC99" i="3"/>
  <c r="A100" i="3"/>
  <c r="CY100" i="3"/>
  <c r="CZ100" i="3"/>
  <c r="DB100" i="3" s="1"/>
  <c r="DA100" i="3"/>
  <c r="DC100" i="3"/>
  <c r="A101" i="3"/>
  <c r="CY101" i="3"/>
  <c r="CZ101" i="3"/>
  <c r="DB101" i="3" s="1"/>
  <c r="DA101" i="3"/>
  <c r="DC101" i="3"/>
  <c r="A102" i="3"/>
  <c r="CY102" i="3"/>
  <c r="CZ102" i="3"/>
  <c r="DA102" i="3"/>
  <c r="DB102" i="3"/>
  <c r="DC102" i="3"/>
  <c r="A103" i="3"/>
  <c r="CY103" i="3"/>
  <c r="CZ103" i="3"/>
  <c r="DA103" i="3"/>
  <c r="DB103" i="3"/>
  <c r="DC103" i="3"/>
  <c r="A104" i="3"/>
  <c r="CY104" i="3"/>
  <c r="CZ104" i="3"/>
  <c r="DB104" i="3" s="1"/>
  <c r="DA104" i="3"/>
  <c r="DC104" i="3"/>
  <c r="A105" i="3"/>
  <c r="CY105" i="3"/>
  <c r="CZ105" i="3"/>
  <c r="DB105" i="3" s="1"/>
  <c r="DA105" i="3"/>
  <c r="DC105" i="3"/>
  <c r="A106" i="3"/>
  <c r="CY106" i="3"/>
  <c r="CZ106" i="3"/>
  <c r="DA106" i="3"/>
  <c r="DB106" i="3"/>
  <c r="DC106" i="3"/>
  <c r="A107" i="3"/>
  <c r="CY107" i="3"/>
  <c r="CZ107" i="3"/>
  <c r="DA107" i="3"/>
  <c r="DB107" i="3"/>
  <c r="DC107" i="3"/>
  <c r="A108" i="3"/>
  <c r="CY108" i="3"/>
  <c r="CZ108" i="3"/>
  <c r="DB108" i="3" s="1"/>
  <c r="DA108" i="3"/>
  <c r="DC108" i="3"/>
  <c r="A109" i="3"/>
  <c r="CY109" i="3"/>
  <c r="CZ109" i="3"/>
  <c r="DB109" i="3" s="1"/>
  <c r="DA109" i="3"/>
  <c r="DC109" i="3"/>
  <c r="A110" i="3"/>
  <c r="CY110" i="3"/>
  <c r="CZ110" i="3"/>
  <c r="DA110" i="3"/>
  <c r="DB110" i="3"/>
  <c r="DC110" i="3"/>
  <c r="A111" i="3"/>
  <c r="CY111" i="3"/>
  <c r="CZ111" i="3"/>
  <c r="DA111" i="3"/>
  <c r="DB111" i="3"/>
  <c r="DC111" i="3"/>
  <c r="A112" i="3"/>
  <c r="CY112" i="3"/>
  <c r="CZ112" i="3"/>
  <c r="DB112" i="3" s="1"/>
  <c r="DA112" i="3"/>
  <c r="DC112" i="3"/>
  <c r="A113" i="3"/>
  <c r="CY113" i="3"/>
  <c r="CZ113" i="3"/>
  <c r="DB113" i="3" s="1"/>
  <c r="DA113" i="3"/>
  <c r="DC113" i="3"/>
  <c r="A114" i="3"/>
  <c r="CY114" i="3"/>
  <c r="CZ114" i="3"/>
  <c r="DA114" i="3"/>
  <c r="DB114" i="3"/>
  <c r="DC114" i="3"/>
  <c r="A115" i="3"/>
  <c r="CY115" i="3"/>
  <c r="CZ115" i="3"/>
  <c r="DA115" i="3"/>
  <c r="DB115" i="3"/>
  <c r="DC115" i="3"/>
  <c r="A116" i="3"/>
  <c r="CY116" i="3"/>
  <c r="CZ116" i="3"/>
  <c r="DB116" i="3" s="1"/>
  <c r="DA116" i="3"/>
  <c r="DC116" i="3"/>
  <c r="A117" i="3"/>
  <c r="CY117" i="3"/>
  <c r="CZ117" i="3"/>
  <c r="DB117" i="3" s="1"/>
  <c r="DA117" i="3"/>
  <c r="DC117" i="3"/>
  <c r="A118" i="3"/>
  <c r="CY118" i="3"/>
  <c r="CZ118" i="3"/>
  <c r="DA118" i="3"/>
  <c r="DB118" i="3"/>
  <c r="DC118" i="3"/>
  <c r="A119" i="3"/>
  <c r="CY119" i="3"/>
  <c r="CZ119" i="3"/>
  <c r="DA119" i="3"/>
  <c r="DB119" i="3"/>
  <c r="DC119" i="3"/>
  <c r="A120" i="3"/>
  <c r="CY120" i="3"/>
  <c r="CZ120" i="3"/>
  <c r="DB120" i="3" s="1"/>
  <c r="DA120" i="3"/>
  <c r="DC120" i="3"/>
  <c r="A121" i="3"/>
  <c r="CY121" i="3"/>
  <c r="CZ121" i="3"/>
  <c r="DB121" i="3" s="1"/>
  <c r="DA121" i="3"/>
  <c r="DC121" i="3"/>
  <c r="A122" i="3"/>
  <c r="CY122" i="3"/>
  <c r="CZ122" i="3"/>
  <c r="DA122" i="3"/>
  <c r="DB122" i="3"/>
  <c r="DC122" i="3"/>
  <c r="A123" i="3"/>
  <c r="CY123" i="3"/>
  <c r="CZ123" i="3"/>
  <c r="DA123" i="3"/>
  <c r="DB123" i="3"/>
  <c r="DC123" i="3"/>
  <c r="A124" i="3"/>
  <c r="CY124" i="3"/>
  <c r="CZ124" i="3"/>
  <c r="DB124" i="3" s="1"/>
  <c r="DA124" i="3"/>
  <c r="DC124" i="3"/>
  <c r="A125" i="3"/>
  <c r="CY125" i="3"/>
  <c r="CZ125" i="3"/>
  <c r="DB125" i="3" s="1"/>
  <c r="DA125" i="3"/>
  <c r="DC125" i="3"/>
  <c r="A126" i="3"/>
  <c r="CY126" i="3"/>
  <c r="CZ126" i="3"/>
  <c r="DA126" i="3"/>
  <c r="DB126" i="3"/>
  <c r="DC126" i="3"/>
  <c r="A127" i="3"/>
  <c r="CY127" i="3"/>
  <c r="CZ127" i="3"/>
  <c r="DA127" i="3"/>
  <c r="DB127" i="3"/>
  <c r="DC127" i="3"/>
  <c r="A128" i="3"/>
  <c r="CY128" i="3"/>
  <c r="CZ128" i="3"/>
  <c r="DB128" i="3" s="1"/>
  <c r="DA128" i="3"/>
  <c r="DC128" i="3"/>
  <c r="A129" i="3"/>
  <c r="CY129" i="3"/>
  <c r="CZ129" i="3"/>
  <c r="DB129" i="3" s="1"/>
  <c r="DA129" i="3"/>
  <c r="DC129" i="3"/>
  <c r="A130" i="3"/>
  <c r="CY130" i="3"/>
  <c r="CZ130" i="3"/>
  <c r="DA130" i="3"/>
  <c r="DB130" i="3"/>
  <c r="DC130" i="3"/>
  <c r="A131" i="3"/>
  <c r="CY131" i="3"/>
  <c r="CZ131" i="3"/>
  <c r="DA131" i="3"/>
  <c r="DB131" i="3"/>
  <c r="DC131" i="3"/>
  <c r="A132" i="3"/>
  <c r="CY132" i="3"/>
  <c r="CZ132" i="3"/>
  <c r="DB132" i="3" s="1"/>
  <c r="DA132" i="3"/>
  <c r="DC132" i="3"/>
  <c r="A133" i="3"/>
  <c r="CY133" i="3"/>
  <c r="CZ133" i="3"/>
  <c r="DB133" i="3" s="1"/>
  <c r="DA133" i="3"/>
  <c r="DC133" i="3"/>
  <c r="A134" i="3"/>
  <c r="CY134" i="3"/>
  <c r="CZ134" i="3"/>
  <c r="DA134" i="3"/>
  <c r="DB134" i="3"/>
  <c r="DC134" i="3"/>
  <c r="A135" i="3"/>
  <c r="CY135" i="3"/>
  <c r="CZ135" i="3"/>
  <c r="DA135" i="3"/>
  <c r="DB135" i="3"/>
  <c r="DC135" i="3"/>
  <c r="A136" i="3"/>
  <c r="CX136" i="3"/>
  <c r="CY136" i="3"/>
  <c r="CZ136" i="3"/>
  <c r="DB136" i="3" s="1"/>
  <c r="DA136" i="3"/>
  <c r="DC136" i="3"/>
  <c r="A137" i="3"/>
  <c r="CX137" i="3"/>
  <c r="CY137" i="3"/>
  <c r="CZ137" i="3"/>
  <c r="DB137" i="3" s="1"/>
  <c r="DA137" i="3"/>
  <c r="DC137" i="3"/>
  <c r="A138" i="3"/>
  <c r="CX138" i="3"/>
  <c r="CY138" i="3"/>
  <c r="CZ138" i="3"/>
  <c r="DA138" i="3"/>
  <c r="DB138" i="3"/>
  <c r="DC138" i="3"/>
  <c r="A139" i="3"/>
  <c r="CX139" i="3"/>
  <c r="CY139" i="3"/>
  <c r="CZ139" i="3"/>
  <c r="DA139" i="3"/>
  <c r="DB139" i="3"/>
  <c r="DC139" i="3"/>
  <c r="A140" i="3"/>
  <c r="CX140" i="3"/>
  <c r="CY140" i="3"/>
  <c r="CZ140" i="3"/>
  <c r="DB140" i="3" s="1"/>
  <c r="DA140" i="3"/>
  <c r="DC140" i="3"/>
  <c r="A141" i="3"/>
  <c r="CY141" i="3"/>
  <c r="CZ141" i="3"/>
  <c r="DB141" i="3" s="1"/>
  <c r="DA141" i="3"/>
  <c r="DC141" i="3"/>
  <c r="A142" i="3"/>
  <c r="CY142" i="3"/>
  <c r="CZ142" i="3"/>
  <c r="DA142" i="3"/>
  <c r="DB142" i="3"/>
  <c r="DC142" i="3"/>
  <c r="A143" i="3"/>
  <c r="CY143" i="3"/>
  <c r="CZ143" i="3"/>
  <c r="DA143" i="3"/>
  <c r="DB143" i="3"/>
  <c r="DC143" i="3"/>
  <c r="A144" i="3"/>
  <c r="CY144" i="3"/>
  <c r="CZ144" i="3"/>
  <c r="DB144" i="3" s="1"/>
  <c r="DA144" i="3"/>
  <c r="DC144" i="3"/>
  <c r="A145" i="3"/>
  <c r="CY145" i="3"/>
  <c r="CZ145" i="3"/>
  <c r="DB145" i="3" s="1"/>
  <c r="DA145" i="3"/>
  <c r="DC145" i="3"/>
  <c r="A146" i="3"/>
  <c r="CY146" i="3"/>
  <c r="CZ146" i="3"/>
  <c r="DA146" i="3"/>
  <c r="DB146" i="3"/>
  <c r="DC146" i="3"/>
  <c r="A147" i="3"/>
  <c r="CY147" i="3"/>
  <c r="CZ147" i="3"/>
  <c r="DA147" i="3"/>
  <c r="DB147" i="3"/>
  <c r="DC147" i="3"/>
  <c r="A148" i="3"/>
  <c r="CY148" i="3"/>
  <c r="CZ148" i="3"/>
  <c r="DB148" i="3" s="1"/>
  <c r="DA148" i="3"/>
  <c r="DC148" i="3"/>
  <c r="A149" i="3"/>
  <c r="CY149" i="3"/>
  <c r="CZ149" i="3"/>
  <c r="DB149" i="3" s="1"/>
  <c r="DA149" i="3"/>
  <c r="DC149" i="3"/>
  <c r="A150" i="3"/>
  <c r="CY150" i="3"/>
  <c r="CZ150" i="3"/>
  <c r="DA150" i="3"/>
  <c r="DB150" i="3"/>
  <c r="DC150" i="3"/>
  <c r="A151" i="3"/>
  <c r="CY151" i="3"/>
  <c r="CZ151" i="3"/>
  <c r="DA151" i="3"/>
  <c r="DB151" i="3"/>
  <c r="DC151" i="3"/>
  <c r="A152" i="3"/>
  <c r="CY152" i="3"/>
  <c r="CZ152" i="3"/>
  <c r="DB152" i="3" s="1"/>
  <c r="DA152" i="3"/>
  <c r="DC152" i="3"/>
  <c r="A153" i="3"/>
  <c r="CX153" i="3"/>
  <c r="CY153" i="3"/>
  <c r="CZ153" i="3"/>
  <c r="DB153" i="3" s="1"/>
  <c r="DA153" i="3"/>
  <c r="DC153" i="3"/>
  <c r="A154" i="3"/>
  <c r="CX154" i="3"/>
  <c r="CY154" i="3"/>
  <c r="CZ154" i="3"/>
  <c r="DA154" i="3"/>
  <c r="DB154" i="3"/>
  <c r="DC154" i="3"/>
  <c r="A155" i="3"/>
  <c r="CX155" i="3"/>
  <c r="CY155" i="3"/>
  <c r="CZ155" i="3"/>
  <c r="DA155" i="3"/>
  <c r="DB155" i="3"/>
  <c r="DC155" i="3"/>
  <c r="A156" i="3"/>
  <c r="CX156" i="3"/>
  <c r="CY156" i="3"/>
  <c r="CZ156" i="3"/>
  <c r="DB156" i="3" s="1"/>
  <c r="DA156" i="3"/>
  <c r="DC156" i="3"/>
  <c r="A157" i="3"/>
  <c r="CX157" i="3"/>
  <c r="CY157" i="3"/>
  <c r="CZ157" i="3"/>
  <c r="DB157" i="3" s="1"/>
  <c r="DA157" i="3"/>
  <c r="DC157" i="3"/>
  <c r="A158" i="3"/>
  <c r="CX158" i="3"/>
  <c r="CY158" i="3"/>
  <c r="CZ158" i="3"/>
  <c r="DA158" i="3"/>
  <c r="DB158" i="3"/>
  <c r="DC158" i="3"/>
  <c r="A159" i="3"/>
  <c r="CY159" i="3"/>
  <c r="CZ159" i="3"/>
  <c r="DA159" i="3"/>
  <c r="DB159" i="3"/>
  <c r="DC159" i="3"/>
  <c r="A160" i="3"/>
  <c r="CY160" i="3"/>
  <c r="CZ160" i="3"/>
  <c r="DB160" i="3" s="1"/>
  <c r="DA160" i="3"/>
  <c r="DC160" i="3"/>
  <c r="A161" i="3"/>
  <c r="CY161" i="3"/>
  <c r="CZ161" i="3"/>
  <c r="DB161" i="3" s="1"/>
  <c r="DA161" i="3"/>
  <c r="DC161" i="3"/>
  <c r="A162" i="3"/>
  <c r="CY162" i="3"/>
  <c r="CZ162" i="3"/>
  <c r="DA162" i="3"/>
  <c r="DB162" i="3"/>
  <c r="DC162" i="3"/>
  <c r="A163" i="3"/>
  <c r="CY163" i="3"/>
  <c r="CZ163" i="3"/>
  <c r="DA163" i="3"/>
  <c r="DB163" i="3"/>
  <c r="DC163" i="3"/>
  <c r="A164" i="3"/>
  <c r="CY164" i="3"/>
  <c r="CZ164" i="3"/>
  <c r="DB164" i="3" s="1"/>
  <c r="DA164" i="3"/>
  <c r="DC164" i="3"/>
  <c r="A165" i="3"/>
  <c r="CY165" i="3"/>
  <c r="CZ165" i="3"/>
  <c r="DB165" i="3" s="1"/>
  <c r="DA165" i="3"/>
  <c r="DC165" i="3"/>
  <c r="A166" i="3"/>
  <c r="CY166" i="3"/>
  <c r="CZ166" i="3"/>
  <c r="DA166" i="3"/>
  <c r="DB166" i="3"/>
  <c r="DC166" i="3"/>
  <c r="A167" i="3"/>
  <c r="CY167" i="3"/>
  <c r="CZ167" i="3"/>
  <c r="DA167" i="3"/>
  <c r="DB167" i="3"/>
  <c r="DC167" i="3"/>
  <c r="A168" i="3"/>
  <c r="CY168" i="3"/>
  <c r="CZ168" i="3"/>
  <c r="DB168" i="3" s="1"/>
  <c r="DA168" i="3"/>
  <c r="DC168" i="3"/>
  <c r="A169" i="3"/>
  <c r="CY169" i="3"/>
  <c r="CZ169" i="3"/>
  <c r="DB169" i="3" s="1"/>
  <c r="DA169" i="3"/>
  <c r="DC169" i="3"/>
  <c r="A170" i="3"/>
  <c r="CY170" i="3"/>
  <c r="CZ170" i="3"/>
  <c r="DA170" i="3"/>
  <c r="DB170" i="3"/>
  <c r="DC170" i="3"/>
  <c r="A171" i="3"/>
  <c r="CY171" i="3"/>
  <c r="CZ171" i="3"/>
  <c r="DA171" i="3"/>
  <c r="DB171" i="3"/>
  <c r="DC171" i="3"/>
  <c r="A172" i="3"/>
  <c r="CY172" i="3"/>
  <c r="CZ172" i="3"/>
  <c r="DB172" i="3" s="1"/>
  <c r="DA172" i="3"/>
  <c r="DC172" i="3"/>
  <c r="A173" i="3"/>
  <c r="CY173" i="3"/>
  <c r="CZ173" i="3"/>
  <c r="DB173" i="3" s="1"/>
  <c r="DA173" i="3"/>
  <c r="DC173" i="3"/>
  <c r="A174" i="3"/>
  <c r="CY174" i="3"/>
  <c r="CZ174" i="3"/>
  <c r="DA174" i="3"/>
  <c r="DB174" i="3"/>
  <c r="DC174" i="3"/>
  <c r="A175" i="3"/>
  <c r="CY175" i="3"/>
  <c r="CZ175" i="3"/>
  <c r="DA175" i="3"/>
  <c r="DB175" i="3"/>
  <c r="DC175" i="3"/>
  <c r="A176" i="3"/>
  <c r="CX176" i="3"/>
  <c r="CY176" i="3"/>
  <c r="CZ176" i="3"/>
  <c r="DB176" i="3" s="1"/>
  <c r="DA176" i="3"/>
  <c r="DC176" i="3"/>
  <c r="A177" i="3"/>
  <c r="CX177" i="3"/>
  <c r="CY177" i="3"/>
  <c r="CZ177" i="3"/>
  <c r="DB177" i="3" s="1"/>
  <c r="DA177" i="3"/>
  <c r="DC177" i="3"/>
  <c r="A178" i="3"/>
  <c r="CY178" i="3"/>
  <c r="CZ178" i="3"/>
  <c r="DA178" i="3"/>
  <c r="DB178" i="3"/>
  <c r="DC178" i="3"/>
  <c r="A179" i="3"/>
  <c r="CY179" i="3"/>
  <c r="CZ179" i="3"/>
  <c r="DA179" i="3"/>
  <c r="DB179" i="3"/>
  <c r="DC179" i="3"/>
  <c r="A180" i="3"/>
  <c r="CY180" i="3"/>
  <c r="CZ180" i="3"/>
  <c r="DB180" i="3" s="1"/>
  <c r="DA180" i="3"/>
  <c r="DC180" i="3"/>
  <c r="A181" i="3"/>
  <c r="CX181" i="3"/>
  <c r="CY181" i="3"/>
  <c r="CZ181" i="3"/>
  <c r="DB181" i="3" s="1"/>
  <c r="DA181" i="3"/>
  <c r="DC181" i="3"/>
  <c r="A182" i="3"/>
  <c r="CY182" i="3"/>
  <c r="CZ182" i="3"/>
  <c r="DA182" i="3"/>
  <c r="DB182" i="3"/>
  <c r="DC182" i="3"/>
  <c r="A183" i="3"/>
  <c r="CY183" i="3"/>
  <c r="CZ183" i="3"/>
  <c r="DA183" i="3"/>
  <c r="DB183" i="3"/>
  <c r="DC183" i="3"/>
  <c r="A184" i="3"/>
  <c r="CY184" i="3"/>
  <c r="CZ184" i="3"/>
  <c r="DB184" i="3" s="1"/>
  <c r="DA184" i="3"/>
  <c r="DC184" i="3"/>
  <c r="A185" i="3"/>
  <c r="CY185" i="3"/>
  <c r="CZ185" i="3"/>
  <c r="DB185" i="3" s="1"/>
  <c r="DA185" i="3"/>
  <c r="DC185" i="3"/>
  <c r="A186" i="3"/>
  <c r="CY186" i="3"/>
  <c r="CZ186" i="3"/>
  <c r="DB186" i="3" s="1"/>
  <c r="DA186" i="3"/>
  <c r="DC186" i="3"/>
  <c r="A187" i="3"/>
  <c r="CY187" i="3"/>
  <c r="CZ187" i="3"/>
  <c r="DA187" i="3"/>
  <c r="DB187" i="3"/>
  <c r="DC187" i="3"/>
  <c r="A188" i="3"/>
  <c r="CY188" i="3"/>
  <c r="CZ188" i="3"/>
  <c r="DA188" i="3"/>
  <c r="DB188" i="3"/>
  <c r="DC188" i="3"/>
  <c r="A189" i="3"/>
  <c r="CY189" i="3"/>
  <c r="CZ189" i="3"/>
  <c r="DB189" i="3" s="1"/>
  <c r="DA189" i="3"/>
  <c r="DC189" i="3"/>
  <c r="A190" i="3"/>
  <c r="CY190" i="3"/>
  <c r="CZ190" i="3"/>
  <c r="DB190" i="3" s="1"/>
  <c r="DA190" i="3"/>
  <c r="DC190" i="3"/>
  <c r="A191" i="3"/>
  <c r="CY191" i="3"/>
  <c r="CZ191" i="3"/>
  <c r="DA191" i="3"/>
  <c r="DB191" i="3"/>
  <c r="DC191" i="3"/>
  <c r="A192" i="3"/>
  <c r="CY192" i="3"/>
  <c r="CZ192" i="3"/>
  <c r="DA192" i="3"/>
  <c r="DB192" i="3"/>
  <c r="DC192" i="3"/>
  <c r="A193" i="3"/>
  <c r="CY193" i="3"/>
  <c r="CZ193" i="3"/>
  <c r="DB193" i="3" s="1"/>
  <c r="DA193" i="3"/>
  <c r="DC193" i="3"/>
  <c r="A194" i="3"/>
  <c r="CY194" i="3"/>
  <c r="CZ194" i="3"/>
  <c r="DB194" i="3" s="1"/>
  <c r="DA194" i="3"/>
  <c r="DC194" i="3"/>
  <c r="A195" i="3"/>
  <c r="CY195" i="3"/>
  <c r="CZ195" i="3"/>
  <c r="DA195" i="3"/>
  <c r="DB195" i="3"/>
  <c r="DC195" i="3"/>
  <c r="A196" i="3"/>
  <c r="CX196" i="3"/>
  <c r="CY196" i="3"/>
  <c r="CZ196" i="3"/>
  <c r="DA196" i="3"/>
  <c r="DB196" i="3"/>
  <c r="DC196" i="3"/>
  <c r="A197" i="3"/>
  <c r="CX197" i="3"/>
  <c r="CY197" i="3"/>
  <c r="CZ197" i="3"/>
  <c r="DB197" i="3" s="1"/>
  <c r="DA197" i="3"/>
  <c r="DC197" i="3"/>
  <c r="A198" i="3"/>
  <c r="CX198" i="3"/>
  <c r="CY198" i="3"/>
  <c r="CZ198" i="3"/>
  <c r="DB198" i="3" s="1"/>
  <c r="DA198" i="3"/>
  <c r="DC198" i="3"/>
  <c r="A199" i="3"/>
  <c r="CX199" i="3"/>
  <c r="CY199" i="3"/>
  <c r="CZ199" i="3"/>
  <c r="DA199" i="3"/>
  <c r="DB199" i="3"/>
  <c r="DC199" i="3"/>
  <c r="A200" i="3"/>
  <c r="CY200" i="3"/>
  <c r="CZ200" i="3"/>
  <c r="DA200" i="3"/>
  <c r="DB200" i="3"/>
  <c r="DC200" i="3"/>
  <c r="A201" i="3"/>
  <c r="CY201" i="3"/>
  <c r="CZ201" i="3"/>
  <c r="DB201" i="3" s="1"/>
  <c r="DA201" i="3"/>
  <c r="DC201" i="3"/>
  <c r="A202" i="3"/>
  <c r="CY202" i="3"/>
  <c r="CZ202" i="3"/>
  <c r="DB202" i="3" s="1"/>
  <c r="DA202" i="3"/>
  <c r="DC202" i="3"/>
  <c r="A203" i="3"/>
  <c r="CY203" i="3"/>
  <c r="CZ203" i="3"/>
  <c r="DA203" i="3"/>
  <c r="DB203" i="3"/>
  <c r="DC203" i="3"/>
  <c r="A204" i="3"/>
  <c r="CY204" i="3"/>
  <c r="CZ204" i="3"/>
  <c r="DA204" i="3"/>
  <c r="DB204" i="3"/>
  <c r="DC204" i="3"/>
  <c r="A205" i="3"/>
  <c r="CY205" i="3"/>
  <c r="CZ205" i="3"/>
  <c r="DA205" i="3"/>
  <c r="DB205" i="3"/>
  <c r="DC205" i="3"/>
  <c r="A206" i="3"/>
  <c r="CY206" i="3"/>
  <c r="CZ206" i="3"/>
  <c r="DB206" i="3" s="1"/>
  <c r="DA206" i="3"/>
  <c r="DC206" i="3"/>
  <c r="A207" i="3"/>
  <c r="CY207" i="3"/>
  <c r="CZ207" i="3"/>
  <c r="DB207" i="3" s="1"/>
  <c r="DA207" i="3"/>
  <c r="DC207" i="3"/>
  <c r="A208" i="3"/>
  <c r="CY208" i="3"/>
  <c r="CZ208" i="3"/>
  <c r="DA208" i="3"/>
  <c r="DB208" i="3"/>
  <c r="DC208" i="3"/>
  <c r="A209" i="3"/>
  <c r="CY209" i="3"/>
  <c r="CZ209" i="3"/>
  <c r="DA209" i="3"/>
  <c r="DB209" i="3"/>
  <c r="DC209" i="3"/>
  <c r="A210" i="3"/>
  <c r="CX210" i="3"/>
  <c r="CY210" i="3"/>
  <c r="CZ210" i="3"/>
  <c r="DB210" i="3" s="1"/>
  <c r="DA210" i="3"/>
  <c r="DC210" i="3"/>
  <c r="A211" i="3"/>
  <c r="CX211" i="3"/>
  <c r="CY211" i="3"/>
  <c r="CZ211" i="3"/>
  <c r="DB211" i="3" s="1"/>
  <c r="DA211" i="3"/>
  <c r="DC211" i="3"/>
  <c r="A212" i="3"/>
  <c r="CX212" i="3"/>
  <c r="CY212" i="3"/>
  <c r="CZ212" i="3"/>
  <c r="DA212" i="3"/>
  <c r="DB212" i="3"/>
  <c r="DC212" i="3"/>
  <c r="A213" i="3"/>
  <c r="CY213" i="3"/>
  <c r="CZ213" i="3"/>
  <c r="DA213" i="3"/>
  <c r="DB213" i="3"/>
  <c r="DC213" i="3"/>
  <c r="A214" i="3"/>
  <c r="CY214" i="3"/>
  <c r="CZ214" i="3"/>
  <c r="DB214" i="3" s="1"/>
  <c r="DA214" i="3"/>
  <c r="DC214" i="3"/>
  <c r="A215" i="3"/>
  <c r="CY215" i="3"/>
  <c r="CZ215" i="3"/>
  <c r="DB215" i="3" s="1"/>
  <c r="DA215" i="3"/>
  <c r="DC215" i="3"/>
  <c r="A216" i="3"/>
  <c r="CY216" i="3"/>
  <c r="CZ216" i="3"/>
  <c r="DA216" i="3"/>
  <c r="DB216" i="3"/>
  <c r="DC216" i="3"/>
  <c r="A217" i="3"/>
  <c r="CY217" i="3"/>
  <c r="CZ217" i="3"/>
  <c r="DA217" i="3"/>
  <c r="DB217" i="3"/>
  <c r="DC217" i="3"/>
  <c r="A218" i="3"/>
  <c r="CY218" i="3"/>
  <c r="CZ218" i="3"/>
  <c r="DB218" i="3" s="1"/>
  <c r="DA218" i="3"/>
  <c r="DC218" i="3"/>
  <c r="A219" i="3"/>
  <c r="CY219" i="3"/>
  <c r="CZ219" i="3"/>
  <c r="DB219" i="3" s="1"/>
  <c r="DA219" i="3"/>
  <c r="DC219" i="3"/>
  <c r="A220" i="3"/>
  <c r="CY220" i="3"/>
  <c r="CZ220" i="3"/>
  <c r="DA220" i="3"/>
  <c r="DB220" i="3"/>
  <c r="DC220" i="3"/>
  <c r="A221" i="3"/>
  <c r="CY221" i="3"/>
  <c r="CZ221" i="3"/>
  <c r="DA221" i="3"/>
  <c r="DB221" i="3"/>
  <c r="DC221" i="3"/>
  <c r="A222" i="3"/>
  <c r="CY222" i="3"/>
  <c r="CZ222" i="3"/>
  <c r="DB222" i="3" s="1"/>
  <c r="DA222" i="3"/>
  <c r="DC222" i="3"/>
  <c r="A223" i="3"/>
  <c r="CY223" i="3"/>
  <c r="CZ223" i="3"/>
  <c r="DB223" i="3" s="1"/>
  <c r="DA223" i="3"/>
  <c r="DC223" i="3"/>
  <c r="A224" i="3"/>
  <c r="CY224" i="3"/>
  <c r="CZ224" i="3"/>
  <c r="DA224" i="3"/>
  <c r="DB224" i="3"/>
  <c r="DC224" i="3"/>
  <c r="A225" i="3"/>
  <c r="CY225" i="3"/>
  <c r="CZ225" i="3"/>
  <c r="DA225" i="3"/>
  <c r="DB225" i="3"/>
  <c r="DC225" i="3"/>
  <c r="A226" i="3"/>
  <c r="CY226" i="3"/>
  <c r="CZ226" i="3"/>
  <c r="DB226" i="3" s="1"/>
  <c r="DA226" i="3"/>
  <c r="DC226" i="3"/>
  <c r="A227" i="3"/>
  <c r="CY227" i="3"/>
  <c r="CZ227" i="3"/>
  <c r="DB227" i="3" s="1"/>
  <c r="DA227" i="3"/>
  <c r="DC227" i="3"/>
  <c r="A228" i="3"/>
  <c r="CY228" i="3"/>
  <c r="CZ228" i="3"/>
  <c r="DA228" i="3"/>
  <c r="DB228" i="3"/>
  <c r="DC228" i="3"/>
  <c r="A229" i="3"/>
  <c r="CY229" i="3"/>
  <c r="CZ229" i="3"/>
  <c r="DA229" i="3"/>
  <c r="DB229" i="3"/>
  <c r="DC229" i="3"/>
  <c r="A230" i="3"/>
  <c r="CY230" i="3"/>
  <c r="CZ230" i="3"/>
  <c r="DB230" i="3" s="1"/>
  <c r="DA230" i="3"/>
  <c r="DC230" i="3"/>
  <c r="A231" i="3"/>
  <c r="CY231" i="3"/>
  <c r="CZ231" i="3"/>
  <c r="DB231" i="3" s="1"/>
  <c r="DA231" i="3"/>
  <c r="DC231" i="3"/>
  <c r="A232" i="3"/>
  <c r="CY232" i="3"/>
  <c r="CZ232" i="3"/>
  <c r="DA232" i="3"/>
  <c r="DB232" i="3"/>
  <c r="DC232" i="3"/>
  <c r="A233" i="3"/>
  <c r="CY233" i="3"/>
  <c r="CZ233" i="3"/>
  <c r="DA233" i="3"/>
  <c r="DB233" i="3"/>
  <c r="DC233" i="3"/>
  <c r="A234" i="3"/>
  <c r="CY234" i="3"/>
  <c r="CZ234" i="3"/>
  <c r="DB234" i="3" s="1"/>
  <c r="DA234" i="3"/>
  <c r="DC234" i="3"/>
  <c r="A235" i="3"/>
  <c r="CY235" i="3"/>
  <c r="CZ235" i="3"/>
  <c r="DB235" i="3" s="1"/>
  <c r="DA235" i="3"/>
  <c r="DC235" i="3"/>
  <c r="A236" i="3"/>
  <c r="CY236" i="3"/>
  <c r="CZ236" i="3"/>
  <c r="DA236" i="3"/>
  <c r="DB236" i="3"/>
  <c r="DC236" i="3"/>
  <c r="A237" i="3"/>
  <c r="CY237" i="3"/>
  <c r="CZ237" i="3"/>
  <c r="DA237" i="3"/>
  <c r="DB237" i="3"/>
  <c r="DC237" i="3"/>
  <c r="A238" i="3"/>
  <c r="CY238" i="3"/>
  <c r="CZ238" i="3"/>
  <c r="DB238" i="3" s="1"/>
  <c r="DA238" i="3"/>
  <c r="DC238" i="3"/>
  <c r="A239" i="3"/>
  <c r="CY239" i="3"/>
  <c r="CZ239" i="3"/>
  <c r="DB239" i="3" s="1"/>
  <c r="DA239" i="3"/>
  <c r="DC239" i="3"/>
  <c r="A240" i="3"/>
  <c r="CX240" i="3"/>
  <c r="CY240" i="3"/>
  <c r="CZ240" i="3"/>
  <c r="DA240" i="3"/>
  <c r="DB240" i="3"/>
  <c r="DC240" i="3"/>
  <c r="A241" i="3"/>
  <c r="CX241" i="3"/>
  <c r="CY241" i="3"/>
  <c r="CZ241" i="3"/>
  <c r="DA241" i="3"/>
  <c r="DB241" i="3"/>
  <c r="DC241" i="3"/>
  <c r="A242" i="3"/>
  <c r="CY242" i="3"/>
  <c r="CZ242" i="3"/>
  <c r="DB242" i="3" s="1"/>
  <c r="DA242" i="3"/>
  <c r="DC242" i="3"/>
  <c r="A243" i="3"/>
  <c r="CY243" i="3"/>
  <c r="CZ243" i="3"/>
  <c r="DB243" i="3" s="1"/>
  <c r="DA243" i="3"/>
  <c r="DC243" i="3"/>
  <c r="A244" i="3"/>
  <c r="CY244" i="3"/>
  <c r="CZ244" i="3"/>
  <c r="DA244" i="3"/>
  <c r="DB244" i="3"/>
  <c r="DC244" i="3"/>
  <c r="A245" i="3"/>
  <c r="CY245" i="3"/>
  <c r="CZ245" i="3"/>
  <c r="DA245" i="3"/>
  <c r="DB245" i="3"/>
  <c r="DC245" i="3"/>
  <c r="A246" i="3"/>
  <c r="CX246" i="3"/>
  <c r="CY246" i="3"/>
  <c r="CZ246" i="3"/>
  <c r="DB246" i="3" s="1"/>
  <c r="DA246" i="3"/>
  <c r="DC246" i="3"/>
  <c r="A247" i="3"/>
  <c r="CX247" i="3"/>
  <c r="CY247" i="3"/>
  <c r="CZ247" i="3"/>
  <c r="DB247" i="3" s="1"/>
  <c r="DA247" i="3"/>
  <c r="DC247" i="3"/>
  <c r="A248" i="3"/>
  <c r="CX248" i="3"/>
  <c r="CY248" i="3"/>
  <c r="CZ248" i="3"/>
  <c r="DA248" i="3"/>
  <c r="DB248" i="3"/>
  <c r="DC248" i="3"/>
  <c r="A249" i="3"/>
  <c r="CX249" i="3"/>
  <c r="CY249" i="3"/>
  <c r="CZ249" i="3"/>
  <c r="DA249" i="3"/>
  <c r="DB249" i="3"/>
  <c r="DC249" i="3"/>
  <c r="A250" i="3"/>
  <c r="CX250" i="3"/>
  <c r="CY250" i="3"/>
  <c r="CZ250" i="3"/>
  <c r="DB250" i="3" s="1"/>
  <c r="DA250" i="3"/>
  <c r="DC250" i="3"/>
  <c r="A251" i="3"/>
  <c r="CX251" i="3"/>
  <c r="CY251" i="3"/>
  <c r="CZ251" i="3"/>
  <c r="DB251" i="3" s="1"/>
  <c r="DA251" i="3"/>
  <c r="DC251" i="3"/>
  <c r="A252" i="3"/>
  <c r="CX252" i="3"/>
  <c r="CY252" i="3"/>
  <c r="CZ252" i="3"/>
  <c r="DA252" i="3"/>
  <c r="DB252" i="3"/>
  <c r="DC252" i="3"/>
  <c r="A253" i="3"/>
  <c r="CX253" i="3"/>
  <c r="CY253" i="3"/>
  <c r="CZ253" i="3"/>
  <c r="DA253" i="3"/>
  <c r="DB253" i="3"/>
  <c r="DC253" i="3"/>
  <c r="A254" i="3"/>
  <c r="CX254" i="3"/>
  <c r="CY254" i="3"/>
  <c r="CZ254" i="3"/>
  <c r="DB254" i="3" s="1"/>
  <c r="DA254" i="3"/>
  <c r="DC254" i="3"/>
  <c r="A255" i="3"/>
  <c r="CX255" i="3"/>
  <c r="CY255" i="3"/>
  <c r="CZ255" i="3"/>
  <c r="DB255" i="3" s="1"/>
  <c r="DA255" i="3"/>
  <c r="DC255" i="3"/>
  <c r="A256" i="3"/>
  <c r="CX256" i="3"/>
  <c r="CY256" i="3"/>
  <c r="CZ256" i="3"/>
  <c r="DA256" i="3"/>
  <c r="DB256" i="3"/>
  <c r="DC256" i="3"/>
  <c r="A257" i="3"/>
  <c r="CX257" i="3"/>
  <c r="CY257" i="3"/>
  <c r="CZ257" i="3"/>
  <c r="DA257" i="3"/>
  <c r="DB257" i="3"/>
  <c r="DC257" i="3"/>
  <c r="A258" i="3"/>
  <c r="CX258" i="3"/>
  <c r="CY258" i="3"/>
  <c r="CZ258" i="3"/>
  <c r="DB258" i="3" s="1"/>
  <c r="DA258" i="3"/>
  <c r="DC258" i="3"/>
  <c r="A259" i="3"/>
  <c r="CX259" i="3"/>
  <c r="CY259" i="3"/>
  <c r="CZ259" i="3"/>
  <c r="DB259" i="3" s="1"/>
  <c r="DA259" i="3"/>
  <c r="DC259" i="3"/>
  <c r="A260" i="3"/>
  <c r="CX260" i="3"/>
  <c r="CY260" i="3"/>
  <c r="CZ260" i="3"/>
  <c r="DA260" i="3"/>
  <c r="DB260" i="3"/>
  <c r="DC260" i="3"/>
  <c r="A261" i="3"/>
  <c r="CX261" i="3"/>
  <c r="CY261" i="3"/>
  <c r="CZ261" i="3"/>
  <c r="DA261" i="3"/>
  <c r="DB261" i="3"/>
  <c r="DC261" i="3"/>
  <c r="A262" i="3"/>
  <c r="CX262" i="3"/>
  <c r="CY262" i="3"/>
  <c r="CZ262" i="3"/>
  <c r="DB262" i="3" s="1"/>
  <c r="DA262" i="3"/>
  <c r="DC262" i="3"/>
  <c r="A263" i="3"/>
  <c r="CX263" i="3"/>
  <c r="CY263" i="3"/>
  <c r="CZ263" i="3"/>
  <c r="DB263" i="3" s="1"/>
  <c r="DA263" i="3"/>
  <c r="DC263" i="3"/>
  <c r="A264" i="3"/>
  <c r="CX264" i="3"/>
  <c r="CY264" i="3"/>
  <c r="CZ264" i="3"/>
  <c r="DA264" i="3"/>
  <c r="DB264" i="3"/>
  <c r="DC264" i="3"/>
  <c r="A265" i="3"/>
  <c r="CY265" i="3"/>
  <c r="CZ265" i="3"/>
  <c r="DA265" i="3"/>
  <c r="DB265" i="3"/>
  <c r="DC265" i="3"/>
  <c r="A266" i="3"/>
  <c r="CX266" i="3"/>
  <c r="CY266" i="3"/>
  <c r="CZ266" i="3"/>
  <c r="DB266" i="3" s="1"/>
  <c r="DA266" i="3"/>
  <c r="DC266" i="3"/>
  <c r="A267" i="3"/>
  <c r="CY267" i="3"/>
  <c r="CZ267" i="3"/>
  <c r="DB267" i="3" s="1"/>
  <c r="DA267" i="3"/>
  <c r="DC267" i="3"/>
  <c r="A268" i="3"/>
  <c r="CY268" i="3"/>
  <c r="CZ268" i="3"/>
  <c r="DA268" i="3"/>
  <c r="DB268" i="3"/>
  <c r="DC268" i="3"/>
  <c r="A269" i="3"/>
  <c r="CY269" i="3"/>
  <c r="CZ269" i="3"/>
  <c r="DA269" i="3"/>
  <c r="DB269" i="3"/>
  <c r="DC269" i="3"/>
  <c r="A270" i="3"/>
  <c r="CY270" i="3"/>
  <c r="CZ270" i="3"/>
  <c r="DB270" i="3" s="1"/>
  <c r="DA270" i="3"/>
  <c r="DC270" i="3"/>
  <c r="A271" i="3"/>
  <c r="CY271" i="3"/>
  <c r="CZ271" i="3"/>
  <c r="DB271" i="3" s="1"/>
  <c r="DA271" i="3"/>
  <c r="DC271" i="3"/>
  <c r="A272" i="3"/>
  <c r="CY272" i="3"/>
  <c r="CZ272" i="3"/>
  <c r="DA272" i="3"/>
  <c r="DB272" i="3"/>
  <c r="DC272" i="3"/>
  <c r="A273" i="3"/>
  <c r="CY273" i="3"/>
  <c r="CZ273" i="3"/>
  <c r="DB273" i="3" s="1"/>
  <c r="DA273" i="3"/>
  <c r="DC273" i="3"/>
  <c r="A274" i="3"/>
  <c r="CY274" i="3"/>
  <c r="CZ274" i="3"/>
  <c r="DB274" i="3" s="1"/>
  <c r="DA274" i="3"/>
  <c r="DC274" i="3"/>
  <c r="A275" i="3"/>
  <c r="CY275" i="3"/>
  <c r="CZ275" i="3"/>
  <c r="DB275" i="3" s="1"/>
  <c r="DA275" i="3"/>
  <c r="DC275" i="3"/>
  <c r="A276" i="3"/>
  <c r="CY276" i="3"/>
  <c r="CZ276" i="3"/>
  <c r="DA276" i="3"/>
  <c r="DB276" i="3"/>
  <c r="DC276" i="3"/>
  <c r="A277" i="3"/>
  <c r="CY277" i="3"/>
  <c r="CZ277" i="3"/>
  <c r="DB277" i="3" s="1"/>
  <c r="DA277" i="3"/>
  <c r="DC277" i="3"/>
  <c r="A278" i="3"/>
  <c r="CY278" i="3"/>
  <c r="CZ278" i="3"/>
  <c r="DB278" i="3" s="1"/>
  <c r="DA278" i="3"/>
  <c r="DC278" i="3"/>
  <c r="A279" i="3"/>
  <c r="CY279" i="3"/>
  <c r="CZ279" i="3"/>
  <c r="DA279" i="3"/>
  <c r="DB279" i="3"/>
  <c r="DC279" i="3"/>
  <c r="A280" i="3"/>
  <c r="CY280" i="3"/>
  <c r="CZ280" i="3"/>
  <c r="DA280" i="3"/>
  <c r="DB280" i="3"/>
  <c r="DC280" i="3"/>
  <c r="A281" i="3"/>
  <c r="CY281" i="3"/>
  <c r="CZ281" i="3"/>
  <c r="DB281" i="3" s="1"/>
  <c r="DA281" i="3"/>
  <c r="DC281" i="3"/>
  <c r="A282" i="3"/>
  <c r="CY282" i="3"/>
  <c r="CZ282" i="3"/>
  <c r="DB282" i="3" s="1"/>
  <c r="DA282" i="3"/>
  <c r="DC282" i="3"/>
  <c r="A283" i="3"/>
  <c r="CY283" i="3"/>
  <c r="CZ283" i="3"/>
  <c r="DA283" i="3"/>
  <c r="DB283" i="3"/>
  <c r="DC283" i="3"/>
  <c r="A284" i="3"/>
  <c r="CY284" i="3"/>
  <c r="CZ284" i="3"/>
  <c r="DA284" i="3"/>
  <c r="DB284" i="3"/>
  <c r="DC284" i="3"/>
  <c r="A285" i="3"/>
  <c r="CY285" i="3"/>
  <c r="CZ285" i="3"/>
  <c r="DB285" i="3" s="1"/>
  <c r="DA285" i="3"/>
  <c r="DC285" i="3"/>
  <c r="A286" i="3"/>
  <c r="CX286" i="3"/>
  <c r="CY286" i="3"/>
  <c r="CZ286" i="3"/>
  <c r="DB286" i="3" s="1"/>
  <c r="DA286" i="3"/>
  <c r="DC286" i="3"/>
  <c r="A287" i="3"/>
  <c r="CX287" i="3"/>
  <c r="CY287" i="3"/>
  <c r="CZ287" i="3"/>
  <c r="DA287" i="3"/>
  <c r="DB287" i="3"/>
  <c r="DC287" i="3"/>
  <c r="A288" i="3"/>
  <c r="CX288" i="3"/>
  <c r="CY288" i="3"/>
  <c r="CZ288" i="3"/>
  <c r="DA288" i="3"/>
  <c r="DB288" i="3"/>
  <c r="DC288" i="3"/>
  <c r="A289" i="3"/>
  <c r="CY289" i="3"/>
  <c r="CZ289" i="3"/>
  <c r="DB289" i="3" s="1"/>
  <c r="DA289" i="3"/>
  <c r="DC289" i="3"/>
  <c r="A290" i="3"/>
  <c r="CY290" i="3"/>
  <c r="CZ290" i="3"/>
  <c r="DB290" i="3" s="1"/>
  <c r="DA290" i="3"/>
  <c r="DC290" i="3"/>
  <c r="A291" i="3"/>
  <c r="CY291" i="3"/>
  <c r="CZ291" i="3"/>
  <c r="DA291" i="3"/>
  <c r="DB291" i="3"/>
  <c r="DC291" i="3"/>
  <c r="A292" i="3"/>
  <c r="CY292" i="3"/>
  <c r="CZ292" i="3"/>
  <c r="DA292" i="3"/>
  <c r="DB292" i="3"/>
  <c r="DC292" i="3"/>
  <c r="A293" i="3"/>
  <c r="CY293" i="3"/>
  <c r="CZ293" i="3"/>
  <c r="DB293" i="3" s="1"/>
  <c r="DA293" i="3"/>
  <c r="DC293" i="3"/>
  <c r="A294" i="3"/>
  <c r="CX294" i="3"/>
  <c r="CY294" i="3"/>
  <c r="CZ294" i="3"/>
  <c r="DB294" i="3" s="1"/>
  <c r="DA294" i="3"/>
  <c r="DC294" i="3"/>
  <c r="A295" i="3"/>
  <c r="CX295" i="3"/>
  <c r="CY295" i="3"/>
  <c r="CZ295" i="3"/>
  <c r="DA295" i="3"/>
  <c r="DB295" i="3"/>
  <c r="DC295" i="3"/>
  <c r="A296" i="3"/>
  <c r="CX296" i="3"/>
  <c r="CY296" i="3"/>
  <c r="CZ296" i="3"/>
  <c r="DA296" i="3"/>
  <c r="DB296" i="3"/>
  <c r="DC296" i="3"/>
  <c r="A297" i="3"/>
  <c r="CY297" i="3"/>
  <c r="CZ297" i="3"/>
  <c r="DB297" i="3" s="1"/>
  <c r="DA297" i="3"/>
  <c r="DC297" i="3"/>
  <c r="A298" i="3"/>
  <c r="CY298" i="3"/>
  <c r="CZ298" i="3"/>
  <c r="DB298" i="3" s="1"/>
  <c r="DA298" i="3"/>
  <c r="DC298" i="3"/>
  <c r="A299" i="3"/>
  <c r="CY299" i="3"/>
  <c r="CZ299" i="3"/>
  <c r="DA299" i="3"/>
  <c r="DB299" i="3"/>
  <c r="DC299" i="3"/>
  <c r="A300" i="3"/>
  <c r="CY300" i="3"/>
  <c r="CZ300" i="3"/>
  <c r="DA300" i="3"/>
  <c r="DB300" i="3"/>
  <c r="DC300" i="3"/>
  <c r="A301" i="3"/>
  <c r="CY301" i="3"/>
  <c r="CZ301" i="3"/>
  <c r="DB301" i="3" s="1"/>
  <c r="DA301" i="3"/>
  <c r="DC301" i="3"/>
  <c r="A302" i="3"/>
  <c r="CY302" i="3"/>
  <c r="CZ302" i="3"/>
  <c r="DB302" i="3" s="1"/>
  <c r="DA302" i="3"/>
  <c r="DC302" i="3"/>
  <c r="A303" i="3"/>
  <c r="CY303" i="3"/>
  <c r="CZ303" i="3"/>
  <c r="DA303" i="3"/>
  <c r="DB303" i="3"/>
  <c r="DC303" i="3"/>
  <c r="A304" i="3"/>
  <c r="CY304" i="3"/>
  <c r="CZ304" i="3"/>
  <c r="DA304" i="3"/>
  <c r="DB304" i="3"/>
  <c r="DC304" i="3"/>
  <c r="A305" i="3"/>
  <c r="CY305" i="3"/>
  <c r="CZ305" i="3"/>
  <c r="DB305" i="3" s="1"/>
  <c r="DA305" i="3"/>
  <c r="DC305" i="3"/>
  <c r="A306" i="3"/>
  <c r="CY306" i="3"/>
  <c r="CZ306" i="3"/>
  <c r="DB306" i="3" s="1"/>
  <c r="DA306" i="3"/>
  <c r="DC306" i="3"/>
  <c r="A307" i="3"/>
  <c r="CY307" i="3"/>
  <c r="CZ307" i="3"/>
  <c r="DA307" i="3"/>
  <c r="DB307" i="3"/>
  <c r="DC307" i="3"/>
  <c r="A308" i="3"/>
  <c r="CY308" i="3"/>
  <c r="CZ308" i="3"/>
  <c r="DA308" i="3"/>
  <c r="DB308" i="3"/>
  <c r="DC308" i="3"/>
  <c r="A309" i="3"/>
  <c r="CY309" i="3"/>
  <c r="CZ309" i="3"/>
  <c r="DB309" i="3" s="1"/>
  <c r="DA309" i="3"/>
  <c r="DC309" i="3"/>
  <c r="A310" i="3"/>
  <c r="CY310" i="3"/>
  <c r="CZ310" i="3"/>
  <c r="DB310" i="3" s="1"/>
  <c r="DA310" i="3"/>
  <c r="DC310" i="3"/>
  <c r="A311" i="3"/>
  <c r="CY311" i="3"/>
  <c r="CZ311" i="3"/>
  <c r="DA311" i="3"/>
  <c r="DB311" i="3"/>
  <c r="DC311" i="3"/>
  <c r="A312" i="3"/>
  <c r="CY312" i="3"/>
  <c r="CZ312" i="3"/>
  <c r="DA312" i="3"/>
  <c r="DB312" i="3"/>
  <c r="DC312" i="3"/>
  <c r="A313" i="3"/>
  <c r="CY313" i="3"/>
  <c r="CZ313" i="3"/>
  <c r="DB313" i="3" s="1"/>
  <c r="DA313" i="3"/>
  <c r="DC313" i="3"/>
  <c r="A314" i="3"/>
  <c r="CY314" i="3"/>
  <c r="CZ314" i="3"/>
  <c r="DB314" i="3" s="1"/>
  <c r="DA314" i="3"/>
  <c r="DC314" i="3"/>
  <c r="A315" i="3"/>
  <c r="CY315" i="3"/>
  <c r="CZ315" i="3"/>
  <c r="DA315" i="3"/>
  <c r="DB315" i="3"/>
  <c r="DC315" i="3"/>
  <c r="A316" i="3"/>
  <c r="CY316" i="3"/>
  <c r="CZ316" i="3"/>
  <c r="DA316" i="3"/>
  <c r="DB316" i="3"/>
  <c r="DC316" i="3"/>
  <c r="A317" i="3"/>
  <c r="CY317" i="3"/>
  <c r="CZ317" i="3"/>
  <c r="DB317" i="3" s="1"/>
  <c r="DA317" i="3"/>
  <c r="DC317" i="3"/>
  <c r="A318" i="3"/>
  <c r="CY318" i="3"/>
  <c r="CZ318" i="3"/>
  <c r="DB318" i="3" s="1"/>
  <c r="DA318" i="3"/>
  <c r="DC318" i="3"/>
  <c r="A319" i="3"/>
  <c r="CY319" i="3"/>
  <c r="CZ319" i="3"/>
  <c r="DA319" i="3"/>
  <c r="DB319" i="3"/>
  <c r="DC319" i="3"/>
  <c r="A320" i="3"/>
  <c r="CY320" i="3"/>
  <c r="CZ320" i="3"/>
  <c r="DA320" i="3"/>
  <c r="DB320" i="3"/>
  <c r="DC320" i="3"/>
  <c r="A321" i="3"/>
  <c r="CY321" i="3"/>
  <c r="CZ321" i="3"/>
  <c r="DB321" i="3" s="1"/>
  <c r="DA321" i="3"/>
  <c r="DC321" i="3"/>
  <c r="A322" i="3"/>
  <c r="CY322" i="3"/>
  <c r="CZ322" i="3"/>
  <c r="DB322" i="3" s="1"/>
  <c r="DA322" i="3"/>
  <c r="DC322" i="3"/>
  <c r="A323" i="3"/>
  <c r="CY323" i="3"/>
  <c r="CZ323" i="3"/>
  <c r="DA323" i="3"/>
  <c r="DB323" i="3"/>
  <c r="DC323" i="3"/>
  <c r="A324" i="3"/>
  <c r="CY324" i="3"/>
  <c r="CZ324" i="3"/>
  <c r="DA324" i="3"/>
  <c r="DB324" i="3"/>
  <c r="DC324" i="3"/>
  <c r="A325" i="3"/>
  <c r="CX325" i="3"/>
  <c r="CY325" i="3"/>
  <c r="CZ325" i="3"/>
  <c r="DB325" i="3" s="1"/>
  <c r="DA325" i="3"/>
  <c r="DC325" i="3"/>
  <c r="A326" i="3"/>
  <c r="CX326" i="3"/>
  <c r="CY326" i="3"/>
  <c r="CZ326" i="3"/>
  <c r="DB326" i="3" s="1"/>
  <c r="DA326" i="3"/>
  <c r="DC326" i="3"/>
  <c r="A327" i="3"/>
  <c r="CX327" i="3"/>
  <c r="CY327" i="3"/>
  <c r="CZ327" i="3"/>
  <c r="DA327" i="3"/>
  <c r="DB327" i="3"/>
  <c r="DC327" i="3"/>
  <c r="A328" i="3"/>
  <c r="CY328" i="3"/>
  <c r="CZ328" i="3"/>
  <c r="DA328" i="3"/>
  <c r="DB328" i="3"/>
  <c r="DC328" i="3"/>
  <c r="A329" i="3"/>
  <c r="CY329" i="3"/>
  <c r="CZ329" i="3"/>
  <c r="DB329" i="3" s="1"/>
  <c r="DA329" i="3"/>
  <c r="DC329" i="3"/>
  <c r="A330" i="3"/>
  <c r="CY330" i="3"/>
  <c r="CZ330" i="3"/>
  <c r="DB330" i="3" s="1"/>
  <c r="DA330" i="3"/>
  <c r="DC330" i="3"/>
  <c r="A331" i="3"/>
  <c r="CX331" i="3"/>
  <c r="CY331" i="3"/>
  <c r="CZ331" i="3"/>
  <c r="DA331" i="3"/>
  <c r="DB331" i="3"/>
  <c r="DC331" i="3"/>
  <c r="A332" i="3"/>
  <c r="CX332" i="3"/>
  <c r="CY332" i="3"/>
  <c r="CZ332" i="3"/>
  <c r="DA332" i="3"/>
  <c r="DB332" i="3"/>
  <c r="DC332" i="3"/>
  <c r="A333" i="3"/>
  <c r="CX333" i="3"/>
  <c r="CY333" i="3"/>
  <c r="CZ333" i="3"/>
  <c r="DB333" i="3" s="1"/>
  <c r="DA333" i="3"/>
  <c r="DC333" i="3"/>
  <c r="A334" i="3"/>
  <c r="CX334" i="3"/>
  <c r="CY334" i="3"/>
  <c r="CZ334" i="3"/>
  <c r="DB334" i="3" s="1"/>
  <c r="DA334" i="3"/>
  <c r="DC334" i="3"/>
  <c r="A335" i="3"/>
  <c r="CX335" i="3"/>
  <c r="CY335" i="3"/>
  <c r="CZ335" i="3"/>
  <c r="DA335" i="3"/>
  <c r="DB335" i="3"/>
  <c r="DC335" i="3"/>
  <c r="A336" i="3"/>
  <c r="CY336" i="3"/>
  <c r="CZ336" i="3"/>
  <c r="DA336" i="3"/>
  <c r="DB336" i="3"/>
  <c r="DC336" i="3"/>
  <c r="A337" i="3"/>
  <c r="CY337" i="3"/>
  <c r="CZ337" i="3"/>
  <c r="DB337" i="3" s="1"/>
  <c r="DA337" i="3"/>
  <c r="DC337" i="3"/>
  <c r="A338" i="3"/>
  <c r="CY338" i="3"/>
  <c r="CZ338" i="3"/>
  <c r="DB338" i="3" s="1"/>
  <c r="DA338" i="3"/>
  <c r="DC338" i="3"/>
  <c r="A339" i="3"/>
  <c r="CY339" i="3"/>
  <c r="CZ339" i="3"/>
  <c r="DA339" i="3"/>
  <c r="DB339" i="3"/>
  <c r="DC339" i="3"/>
  <c r="A340" i="3"/>
  <c r="CY340" i="3"/>
  <c r="CZ340" i="3"/>
  <c r="DA340" i="3"/>
  <c r="DB340" i="3"/>
  <c r="DC340" i="3"/>
  <c r="A341" i="3"/>
  <c r="CX341" i="3"/>
  <c r="CY341" i="3"/>
  <c r="CZ341" i="3"/>
  <c r="DB341" i="3" s="1"/>
  <c r="DA341" i="3"/>
  <c r="DC341" i="3"/>
  <c r="A342" i="3"/>
  <c r="CX342" i="3"/>
  <c r="CY342" i="3"/>
  <c r="CZ342" i="3"/>
  <c r="DB342" i="3" s="1"/>
  <c r="DA342" i="3"/>
  <c r="DC342" i="3"/>
  <c r="A343" i="3"/>
  <c r="CX343" i="3"/>
  <c r="CY343" i="3"/>
  <c r="CZ343" i="3"/>
  <c r="DA343" i="3"/>
  <c r="DB343" i="3"/>
  <c r="DC343" i="3"/>
  <c r="A344" i="3"/>
  <c r="CX344" i="3"/>
  <c r="CY344" i="3"/>
  <c r="CZ344" i="3"/>
  <c r="DA344" i="3"/>
  <c r="DB344" i="3"/>
  <c r="DC344" i="3"/>
  <c r="A345" i="3"/>
  <c r="CX345" i="3"/>
  <c r="CY345" i="3"/>
  <c r="CZ345" i="3"/>
  <c r="DB345" i="3" s="1"/>
  <c r="DA345" i="3"/>
  <c r="DC345" i="3"/>
  <c r="A346" i="3"/>
  <c r="CX346" i="3"/>
  <c r="CY346" i="3"/>
  <c r="CZ346" i="3"/>
  <c r="DB346" i="3" s="1"/>
  <c r="DA346" i="3"/>
  <c r="DC346" i="3"/>
  <c r="A347" i="3"/>
  <c r="CY347" i="3"/>
  <c r="CZ347" i="3"/>
  <c r="DA347" i="3"/>
  <c r="DB347" i="3"/>
  <c r="DC347" i="3"/>
  <c r="A348" i="3"/>
  <c r="CY348" i="3"/>
  <c r="CZ348" i="3"/>
  <c r="DA348" i="3"/>
  <c r="DB348" i="3"/>
  <c r="DC348" i="3"/>
  <c r="A349" i="3"/>
  <c r="CY349" i="3"/>
  <c r="CZ349" i="3"/>
  <c r="DB349" i="3" s="1"/>
  <c r="DA349" i="3"/>
  <c r="DC349" i="3"/>
  <c r="A350" i="3"/>
  <c r="CY350" i="3"/>
  <c r="CZ350" i="3"/>
  <c r="DB350" i="3" s="1"/>
  <c r="DA350" i="3"/>
  <c r="DC350" i="3"/>
  <c r="A351" i="3"/>
  <c r="CY351" i="3"/>
  <c r="CZ351" i="3"/>
  <c r="DA351" i="3"/>
  <c r="DB351" i="3"/>
  <c r="DC351" i="3"/>
  <c r="A352" i="3"/>
  <c r="CY352" i="3"/>
  <c r="CZ352" i="3"/>
  <c r="DA352" i="3"/>
  <c r="DB352" i="3"/>
  <c r="DC352" i="3"/>
  <c r="A353" i="3"/>
  <c r="CY353" i="3"/>
  <c r="CZ353" i="3"/>
  <c r="DB353" i="3" s="1"/>
  <c r="DA353" i="3"/>
  <c r="DC353" i="3"/>
  <c r="A354" i="3"/>
  <c r="CY354" i="3"/>
  <c r="CZ354" i="3"/>
  <c r="DB354" i="3" s="1"/>
  <c r="DA354" i="3"/>
  <c r="DC354" i="3"/>
  <c r="A355" i="3"/>
  <c r="CY355" i="3"/>
  <c r="CZ355" i="3"/>
  <c r="DA355" i="3"/>
  <c r="DB355" i="3"/>
  <c r="DC355" i="3"/>
  <c r="A356" i="3"/>
  <c r="CX356" i="3"/>
  <c r="CY356" i="3"/>
  <c r="CZ356" i="3"/>
  <c r="DA356" i="3"/>
  <c r="DB356" i="3"/>
  <c r="DC356" i="3"/>
  <c r="A357" i="3"/>
  <c r="CX357" i="3"/>
  <c r="CY357" i="3"/>
  <c r="CZ357" i="3"/>
  <c r="DB357" i="3" s="1"/>
  <c r="DA357" i="3"/>
  <c r="DC357" i="3"/>
  <c r="A358" i="3"/>
  <c r="CX358" i="3"/>
  <c r="CY358" i="3"/>
  <c r="CZ358" i="3"/>
  <c r="DB358" i="3" s="1"/>
  <c r="DA358" i="3"/>
  <c r="DC358" i="3"/>
  <c r="A359" i="3"/>
  <c r="CY359" i="3"/>
  <c r="CZ359" i="3"/>
  <c r="DA359" i="3"/>
  <c r="DB359" i="3"/>
  <c r="DC359" i="3"/>
  <c r="A360" i="3"/>
  <c r="CY360" i="3"/>
  <c r="CZ360" i="3"/>
  <c r="DA360" i="3"/>
  <c r="DB360" i="3"/>
  <c r="DC360" i="3"/>
  <c r="A361" i="3"/>
  <c r="CY361" i="3"/>
  <c r="CZ361" i="3"/>
  <c r="DB361" i="3" s="1"/>
  <c r="DA361" i="3"/>
  <c r="DC361" i="3"/>
  <c r="A362" i="3"/>
  <c r="CY362" i="3"/>
  <c r="CZ362" i="3"/>
  <c r="DB362" i="3" s="1"/>
  <c r="DA362" i="3"/>
  <c r="DC362" i="3"/>
  <c r="A363" i="3"/>
  <c r="CY363" i="3"/>
  <c r="CZ363" i="3"/>
  <c r="DA363" i="3"/>
  <c r="DB363" i="3"/>
  <c r="DC363" i="3"/>
  <c r="A364" i="3"/>
  <c r="CY364" i="3"/>
  <c r="CZ364" i="3"/>
  <c r="DA364" i="3"/>
  <c r="DB364" i="3"/>
  <c r="DC364" i="3"/>
  <c r="A365" i="3"/>
  <c r="CY365" i="3"/>
  <c r="CZ365" i="3"/>
  <c r="DB365" i="3" s="1"/>
  <c r="DA365" i="3"/>
  <c r="DC365" i="3"/>
  <c r="A366" i="3"/>
  <c r="CY366" i="3"/>
  <c r="CZ366" i="3"/>
  <c r="DB366" i="3" s="1"/>
  <c r="DA366" i="3"/>
  <c r="DC366" i="3"/>
  <c r="A367" i="3"/>
  <c r="CY367" i="3"/>
  <c r="CZ367" i="3"/>
  <c r="DA367" i="3"/>
  <c r="DB367" i="3"/>
  <c r="DC367" i="3"/>
  <c r="A368" i="3"/>
  <c r="CY368" i="3"/>
  <c r="CZ368" i="3"/>
  <c r="DA368" i="3"/>
  <c r="DB368" i="3"/>
  <c r="DC368" i="3"/>
  <c r="A369" i="3"/>
  <c r="CY369" i="3"/>
  <c r="CZ369" i="3"/>
  <c r="DB369" i="3" s="1"/>
  <c r="DA369" i="3"/>
  <c r="DC369" i="3"/>
  <c r="A370" i="3"/>
  <c r="CY370" i="3"/>
  <c r="CZ370" i="3"/>
  <c r="DB370" i="3" s="1"/>
  <c r="DA370" i="3"/>
  <c r="DC370" i="3"/>
  <c r="A371" i="3"/>
  <c r="CY371" i="3"/>
  <c r="CZ371" i="3"/>
  <c r="DB371" i="3" s="1"/>
  <c r="DA371" i="3"/>
  <c r="DC371" i="3"/>
  <c r="A372" i="3"/>
  <c r="CY372" i="3"/>
  <c r="CZ372" i="3"/>
  <c r="DA372" i="3"/>
  <c r="DB372" i="3"/>
  <c r="DC372" i="3"/>
  <c r="A373" i="3"/>
  <c r="CY373" i="3"/>
  <c r="CZ373" i="3"/>
  <c r="DA373" i="3"/>
  <c r="DB373" i="3"/>
  <c r="DC373" i="3"/>
  <c r="A374" i="3"/>
  <c r="CY374" i="3"/>
  <c r="CZ374" i="3"/>
  <c r="DB374" i="3" s="1"/>
  <c r="DA374" i="3"/>
  <c r="DC374" i="3"/>
  <c r="A375" i="3"/>
  <c r="CY375" i="3"/>
  <c r="CZ375" i="3"/>
  <c r="DB375" i="3" s="1"/>
  <c r="DA375" i="3"/>
  <c r="DC375" i="3"/>
  <c r="A376" i="3"/>
  <c r="CY376" i="3"/>
  <c r="CZ376" i="3"/>
  <c r="DA376" i="3"/>
  <c r="DB376" i="3"/>
  <c r="DC376" i="3"/>
  <c r="A377" i="3"/>
  <c r="CY377" i="3"/>
  <c r="CZ377" i="3"/>
  <c r="DA377" i="3"/>
  <c r="DB377" i="3"/>
  <c r="DC377" i="3"/>
  <c r="A378" i="3"/>
  <c r="CY378" i="3"/>
  <c r="CZ378" i="3"/>
  <c r="DB378" i="3" s="1"/>
  <c r="DA378" i="3"/>
  <c r="DC378" i="3"/>
  <c r="A379" i="3"/>
  <c r="CY379" i="3"/>
  <c r="CZ379" i="3"/>
  <c r="DB379" i="3" s="1"/>
  <c r="DA379" i="3"/>
  <c r="DC379" i="3"/>
  <c r="A380" i="3"/>
  <c r="CY380" i="3"/>
  <c r="CZ380" i="3"/>
  <c r="DA380" i="3"/>
  <c r="DB380" i="3"/>
  <c r="DC380" i="3"/>
  <c r="A381" i="3"/>
  <c r="CY381" i="3"/>
  <c r="CZ381" i="3"/>
  <c r="DA381" i="3"/>
  <c r="DB381" i="3"/>
  <c r="DC381" i="3"/>
  <c r="A382" i="3"/>
  <c r="CY382" i="3"/>
  <c r="CZ382" i="3"/>
  <c r="DB382" i="3" s="1"/>
  <c r="DA382" i="3"/>
  <c r="DC382" i="3"/>
  <c r="A383" i="3"/>
  <c r="CY383" i="3"/>
  <c r="CZ383" i="3"/>
  <c r="DB383" i="3" s="1"/>
  <c r="DA383" i="3"/>
  <c r="DC383" i="3"/>
  <c r="A384" i="3"/>
  <c r="CY384" i="3"/>
  <c r="CZ384" i="3"/>
  <c r="DA384" i="3"/>
  <c r="DB384" i="3"/>
  <c r="DC384" i="3"/>
  <c r="A385" i="3"/>
  <c r="CY385" i="3"/>
  <c r="CZ385" i="3"/>
  <c r="DA385" i="3"/>
  <c r="DB385" i="3"/>
  <c r="DC385" i="3"/>
  <c r="A386" i="3"/>
  <c r="CY386" i="3"/>
  <c r="CZ386" i="3"/>
  <c r="DB386" i="3" s="1"/>
  <c r="DA386" i="3"/>
  <c r="DC386" i="3"/>
  <c r="A387" i="3"/>
  <c r="CX387" i="3"/>
  <c r="CY387" i="3"/>
  <c r="CZ387" i="3"/>
  <c r="DB387" i="3" s="1"/>
  <c r="DA387" i="3"/>
  <c r="DC387" i="3"/>
  <c r="A388" i="3"/>
  <c r="CX388" i="3"/>
  <c r="CY388" i="3"/>
  <c r="CZ388" i="3"/>
  <c r="DA388" i="3"/>
  <c r="DB388" i="3"/>
  <c r="DC388" i="3"/>
  <c r="A389" i="3"/>
  <c r="CX389" i="3"/>
  <c r="CY389" i="3"/>
  <c r="CZ389" i="3"/>
  <c r="DA389" i="3"/>
  <c r="DB389" i="3"/>
  <c r="DC389" i="3"/>
  <c r="A390" i="3"/>
  <c r="CX390" i="3"/>
  <c r="CY390" i="3"/>
  <c r="CZ390" i="3"/>
  <c r="DB390" i="3" s="1"/>
  <c r="DA390" i="3"/>
  <c r="DC390" i="3"/>
  <c r="A391" i="3"/>
  <c r="CX391" i="3"/>
  <c r="CY391" i="3"/>
  <c r="CZ391" i="3"/>
  <c r="DB391" i="3" s="1"/>
  <c r="DA391" i="3"/>
  <c r="DC391" i="3"/>
  <c r="A392" i="3"/>
  <c r="CX392" i="3"/>
  <c r="CY392" i="3"/>
  <c r="CZ392" i="3"/>
  <c r="DA392" i="3"/>
  <c r="DB392" i="3"/>
  <c r="DC392" i="3"/>
  <c r="A393" i="3"/>
  <c r="CX393" i="3"/>
  <c r="CY393" i="3"/>
  <c r="CZ393" i="3"/>
  <c r="DA393" i="3"/>
  <c r="DB393" i="3"/>
  <c r="DC393" i="3"/>
  <c r="A394" i="3"/>
  <c r="CX394" i="3"/>
  <c r="CY394" i="3"/>
  <c r="CZ394" i="3"/>
  <c r="DB394" i="3" s="1"/>
  <c r="DA394" i="3"/>
  <c r="DC394" i="3"/>
  <c r="A395" i="3"/>
  <c r="CX395" i="3"/>
  <c r="CY395" i="3"/>
  <c r="CZ395" i="3"/>
  <c r="DB395" i="3" s="1"/>
  <c r="DA395" i="3"/>
  <c r="DC395" i="3"/>
  <c r="A396" i="3"/>
  <c r="CX396" i="3"/>
  <c r="CY396" i="3"/>
  <c r="CZ396" i="3"/>
  <c r="DA396" i="3"/>
  <c r="DB396" i="3"/>
  <c r="DC396" i="3"/>
  <c r="A397" i="3"/>
  <c r="CX397" i="3"/>
  <c r="CY397" i="3"/>
  <c r="CZ397" i="3"/>
  <c r="DA397" i="3"/>
  <c r="DB397" i="3"/>
  <c r="DC397" i="3"/>
  <c r="A398" i="3"/>
  <c r="CX398" i="3"/>
  <c r="CY398" i="3"/>
  <c r="CZ398" i="3"/>
  <c r="DB398" i="3" s="1"/>
  <c r="DA398" i="3"/>
  <c r="DC398" i="3"/>
  <c r="A399" i="3"/>
  <c r="CX399" i="3"/>
  <c r="CY399" i="3"/>
  <c r="CZ399" i="3"/>
  <c r="DB399" i="3" s="1"/>
  <c r="DA399" i="3"/>
  <c r="DC399" i="3"/>
  <c r="A400" i="3"/>
  <c r="CX400" i="3"/>
  <c r="CY400" i="3"/>
  <c r="CZ400" i="3"/>
  <c r="DA400" i="3"/>
  <c r="DB400" i="3"/>
  <c r="DC400" i="3"/>
  <c r="A401" i="3"/>
  <c r="CX401" i="3"/>
  <c r="CY401" i="3"/>
  <c r="CZ401" i="3"/>
  <c r="DA401" i="3"/>
  <c r="DB401" i="3"/>
  <c r="DC401" i="3"/>
  <c r="A402" i="3"/>
  <c r="CY402" i="3"/>
  <c r="CZ402" i="3"/>
  <c r="DB402" i="3" s="1"/>
  <c r="DA402" i="3"/>
  <c r="DC402" i="3"/>
  <c r="A403" i="3"/>
  <c r="CY403" i="3"/>
  <c r="CZ403" i="3"/>
  <c r="DB403" i="3" s="1"/>
  <c r="DA403" i="3"/>
  <c r="DC403" i="3"/>
  <c r="A404" i="3"/>
  <c r="CY404" i="3"/>
  <c r="CZ404" i="3"/>
  <c r="DA404" i="3"/>
  <c r="DB404" i="3"/>
  <c r="DC404" i="3"/>
  <c r="A405" i="3"/>
  <c r="CY405" i="3"/>
  <c r="CZ405" i="3"/>
  <c r="DA405" i="3"/>
  <c r="DB405" i="3"/>
  <c r="DC405" i="3"/>
  <c r="A406" i="3"/>
  <c r="CY406" i="3"/>
  <c r="CZ406" i="3"/>
  <c r="DB406" i="3" s="1"/>
  <c r="DA406" i="3"/>
  <c r="DC406" i="3"/>
  <c r="A407" i="3"/>
  <c r="CY407" i="3"/>
  <c r="CZ407" i="3"/>
  <c r="DB407" i="3" s="1"/>
  <c r="DA407" i="3"/>
  <c r="DC407" i="3"/>
  <c r="A408" i="3"/>
  <c r="CY408" i="3"/>
  <c r="CZ408" i="3"/>
  <c r="DA408" i="3"/>
  <c r="DB408" i="3"/>
  <c r="DC408" i="3"/>
  <c r="A409" i="3"/>
  <c r="CY409" i="3"/>
  <c r="CZ409" i="3"/>
  <c r="DA409" i="3"/>
  <c r="DB409" i="3"/>
  <c r="DC409" i="3"/>
  <c r="A410" i="3"/>
  <c r="CY410" i="3"/>
  <c r="CZ410" i="3"/>
  <c r="DB410" i="3" s="1"/>
  <c r="DA410" i="3"/>
  <c r="DC410" i="3"/>
  <c r="A411" i="3"/>
  <c r="CY411" i="3"/>
  <c r="CZ411" i="3"/>
  <c r="DB411" i="3" s="1"/>
  <c r="DA411" i="3"/>
  <c r="DC411" i="3"/>
  <c r="A412" i="3"/>
  <c r="CX412" i="3"/>
  <c r="CY412" i="3"/>
  <c r="CZ412" i="3"/>
  <c r="DA412" i="3"/>
  <c r="DB412" i="3"/>
  <c r="DC412" i="3"/>
  <c r="A413" i="3"/>
  <c r="CY413" i="3"/>
  <c r="CZ413" i="3"/>
  <c r="DA413" i="3"/>
  <c r="DB413" i="3"/>
  <c r="DC413" i="3"/>
  <c r="A414" i="3"/>
  <c r="CY414" i="3"/>
  <c r="CZ414" i="3"/>
  <c r="DB414" i="3" s="1"/>
  <c r="DA414" i="3"/>
  <c r="DC414" i="3"/>
  <c r="A415" i="3"/>
  <c r="CY415" i="3"/>
  <c r="CZ415" i="3"/>
  <c r="DB415" i="3" s="1"/>
  <c r="DA415" i="3"/>
  <c r="DC415" i="3"/>
  <c r="A416" i="3"/>
  <c r="CY416" i="3"/>
  <c r="CZ416" i="3"/>
  <c r="DA416" i="3"/>
  <c r="DB416" i="3"/>
  <c r="DC416" i="3"/>
  <c r="A417" i="3"/>
  <c r="CY417" i="3"/>
  <c r="CZ417" i="3"/>
  <c r="DA417" i="3"/>
  <c r="DB417" i="3"/>
  <c r="DC417" i="3"/>
  <c r="A418" i="3"/>
  <c r="CY418" i="3"/>
  <c r="CZ418" i="3"/>
  <c r="DB418" i="3" s="1"/>
  <c r="DA418" i="3"/>
  <c r="DC418" i="3"/>
  <c r="A419" i="3"/>
  <c r="CY419" i="3"/>
  <c r="CZ419" i="3"/>
  <c r="DB419" i="3" s="1"/>
  <c r="DA419" i="3"/>
  <c r="DC419" i="3"/>
  <c r="A420" i="3"/>
  <c r="CY420" i="3"/>
  <c r="CZ420" i="3"/>
  <c r="DA420" i="3"/>
  <c r="DB420" i="3"/>
  <c r="DC420" i="3"/>
  <c r="A421" i="3"/>
  <c r="CY421" i="3"/>
  <c r="CZ421" i="3"/>
  <c r="DA421" i="3"/>
  <c r="DB421" i="3"/>
  <c r="DC421" i="3"/>
  <c r="A422" i="3"/>
  <c r="CY422" i="3"/>
  <c r="CZ422" i="3"/>
  <c r="DB422" i="3" s="1"/>
  <c r="DA422" i="3"/>
  <c r="DC422" i="3"/>
  <c r="A423" i="3"/>
  <c r="CY423" i="3"/>
  <c r="CZ423" i="3"/>
  <c r="DB423" i="3" s="1"/>
  <c r="DA423" i="3"/>
  <c r="DC423" i="3"/>
  <c r="A424" i="3"/>
  <c r="CY424" i="3"/>
  <c r="CZ424" i="3"/>
  <c r="DA424" i="3"/>
  <c r="DB424" i="3"/>
  <c r="DC424" i="3"/>
  <c r="A425" i="3"/>
  <c r="CY425" i="3"/>
  <c r="CZ425" i="3"/>
  <c r="DA425" i="3"/>
  <c r="DB425" i="3"/>
  <c r="DC425" i="3"/>
  <c r="A426" i="3"/>
  <c r="CY426" i="3"/>
  <c r="CZ426" i="3"/>
  <c r="DB426" i="3" s="1"/>
  <c r="DA426" i="3"/>
  <c r="DC426" i="3"/>
  <c r="A427" i="3"/>
  <c r="CX427" i="3"/>
  <c r="CY427" i="3"/>
  <c r="CZ427" i="3"/>
  <c r="DB427" i="3" s="1"/>
  <c r="DA427" i="3"/>
  <c r="DC427" i="3"/>
  <c r="A428" i="3"/>
  <c r="CX428" i="3"/>
  <c r="CY428" i="3"/>
  <c r="CZ428" i="3"/>
  <c r="DA428" i="3"/>
  <c r="DB428" i="3"/>
  <c r="DC428" i="3"/>
  <c r="A429" i="3"/>
  <c r="CY429" i="3"/>
  <c r="CZ429" i="3"/>
  <c r="DA429" i="3"/>
  <c r="DB429" i="3"/>
  <c r="DC429" i="3"/>
  <c r="A430" i="3"/>
  <c r="CY430" i="3"/>
  <c r="CZ430" i="3"/>
  <c r="DB430" i="3" s="1"/>
  <c r="DA430" i="3"/>
  <c r="DC430" i="3"/>
  <c r="A431" i="3"/>
  <c r="CY431" i="3"/>
  <c r="CZ431" i="3"/>
  <c r="DB431" i="3" s="1"/>
  <c r="DA431" i="3"/>
  <c r="DC431" i="3"/>
  <c r="A432" i="3"/>
  <c r="CY432" i="3"/>
  <c r="CZ432" i="3"/>
  <c r="DA432" i="3"/>
  <c r="DB432" i="3"/>
  <c r="DC432" i="3"/>
  <c r="A433" i="3"/>
  <c r="CY433" i="3"/>
  <c r="CZ433" i="3"/>
  <c r="DA433" i="3"/>
  <c r="DB433" i="3"/>
  <c r="DC433" i="3"/>
  <c r="A434" i="3"/>
  <c r="CY434" i="3"/>
  <c r="CZ434" i="3"/>
  <c r="DB434" i="3" s="1"/>
  <c r="DA434" i="3"/>
  <c r="DC434" i="3"/>
  <c r="A435" i="3"/>
  <c r="CY435" i="3"/>
  <c r="CZ435" i="3"/>
  <c r="DB435" i="3" s="1"/>
  <c r="DA435" i="3"/>
  <c r="DC435" i="3"/>
  <c r="A436" i="3"/>
  <c r="CY436" i="3"/>
  <c r="CZ436" i="3"/>
  <c r="DA436" i="3"/>
  <c r="DB436" i="3"/>
  <c r="DC436" i="3"/>
  <c r="A437" i="3"/>
  <c r="CY437" i="3"/>
  <c r="CZ437" i="3"/>
  <c r="DA437" i="3"/>
  <c r="DB437" i="3"/>
  <c r="DC437" i="3"/>
  <c r="A438" i="3"/>
  <c r="CY438" i="3"/>
  <c r="CZ438" i="3"/>
  <c r="DB438" i="3" s="1"/>
  <c r="DA438" i="3"/>
  <c r="DC438" i="3"/>
  <c r="A439" i="3"/>
  <c r="CY439" i="3"/>
  <c r="CZ439" i="3"/>
  <c r="DB439" i="3" s="1"/>
  <c r="DA439" i="3"/>
  <c r="DC439" i="3"/>
  <c r="A440" i="3"/>
  <c r="CY440" i="3"/>
  <c r="CZ440" i="3"/>
  <c r="DA440" i="3"/>
  <c r="DB440" i="3"/>
  <c r="DC440" i="3"/>
  <c r="A441" i="3"/>
  <c r="CY441" i="3"/>
  <c r="CZ441" i="3"/>
  <c r="DA441" i="3"/>
  <c r="DB441" i="3"/>
  <c r="DC441" i="3"/>
  <c r="A442" i="3"/>
  <c r="CY442" i="3"/>
  <c r="CZ442" i="3"/>
  <c r="DB442" i="3" s="1"/>
  <c r="DA442" i="3"/>
  <c r="DC442" i="3"/>
  <c r="A443" i="3"/>
  <c r="CY443" i="3"/>
  <c r="CZ443" i="3"/>
  <c r="DB443" i="3" s="1"/>
  <c r="DA443" i="3"/>
  <c r="DC443" i="3"/>
  <c r="A444" i="3"/>
  <c r="CY444" i="3"/>
  <c r="CZ444" i="3"/>
  <c r="DA444" i="3"/>
  <c r="DB444" i="3"/>
  <c r="DC444" i="3"/>
  <c r="A445" i="3"/>
  <c r="CY445" i="3"/>
  <c r="CZ445" i="3"/>
  <c r="DA445" i="3"/>
  <c r="DB445" i="3"/>
  <c r="DC445" i="3"/>
  <c r="A446" i="3"/>
  <c r="CX446" i="3"/>
  <c r="CY446" i="3"/>
  <c r="CZ446" i="3"/>
  <c r="DB446" i="3" s="1"/>
  <c r="DA446" i="3"/>
  <c r="DC446" i="3"/>
  <c r="A447" i="3"/>
  <c r="CX447" i="3"/>
  <c r="CY447" i="3"/>
  <c r="CZ447" i="3"/>
  <c r="DB447" i="3" s="1"/>
  <c r="DA447" i="3"/>
  <c r="DC447" i="3"/>
  <c r="A448" i="3"/>
  <c r="CX448" i="3"/>
  <c r="CY448" i="3"/>
  <c r="CZ448" i="3"/>
  <c r="DA448" i="3"/>
  <c r="DB448" i="3"/>
  <c r="DC448" i="3"/>
  <c r="A449" i="3"/>
  <c r="CX449" i="3"/>
  <c r="CY449" i="3"/>
  <c r="CZ449" i="3"/>
  <c r="DA449" i="3"/>
  <c r="DB449" i="3"/>
  <c r="DC449" i="3"/>
  <c r="A450" i="3"/>
  <c r="CY450" i="3"/>
  <c r="CZ450" i="3"/>
  <c r="DB450" i="3" s="1"/>
  <c r="DA450" i="3"/>
  <c r="DC450" i="3"/>
  <c r="A451" i="3"/>
  <c r="CY451" i="3"/>
  <c r="CZ451" i="3"/>
  <c r="DB451" i="3" s="1"/>
  <c r="DA451" i="3"/>
  <c r="DC451" i="3"/>
  <c r="A452" i="3"/>
  <c r="CY452" i="3"/>
  <c r="CZ452" i="3"/>
  <c r="DA452" i="3"/>
  <c r="DB452" i="3"/>
  <c r="DC452" i="3"/>
  <c r="A453" i="3"/>
  <c r="CY453" i="3"/>
  <c r="CZ453" i="3"/>
  <c r="DA453" i="3"/>
  <c r="DB453" i="3"/>
  <c r="DC453" i="3"/>
  <c r="A454" i="3"/>
  <c r="CY454" i="3"/>
  <c r="CZ454" i="3"/>
  <c r="DB454" i="3" s="1"/>
  <c r="DA454" i="3"/>
  <c r="DC454" i="3"/>
  <c r="A455" i="3"/>
  <c r="CY455" i="3"/>
  <c r="CZ455" i="3"/>
  <c r="DB455" i="3" s="1"/>
  <c r="DA455" i="3"/>
  <c r="DC455" i="3"/>
  <c r="A456" i="3"/>
  <c r="CX456" i="3"/>
  <c r="CY456" i="3"/>
  <c r="CZ456" i="3"/>
  <c r="DA456" i="3"/>
  <c r="DB456" i="3"/>
  <c r="DC456" i="3"/>
  <c r="A457" i="3"/>
  <c r="CX457" i="3"/>
  <c r="CY457" i="3"/>
  <c r="CZ457" i="3"/>
  <c r="DA457" i="3"/>
  <c r="DB457" i="3"/>
  <c r="DC457" i="3"/>
  <c r="A458" i="3"/>
  <c r="CX458" i="3"/>
  <c r="CY458" i="3"/>
  <c r="CZ458" i="3"/>
  <c r="DB458" i="3" s="1"/>
  <c r="DA458" i="3"/>
  <c r="DC458" i="3"/>
  <c r="A459" i="3"/>
  <c r="CX459" i="3"/>
  <c r="CY459" i="3"/>
  <c r="CZ459" i="3"/>
  <c r="DB459" i="3" s="1"/>
  <c r="DA459" i="3"/>
  <c r="DC459" i="3"/>
  <c r="A460" i="3"/>
  <c r="CY460" i="3"/>
  <c r="CZ460" i="3"/>
  <c r="DA460" i="3"/>
  <c r="DB460" i="3"/>
  <c r="DC460" i="3"/>
  <c r="A461" i="3"/>
  <c r="CY461" i="3"/>
  <c r="CZ461" i="3"/>
  <c r="DA461" i="3"/>
  <c r="DB461" i="3"/>
  <c r="DC461" i="3"/>
  <c r="A462" i="3"/>
  <c r="CY462" i="3"/>
  <c r="CZ462" i="3"/>
  <c r="DB462" i="3" s="1"/>
  <c r="DA462" i="3"/>
  <c r="DC462" i="3"/>
  <c r="A463" i="3"/>
  <c r="CX463" i="3"/>
  <c r="CY463" i="3"/>
  <c r="CZ463" i="3"/>
  <c r="DB463" i="3" s="1"/>
  <c r="DA463" i="3"/>
  <c r="DC463" i="3"/>
  <c r="A464" i="3"/>
  <c r="CY464" i="3"/>
  <c r="CZ464" i="3"/>
  <c r="DA464" i="3"/>
  <c r="DB464" i="3"/>
  <c r="DC464" i="3"/>
  <c r="A465" i="3"/>
  <c r="CY465" i="3"/>
  <c r="CZ465" i="3"/>
  <c r="DA465" i="3"/>
  <c r="DB465" i="3"/>
  <c r="DC465" i="3"/>
  <c r="A466" i="3"/>
  <c r="CY466" i="3"/>
  <c r="CZ466" i="3"/>
  <c r="DB466" i="3" s="1"/>
  <c r="DA466" i="3"/>
  <c r="DC466" i="3"/>
  <c r="A467" i="3"/>
  <c r="CY467" i="3"/>
  <c r="CZ467" i="3"/>
  <c r="DB467" i="3" s="1"/>
  <c r="DA467" i="3"/>
  <c r="DC467" i="3"/>
  <c r="A468" i="3"/>
  <c r="CY468" i="3"/>
  <c r="CZ468" i="3"/>
  <c r="DA468" i="3"/>
  <c r="DB468" i="3"/>
  <c r="DC468" i="3"/>
  <c r="A469" i="3"/>
  <c r="CX469" i="3"/>
  <c r="CY469" i="3"/>
  <c r="CZ469" i="3"/>
  <c r="DA469" i="3"/>
  <c r="DB469" i="3"/>
  <c r="DC469" i="3"/>
  <c r="A470" i="3"/>
  <c r="CX470" i="3"/>
  <c r="CY470" i="3"/>
  <c r="CZ470" i="3"/>
  <c r="DB470" i="3" s="1"/>
  <c r="DA470" i="3"/>
  <c r="DC470" i="3"/>
  <c r="A471" i="3"/>
  <c r="CX471" i="3"/>
  <c r="CY471" i="3"/>
  <c r="CZ471" i="3"/>
  <c r="DB471" i="3" s="1"/>
  <c r="DA471" i="3"/>
  <c r="DC471" i="3"/>
  <c r="A472" i="3"/>
  <c r="CX472" i="3"/>
  <c r="CY472" i="3"/>
  <c r="CZ472" i="3"/>
  <c r="DA472" i="3"/>
  <c r="DB472" i="3"/>
  <c r="DC472" i="3"/>
  <c r="A473" i="3"/>
  <c r="CX473" i="3"/>
  <c r="CY473" i="3"/>
  <c r="CZ473" i="3"/>
  <c r="DA473" i="3"/>
  <c r="DB473" i="3"/>
  <c r="DC473" i="3"/>
  <c r="A474" i="3"/>
  <c r="CX474" i="3"/>
  <c r="CY474" i="3"/>
  <c r="CZ474" i="3"/>
  <c r="DB474" i="3" s="1"/>
  <c r="DA474" i="3"/>
  <c r="DC474" i="3"/>
  <c r="A475" i="3"/>
  <c r="CX475" i="3"/>
  <c r="CY475" i="3"/>
  <c r="CZ475" i="3"/>
  <c r="DB475" i="3" s="1"/>
  <c r="DA475" i="3"/>
  <c r="DC475" i="3"/>
  <c r="A476" i="3"/>
  <c r="CX476" i="3"/>
  <c r="CY476" i="3"/>
  <c r="CZ476" i="3"/>
  <c r="DA476" i="3"/>
  <c r="DB476" i="3"/>
  <c r="DC476" i="3"/>
  <c r="A477" i="3"/>
  <c r="CX477" i="3"/>
  <c r="CY477" i="3"/>
  <c r="CZ477" i="3"/>
  <c r="DA477" i="3"/>
  <c r="DB477" i="3"/>
  <c r="DC477" i="3"/>
  <c r="A478" i="3"/>
  <c r="CX478" i="3"/>
  <c r="CY478" i="3"/>
  <c r="CZ478" i="3"/>
  <c r="DB478" i="3" s="1"/>
  <c r="DA478" i="3"/>
  <c r="DC478" i="3"/>
  <c r="A479" i="3"/>
  <c r="CY479" i="3"/>
  <c r="CZ479" i="3"/>
  <c r="DB479" i="3" s="1"/>
  <c r="DA479" i="3"/>
  <c r="DC479" i="3"/>
  <c r="A480" i="3"/>
  <c r="CY480" i="3"/>
  <c r="CZ480" i="3"/>
  <c r="DA480" i="3"/>
  <c r="DB480" i="3"/>
  <c r="DC480" i="3"/>
  <c r="A481" i="3"/>
  <c r="CY481" i="3"/>
  <c r="CZ481" i="3"/>
  <c r="DA481" i="3"/>
  <c r="DB481" i="3"/>
  <c r="DC481" i="3"/>
  <c r="A482" i="3"/>
  <c r="CY482" i="3"/>
  <c r="CZ482" i="3"/>
  <c r="DB482" i="3" s="1"/>
  <c r="DA482" i="3"/>
  <c r="DC482" i="3"/>
  <c r="A483" i="3"/>
  <c r="CY483" i="3"/>
  <c r="CZ483" i="3"/>
  <c r="DB483" i="3" s="1"/>
  <c r="DA483" i="3"/>
  <c r="DC483" i="3"/>
  <c r="A484" i="3"/>
  <c r="CY484" i="3"/>
  <c r="CZ484" i="3"/>
  <c r="DA484" i="3"/>
  <c r="DB484" i="3"/>
  <c r="DC484" i="3"/>
  <c r="A485" i="3"/>
  <c r="CY485" i="3"/>
  <c r="CZ485" i="3"/>
  <c r="DA485" i="3"/>
  <c r="DB485" i="3"/>
  <c r="DC485" i="3"/>
  <c r="A486" i="3"/>
  <c r="CX486" i="3"/>
  <c r="CY486" i="3"/>
  <c r="CZ486" i="3"/>
  <c r="DB486" i="3" s="1"/>
  <c r="DA486" i="3"/>
  <c r="DC486" i="3"/>
  <c r="A487" i="3"/>
  <c r="CX487" i="3"/>
  <c r="CY487" i="3"/>
  <c r="CZ487" i="3"/>
  <c r="DB487" i="3" s="1"/>
  <c r="DA487" i="3"/>
  <c r="DC487" i="3"/>
  <c r="A488" i="3"/>
  <c r="CX488" i="3"/>
  <c r="CY488" i="3"/>
  <c r="CZ488" i="3"/>
  <c r="DA488" i="3"/>
  <c r="DB488" i="3"/>
  <c r="DC488" i="3"/>
  <c r="A489" i="3"/>
  <c r="CX489" i="3"/>
  <c r="CY489" i="3"/>
  <c r="CZ489" i="3"/>
  <c r="DA489" i="3"/>
  <c r="DB489" i="3"/>
  <c r="DC489" i="3"/>
  <c r="A490" i="3"/>
  <c r="CX490" i="3"/>
  <c r="CY490" i="3"/>
  <c r="CZ490" i="3"/>
  <c r="DB490" i="3" s="1"/>
  <c r="DA490" i="3"/>
  <c r="DC490" i="3"/>
  <c r="A491" i="3"/>
  <c r="CX491" i="3"/>
  <c r="CY491" i="3"/>
  <c r="CZ491" i="3"/>
  <c r="DB491" i="3" s="1"/>
  <c r="DA491" i="3"/>
  <c r="DC491" i="3"/>
  <c r="A492" i="3"/>
  <c r="CX492" i="3"/>
  <c r="CY492" i="3"/>
  <c r="CZ492" i="3"/>
  <c r="DA492" i="3"/>
  <c r="DB492" i="3"/>
  <c r="DC492" i="3"/>
  <c r="A493" i="3"/>
  <c r="CX493" i="3"/>
  <c r="CY493" i="3"/>
  <c r="CZ493" i="3"/>
  <c r="DA493" i="3"/>
  <c r="DB493" i="3"/>
  <c r="DC493" i="3"/>
  <c r="A494" i="3"/>
  <c r="CX494" i="3"/>
  <c r="CY494" i="3"/>
  <c r="CZ494" i="3"/>
  <c r="DB494" i="3" s="1"/>
  <c r="DA494" i="3"/>
  <c r="DC494" i="3"/>
  <c r="A495" i="3"/>
  <c r="CX495" i="3"/>
  <c r="CY495" i="3"/>
  <c r="CZ495" i="3"/>
  <c r="DB495" i="3" s="1"/>
  <c r="DA495" i="3"/>
  <c r="DC495" i="3"/>
  <c r="A496" i="3"/>
  <c r="CX496" i="3"/>
  <c r="CY496" i="3"/>
  <c r="CZ496" i="3"/>
  <c r="DA496" i="3"/>
  <c r="DB496" i="3"/>
  <c r="DC496" i="3"/>
  <c r="A497" i="3"/>
  <c r="CX497" i="3"/>
  <c r="CY497" i="3"/>
  <c r="CZ497" i="3"/>
  <c r="DA497" i="3"/>
  <c r="DB497" i="3"/>
  <c r="DC497" i="3"/>
  <c r="A498" i="3"/>
  <c r="CX498" i="3"/>
  <c r="CY498" i="3"/>
  <c r="CZ498" i="3"/>
  <c r="DB498" i="3" s="1"/>
  <c r="DA498" i="3"/>
  <c r="DC498" i="3"/>
  <c r="A499" i="3"/>
  <c r="CX499" i="3"/>
  <c r="CY499" i="3"/>
  <c r="CZ499" i="3"/>
  <c r="DB499" i="3" s="1"/>
  <c r="DA499" i="3"/>
  <c r="DC499" i="3"/>
  <c r="A500" i="3"/>
  <c r="CX500" i="3"/>
  <c r="CY500" i="3"/>
  <c r="CZ500" i="3"/>
  <c r="DA500" i="3"/>
  <c r="DB500" i="3"/>
  <c r="DC500" i="3"/>
  <c r="A501" i="3"/>
  <c r="CX501" i="3"/>
  <c r="CY501" i="3"/>
  <c r="CZ501" i="3"/>
  <c r="DA501" i="3"/>
  <c r="DB501" i="3"/>
  <c r="DC501" i="3"/>
  <c r="A502" i="3"/>
  <c r="CY502" i="3"/>
  <c r="CZ502" i="3"/>
  <c r="DB502" i="3" s="1"/>
  <c r="DA502" i="3"/>
  <c r="DC502" i="3"/>
  <c r="A503" i="3"/>
  <c r="CY503" i="3"/>
  <c r="CZ503" i="3"/>
  <c r="DB503" i="3" s="1"/>
  <c r="DA503" i="3"/>
  <c r="DC503" i="3"/>
  <c r="A504" i="3"/>
  <c r="CX504" i="3"/>
  <c r="CY504" i="3"/>
  <c r="CZ504" i="3"/>
  <c r="DA504" i="3"/>
  <c r="DB504" i="3"/>
  <c r="DC504" i="3"/>
  <c r="A505" i="3"/>
  <c r="CX505" i="3"/>
  <c r="CY505" i="3"/>
  <c r="CZ505" i="3"/>
  <c r="DA505" i="3"/>
  <c r="DB505" i="3"/>
  <c r="DC505" i="3"/>
  <c r="A506" i="3"/>
  <c r="CY506" i="3"/>
  <c r="CZ506" i="3"/>
  <c r="DB506" i="3" s="1"/>
  <c r="DA506" i="3"/>
  <c r="DC506" i="3"/>
  <c r="A507" i="3"/>
  <c r="CY507" i="3"/>
  <c r="CZ507" i="3"/>
  <c r="DB507" i="3" s="1"/>
  <c r="DA507" i="3"/>
  <c r="DC507" i="3"/>
  <c r="A508" i="3"/>
  <c r="CY508" i="3"/>
  <c r="CZ508" i="3"/>
  <c r="DA508" i="3"/>
  <c r="DB508" i="3"/>
  <c r="DC508" i="3"/>
  <c r="A509" i="3"/>
  <c r="CY509" i="3"/>
  <c r="CZ509" i="3"/>
  <c r="DA509" i="3"/>
  <c r="DB509" i="3"/>
  <c r="DC509" i="3"/>
  <c r="A510" i="3"/>
  <c r="CY510" i="3"/>
  <c r="CZ510" i="3"/>
  <c r="DB510" i="3" s="1"/>
  <c r="DA510" i="3"/>
  <c r="DC510" i="3"/>
  <c r="A511" i="3"/>
  <c r="CY511" i="3"/>
  <c r="CZ511" i="3"/>
  <c r="DB511" i="3" s="1"/>
  <c r="DA511" i="3"/>
  <c r="DC511" i="3"/>
  <c r="A512" i="3"/>
  <c r="CY512" i="3"/>
  <c r="CZ512" i="3"/>
  <c r="DA512" i="3"/>
  <c r="DB512" i="3"/>
  <c r="DC512" i="3"/>
  <c r="A513" i="3"/>
  <c r="CY513" i="3"/>
  <c r="CZ513" i="3"/>
  <c r="DA513" i="3"/>
  <c r="DB513" i="3"/>
  <c r="DC513" i="3"/>
  <c r="A514" i="3"/>
  <c r="CX514" i="3"/>
  <c r="CY514" i="3"/>
  <c r="CZ514" i="3"/>
  <c r="DB514" i="3" s="1"/>
  <c r="DA514" i="3"/>
  <c r="DC514" i="3"/>
  <c r="A515" i="3"/>
  <c r="CX515" i="3"/>
  <c r="CY515" i="3"/>
  <c r="CZ515" i="3"/>
  <c r="DB515" i="3" s="1"/>
  <c r="DA515" i="3"/>
  <c r="DC515" i="3"/>
  <c r="A516" i="3"/>
  <c r="CX516" i="3"/>
  <c r="CY516" i="3"/>
  <c r="CZ516" i="3"/>
  <c r="DA516" i="3"/>
  <c r="DB516" i="3"/>
  <c r="DC516" i="3"/>
  <c r="A517" i="3"/>
  <c r="CX517" i="3"/>
  <c r="CY517" i="3"/>
  <c r="CZ517" i="3"/>
  <c r="DA517" i="3"/>
  <c r="DB517" i="3"/>
  <c r="DC517" i="3"/>
  <c r="A518" i="3"/>
  <c r="CY518" i="3"/>
  <c r="CZ518" i="3"/>
  <c r="DB518" i="3" s="1"/>
  <c r="DA518" i="3"/>
  <c r="DC518" i="3"/>
  <c r="A519" i="3"/>
  <c r="CY519" i="3"/>
  <c r="CZ519" i="3"/>
  <c r="DB519" i="3" s="1"/>
  <c r="DA519" i="3"/>
  <c r="DC519" i="3"/>
  <c r="A520" i="3"/>
  <c r="CY520" i="3"/>
  <c r="CZ520" i="3"/>
  <c r="DA520" i="3"/>
  <c r="DB520" i="3"/>
  <c r="DC520" i="3"/>
  <c r="A521" i="3"/>
  <c r="CY521" i="3"/>
  <c r="CZ521" i="3"/>
  <c r="DA521" i="3"/>
  <c r="DB521" i="3"/>
  <c r="DC521" i="3"/>
  <c r="A522" i="3"/>
  <c r="CY522" i="3"/>
  <c r="CZ522" i="3"/>
  <c r="DB522" i="3" s="1"/>
  <c r="DA522" i="3"/>
  <c r="DC522" i="3"/>
  <c r="A523" i="3"/>
  <c r="CY523" i="3"/>
  <c r="CZ523" i="3"/>
  <c r="DB523" i="3" s="1"/>
  <c r="DA523" i="3"/>
  <c r="DC523" i="3"/>
  <c r="A524" i="3"/>
  <c r="CX524" i="3"/>
  <c r="CY524" i="3"/>
  <c r="CZ524" i="3"/>
  <c r="DA524" i="3"/>
  <c r="DB524" i="3"/>
  <c r="DC524" i="3"/>
  <c r="A525" i="3"/>
  <c r="CX525" i="3"/>
  <c r="CY525" i="3"/>
  <c r="CZ525" i="3"/>
  <c r="DA525" i="3"/>
  <c r="DB525" i="3"/>
  <c r="DC525" i="3"/>
  <c r="A526" i="3"/>
  <c r="CX526" i="3"/>
  <c r="CY526" i="3"/>
  <c r="CZ526" i="3"/>
  <c r="DB526" i="3" s="1"/>
  <c r="DA526" i="3"/>
  <c r="DC526" i="3"/>
  <c r="A527" i="3"/>
  <c r="CX527" i="3"/>
  <c r="CY527" i="3"/>
  <c r="CZ527" i="3"/>
  <c r="DB527" i="3" s="1"/>
  <c r="DA527" i="3"/>
  <c r="DC527" i="3"/>
  <c r="A528" i="3"/>
  <c r="CX528" i="3"/>
  <c r="CY528" i="3"/>
  <c r="CZ528" i="3"/>
  <c r="DA528" i="3"/>
  <c r="DB528" i="3"/>
  <c r="DC528" i="3"/>
  <c r="A529" i="3"/>
  <c r="CX529" i="3"/>
  <c r="CY529" i="3"/>
  <c r="CZ529" i="3"/>
  <c r="DA529" i="3"/>
  <c r="DB529" i="3"/>
  <c r="DC529" i="3"/>
  <c r="A530" i="3"/>
  <c r="CX530" i="3"/>
  <c r="CY530" i="3"/>
  <c r="CZ530" i="3"/>
  <c r="DB530" i="3" s="1"/>
  <c r="DA530" i="3"/>
  <c r="DC530" i="3"/>
  <c r="A531" i="3"/>
  <c r="CX531" i="3"/>
  <c r="CY531" i="3"/>
  <c r="CZ531" i="3"/>
  <c r="DB531" i="3" s="1"/>
  <c r="DA531" i="3"/>
  <c r="DC531" i="3"/>
  <c r="A532" i="3"/>
  <c r="CX532" i="3"/>
  <c r="CY532" i="3"/>
  <c r="CZ532" i="3"/>
  <c r="DA532" i="3"/>
  <c r="DB532" i="3"/>
  <c r="DC532" i="3"/>
  <c r="A533" i="3"/>
  <c r="CX533" i="3"/>
  <c r="CY533" i="3"/>
  <c r="CZ533" i="3"/>
  <c r="DA533" i="3"/>
  <c r="DB533" i="3"/>
  <c r="DC533" i="3"/>
  <c r="A534" i="3"/>
  <c r="CX534" i="3"/>
  <c r="CY534" i="3"/>
  <c r="CZ534" i="3"/>
  <c r="DB534" i="3" s="1"/>
  <c r="DA534" i="3"/>
  <c r="DC534" i="3"/>
  <c r="A535" i="3"/>
  <c r="CX535" i="3"/>
  <c r="CY535" i="3"/>
  <c r="CZ535" i="3"/>
  <c r="DB535" i="3" s="1"/>
  <c r="DA535" i="3"/>
  <c r="DC535" i="3"/>
  <c r="A536" i="3"/>
  <c r="CX536" i="3"/>
  <c r="CY536" i="3"/>
  <c r="CZ536" i="3"/>
  <c r="DA536" i="3"/>
  <c r="DB536" i="3"/>
  <c r="DC536" i="3"/>
  <c r="A537" i="3"/>
  <c r="CX537" i="3"/>
  <c r="CY537" i="3"/>
  <c r="CZ537" i="3"/>
  <c r="DA537" i="3"/>
  <c r="DB537" i="3"/>
  <c r="DC537" i="3"/>
  <c r="A538" i="3"/>
  <c r="CX538" i="3"/>
  <c r="CY538" i="3"/>
  <c r="CZ538" i="3"/>
  <c r="DB538" i="3" s="1"/>
  <c r="DA538" i="3"/>
  <c r="DC538" i="3"/>
  <c r="A539" i="3"/>
  <c r="CX539" i="3"/>
  <c r="CY539" i="3"/>
  <c r="CZ539" i="3"/>
  <c r="DB539" i="3" s="1"/>
  <c r="DA539" i="3"/>
  <c r="DC539" i="3"/>
  <c r="A540" i="3"/>
  <c r="CX540" i="3"/>
  <c r="CY540" i="3"/>
  <c r="CZ540" i="3"/>
  <c r="DA540" i="3"/>
  <c r="DB540" i="3"/>
  <c r="DC540" i="3"/>
  <c r="A541" i="3"/>
  <c r="CX541" i="3"/>
  <c r="CY541" i="3"/>
  <c r="CZ541" i="3"/>
  <c r="DA541" i="3"/>
  <c r="DB541" i="3"/>
  <c r="DC541" i="3"/>
  <c r="A542" i="3"/>
  <c r="CX542" i="3"/>
  <c r="CY542" i="3"/>
  <c r="CZ542" i="3"/>
  <c r="DB542" i="3" s="1"/>
  <c r="DA542" i="3"/>
  <c r="DC542" i="3"/>
  <c r="A543" i="3"/>
  <c r="CX543" i="3"/>
  <c r="CY543" i="3"/>
  <c r="CZ543" i="3"/>
  <c r="DB543" i="3" s="1"/>
  <c r="DA543" i="3"/>
  <c r="DC543" i="3"/>
  <c r="A544" i="3"/>
  <c r="CX544" i="3"/>
  <c r="CY544" i="3"/>
  <c r="CZ544" i="3"/>
  <c r="DA544" i="3"/>
  <c r="DB544" i="3"/>
  <c r="DC544" i="3"/>
  <c r="A545" i="3"/>
  <c r="CX545" i="3"/>
  <c r="CY545" i="3"/>
  <c r="CZ545" i="3"/>
  <c r="DA545" i="3"/>
  <c r="DB545" i="3"/>
  <c r="DC545" i="3"/>
  <c r="A546" i="3"/>
  <c r="CX546" i="3"/>
  <c r="CY546" i="3"/>
  <c r="CZ546" i="3"/>
  <c r="DB546" i="3" s="1"/>
  <c r="DA546" i="3"/>
  <c r="DC546" i="3"/>
  <c r="A547" i="3"/>
  <c r="CX547" i="3"/>
  <c r="CY547" i="3"/>
  <c r="CZ547" i="3"/>
  <c r="DB547" i="3" s="1"/>
  <c r="DA547" i="3"/>
  <c r="DC547" i="3"/>
  <c r="A548" i="3"/>
  <c r="CX548" i="3"/>
  <c r="CY548" i="3"/>
  <c r="CZ548" i="3"/>
  <c r="DA548" i="3"/>
  <c r="DB548" i="3"/>
  <c r="DC548" i="3"/>
  <c r="A549" i="3"/>
  <c r="CX549" i="3"/>
  <c r="CY549" i="3"/>
  <c r="CZ549" i="3"/>
  <c r="DA549" i="3"/>
  <c r="DB549" i="3"/>
  <c r="DC549" i="3"/>
  <c r="A550" i="3"/>
  <c r="CX550" i="3"/>
  <c r="CY550" i="3"/>
  <c r="CZ550" i="3"/>
  <c r="DB550" i="3" s="1"/>
  <c r="DA550" i="3"/>
  <c r="DC550" i="3"/>
  <c r="A551" i="3"/>
  <c r="CX551" i="3"/>
  <c r="CY551" i="3"/>
  <c r="CZ551" i="3"/>
  <c r="DB551" i="3" s="1"/>
  <c r="DA551" i="3"/>
  <c r="DC551" i="3"/>
  <c r="A552" i="3"/>
  <c r="CX552" i="3"/>
  <c r="CY552" i="3"/>
  <c r="CZ552" i="3"/>
  <c r="DA552" i="3"/>
  <c r="DB552" i="3"/>
  <c r="DC552" i="3"/>
  <c r="A553" i="3"/>
  <c r="CX553" i="3"/>
  <c r="CY553" i="3"/>
  <c r="CZ553" i="3"/>
  <c r="DA553" i="3"/>
  <c r="DB553" i="3"/>
  <c r="DC553" i="3"/>
  <c r="A554" i="3"/>
  <c r="CX554" i="3"/>
  <c r="CY554" i="3"/>
  <c r="CZ554" i="3"/>
  <c r="DB554" i="3" s="1"/>
  <c r="DA554" i="3"/>
  <c r="DC554" i="3"/>
  <c r="A555" i="3"/>
  <c r="CX555" i="3"/>
  <c r="CY555" i="3"/>
  <c r="CZ555" i="3"/>
  <c r="DB555" i="3" s="1"/>
  <c r="DA555" i="3"/>
  <c r="DC555" i="3"/>
  <c r="A556" i="3"/>
  <c r="CX556" i="3"/>
  <c r="CY556" i="3"/>
  <c r="CZ556" i="3"/>
  <c r="DA556" i="3"/>
  <c r="DB556" i="3"/>
  <c r="DC556" i="3"/>
  <c r="A557" i="3"/>
  <c r="CX557" i="3"/>
  <c r="CY557" i="3"/>
  <c r="CZ557" i="3"/>
  <c r="DA557" i="3"/>
  <c r="DB557" i="3"/>
  <c r="DC557" i="3"/>
  <c r="A558" i="3"/>
  <c r="CX558" i="3"/>
  <c r="CY558" i="3"/>
  <c r="CZ558" i="3"/>
  <c r="DB558" i="3" s="1"/>
  <c r="DA558" i="3"/>
  <c r="DC558" i="3"/>
  <c r="A559" i="3"/>
  <c r="CX559" i="3"/>
  <c r="CY559" i="3"/>
  <c r="CZ559" i="3"/>
  <c r="DB559" i="3" s="1"/>
  <c r="DA559" i="3"/>
  <c r="DC559" i="3"/>
  <c r="A560" i="3"/>
  <c r="CX560" i="3"/>
  <c r="CY560" i="3"/>
  <c r="CZ560" i="3"/>
  <c r="DA560" i="3"/>
  <c r="DB560" i="3"/>
  <c r="DC560" i="3"/>
  <c r="A561" i="3"/>
  <c r="CX561" i="3"/>
  <c r="CY561" i="3"/>
  <c r="CZ561" i="3"/>
  <c r="DA561" i="3"/>
  <c r="DB561" i="3"/>
  <c r="DC561" i="3"/>
  <c r="D12" i="1"/>
  <c r="E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GS18" i="1"/>
  <c r="GT18" i="1"/>
  <c r="GU18" i="1"/>
  <c r="GV18" i="1"/>
  <c r="GW18" i="1"/>
  <c r="GX18" i="1"/>
  <c r="D20" i="1"/>
  <c r="E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FP22" i="1"/>
  <c r="FQ22" i="1"/>
  <c r="FR22" i="1"/>
  <c r="FS22" i="1"/>
  <c r="FT22" i="1"/>
  <c r="FU22" i="1"/>
  <c r="FV22" i="1"/>
  <c r="FW22" i="1"/>
  <c r="FX22" i="1"/>
  <c r="FY22" i="1"/>
  <c r="FZ22" i="1"/>
  <c r="GA22" i="1"/>
  <c r="GB22" i="1"/>
  <c r="GC22" i="1"/>
  <c r="GD22" i="1"/>
  <c r="GE22" i="1"/>
  <c r="GF22" i="1"/>
  <c r="GG22" i="1"/>
  <c r="GH22" i="1"/>
  <c r="GI22" i="1"/>
  <c r="GJ22" i="1"/>
  <c r="GK22" i="1"/>
  <c r="GL22" i="1"/>
  <c r="GM22" i="1"/>
  <c r="GN22" i="1"/>
  <c r="GO22" i="1"/>
  <c r="GP22" i="1"/>
  <c r="GQ22" i="1"/>
  <c r="GR22" i="1"/>
  <c r="GS22" i="1"/>
  <c r="GT22" i="1"/>
  <c r="GU22" i="1"/>
  <c r="GV22" i="1"/>
  <c r="GW22" i="1"/>
  <c r="GX22" i="1"/>
  <c r="D24" i="1"/>
  <c r="E26" i="1"/>
  <c r="Z26" i="1"/>
  <c r="AA26" i="1"/>
  <c r="AM26" i="1"/>
  <c r="AN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FN26" i="1"/>
  <c r="FO26" i="1"/>
  <c r="FP26" i="1"/>
  <c r="FQ26" i="1"/>
  <c r="FR26" i="1"/>
  <c r="FS26" i="1"/>
  <c r="FT26" i="1"/>
  <c r="FU26" i="1"/>
  <c r="FV26" i="1"/>
  <c r="FW26" i="1"/>
  <c r="FX26" i="1"/>
  <c r="FY26" i="1"/>
  <c r="FZ26" i="1"/>
  <c r="GA26" i="1"/>
  <c r="GB26" i="1"/>
  <c r="GC26" i="1"/>
  <c r="GD26" i="1"/>
  <c r="GE26" i="1"/>
  <c r="GF26" i="1"/>
  <c r="GG26" i="1"/>
  <c r="GH26" i="1"/>
  <c r="GI26" i="1"/>
  <c r="GJ26" i="1"/>
  <c r="GK26" i="1"/>
  <c r="GL26" i="1"/>
  <c r="GM26" i="1"/>
  <c r="GN26" i="1"/>
  <c r="GO26" i="1"/>
  <c r="GP26" i="1"/>
  <c r="GQ26" i="1"/>
  <c r="GR26" i="1"/>
  <c r="GS26" i="1"/>
  <c r="GT26" i="1"/>
  <c r="GU26" i="1"/>
  <c r="GV26" i="1"/>
  <c r="GW26" i="1"/>
  <c r="GX26" i="1"/>
  <c r="C28" i="1"/>
  <c r="D28" i="1"/>
  <c r="I28" i="1"/>
  <c r="CX1" i="3" s="1"/>
  <c r="K28" i="1"/>
  <c r="P28" i="1"/>
  <c r="AC28" i="1"/>
  <c r="AD28" i="1"/>
  <c r="AB28" i="1" s="1"/>
  <c r="AE28" i="1"/>
  <c r="Q28" i="1" s="1"/>
  <c r="AF28" i="1"/>
  <c r="S28" i="1" s="1"/>
  <c r="AG28" i="1"/>
  <c r="AH28" i="1"/>
  <c r="CV28" i="1" s="1"/>
  <c r="U28" i="1" s="1"/>
  <c r="AI28" i="1"/>
  <c r="CW28" i="1" s="1"/>
  <c r="V28" i="1" s="1"/>
  <c r="AJ28" i="1"/>
  <c r="CX28" i="1" s="1"/>
  <c r="W28" i="1" s="1"/>
  <c r="CQ28" i="1"/>
  <c r="CR28" i="1"/>
  <c r="CU28" i="1"/>
  <c r="T28" i="1" s="1"/>
  <c r="FR28" i="1"/>
  <c r="GL28" i="1"/>
  <c r="GO28" i="1"/>
  <c r="GP28" i="1"/>
  <c r="GV28" i="1"/>
  <c r="GX28" i="1"/>
  <c r="HC28" i="1"/>
  <c r="C29" i="1"/>
  <c r="D29" i="1"/>
  <c r="I29" i="1"/>
  <c r="K29" i="1"/>
  <c r="S29" i="1"/>
  <c r="AC29" i="1"/>
  <c r="AE29" i="1"/>
  <c r="AD29" i="1" s="1"/>
  <c r="AF29" i="1"/>
  <c r="AG29" i="1"/>
  <c r="CU29" i="1" s="1"/>
  <c r="T29" i="1" s="1"/>
  <c r="AH29" i="1"/>
  <c r="AI29" i="1"/>
  <c r="CW29" i="1" s="1"/>
  <c r="V29" i="1" s="1"/>
  <c r="AJ29" i="1"/>
  <c r="CR29" i="1"/>
  <c r="CT29" i="1"/>
  <c r="CV29" i="1"/>
  <c r="U29" i="1" s="1"/>
  <c r="CX29" i="1"/>
  <c r="W29" i="1" s="1"/>
  <c r="FR29" i="1"/>
  <c r="GL29" i="1"/>
  <c r="GO29" i="1"/>
  <c r="GP29" i="1"/>
  <c r="GV29" i="1"/>
  <c r="HC29" i="1"/>
  <c r="GX29" i="1" s="1"/>
  <c r="C30" i="1"/>
  <c r="D30" i="1"/>
  <c r="I30" i="1"/>
  <c r="K30" i="1"/>
  <c r="P30" i="1"/>
  <c r="R30" i="1"/>
  <c r="GK30" i="1" s="1"/>
  <c r="V30" i="1"/>
  <c r="AC30" i="1"/>
  <c r="AD30" i="1"/>
  <c r="AE30" i="1"/>
  <c r="Q30" i="1" s="1"/>
  <c r="AF30" i="1"/>
  <c r="AG30" i="1"/>
  <c r="AH30" i="1"/>
  <c r="CV30" i="1" s="1"/>
  <c r="U30" i="1" s="1"/>
  <c r="AI30" i="1"/>
  <c r="AJ30" i="1"/>
  <c r="CX30" i="1" s="1"/>
  <c r="W30" i="1" s="1"/>
  <c r="CQ30" i="1"/>
  <c r="CR30" i="1"/>
  <c r="CS30" i="1"/>
  <c r="CU30" i="1"/>
  <c r="T30" i="1" s="1"/>
  <c r="CW30" i="1"/>
  <c r="FR30" i="1"/>
  <c r="GL30" i="1"/>
  <c r="GO30" i="1"/>
  <c r="GP30" i="1"/>
  <c r="GV30" i="1"/>
  <c r="HC30" i="1" s="1"/>
  <c r="GX30" i="1"/>
  <c r="C31" i="1"/>
  <c r="D31" i="1"/>
  <c r="I31" i="1"/>
  <c r="CX12" i="3" s="1"/>
  <c r="K31" i="1"/>
  <c r="Q31" i="1"/>
  <c r="S31" i="1"/>
  <c r="CY31" i="1" s="1"/>
  <c r="X31" i="1" s="1"/>
  <c r="W31" i="1"/>
  <c r="Y31" i="1"/>
  <c r="AC31" i="1"/>
  <c r="AE31" i="1"/>
  <c r="AF31" i="1"/>
  <c r="AG31" i="1"/>
  <c r="CU31" i="1" s="1"/>
  <c r="T31" i="1" s="1"/>
  <c r="AH31" i="1"/>
  <c r="AI31" i="1"/>
  <c r="CW31" i="1" s="1"/>
  <c r="V31" i="1" s="1"/>
  <c r="AJ31" i="1"/>
  <c r="CT31" i="1"/>
  <c r="CV31" i="1"/>
  <c r="U31" i="1" s="1"/>
  <c r="CX31" i="1"/>
  <c r="CZ31" i="1"/>
  <c r="FR31" i="1"/>
  <c r="GL31" i="1"/>
  <c r="GO31" i="1"/>
  <c r="GP31" i="1"/>
  <c r="GV31" i="1"/>
  <c r="HC31" i="1" s="1"/>
  <c r="GX31" i="1" s="1"/>
  <c r="C32" i="1"/>
  <c r="D32" i="1"/>
  <c r="I32" i="1"/>
  <c r="CX13" i="3" s="1"/>
  <c r="K32" i="1"/>
  <c r="P32" i="1"/>
  <c r="AC32" i="1"/>
  <c r="AB32" i="1" s="1"/>
  <c r="AD32" i="1"/>
  <c r="AE32" i="1"/>
  <c r="Q32" i="1" s="1"/>
  <c r="AF32" i="1"/>
  <c r="AG32" i="1"/>
  <c r="AH32" i="1"/>
  <c r="CV32" i="1" s="1"/>
  <c r="U32" i="1" s="1"/>
  <c r="AI32" i="1"/>
  <c r="CW32" i="1" s="1"/>
  <c r="V32" i="1" s="1"/>
  <c r="AJ32" i="1"/>
  <c r="CQ32" i="1"/>
  <c r="CR32" i="1"/>
  <c r="CT32" i="1"/>
  <c r="CU32" i="1"/>
  <c r="T32" i="1" s="1"/>
  <c r="CX32" i="1"/>
  <c r="W32" i="1" s="1"/>
  <c r="FR32" i="1"/>
  <c r="GL32" i="1"/>
  <c r="GO32" i="1"/>
  <c r="GP32" i="1"/>
  <c r="GV32" i="1"/>
  <c r="HC32" i="1" s="1"/>
  <c r="GX32" i="1" s="1"/>
  <c r="C33" i="1"/>
  <c r="D33" i="1"/>
  <c r="I33" i="1"/>
  <c r="CX14" i="3" s="1"/>
  <c r="K33" i="1"/>
  <c r="R33" i="1"/>
  <c r="S33" i="1"/>
  <c r="CY33" i="1" s="1"/>
  <c r="X33" i="1" s="1"/>
  <c r="AC33" i="1"/>
  <c r="P33" i="1" s="1"/>
  <c r="AD33" i="1"/>
  <c r="AE33" i="1"/>
  <c r="Q33" i="1" s="1"/>
  <c r="AF33" i="1"/>
  <c r="AG33" i="1"/>
  <c r="CU33" i="1" s="1"/>
  <c r="T33" i="1" s="1"/>
  <c r="AH33" i="1"/>
  <c r="CV33" i="1" s="1"/>
  <c r="U33" i="1" s="1"/>
  <c r="AI33" i="1"/>
  <c r="AJ33" i="1"/>
  <c r="CR33" i="1"/>
  <c r="CS33" i="1"/>
  <c r="CT33" i="1"/>
  <c r="CW33" i="1"/>
  <c r="V33" i="1" s="1"/>
  <c r="CX33" i="1"/>
  <c r="W33" i="1" s="1"/>
  <c r="FR33" i="1"/>
  <c r="GK33" i="1"/>
  <c r="GL33" i="1"/>
  <c r="GO33" i="1"/>
  <c r="GP33" i="1"/>
  <c r="GV33" i="1"/>
  <c r="HC33" i="1"/>
  <c r="GX33" i="1" s="1"/>
  <c r="C34" i="1"/>
  <c r="D34" i="1"/>
  <c r="I34" i="1"/>
  <c r="K34" i="1"/>
  <c r="R34" i="1"/>
  <c r="GK34" i="1" s="1"/>
  <c r="AC34" i="1"/>
  <c r="P34" i="1" s="1"/>
  <c r="AE34" i="1"/>
  <c r="AD34" i="1" s="1"/>
  <c r="AB34" i="1" s="1"/>
  <c r="AF34" i="1"/>
  <c r="S34" i="1" s="1"/>
  <c r="AG34" i="1"/>
  <c r="CU34" i="1" s="1"/>
  <c r="T34" i="1" s="1"/>
  <c r="AH34" i="1"/>
  <c r="AI34" i="1"/>
  <c r="AJ34" i="1"/>
  <c r="CX34" i="1" s="1"/>
  <c r="W34" i="1" s="1"/>
  <c r="CR34" i="1"/>
  <c r="CS34" i="1"/>
  <c r="CV34" i="1"/>
  <c r="U34" i="1" s="1"/>
  <c r="CW34" i="1"/>
  <c r="V34" i="1" s="1"/>
  <c r="FR34" i="1"/>
  <c r="GL34" i="1"/>
  <c r="GO34" i="1"/>
  <c r="GP34" i="1"/>
  <c r="GV34" i="1"/>
  <c r="GX34" i="1"/>
  <c r="HC34" i="1"/>
  <c r="C35" i="1"/>
  <c r="D35" i="1"/>
  <c r="I35" i="1"/>
  <c r="P35" i="1" s="1"/>
  <c r="K35" i="1"/>
  <c r="AC35" i="1"/>
  <c r="AE35" i="1"/>
  <c r="Q35" i="1" s="1"/>
  <c r="AF35" i="1"/>
  <c r="S35" i="1" s="1"/>
  <c r="AG35" i="1"/>
  <c r="AH35" i="1"/>
  <c r="AI35" i="1"/>
  <c r="CW35" i="1" s="1"/>
  <c r="V35" i="1" s="1"/>
  <c r="AJ35" i="1"/>
  <c r="CX35" i="1" s="1"/>
  <c r="W35" i="1" s="1"/>
  <c r="CQ35" i="1"/>
  <c r="CR35" i="1"/>
  <c r="CU35" i="1"/>
  <c r="T35" i="1" s="1"/>
  <c r="CV35" i="1"/>
  <c r="U35" i="1" s="1"/>
  <c r="FR35" i="1"/>
  <c r="GL35" i="1"/>
  <c r="GO35" i="1"/>
  <c r="GP35" i="1"/>
  <c r="GV35" i="1"/>
  <c r="HC35" i="1" s="1"/>
  <c r="GX35" i="1" s="1"/>
  <c r="AC36" i="1"/>
  <c r="AD36" i="1"/>
  <c r="AE36" i="1"/>
  <c r="AF36" i="1"/>
  <c r="AG36" i="1"/>
  <c r="CU36" i="1" s="1"/>
  <c r="AH36" i="1"/>
  <c r="CV36" i="1" s="1"/>
  <c r="AI36" i="1"/>
  <c r="AJ36" i="1"/>
  <c r="CR36" i="1"/>
  <c r="CS36" i="1"/>
  <c r="CT36" i="1"/>
  <c r="CW36" i="1"/>
  <c r="CX36" i="1"/>
  <c r="FR36" i="1"/>
  <c r="GL36" i="1"/>
  <c r="GO36" i="1"/>
  <c r="GP36" i="1"/>
  <c r="GV36" i="1"/>
  <c r="HC36" i="1"/>
  <c r="C37" i="1"/>
  <c r="D37" i="1"/>
  <c r="I37" i="1"/>
  <c r="K37" i="1"/>
  <c r="R37" i="1"/>
  <c r="GK37" i="1" s="1"/>
  <c r="AC37" i="1"/>
  <c r="P37" i="1" s="1"/>
  <c r="AE37" i="1"/>
  <c r="AD37" i="1" s="1"/>
  <c r="AB37" i="1" s="1"/>
  <c r="AF37" i="1"/>
  <c r="S37" i="1" s="1"/>
  <c r="AG37" i="1"/>
  <c r="CU37" i="1" s="1"/>
  <c r="T37" i="1" s="1"/>
  <c r="AH37" i="1"/>
  <c r="AI37" i="1"/>
  <c r="AJ37" i="1"/>
  <c r="CX37" i="1" s="1"/>
  <c r="W37" i="1" s="1"/>
  <c r="CR37" i="1"/>
  <c r="CS37" i="1"/>
  <c r="CV37" i="1"/>
  <c r="U37" i="1" s="1"/>
  <c r="CW37" i="1"/>
  <c r="V37" i="1" s="1"/>
  <c r="FR37" i="1"/>
  <c r="GL37" i="1"/>
  <c r="GO37" i="1"/>
  <c r="GP37" i="1"/>
  <c r="GV37" i="1"/>
  <c r="HC37" i="1" s="1"/>
  <c r="GX37" i="1" s="1"/>
  <c r="AC38" i="1"/>
  <c r="AB38" i="1" s="1"/>
  <c r="AD38" i="1"/>
  <c r="AE38" i="1"/>
  <c r="AF38" i="1"/>
  <c r="AG38" i="1"/>
  <c r="AH38" i="1"/>
  <c r="CV38" i="1" s="1"/>
  <c r="AI38" i="1"/>
  <c r="CW38" i="1" s="1"/>
  <c r="AJ38" i="1"/>
  <c r="CQ38" i="1"/>
  <c r="CR38" i="1"/>
  <c r="CT38" i="1"/>
  <c r="CU38" i="1"/>
  <c r="CX38" i="1"/>
  <c r="FR38" i="1"/>
  <c r="GL38" i="1"/>
  <c r="GO38" i="1"/>
  <c r="GP38" i="1"/>
  <c r="GV38" i="1"/>
  <c r="HC38" i="1"/>
  <c r="C39" i="1"/>
  <c r="D39" i="1"/>
  <c r="I39" i="1"/>
  <c r="K39" i="1"/>
  <c r="R39" i="1"/>
  <c r="S39" i="1"/>
  <c r="CY39" i="1" s="1"/>
  <c r="X39" i="1" s="1"/>
  <c r="AC39" i="1"/>
  <c r="P39" i="1" s="1"/>
  <c r="AD39" i="1"/>
  <c r="AE39" i="1"/>
  <c r="Q39" i="1" s="1"/>
  <c r="AF39" i="1"/>
  <c r="AG39" i="1"/>
  <c r="CU39" i="1" s="1"/>
  <c r="T39" i="1" s="1"/>
  <c r="AH39" i="1"/>
  <c r="CV39" i="1" s="1"/>
  <c r="U39" i="1" s="1"/>
  <c r="AI39" i="1"/>
  <c r="AJ39" i="1"/>
  <c r="CR39" i="1"/>
  <c r="CS39" i="1"/>
  <c r="CT39" i="1"/>
  <c r="CW39" i="1"/>
  <c r="V39" i="1" s="1"/>
  <c r="CX39" i="1"/>
  <c r="W39" i="1" s="1"/>
  <c r="FR39" i="1"/>
  <c r="GK39" i="1"/>
  <c r="GL39" i="1"/>
  <c r="GO39" i="1"/>
  <c r="GP39" i="1"/>
  <c r="GV39" i="1"/>
  <c r="HC39" i="1"/>
  <c r="GX39" i="1" s="1"/>
  <c r="I40" i="1"/>
  <c r="P40" i="1"/>
  <c r="AC40" i="1"/>
  <c r="AE40" i="1"/>
  <c r="Q40" i="1" s="1"/>
  <c r="AF40" i="1"/>
  <c r="S40" i="1" s="1"/>
  <c r="AG40" i="1"/>
  <c r="AH40" i="1"/>
  <c r="AI40" i="1"/>
  <c r="CW40" i="1" s="1"/>
  <c r="V40" i="1" s="1"/>
  <c r="AJ40" i="1"/>
  <c r="CX40" i="1" s="1"/>
  <c r="W40" i="1" s="1"/>
  <c r="CQ40" i="1"/>
  <c r="CR40" i="1"/>
  <c r="CU40" i="1"/>
  <c r="T40" i="1" s="1"/>
  <c r="CV40" i="1"/>
  <c r="U40" i="1" s="1"/>
  <c r="FR40" i="1"/>
  <c r="GL40" i="1"/>
  <c r="GO40" i="1"/>
  <c r="GP40" i="1"/>
  <c r="GV40" i="1"/>
  <c r="HC40" i="1" s="1"/>
  <c r="GX40" i="1" s="1"/>
  <c r="I41" i="1"/>
  <c r="Q41" i="1" s="1"/>
  <c r="R41" i="1"/>
  <c r="S41" i="1"/>
  <c r="CY41" i="1" s="1"/>
  <c r="X41" i="1" s="1"/>
  <c r="AC41" i="1"/>
  <c r="P41" i="1" s="1"/>
  <c r="AD41" i="1"/>
  <c r="AE41" i="1"/>
  <c r="AF41" i="1"/>
  <c r="AG41" i="1"/>
  <c r="CU41" i="1" s="1"/>
  <c r="T41" i="1" s="1"/>
  <c r="AH41" i="1"/>
  <c r="CV41" i="1" s="1"/>
  <c r="U41" i="1" s="1"/>
  <c r="AI41" i="1"/>
  <c r="AJ41" i="1"/>
  <c r="CR41" i="1"/>
  <c r="CS41" i="1"/>
  <c r="CT41" i="1"/>
  <c r="CW41" i="1"/>
  <c r="V41" i="1" s="1"/>
  <c r="CX41" i="1"/>
  <c r="W41" i="1" s="1"/>
  <c r="FR41" i="1"/>
  <c r="GK41" i="1"/>
  <c r="GL41" i="1"/>
  <c r="GO41" i="1"/>
  <c r="GP41" i="1"/>
  <c r="GV41" i="1"/>
  <c r="HC41" i="1"/>
  <c r="GX41" i="1" s="1"/>
  <c r="C42" i="1"/>
  <c r="D42" i="1"/>
  <c r="I42" i="1"/>
  <c r="K42" i="1"/>
  <c r="R42" i="1"/>
  <c r="GK42" i="1" s="1"/>
  <c r="AC42" i="1"/>
  <c r="P42" i="1" s="1"/>
  <c r="AE42" i="1"/>
  <c r="AD42" i="1" s="1"/>
  <c r="AB42" i="1" s="1"/>
  <c r="AF42" i="1"/>
  <c r="S42" i="1" s="1"/>
  <c r="AG42" i="1"/>
  <c r="CU42" i="1" s="1"/>
  <c r="T42" i="1" s="1"/>
  <c r="AH42" i="1"/>
  <c r="AI42" i="1"/>
  <c r="AJ42" i="1"/>
  <c r="CX42" i="1" s="1"/>
  <c r="W42" i="1" s="1"/>
  <c r="CR42" i="1"/>
  <c r="CS42" i="1"/>
  <c r="CV42" i="1"/>
  <c r="U42" i="1" s="1"/>
  <c r="CW42" i="1"/>
  <c r="V42" i="1" s="1"/>
  <c r="FR42" i="1"/>
  <c r="GL42" i="1"/>
  <c r="GO42" i="1"/>
  <c r="GP42" i="1"/>
  <c r="GV42" i="1"/>
  <c r="HC42" i="1" s="1"/>
  <c r="GX42" i="1" s="1"/>
  <c r="AC43" i="1"/>
  <c r="AB43" i="1" s="1"/>
  <c r="AD43" i="1"/>
  <c r="AE43" i="1"/>
  <c r="AF43" i="1"/>
  <c r="AG43" i="1"/>
  <c r="AH43" i="1"/>
  <c r="CV43" i="1" s="1"/>
  <c r="AI43" i="1"/>
  <c r="AJ43" i="1"/>
  <c r="CQ43" i="1"/>
  <c r="CR43" i="1"/>
  <c r="CS43" i="1"/>
  <c r="CT43" i="1"/>
  <c r="CU43" i="1"/>
  <c r="CW43" i="1"/>
  <c r="CX43" i="1"/>
  <c r="FR43" i="1"/>
  <c r="GL43" i="1"/>
  <c r="GO43" i="1"/>
  <c r="GP43" i="1"/>
  <c r="GV43" i="1"/>
  <c r="HC43" i="1"/>
  <c r="C44" i="1"/>
  <c r="D44" i="1"/>
  <c r="I44" i="1"/>
  <c r="K44" i="1"/>
  <c r="R44" i="1"/>
  <c r="S44" i="1"/>
  <c r="CY44" i="1" s="1"/>
  <c r="X44" i="1" s="1"/>
  <c r="AC44" i="1"/>
  <c r="P44" i="1" s="1"/>
  <c r="AE44" i="1"/>
  <c r="AD44" i="1" s="1"/>
  <c r="AF44" i="1"/>
  <c r="AG44" i="1"/>
  <c r="CU44" i="1" s="1"/>
  <c r="T44" i="1" s="1"/>
  <c r="AH44" i="1"/>
  <c r="AI44" i="1"/>
  <c r="AJ44" i="1"/>
  <c r="CR44" i="1"/>
  <c r="CS44" i="1"/>
  <c r="CT44" i="1"/>
  <c r="CV44" i="1"/>
  <c r="U44" i="1" s="1"/>
  <c r="CW44" i="1"/>
  <c r="V44" i="1" s="1"/>
  <c r="CX44" i="1"/>
  <c r="W44" i="1" s="1"/>
  <c r="FR44" i="1"/>
  <c r="GK44" i="1"/>
  <c r="GL44" i="1"/>
  <c r="GO44" i="1"/>
  <c r="GP44" i="1"/>
  <c r="GV44" i="1"/>
  <c r="HC44" i="1"/>
  <c r="GX44" i="1" s="1"/>
  <c r="I45" i="1"/>
  <c r="P45" i="1"/>
  <c r="CP45" i="1" s="1"/>
  <c r="O45" i="1" s="1"/>
  <c r="S45" i="1"/>
  <c r="AC45" i="1"/>
  <c r="AE45" i="1"/>
  <c r="Q45" i="1" s="1"/>
  <c r="AF45" i="1"/>
  <c r="AG45" i="1"/>
  <c r="AH45" i="1"/>
  <c r="AI45" i="1"/>
  <c r="CW45" i="1" s="1"/>
  <c r="V45" i="1" s="1"/>
  <c r="AJ45" i="1"/>
  <c r="CQ45" i="1"/>
  <c r="CR45" i="1"/>
  <c r="CT45" i="1"/>
  <c r="CU45" i="1"/>
  <c r="T45" i="1" s="1"/>
  <c r="CV45" i="1"/>
  <c r="U45" i="1" s="1"/>
  <c r="CX45" i="1"/>
  <c r="W45" i="1" s="1"/>
  <c r="CY45" i="1"/>
  <c r="X45" i="1" s="1"/>
  <c r="CZ45" i="1"/>
  <c r="Y45" i="1" s="1"/>
  <c r="FR45" i="1"/>
  <c r="GL45" i="1"/>
  <c r="GO45" i="1"/>
  <c r="GP45" i="1"/>
  <c r="GV45" i="1"/>
  <c r="HC45" i="1" s="1"/>
  <c r="GX45" i="1" s="1"/>
  <c r="I46" i="1"/>
  <c r="Q46" i="1" s="1"/>
  <c r="R46" i="1"/>
  <c r="S46" i="1"/>
  <c r="CY46" i="1" s="1"/>
  <c r="X46" i="1" s="1"/>
  <c r="AC46" i="1"/>
  <c r="P46" i="1" s="1"/>
  <c r="AE46" i="1"/>
  <c r="AD46" i="1" s="1"/>
  <c r="AF46" i="1"/>
  <c r="AG46" i="1"/>
  <c r="CU46" i="1" s="1"/>
  <c r="T46" i="1" s="1"/>
  <c r="AH46" i="1"/>
  <c r="AI46" i="1"/>
  <c r="AJ46" i="1"/>
  <c r="CR46" i="1"/>
  <c r="CS46" i="1"/>
  <c r="CT46" i="1"/>
  <c r="CV46" i="1"/>
  <c r="U46" i="1" s="1"/>
  <c r="CW46" i="1"/>
  <c r="V46" i="1" s="1"/>
  <c r="CX46" i="1"/>
  <c r="W46" i="1" s="1"/>
  <c r="FR46" i="1"/>
  <c r="GK46" i="1"/>
  <c r="GL46" i="1"/>
  <c r="GO46" i="1"/>
  <c r="GP46" i="1"/>
  <c r="GV46" i="1"/>
  <c r="HC46" i="1"/>
  <c r="GX46" i="1" s="1"/>
  <c r="I47" i="1"/>
  <c r="P47" i="1"/>
  <c r="AC47" i="1"/>
  <c r="AE47" i="1"/>
  <c r="Q47" i="1" s="1"/>
  <c r="AF47" i="1"/>
  <c r="S47" i="1" s="1"/>
  <c r="AG47" i="1"/>
  <c r="AH47" i="1"/>
  <c r="AI47" i="1"/>
  <c r="CW47" i="1" s="1"/>
  <c r="V47" i="1" s="1"/>
  <c r="AJ47" i="1"/>
  <c r="CQ47" i="1"/>
  <c r="CR47" i="1"/>
  <c r="CT47" i="1"/>
  <c r="CU47" i="1"/>
  <c r="T47" i="1" s="1"/>
  <c r="CV47" i="1"/>
  <c r="U47" i="1" s="1"/>
  <c r="CX47" i="1"/>
  <c r="W47" i="1" s="1"/>
  <c r="FR47" i="1"/>
  <c r="GL47" i="1"/>
  <c r="GO47" i="1"/>
  <c r="GP47" i="1"/>
  <c r="GV47" i="1"/>
  <c r="HC47" i="1" s="1"/>
  <c r="GX47" i="1" s="1"/>
  <c r="I48" i="1"/>
  <c r="Q48" i="1" s="1"/>
  <c r="R48" i="1"/>
  <c r="S48" i="1"/>
  <c r="CY48" i="1" s="1"/>
  <c r="X48" i="1" s="1"/>
  <c r="AC48" i="1"/>
  <c r="P48" i="1" s="1"/>
  <c r="CP48" i="1" s="1"/>
  <c r="O48" i="1" s="1"/>
  <c r="AE48" i="1"/>
  <c r="AD48" i="1" s="1"/>
  <c r="AF48" i="1"/>
  <c r="AG48" i="1"/>
  <c r="CU48" i="1" s="1"/>
  <c r="T48" i="1" s="1"/>
  <c r="AH48" i="1"/>
  <c r="AI48" i="1"/>
  <c r="AJ48" i="1"/>
  <c r="CR48" i="1"/>
  <c r="CS48" i="1"/>
  <c r="CT48" i="1"/>
  <c r="CV48" i="1"/>
  <c r="U48" i="1" s="1"/>
  <c r="CW48" i="1"/>
  <c r="V48" i="1" s="1"/>
  <c r="CX48" i="1"/>
  <c r="W48" i="1" s="1"/>
  <c r="FR48" i="1"/>
  <c r="GK48" i="1"/>
  <c r="GL48" i="1"/>
  <c r="GO48" i="1"/>
  <c r="GP48" i="1"/>
  <c r="GV48" i="1"/>
  <c r="HC48" i="1"/>
  <c r="GX48" i="1" s="1"/>
  <c r="I49" i="1"/>
  <c r="P49" i="1"/>
  <c r="AC49" i="1"/>
  <c r="AE49" i="1"/>
  <c r="Q49" i="1" s="1"/>
  <c r="AF49" i="1"/>
  <c r="S49" i="1" s="1"/>
  <c r="AG49" i="1"/>
  <c r="AH49" i="1"/>
  <c r="AI49" i="1"/>
  <c r="CW49" i="1" s="1"/>
  <c r="V49" i="1" s="1"/>
  <c r="AJ49" i="1"/>
  <c r="CQ49" i="1"/>
  <c r="CR49" i="1"/>
  <c r="CT49" i="1"/>
  <c r="CU49" i="1"/>
  <c r="T49" i="1" s="1"/>
  <c r="CV49" i="1"/>
  <c r="U49" i="1" s="1"/>
  <c r="CX49" i="1"/>
  <c r="W49" i="1" s="1"/>
  <c r="FR49" i="1"/>
  <c r="GL49" i="1"/>
  <c r="GO49" i="1"/>
  <c r="GP49" i="1"/>
  <c r="GV49" i="1"/>
  <c r="HC49" i="1" s="1"/>
  <c r="GX49" i="1" s="1"/>
  <c r="I50" i="1"/>
  <c r="Q50" i="1" s="1"/>
  <c r="R50" i="1"/>
  <c r="S50" i="1"/>
  <c r="CY50" i="1" s="1"/>
  <c r="X50" i="1" s="1"/>
  <c r="AC50" i="1"/>
  <c r="P50" i="1" s="1"/>
  <c r="AE50" i="1"/>
  <c r="AD50" i="1" s="1"/>
  <c r="AF50" i="1"/>
  <c r="AG50" i="1"/>
  <c r="CU50" i="1" s="1"/>
  <c r="T50" i="1" s="1"/>
  <c r="AH50" i="1"/>
  <c r="AI50" i="1"/>
  <c r="AJ50" i="1"/>
  <c r="CR50" i="1"/>
  <c r="CS50" i="1"/>
  <c r="CT50" i="1"/>
  <c r="CV50" i="1"/>
  <c r="U50" i="1" s="1"/>
  <c r="CW50" i="1"/>
  <c r="V50" i="1" s="1"/>
  <c r="CX50" i="1"/>
  <c r="W50" i="1" s="1"/>
  <c r="FR50" i="1"/>
  <c r="GK50" i="1"/>
  <c r="GL50" i="1"/>
  <c r="GO50" i="1"/>
  <c r="GP50" i="1"/>
  <c r="GV50" i="1"/>
  <c r="HC50" i="1"/>
  <c r="GX50" i="1" s="1"/>
  <c r="C51" i="1"/>
  <c r="D51" i="1"/>
  <c r="I51" i="1"/>
  <c r="K51" i="1"/>
  <c r="R51" i="1"/>
  <c r="GK51" i="1" s="1"/>
  <c r="V51" i="1"/>
  <c r="AC51" i="1"/>
  <c r="P51" i="1" s="1"/>
  <c r="AE51" i="1"/>
  <c r="AD51" i="1" s="1"/>
  <c r="AB51" i="1" s="1"/>
  <c r="AF51" i="1"/>
  <c r="AG51" i="1"/>
  <c r="AH51" i="1"/>
  <c r="AI51" i="1"/>
  <c r="AJ51" i="1"/>
  <c r="CX51" i="1" s="1"/>
  <c r="W51" i="1" s="1"/>
  <c r="CQ51" i="1"/>
  <c r="CR51" i="1"/>
  <c r="CS51" i="1"/>
  <c r="CU51" i="1"/>
  <c r="T51" i="1" s="1"/>
  <c r="CV51" i="1"/>
  <c r="U51" i="1" s="1"/>
  <c r="CW51" i="1"/>
  <c r="FR51" i="1"/>
  <c r="GL51" i="1"/>
  <c r="GO51" i="1"/>
  <c r="GP51" i="1"/>
  <c r="GV51" i="1"/>
  <c r="HC51" i="1" s="1"/>
  <c r="GX51" i="1" s="1"/>
  <c r="I52" i="1"/>
  <c r="Q52" i="1" s="1"/>
  <c r="P52" i="1"/>
  <c r="S52" i="1"/>
  <c r="CZ52" i="1" s="1"/>
  <c r="Y52" i="1" s="1"/>
  <c r="AC52" i="1"/>
  <c r="AD52" i="1"/>
  <c r="AE52" i="1"/>
  <c r="R52" i="1" s="1"/>
  <c r="GK52" i="1" s="1"/>
  <c r="AF52" i="1"/>
  <c r="AG52" i="1"/>
  <c r="AH52" i="1"/>
  <c r="CV52" i="1" s="1"/>
  <c r="U52" i="1" s="1"/>
  <c r="AI52" i="1"/>
  <c r="AJ52" i="1"/>
  <c r="CQ52" i="1"/>
  <c r="CR52" i="1"/>
  <c r="CS52" i="1"/>
  <c r="CT52" i="1"/>
  <c r="CU52" i="1"/>
  <c r="T52" i="1" s="1"/>
  <c r="CW52" i="1"/>
  <c r="V52" i="1" s="1"/>
  <c r="CX52" i="1"/>
  <c r="W52" i="1" s="1"/>
  <c r="CY52" i="1"/>
  <c r="X52" i="1" s="1"/>
  <c r="FR52" i="1"/>
  <c r="GL52" i="1"/>
  <c r="GO52" i="1"/>
  <c r="GP52" i="1"/>
  <c r="GV52" i="1"/>
  <c r="HC52" i="1"/>
  <c r="GX52" i="1" s="1"/>
  <c r="C53" i="1"/>
  <c r="D53" i="1"/>
  <c r="P53" i="1"/>
  <c r="AC53" i="1"/>
  <c r="AE53" i="1"/>
  <c r="CR53" i="1" s="1"/>
  <c r="AF53" i="1"/>
  <c r="S53" i="1" s="1"/>
  <c r="CY53" i="1" s="1"/>
  <c r="X53" i="1" s="1"/>
  <c r="AG53" i="1"/>
  <c r="AH53" i="1"/>
  <c r="AI53" i="1"/>
  <c r="CW53" i="1" s="1"/>
  <c r="V53" i="1" s="1"/>
  <c r="AJ53" i="1"/>
  <c r="CQ53" i="1"/>
  <c r="CT53" i="1"/>
  <c r="CU53" i="1"/>
  <c r="T53" i="1" s="1"/>
  <c r="CV53" i="1"/>
  <c r="U53" i="1" s="1"/>
  <c r="CX53" i="1"/>
  <c r="W53" i="1" s="1"/>
  <c r="CZ53" i="1"/>
  <c r="Y53" i="1" s="1"/>
  <c r="FR53" i="1"/>
  <c r="GL53" i="1"/>
  <c r="GO53" i="1"/>
  <c r="GP53" i="1"/>
  <c r="GV53" i="1"/>
  <c r="HC53" i="1" s="1"/>
  <c r="GX53" i="1" s="1"/>
  <c r="I54" i="1"/>
  <c r="Q54" i="1" s="1"/>
  <c r="R54" i="1"/>
  <c r="S54" i="1"/>
  <c r="W54" i="1"/>
  <c r="AC54" i="1"/>
  <c r="AE54" i="1"/>
  <c r="AD54" i="1" s="1"/>
  <c r="AF54" i="1"/>
  <c r="AG54" i="1"/>
  <c r="CU54" i="1" s="1"/>
  <c r="T54" i="1" s="1"/>
  <c r="AH54" i="1"/>
  <c r="AI54" i="1"/>
  <c r="AJ54" i="1"/>
  <c r="CR54" i="1"/>
  <c r="CS54" i="1"/>
  <c r="CT54" i="1"/>
  <c r="CV54" i="1"/>
  <c r="U54" i="1" s="1"/>
  <c r="CW54" i="1"/>
  <c r="V54" i="1" s="1"/>
  <c r="CX54" i="1"/>
  <c r="FR54" i="1"/>
  <c r="GK54" i="1"/>
  <c r="GL54" i="1"/>
  <c r="GO54" i="1"/>
  <c r="GP54" i="1"/>
  <c r="GV54" i="1"/>
  <c r="GX54" i="1"/>
  <c r="HC54" i="1"/>
  <c r="I55" i="1"/>
  <c r="P55" i="1"/>
  <c r="Q55" i="1"/>
  <c r="AC55" i="1"/>
  <c r="AE55" i="1"/>
  <c r="AF55" i="1"/>
  <c r="S55" i="1" s="1"/>
  <c r="CY55" i="1" s="1"/>
  <c r="X55" i="1" s="1"/>
  <c r="AG55" i="1"/>
  <c r="AH55" i="1"/>
  <c r="CV55" i="1" s="1"/>
  <c r="U55" i="1" s="1"/>
  <c r="AI55" i="1"/>
  <c r="CW55" i="1" s="1"/>
  <c r="V55" i="1" s="1"/>
  <c r="AJ55" i="1"/>
  <c r="CQ55" i="1"/>
  <c r="CT55" i="1"/>
  <c r="CU55" i="1"/>
  <c r="T55" i="1" s="1"/>
  <c r="CX55" i="1"/>
  <c r="W55" i="1" s="1"/>
  <c r="CZ55" i="1"/>
  <c r="Y55" i="1" s="1"/>
  <c r="FR55" i="1"/>
  <c r="GL55" i="1"/>
  <c r="GO55" i="1"/>
  <c r="GP55" i="1"/>
  <c r="GV55" i="1"/>
  <c r="HC55" i="1" s="1"/>
  <c r="GX55" i="1" s="1"/>
  <c r="I56" i="1"/>
  <c r="W56" i="1"/>
  <c r="AC56" i="1"/>
  <c r="P56" i="1" s="1"/>
  <c r="AE56" i="1"/>
  <c r="AD56" i="1" s="1"/>
  <c r="AF56" i="1"/>
  <c r="AG56" i="1"/>
  <c r="AH56" i="1"/>
  <c r="AI56" i="1"/>
  <c r="CW56" i="1" s="1"/>
  <c r="V56" i="1" s="1"/>
  <c r="AJ56" i="1"/>
  <c r="CQ56" i="1"/>
  <c r="CR56" i="1"/>
  <c r="CT56" i="1"/>
  <c r="CU56" i="1"/>
  <c r="T56" i="1" s="1"/>
  <c r="CV56" i="1"/>
  <c r="U56" i="1" s="1"/>
  <c r="CX56" i="1"/>
  <c r="FR56" i="1"/>
  <c r="GL56" i="1"/>
  <c r="GO56" i="1"/>
  <c r="GP56" i="1"/>
  <c r="GV56" i="1"/>
  <c r="HC56" i="1" s="1"/>
  <c r="GX56" i="1" s="1"/>
  <c r="C57" i="1"/>
  <c r="D57" i="1"/>
  <c r="P57" i="1"/>
  <c r="R57" i="1"/>
  <c r="GK57" i="1" s="1"/>
  <c r="AC57" i="1"/>
  <c r="AE57" i="1"/>
  <c r="AD57" i="1" s="1"/>
  <c r="AB57" i="1" s="1"/>
  <c r="AF57" i="1"/>
  <c r="S57" i="1" s="1"/>
  <c r="AG57" i="1"/>
  <c r="AH57" i="1"/>
  <c r="AI57" i="1"/>
  <c r="AJ57" i="1"/>
  <c r="CX57" i="1" s="1"/>
  <c r="W57" i="1" s="1"/>
  <c r="CQ57" i="1"/>
  <c r="CR57" i="1"/>
  <c r="CS57" i="1"/>
  <c r="CU57" i="1"/>
  <c r="T57" i="1" s="1"/>
  <c r="CV57" i="1"/>
  <c r="U57" i="1" s="1"/>
  <c r="CW57" i="1"/>
  <c r="V57" i="1" s="1"/>
  <c r="FR57" i="1"/>
  <c r="GL57" i="1"/>
  <c r="GO57" i="1"/>
  <c r="GP57" i="1"/>
  <c r="GV57" i="1"/>
  <c r="HC57" i="1" s="1"/>
  <c r="GX57" i="1" s="1"/>
  <c r="C58" i="1"/>
  <c r="D58" i="1"/>
  <c r="R58" i="1"/>
  <c r="S58" i="1"/>
  <c r="CY58" i="1" s="1"/>
  <c r="X58" i="1" s="1"/>
  <c r="AC58" i="1"/>
  <c r="P58" i="1" s="1"/>
  <c r="AE58" i="1"/>
  <c r="AD58" i="1" s="1"/>
  <c r="AF58" i="1"/>
  <c r="AG58" i="1"/>
  <c r="CU58" i="1" s="1"/>
  <c r="T58" i="1" s="1"/>
  <c r="AH58" i="1"/>
  <c r="AI58" i="1"/>
  <c r="AJ58" i="1"/>
  <c r="CR58" i="1"/>
  <c r="CS58" i="1"/>
  <c r="CT58" i="1"/>
  <c r="CV58" i="1"/>
  <c r="U58" i="1" s="1"/>
  <c r="CW58" i="1"/>
  <c r="V58" i="1" s="1"/>
  <c r="CX58" i="1"/>
  <c r="W58" i="1" s="1"/>
  <c r="FR58" i="1"/>
  <c r="GK58" i="1"/>
  <c r="GL58" i="1"/>
  <c r="GN58" i="1"/>
  <c r="GO58" i="1"/>
  <c r="GV58" i="1"/>
  <c r="HC58" i="1"/>
  <c r="GX58" i="1" s="1"/>
  <c r="C59" i="1"/>
  <c r="D59" i="1"/>
  <c r="P59" i="1"/>
  <c r="R59" i="1"/>
  <c r="S59" i="1"/>
  <c r="CZ59" i="1" s="1"/>
  <c r="Y59" i="1" s="1"/>
  <c r="AC59" i="1"/>
  <c r="AB59" i="1" s="1"/>
  <c r="AD59" i="1"/>
  <c r="AE59" i="1"/>
  <c r="Q59" i="1" s="1"/>
  <c r="AF59" i="1"/>
  <c r="AG59" i="1"/>
  <c r="AH59" i="1"/>
  <c r="CV59" i="1" s="1"/>
  <c r="U59" i="1" s="1"/>
  <c r="AI59" i="1"/>
  <c r="AJ59" i="1"/>
  <c r="CQ59" i="1"/>
  <c r="CR59" i="1"/>
  <c r="CS59" i="1"/>
  <c r="CT59" i="1"/>
  <c r="CU59" i="1"/>
  <c r="T59" i="1" s="1"/>
  <c r="CW59" i="1"/>
  <c r="V59" i="1" s="1"/>
  <c r="CX59" i="1"/>
  <c r="W59" i="1" s="1"/>
  <c r="CY59" i="1"/>
  <c r="X59" i="1" s="1"/>
  <c r="FR59" i="1"/>
  <c r="GK59" i="1"/>
  <c r="GL59" i="1"/>
  <c r="GN59" i="1"/>
  <c r="GO59" i="1"/>
  <c r="GV59" i="1"/>
  <c r="HC59" i="1"/>
  <c r="GX59" i="1" s="1"/>
  <c r="C60" i="1"/>
  <c r="D60" i="1"/>
  <c r="I60" i="1"/>
  <c r="CX93" i="3" s="1"/>
  <c r="K60" i="1"/>
  <c r="R60" i="1"/>
  <c r="S60" i="1"/>
  <c r="CY60" i="1" s="1"/>
  <c r="X60" i="1" s="1"/>
  <c r="AC60" i="1"/>
  <c r="P60" i="1" s="1"/>
  <c r="AE60" i="1"/>
  <c r="AD60" i="1" s="1"/>
  <c r="AF60" i="1"/>
  <c r="AG60" i="1"/>
  <c r="CU60" i="1" s="1"/>
  <c r="T60" i="1" s="1"/>
  <c r="AH60" i="1"/>
  <c r="AI60" i="1"/>
  <c r="AJ60" i="1"/>
  <c r="CR60" i="1"/>
  <c r="CS60" i="1"/>
  <c r="CT60" i="1"/>
  <c r="CV60" i="1"/>
  <c r="U60" i="1" s="1"/>
  <c r="CW60" i="1"/>
  <c r="V60" i="1" s="1"/>
  <c r="CX60" i="1"/>
  <c r="W60" i="1" s="1"/>
  <c r="FR60" i="1"/>
  <c r="GK60" i="1"/>
  <c r="GL60" i="1"/>
  <c r="GO60" i="1"/>
  <c r="GP60" i="1"/>
  <c r="GV60" i="1"/>
  <c r="HC60" i="1"/>
  <c r="GX60" i="1" s="1"/>
  <c r="C61" i="1"/>
  <c r="D61" i="1"/>
  <c r="P61" i="1"/>
  <c r="CP61" i="1" s="1"/>
  <c r="O61" i="1" s="1"/>
  <c r="R61" i="1"/>
  <c r="S61" i="1"/>
  <c r="CZ61" i="1" s="1"/>
  <c r="Y61" i="1" s="1"/>
  <c r="AC61" i="1"/>
  <c r="AB61" i="1" s="1"/>
  <c r="AD61" i="1"/>
  <c r="AE61" i="1"/>
  <c r="Q61" i="1" s="1"/>
  <c r="AF61" i="1"/>
  <c r="AG61" i="1"/>
  <c r="AH61" i="1"/>
  <c r="CV61" i="1" s="1"/>
  <c r="U61" i="1" s="1"/>
  <c r="AI61" i="1"/>
  <c r="AJ61" i="1"/>
  <c r="CQ61" i="1"/>
  <c r="CR61" i="1"/>
  <c r="CS61" i="1"/>
  <c r="CT61" i="1"/>
  <c r="CU61" i="1"/>
  <c r="T61" i="1" s="1"/>
  <c r="CW61" i="1"/>
  <c r="V61" i="1" s="1"/>
  <c r="CX61" i="1"/>
  <c r="W61" i="1" s="1"/>
  <c r="CY61" i="1"/>
  <c r="X61" i="1" s="1"/>
  <c r="FR61" i="1"/>
  <c r="GK61" i="1"/>
  <c r="GL61" i="1"/>
  <c r="GN61" i="1"/>
  <c r="GO61" i="1"/>
  <c r="GV61" i="1"/>
  <c r="HC61" i="1"/>
  <c r="GX61" i="1" s="1"/>
  <c r="C62" i="1"/>
  <c r="D62" i="1"/>
  <c r="P62" i="1"/>
  <c r="CP62" i="1" s="1"/>
  <c r="O62" i="1" s="1"/>
  <c r="S62" i="1"/>
  <c r="AC62" i="1"/>
  <c r="AE62" i="1"/>
  <c r="Q62" i="1" s="1"/>
  <c r="AF62" i="1"/>
  <c r="AG62" i="1"/>
  <c r="AH62" i="1"/>
  <c r="AI62" i="1"/>
  <c r="CW62" i="1" s="1"/>
  <c r="V62" i="1" s="1"/>
  <c r="AJ62" i="1"/>
  <c r="CQ62" i="1"/>
  <c r="CR62" i="1"/>
  <c r="CT62" i="1"/>
  <c r="CU62" i="1"/>
  <c r="T62" i="1" s="1"/>
  <c r="CV62" i="1"/>
  <c r="U62" i="1" s="1"/>
  <c r="CX62" i="1"/>
  <c r="W62" i="1" s="1"/>
  <c r="CY62" i="1"/>
  <c r="X62" i="1" s="1"/>
  <c r="CZ62" i="1"/>
  <c r="Y62" i="1" s="1"/>
  <c r="FR62" i="1"/>
  <c r="GL62" i="1"/>
  <c r="GN62" i="1"/>
  <c r="GO62" i="1"/>
  <c r="GV62" i="1"/>
  <c r="HC62" i="1" s="1"/>
  <c r="GX62" i="1" s="1"/>
  <c r="B64" i="1"/>
  <c r="B26" i="1" s="1"/>
  <c r="C64" i="1"/>
  <c r="C26" i="1" s="1"/>
  <c r="D64" i="1"/>
  <c r="D26" i="1" s="1"/>
  <c r="F64" i="1"/>
  <c r="F26" i="1" s="1"/>
  <c r="G64" i="1"/>
  <c r="G26" i="1" s="1"/>
  <c r="BX64" i="1"/>
  <c r="BX26" i="1" s="1"/>
  <c r="BY64" i="1"/>
  <c r="BY26" i="1" s="1"/>
  <c r="BZ64" i="1"/>
  <c r="BZ26" i="1" s="1"/>
  <c r="CC64" i="1"/>
  <c r="CC26" i="1" s="1"/>
  <c r="CK64" i="1"/>
  <c r="CK26" i="1" s="1"/>
  <c r="CL64" i="1"/>
  <c r="CL26" i="1" s="1"/>
  <c r="CM64" i="1"/>
  <c r="CM26" i="1" s="1"/>
  <c r="D94" i="1"/>
  <c r="E96" i="1"/>
  <c r="Z96" i="1"/>
  <c r="AA96" i="1"/>
  <c r="AM96" i="1"/>
  <c r="AN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DN96" i="1"/>
  <c r="DO96" i="1"/>
  <c r="DP96" i="1"/>
  <c r="DQ96" i="1"/>
  <c r="DR96" i="1"/>
  <c r="DS96" i="1"/>
  <c r="DT96" i="1"/>
  <c r="DU96" i="1"/>
  <c r="DV96" i="1"/>
  <c r="DW96" i="1"/>
  <c r="DX96" i="1"/>
  <c r="DY96" i="1"/>
  <c r="DZ96" i="1"/>
  <c r="EA96" i="1"/>
  <c r="EB96" i="1"/>
  <c r="EC96" i="1"/>
  <c r="ED96" i="1"/>
  <c r="EE96" i="1"/>
  <c r="EF96" i="1"/>
  <c r="EG96" i="1"/>
  <c r="EH96" i="1"/>
  <c r="EI96" i="1"/>
  <c r="EJ96" i="1"/>
  <c r="EK96" i="1"/>
  <c r="EL96" i="1"/>
  <c r="EM96" i="1"/>
  <c r="EN96" i="1"/>
  <c r="EO96" i="1"/>
  <c r="EP96" i="1"/>
  <c r="EQ96" i="1"/>
  <c r="ER96" i="1"/>
  <c r="ES96" i="1"/>
  <c r="ET96" i="1"/>
  <c r="EU96" i="1"/>
  <c r="EV96" i="1"/>
  <c r="EW96" i="1"/>
  <c r="EX96" i="1"/>
  <c r="EY96" i="1"/>
  <c r="EZ96" i="1"/>
  <c r="FA96" i="1"/>
  <c r="FB96" i="1"/>
  <c r="FC96" i="1"/>
  <c r="FD96" i="1"/>
  <c r="FE96" i="1"/>
  <c r="FF96" i="1"/>
  <c r="FG96" i="1"/>
  <c r="FH96" i="1"/>
  <c r="FI96" i="1"/>
  <c r="FJ96" i="1"/>
  <c r="FK96" i="1"/>
  <c r="FL96" i="1"/>
  <c r="FM96" i="1"/>
  <c r="FN96" i="1"/>
  <c r="FO96" i="1"/>
  <c r="FP96" i="1"/>
  <c r="FQ96" i="1"/>
  <c r="FR96" i="1"/>
  <c r="FS96" i="1"/>
  <c r="FT96" i="1"/>
  <c r="FU96" i="1"/>
  <c r="FV96" i="1"/>
  <c r="FW96" i="1"/>
  <c r="FX96" i="1"/>
  <c r="FY96" i="1"/>
  <c r="FZ96" i="1"/>
  <c r="GA96" i="1"/>
  <c r="GB96" i="1"/>
  <c r="GC96" i="1"/>
  <c r="GD96" i="1"/>
  <c r="GE96" i="1"/>
  <c r="GF96" i="1"/>
  <c r="GG96" i="1"/>
  <c r="GH96" i="1"/>
  <c r="GI96" i="1"/>
  <c r="GJ96" i="1"/>
  <c r="GK96" i="1"/>
  <c r="GL96" i="1"/>
  <c r="GM96" i="1"/>
  <c r="GN96" i="1"/>
  <c r="GO96" i="1"/>
  <c r="GP96" i="1"/>
  <c r="GQ96" i="1"/>
  <c r="GR96" i="1"/>
  <c r="GS96" i="1"/>
  <c r="GT96" i="1"/>
  <c r="GU96" i="1"/>
  <c r="GV96" i="1"/>
  <c r="GW96" i="1"/>
  <c r="GX96" i="1"/>
  <c r="C98" i="1"/>
  <c r="D98" i="1"/>
  <c r="I98" i="1"/>
  <c r="CX96" i="3" s="1"/>
  <c r="K98" i="1"/>
  <c r="R98" i="1"/>
  <c r="S98" i="1"/>
  <c r="CY98" i="1" s="1"/>
  <c r="X98" i="1" s="1"/>
  <c r="AC98" i="1"/>
  <c r="P98" i="1" s="1"/>
  <c r="AE98" i="1"/>
  <c r="AD98" i="1" s="1"/>
  <c r="AF98" i="1"/>
  <c r="AG98" i="1"/>
  <c r="CU98" i="1" s="1"/>
  <c r="T98" i="1" s="1"/>
  <c r="AH98" i="1"/>
  <c r="AI98" i="1"/>
  <c r="AJ98" i="1"/>
  <c r="CR98" i="1"/>
  <c r="CS98" i="1"/>
  <c r="CT98" i="1"/>
  <c r="CV98" i="1"/>
  <c r="U98" i="1" s="1"/>
  <c r="CW98" i="1"/>
  <c r="V98" i="1" s="1"/>
  <c r="CX98" i="1"/>
  <c r="W98" i="1" s="1"/>
  <c r="FR98" i="1"/>
  <c r="GK98" i="1"/>
  <c r="GL98" i="1"/>
  <c r="GO98" i="1"/>
  <c r="GP98" i="1"/>
  <c r="GV98" i="1"/>
  <c r="HC98" i="1"/>
  <c r="GX98" i="1" s="1"/>
  <c r="C99" i="1"/>
  <c r="D99" i="1"/>
  <c r="I99" i="1"/>
  <c r="CX97" i="3" s="1"/>
  <c r="K99" i="1"/>
  <c r="R99" i="1"/>
  <c r="GK99" i="1" s="1"/>
  <c r="AC99" i="1"/>
  <c r="AE99" i="1"/>
  <c r="AD99" i="1" s="1"/>
  <c r="AB99" i="1" s="1"/>
  <c r="AF99" i="1"/>
  <c r="S99" i="1" s="1"/>
  <c r="AG99" i="1"/>
  <c r="AH99" i="1"/>
  <c r="AI99" i="1"/>
  <c r="AJ99" i="1"/>
  <c r="CX99" i="1" s="1"/>
  <c r="W99" i="1" s="1"/>
  <c r="CQ99" i="1"/>
  <c r="CR99" i="1"/>
  <c r="CS99" i="1"/>
  <c r="CU99" i="1"/>
  <c r="T99" i="1" s="1"/>
  <c r="CV99" i="1"/>
  <c r="U99" i="1" s="1"/>
  <c r="CW99" i="1"/>
  <c r="V99" i="1" s="1"/>
  <c r="FR99" i="1"/>
  <c r="GL99" i="1"/>
  <c r="GO99" i="1"/>
  <c r="GP99" i="1"/>
  <c r="GV99" i="1"/>
  <c r="HC99" i="1" s="1"/>
  <c r="GX99" i="1" s="1"/>
  <c r="C100" i="1"/>
  <c r="D100" i="1"/>
  <c r="I100" i="1"/>
  <c r="S100" i="1" s="1"/>
  <c r="K100" i="1"/>
  <c r="AC100" i="1"/>
  <c r="AE100" i="1"/>
  <c r="Q100" i="1" s="1"/>
  <c r="AF100" i="1"/>
  <c r="AG100" i="1"/>
  <c r="AH100" i="1"/>
  <c r="AI100" i="1"/>
  <c r="CW100" i="1" s="1"/>
  <c r="V100" i="1" s="1"/>
  <c r="AJ100" i="1"/>
  <c r="CQ100" i="1"/>
  <c r="CR100" i="1"/>
  <c r="CT100" i="1"/>
  <c r="CU100" i="1"/>
  <c r="T100" i="1" s="1"/>
  <c r="CV100" i="1"/>
  <c r="U100" i="1" s="1"/>
  <c r="CX100" i="1"/>
  <c r="W100" i="1" s="1"/>
  <c r="FR100" i="1"/>
  <c r="GL100" i="1"/>
  <c r="GO100" i="1"/>
  <c r="GP100" i="1"/>
  <c r="GV100" i="1"/>
  <c r="HC100" i="1" s="1"/>
  <c r="GX100" i="1" s="1"/>
  <c r="C101" i="1"/>
  <c r="D101" i="1"/>
  <c r="I101" i="1"/>
  <c r="K101" i="1"/>
  <c r="P101" i="1"/>
  <c r="CP101" i="1" s="1"/>
  <c r="O101" i="1" s="1"/>
  <c r="R101" i="1"/>
  <c r="S101" i="1"/>
  <c r="CZ101" i="1" s="1"/>
  <c r="Y101" i="1" s="1"/>
  <c r="AC101" i="1"/>
  <c r="AB101" i="1" s="1"/>
  <c r="AD101" i="1"/>
  <c r="AE101" i="1"/>
  <c r="Q101" i="1" s="1"/>
  <c r="AF101" i="1"/>
  <c r="AG101" i="1"/>
  <c r="AH101" i="1"/>
  <c r="CV101" i="1" s="1"/>
  <c r="U101" i="1" s="1"/>
  <c r="AI101" i="1"/>
  <c r="AJ101" i="1"/>
  <c r="CQ101" i="1"/>
  <c r="CR101" i="1"/>
  <c r="CS101" i="1"/>
  <c r="CT101" i="1"/>
  <c r="CU101" i="1"/>
  <c r="T101" i="1" s="1"/>
  <c r="CW101" i="1"/>
  <c r="V101" i="1" s="1"/>
  <c r="CX101" i="1"/>
  <c r="W101" i="1" s="1"/>
  <c r="CY101" i="1"/>
  <c r="X101" i="1" s="1"/>
  <c r="FR101" i="1"/>
  <c r="GK101" i="1"/>
  <c r="GL101" i="1"/>
  <c r="GO101" i="1"/>
  <c r="GP101" i="1"/>
  <c r="GV101" i="1"/>
  <c r="HC101" i="1"/>
  <c r="GX101" i="1" s="1"/>
  <c r="I102" i="1"/>
  <c r="P102" i="1" s="1"/>
  <c r="R102" i="1"/>
  <c r="GK102" i="1" s="1"/>
  <c r="AC102" i="1"/>
  <c r="AE102" i="1"/>
  <c r="AD102" i="1" s="1"/>
  <c r="AB102" i="1" s="1"/>
  <c r="AF102" i="1"/>
  <c r="S102" i="1" s="1"/>
  <c r="AG102" i="1"/>
  <c r="AH102" i="1"/>
  <c r="AI102" i="1"/>
  <c r="AJ102" i="1"/>
  <c r="CX102" i="1" s="1"/>
  <c r="W102" i="1" s="1"/>
  <c r="CQ102" i="1"/>
  <c r="CR102" i="1"/>
  <c r="CS102" i="1"/>
  <c r="CU102" i="1"/>
  <c r="T102" i="1" s="1"/>
  <c r="CV102" i="1"/>
  <c r="U102" i="1" s="1"/>
  <c r="CW102" i="1"/>
  <c r="V102" i="1" s="1"/>
  <c r="FR102" i="1"/>
  <c r="GL102" i="1"/>
  <c r="GO102" i="1"/>
  <c r="GP102" i="1"/>
  <c r="GV102" i="1"/>
  <c r="HC102" i="1" s="1"/>
  <c r="GX102" i="1" s="1"/>
  <c r="C103" i="1"/>
  <c r="D103" i="1"/>
  <c r="I103" i="1"/>
  <c r="S103" i="1" s="1"/>
  <c r="CY103" i="1" s="1"/>
  <c r="X103" i="1" s="1"/>
  <c r="K103" i="1"/>
  <c r="U103" i="1"/>
  <c r="AC103" i="1"/>
  <c r="AE103" i="1"/>
  <c r="AF103" i="1"/>
  <c r="AG103" i="1"/>
  <c r="AH103" i="1"/>
  <c r="AI103" i="1"/>
  <c r="CW103" i="1" s="1"/>
  <c r="V103" i="1" s="1"/>
  <c r="AJ103" i="1"/>
  <c r="CQ103" i="1"/>
  <c r="CT103" i="1"/>
  <c r="CU103" i="1"/>
  <c r="T103" i="1" s="1"/>
  <c r="CV103" i="1"/>
  <c r="CX103" i="1"/>
  <c r="W103" i="1" s="1"/>
  <c r="CZ103" i="1"/>
  <c r="Y103" i="1" s="1"/>
  <c r="FR103" i="1"/>
  <c r="GL103" i="1"/>
  <c r="GO103" i="1"/>
  <c r="GP103" i="1"/>
  <c r="GV103" i="1"/>
  <c r="HC103" i="1" s="1"/>
  <c r="GX103" i="1" s="1"/>
  <c r="AC104" i="1"/>
  <c r="AE104" i="1"/>
  <c r="AD104" i="1" s="1"/>
  <c r="AF104" i="1"/>
  <c r="AG104" i="1"/>
  <c r="CU104" i="1" s="1"/>
  <c r="AH104" i="1"/>
  <c r="AI104" i="1"/>
  <c r="AJ104" i="1"/>
  <c r="CR104" i="1"/>
  <c r="CS104" i="1"/>
  <c r="CT104" i="1"/>
  <c r="CV104" i="1"/>
  <c r="CW104" i="1"/>
  <c r="CX104" i="1"/>
  <c r="FR104" i="1"/>
  <c r="GL104" i="1"/>
  <c r="GO104" i="1"/>
  <c r="GP104" i="1"/>
  <c r="GV104" i="1"/>
  <c r="HC104" i="1"/>
  <c r="C105" i="1"/>
  <c r="D105" i="1"/>
  <c r="I105" i="1"/>
  <c r="K105" i="1"/>
  <c r="R105" i="1"/>
  <c r="GK105" i="1" s="1"/>
  <c r="AB105" i="1"/>
  <c r="AC105" i="1"/>
  <c r="AE105" i="1"/>
  <c r="AD105" i="1" s="1"/>
  <c r="AF105" i="1"/>
  <c r="AG105" i="1"/>
  <c r="AH105" i="1"/>
  <c r="AI105" i="1"/>
  <c r="AJ105" i="1"/>
  <c r="CX105" i="1" s="1"/>
  <c r="W105" i="1" s="1"/>
  <c r="CQ105" i="1"/>
  <c r="CR105" i="1"/>
  <c r="CS105" i="1"/>
  <c r="CU105" i="1"/>
  <c r="T105" i="1" s="1"/>
  <c r="CV105" i="1"/>
  <c r="U105" i="1" s="1"/>
  <c r="CW105" i="1"/>
  <c r="V105" i="1" s="1"/>
  <c r="FR105" i="1"/>
  <c r="GL105" i="1"/>
  <c r="GO105" i="1"/>
  <c r="GP105" i="1"/>
  <c r="GV105" i="1"/>
  <c r="HC105" i="1" s="1"/>
  <c r="GX105" i="1" s="1"/>
  <c r="C106" i="1"/>
  <c r="D106" i="1"/>
  <c r="I106" i="1"/>
  <c r="S106" i="1" s="1"/>
  <c r="K106" i="1"/>
  <c r="Q106" i="1"/>
  <c r="U106" i="1"/>
  <c r="AC106" i="1"/>
  <c r="AB106" i="1" s="1"/>
  <c r="AD106" i="1"/>
  <c r="AE106" i="1"/>
  <c r="AF106" i="1"/>
  <c r="AG106" i="1"/>
  <c r="AH106" i="1"/>
  <c r="AI106" i="1"/>
  <c r="CW106" i="1" s="1"/>
  <c r="V106" i="1" s="1"/>
  <c r="AJ106" i="1"/>
  <c r="CR106" i="1"/>
  <c r="CT106" i="1"/>
  <c r="CU106" i="1"/>
  <c r="T106" i="1" s="1"/>
  <c r="CV106" i="1"/>
  <c r="CX106" i="1"/>
  <c r="W106" i="1" s="1"/>
  <c r="FR106" i="1"/>
  <c r="GL106" i="1"/>
  <c r="GO106" i="1"/>
  <c r="GP106" i="1"/>
  <c r="GV106" i="1"/>
  <c r="HC106" i="1" s="1"/>
  <c r="GX106" i="1" s="1"/>
  <c r="I107" i="1"/>
  <c r="Q107" i="1" s="1"/>
  <c r="R107" i="1"/>
  <c r="S107" i="1"/>
  <c r="CY107" i="1" s="1"/>
  <c r="X107" i="1" s="1"/>
  <c r="AC107" i="1"/>
  <c r="P107" i="1" s="1"/>
  <c r="CP107" i="1" s="1"/>
  <c r="O107" i="1" s="1"/>
  <c r="AD107" i="1"/>
  <c r="AE107" i="1"/>
  <c r="AF107" i="1"/>
  <c r="AG107" i="1"/>
  <c r="CU107" i="1" s="1"/>
  <c r="T107" i="1" s="1"/>
  <c r="AH107" i="1"/>
  <c r="CV107" i="1" s="1"/>
  <c r="U107" i="1" s="1"/>
  <c r="AI107" i="1"/>
  <c r="AJ107" i="1"/>
  <c r="CR107" i="1"/>
  <c r="CS107" i="1"/>
  <c r="CT107" i="1"/>
  <c r="CW107" i="1"/>
  <c r="V107" i="1" s="1"/>
  <c r="CX107" i="1"/>
  <c r="W107" i="1" s="1"/>
  <c r="FR107" i="1"/>
  <c r="GK107" i="1"/>
  <c r="GL107" i="1"/>
  <c r="GO107" i="1"/>
  <c r="GP107" i="1"/>
  <c r="GV107" i="1"/>
  <c r="HC107" i="1"/>
  <c r="GX107" i="1" s="1"/>
  <c r="C108" i="1"/>
  <c r="D108" i="1"/>
  <c r="I108" i="1"/>
  <c r="K108" i="1"/>
  <c r="R108" i="1"/>
  <c r="GK108" i="1" s="1"/>
  <c r="AC108" i="1"/>
  <c r="P108" i="1" s="1"/>
  <c r="AE108" i="1"/>
  <c r="AD108" i="1" s="1"/>
  <c r="AB108" i="1" s="1"/>
  <c r="AF108" i="1"/>
  <c r="S108" i="1" s="1"/>
  <c r="AG108" i="1"/>
  <c r="CU108" i="1" s="1"/>
  <c r="T108" i="1" s="1"/>
  <c r="AH108" i="1"/>
  <c r="AI108" i="1"/>
  <c r="AJ108" i="1"/>
  <c r="CX108" i="1" s="1"/>
  <c r="W108" i="1" s="1"/>
  <c r="CR108" i="1"/>
  <c r="CS108" i="1"/>
  <c r="CV108" i="1"/>
  <c r="U108" i="1" s="1"/>
  <c r="CW108" i="1"/>
  <c r="V108" i="1" s="1"/>
  <c r="FR108" i="1"/>
  <c r="GL108" i="1"/>
  <c r="GO108" i="1"/>
  <c r="GP108" i="1"/>
  <c r="GV108" i="1"/>
  <c r="HC108" i="1" s="1"/>
  <c r="GX108" i="1" s="1"/>
  <c r="I109" i="1"/>
  <c r="P109" i="1"/>
  <c r="S109" i="1"/>
  <c r="AC109" i="1"/>
  <c r="AB109" i="1" s="1"/>
  <c r="AD109" i="1"/>
  <c r="AE109" i="1"/>
  <c r="Q109" i="1" s="1"/>
  <c r="AF109" i="1"/>
  <c r="AG109" i="1"/>
  <c r="AH109" i="1"/>
  <c r="CV109" i="1" s="1"/>
  <c r="U109" i="1" s="1"/>
  <c r="AI109" i="1"/>
  <c r="CW109" i="1" s="1"/>
  <c r="V109" i="1" s="1"/>
  <c r="AJ109" i="1"/>
  <c r="CQ109" i="1"/>
  <c r="CR109" i="1"/>
  <c r="CT109" i="1"/>
  <c r="CU109" i="1"/>
  <c r="T109" i="1" s="1"/>
  <c r="CX109" i="1"/>
  <c r="W109" i="1" s="1"/>
  <c r="CY109" i="1"/>
  <c r="X109" i="1" s="1"/>
  <c r="CZ109" i="1"/>
  <c r="Y109" i="1" s="1"/>
  <c r="FR109" i="1"/>
  <c r="GL109" i="1"/>
  <c r="GO109" i="1"/>
  <c r="GP109" i="1"/>
  <c r="GV109" i="1"/>
  <c r="HC109" i="1"/>
  <c r="GX109" i="1" s="1"/>
  <c r="I110" i="1"/>
  <c r="Q110" i="1" s="1"/>
  <c r="R110" i="1"/>
  <c r="GK110" i="1" s="1"/>
  <c r="AC110" i="1"/>
  <c r="P110" i="1" s="1"/>
  <c r="CP110" i="1" s="1"/>
  <c r="O110" i="1" s="1"/>
  <c r="AE110" i="1"/>
  <c r="AD110" i="1" s="1"/>
  <c r="AB110" i="1" s="1"/>
  <c r="AF110" i="1"/>
  <c r="S110" i="1" s="1"/>
  <c r="AG110" i="1"/>
  <c r="CU110" i="1" s="1"/>
  <c r="T110" i="1" s="1"/>
  <c r="AH110" i="1"/>
  <c r="AI110" i="1"/>
  <c r="AJ110" i="1"/>
  <c r="CX110" i="1" s="1"/>
  <c r="W110" i="1" s="1"/>
  <c r="CR110" i="1"/>
  <c r="CS110" i="1"/>
  <c r="CV110" i="1"/>
  <c r="U110" i="1" s="1"/>
  <c r="CW110" i="1"/>
  <c r="V110" i="1" s="1"/>
  <c r="FR110" i="1"/>
  <c r="BY118" i="1" s="1"/>
  <c r="GL110" i="1"/>
  <c r="GO110" i="1"/>
  <c r="GP110" i="1"/>
  <c r="GV110" i="1"/>
  <c r="HC110" i="1" s="1"/>
  <c r="GX110" i="1" s="1"/>
  <c r="I111" i="1"/>
  <c r="Q111" i="1" s="1"/>
  <c r="P111" i="1"/>
  <c r="CP111" i="1" s="1"/>
  <c r="O111" i="1" s="1"/>
  <c r="S111" i="1"/>
  <c r="AC111" i="1"/>
  <c r="AB111" i="1" s="1"/>
  <c r="AD111" i="1"/>
  <c r="AE111" i="1"/>
  <c r="R111" i="1" s="1"/>
  <c r="GK111" i="1" s="1"/>
  <c r="AF111" i="1"/>
  <c r="AG111" i="1"/>
  <c r="AH111" i="1"/>
  <c r="CV111" i="1" s="1"/>
  <c r="U111" i="1" s="1"/>
  <c r="AI111" i="1"/>
  <c r="AJ111" i="1"/>
  <c r="CQ111" i="1"/>
  <c r="CR111" i="1"/>
  <c r="CS111" i="1"/>
  <c r="CT111" i="1"/>
  <c r="CU111" i="1"/>
  <c r="T111" i="1" s="1"/>
  <c r="CW111" i="1"/>
  <c r="V111" i="1" s="1"/>
  <c r="CX111" i="1"/>
  <c r="W111" i="1" s="1"/>
  <c r="CY111" i="1"/>
  <c r="X111" i="1" s="1"/>
  <c r="CZ111" i="1"/>
  <c r="Y111" i="1" s="1"/>
  <c r="FR111" i="1"/>
  <c r="GL111" i="1"/>
  <c r="GO111" i="1"/>
  <c r="GP111" i="1"/>
  <c r="GV111" i="1"/>
  <c r="HC111" i="1"/>
  <c r="GX111" i="1" s="1"/>
  <c r="C112" i="1"/>
  <c r="D112" i="1"/>
  <c r="AC112" i="1"/>
  <c r="AE112" i="1"/>
  <c r="Q112" i="1" s="1"/>
  <c r="AF112" i="1"/>
  <c r="S112" i="1" s="1"/>
  <c r="AG112" i="1"/>
  <c r="AH112" i="1"/>
  <c r="AI112" i="1"/>
  <c r="CW112" i="1" s="1"/>
  <c r="V112" i="1" s="1"/>
  <c r="AJ112" i="1"/>
  <c r="CQ112" i="1"/>
  <c r="CR112" i="1"/>
  <c r="CT112" i="1"/>
  <c r="CU112" i="1"/>
  <c r="T112" i="1" s="1"/>
  <c r="CV112" i="1"/>
  <c r="U112" i="1" s="1"/>
  <c r="CX112" i="1"/>
  <c r="W112" i="1" s="1"/>
  <c r="FR112" i="1"/>
  <c r="GL112" i="1"/>
  <c r="GO112" i="1"/>
  <c r="GP112" i="1"/>
  <c r="GV112" i="1"/>
  <c r="HC112" i="1" s="1"/>
  <c r="GX112" i="1" s="1"/>
  <c r="C113" i="1"/>
  <c r="D113" i="1"/>
  <c r="R113" i="1"/>
  <c r="GK113" i="1" s="1"/>
  <c r="AC113" i="1"/>
  <c r="P113" i="1" s="1"/>
  <c r="AE113" i="1"/>
  <c r="AD113" i="1" s="1"/>
  <c r="AB113" i="1" s="1"/>
  <c r="AF113" i="1"/>
  <c r="S113" i="1" s="1"/>
  <c r="AG113" i="1"/>
  <c r="AH113" i="1"/>
  <c r="AI113" i="1"/>
  <c r="AJ113" i="1"/>
  <c r="CX113" i="1" s="1"/>
  <c r="W113" i="1" s="1"/>
  <c r="CQ113" i="1"/>
  <c r="CR113" i="1"/>
  <c r="CS113" i="1"/>
  <c r="CU113" i="1"/>
  <c r="T113" i="1" s="1"/>
  <c r="CV113" i="1"/>
  <c r="U113" i="1" s="1"/>
  <c r="CW113" i="1"/>
  <c r="V113" i="1" s="1"/>
  <c r="FR113" i="1"/>
  <c r="GL113" i="1"/>
  <c r="GN113" i="1"/>
  <c r="GO113" i="1"/>
  <c r="GV113" i="1"/>
  <c r="HC113" i="1" s="1"/>
  <c r="GX113" i="1" s="1"/>
  <c r="C114" i="1"/>
  <c r="D114" i="1"/>
  <c r="S114" i="1"/>
  <c r="CY114" i="1" s="1"/>
  <c r="X114" i="1" s="1"/>
  <c r="AC114" i="1"/>
  <c r="P114" i="1" s="1"/>
  <c r="AE114" i="1"/>
  <c r="AD114" i="1" s="1"/>
  <c r="AF114" i="1"/>
  <c r="AG114" i="1"/>
  <c r="CU114" i="1" s="1"/>
  <c r="T114" i="1" s="1"/>
  <c r="AH114" i="1"/>
  <c r="AI114" i="1"/>
  <c r="CW114" i="1" s="1"/>
  <c r="V114" i="1" s="1"/>
  <c r="AJ114" i="1"/>
  <c r="CR114" i="1"/>
  <c r="CT114" i="1"/>
  <c r="CV114" i="1"/>
  <c r="U114" i="1" s="1"/>
  <c r="CX114" i="1"/>
  <c r="W114" i="1" s="1"/>
  <c r="FR114" i="1"/>
  <c r="GL114" i="1"/>
  <c r="GN114" i="1"/>
  <c r="GO114" i="1"/>
  <c r="CC118" i="1" s="1"/>
  <c r="GV114" i="1"/>
  <c r="HC114" i="1"/>
  <c r="GX114" i="1" s="1"/>
  <c r="C115" i="1"/>
  <c r="D115" i="1"/>
  <c r="P115" i="1"/>
  <c r="R115" i="1"/>
  <c r="GK115" i="1" s="1"/>
  <c r="AC115" i="1"/>
  <c r="AD115" i="1"/>
  <c r="AB115" i="1" s="1"/>
  <c r="AE115" i="1"/>
  <c r="Q115" i="1" s="1"/>
  <c r="AF115" i="1"/>
  <c r="S115" i="1" s="1"/>
  <c r="AG115" i="1"/>
  <c r="AH115" i="1"/>
  <c r="CV115" i="1" s="1"/>
  <c r="U115" i="1" s="1"/>
  <c r="AI115" i="1"/>
  <c r="AJ115" i="1"/>
  <c r="CX115" i="1" s="1"/>
  <c r="W115" i="1" s="1"/>
  <c r="CQ115" i="1"/>
  <c r="CR115" i="1"/>
  <c r="CS115" i="1"/>
  <c r="CU115" i="1"/>
  <c r="T115" i="1" s="1"/>
  <c r="CW115" i="1"/>
  <c r="V115" i="1" s="1"/>
  <c r="FR115" i="1"/>
  <c r="GL115" i="1"/>
  <c r="GN115" i="1"/>
  <c r="GO115" i="1"/>
  <c r="GV115" i="1"/>
  <c r="HC115" i="1" s="1"/>
  <c r="GX115" i="1" s="1"/>
  <c r="C116" i="1"/>
  <c r="D116" i="1"/>
  <c r="S116" i="1"/>
  <c r="CY116" i="1" s="1"/>
  <c r="X116" i="1" s="1"/>
  <c r="AC116" i="1"/>
  <c r="AE116" i="1"/>
  <c r="Q116" i="1" s="1"/>
  <c r="AF116" i="1"/>
  <c r="AG116" i="1"/>
  <c r="CU116" i="1" s="1"/>
  <c r="T116" i="1" s="1"/>
  <c r="AH116" i="1"/>
  <c r="AI116" i="1"/>
  <c r="CW116" i="1" s="1"/>
  <c r="V116" i="1" s="1"/>
  <c r="AJ116" i="1"/>
  <c r="CR116" i="1"/>
  <c r="CT116" i="1"/>
  <c r="CV116" i="1"/>
  <c r="U116" i="1" s="1"/>
  <c r="CX116" i="1"/>
  <c r="W116" i="1" s="1"/>
  <c r="CZ116" i="1"/>
  <c r="Y116" i="1" s="1"/>
  <c r="FR116" i="1"/>
  <c r="GL116" i="1"/>
  <c r="GN116" i="1"/>
  <c r="GO116" i="1"/>
  <c r="GV116" i="1"/>
  <c r="HC116" i="1" s="1"/>
  <c r="GX116" i="1" s="1"/>
  <c r="B118" i="1"/>
  <c r="B96" i="1" s="1"/>
  <c r="C118" i="1"/>
  <c r="C96" i="1" s="1"/>
  <c r="D118" i="1"/>
  <c r="D96" i="1" s="1"/>
  <c r="F118" i="1"/>
  <c r="F96" i="1" s="1"/>
  <c r="G118" i="1"/>
  <c r="G96" i="1" s="1"/>
  <c r="BX118" i="1"/>
  <c r="BX96" i="1" s="1"/>
  <c r="BZ118" i="1"/>
  <c r="BZ96" i="1" s="1"/>
  <c r="CK118" i="1"/>
  <c r="CK96" i="1" s="1"/>
  <c r="CL118" i="1"/>
  <c r="CL96" i="1" s="1"/>
  <c r="CM118" i="1"/>
  <c r="CM96" i="1" s="1"/>
  <c r="D148" i="1"/>
  <c r="E150" i="1"/>
  <c r="Z150" i="1"/>
  <c r="AA150" i="1"/>
  <c r="AM150" i="1"/>
  <c r="AN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CN150" i="1"/>
  <c r="CO150" i="1"/>
  <c r="CP150" i="1"/>
  <c r="CQ150" i="1"/>
  <c r="CR150" i="1"/>
  <c r="CS150" i="1"/>
  <c r="CT150" i="1"/>
  <c r="CU150" i="1"/>
  <c r="CV150" i="1"/>
  <c r="CW150" i="1"/>
  <c r="CX150" i="1"/>
  <c r="CY150" i="1"/>
  <c r="CZ150" i="1"/>
  <c r="DA150" i="1"/>
  <c r="DB150" i="1"/>
  <c r="DC150" i="1"/>
  <c r="DD150" i="1"/>
  <c r="DE150" i="1"/>
  <c r="DF150" i="1"/>
  <c r="DG150" i="1"/>
  <c r="DH150" i="1"/>
  <c r="DI150" i="1"/>
  <c r="DJ150" i="1"/>
  <c r="DK150" i="1"/>
  <c r="DL150" i="1"/>
  <c r="DM150" i="1"/>
  <c r="DN150" i="1"/>
  <c r="DO150" i="1"/>
  <c r="DP150" i="1"/>
  <c r="DQ150" i="1"/>
  <c r="DR150" i="1"/>
  <c r="DS150" i="1"/>
  <c r="DT150" i="1"/>
  <c r="DU150" i="1"/>
  <c r="DV150" i="1"/>
  <c r="DW150" i="1"/>
  <c r="DX150" i="1"/>
  <c r="DY150" i="1"/>
  <c r="DZ150" i="1"/>
  <c r="EA150" i="1"/>
  <c r="EB150" i="1"/>
  <c r="EC150" i="1"/>
  <c r="ED150" i="1"/>
  <c r="EE150" i="1"/>
  <c r="EF150" i="1"/>
  <c r="EG150" i="1"/>
  <c r="EH150" i="1"/>
  <c r="EI150" i="1"/>
  <c r="EJ150" i="1"/>
  <c r="EK150" i="1"/>
  <c r="EL150" i="1"/>
  <c r="EM150" i="1"/>
  <c r="EN150" i="1"/>
  <c r="EO150" i="1"/>
  <c r="EP150" i="1"/>
  <c r="EQ150" i="1"/>
  <c r="ER150" i="1"/>
  <c r="ES150" i="1"/>
  <c r="ET150" i="1"/>
  <c r="EU150" i="1"/>
  <c r="EV150" i="1"/>
  <c r="EW150" i="1"/>
  <c r="EX150" i="1"/>
  <c r="EY150" i="1"/>
  <c r="EZ150" i="1"/>
  <c r="FA150" i="1"/>
  <c r="FB150" i="1"/>
  <c r="FC150" i="1"/>
  <c r="FD150" i="1"/>
  <c r="FE150" i="1"/>
  <c r="FF150" i="1"/>
  <c r="FG150" i="1"/>
  <c r="FH150" i="1"/>
  <c r="FI150" i="1"/>
  <c r="FJ150" i="1"/>
  <c r="FK150" i="1"/>
  <c r="FL150" i="1"/>
  <c r="FM150" i="1"/>
  <c r="FN150" i="1"/>
  <c r="FO150" i="1"/>
  <c r="FP150" i="1"/>
  <c r="FQ150" i="1"/>
  <c r="FR150" i="1"/>
  <c r="FS150" i="1"/>
  <c r="FT150" i="1"/>
  <c r="FU150" i="1"/>
  <c r="FV150" i="1"/>
  <c r="FW150" i="1"/>
  <c r="FX150" i="1"/>
  <c r="FY150" i="1"/>
  <c r="FZ150" i="1"/>
  <c r="GA150" i="1"/>
  <c r="GB150" i="1"/>
  <c r="GC150" i="1"/>
  <c r="GD150" i="1"/>
  <c r="GE150" i="1"/>
  <c r="GF150" i="1"/>
  <c r="GG150" i="1"/>
  <c r="GH150" i="1"/>
  <c r="GI150" i="1"/>
  <c r="GJ150" i="1"/>
  <c r="GK150" i="1"/>
  <c r="GL150" i="1"/>
  <c r="GM150" i="1"/>
  <c r="GN150" i="1"/>
  <c r="GO150" i="1"/>
  <c r="GP150" i="1"/>
  <c r="GQ150" i="1"/>
  <c r="GR150" i="1"/>
  <c r="GS150" i="1"/>
  <c r="GT150" i="1"/>
  <c r="GU150" i="1"/>
  <c r="GV150" i="1"/>
  <c r="GW150" i="1"/>
  <c r="GX150" i="1"/>
  <c r="C152" i="1"/>
  <c r="D152" i="1"/>
  <c r="I152" i="1"/>
  <c r="CX141" i="3" s="1"/>
  <c r="K152" i="1"/>
  <c r="S152" i="1"/>
  <c r="CY152" i="1" s="1"/>
  <c r="X152" i="1" s="1"/>
  <c r="AC152" i="1"/>
  <c r="P152" i="1" s="1"/>
  <c r="AE152" i="1"/>
  <c r="AD152" i="1" s="1"/>
  <c r="AF152" i="1"/>
  <c r="AG152" i="1"/>
  <c r="CU152" i="1" s="1"/>
  <c r="T152" i="1" s="1"/>
  <c r="AH152" i="1"/>
  <c r="AI152" i="1"/>
  <c r="CW152" i="1" s="1"/>
  <c r="V152" i="1" s="1"/>
  <c r="AJ152" i="1"/>
  <c r="CR152" i="1"/>
  <c r="CT152" i="1"/>
  <c r="CV152" i="1"/>
  <c r="U152" i="1" s="1"/>
  <c r="CX152" i="1"/>
  <c r="W152" i="1" s="1"/>
  <c r="FR152" i="1"/>
  <c r="GL152" i="1"/>
  <c r="GO152" i="1"/>
  <c r="GP152" i="1"/>
  <c r="GV152" i="1"/>
  <c r="HC152" i="1"/>
  <c r="GX152" i="1" s="1"/>
  <c r="C153" i="1"/>
  <c r="D153" i="1"/>
  <c r="I153" i="1"/>
  <c r="CX142" i="3" s="1"/>
  <c r="K153" i="1"/>
  <c r="P153" i="1"/>
  <c r="R153" i="1"/>
  <c r="GK153" i="1" s="1"/>
  <c r="V153" i="1"/>
  <c r="AC153" i="1"/>
  <c r="AD153" i="1"/>
  <c r="AE153" i="1"/>
  <c r="Q153" i="1" s="1"/>
  <c r="AF153" i="1"/>
  <c r="AG153" i="1"/>
  <c r="AH153" i="1"/>
  <c r="CV153" i="1" s="1"/>
  <c r="U153" i="1" s="1"/>
  <c r="AI153" i="1"/>
  <c r="AJ153" i="1"/>
  <c r="CX153" i="1" s="1"/>
  <c r="W153" i="1" s="1"/>
  <c r="CQ153" i="1"/>
  <c r="CR153" i="1"/>
  <c r="CS153" i="1"/>
  <c r="CU153" i="1"/>
  <c r="T153" i="1" s="1"/>
  <c r="CW153" i="1"/>
  <c r="FR153" i="1"/>
  <c r="GL153" i="1"/>
  <c r="GO153" i="1"/>
  <c r="GP153" i="1"/>
  <c r="GV153" i="1"/>
  <c r="HC153" i="1" s="1"/>
  <c r="GX153" i="1" s="1"/>
  <c r="C154" i="1"/>
  <c r="D154" i="1"/>
  <c r="I154" i="1"/>
  <c r="Q154" i="1" s="1"/>
  <c r="K154" i="1"/>
  <c r="AC154" i="1"/>
  <c r="AE154" i="1"/>
  <c r="AF154" i="1"/>
  <c r="AG154" i="1"/>
  <c r="CU154" i="1" s="1"/>
  <c r="T154" i="1" s="1"/>
  <c r="AH154" i="1"/>
  <c r="AI154" i="1"/>
  <c r="CW154" i="1" s="1"/>
  <c r="AJ154" i="1"/>
  <c r="CR154" i="1"/>
  <c r="CT154" i="1"/>
  <c r="CV154" i="1"/>
  <c r="CX154" i="1"/>
  <c r="FR154" i="1"/>
  <c r="GL154" i="1"/>
  <c r="GO154" i="1"/>
  <c r="GP154" i="1"/>
  <c r="GV154" i="1"/>
  <c r="HC154" i="1" s="1"/>
  <c r="AC155" i="1"/>
  <c r="AE155" i="1"/>
  <c r="AD155" i="1" s="1"/>
  <c r="AF155" i="1"/>
  <c r="AG155" i="1"/>
  <c r="CU155" i="1" s="1"/>
  <c r="AH155" i="1"/>
  <c r="AI155" i="1"/>
  <c r="CW155" i="1" s="1"/>
  <c r="AJ155" i="1"/>
  <c r="CR155" i="1"/>
  <c r="CT155" i="1"/>
  <c r="CV155" i="1"/>
  <c r="CX155" i="1"/>
  <c r="FR155" i="1"/>
  <c r="GL155" i="1"/>
  <c r="GO155" i="1"/>
  <c r="GP155" i="1"/>
  <c r="GV155" i="1"/>
  <c r="HC155" i="1"/>
  <c r="AC156" i="1"/>
  <c r="AE156" i="1"/>
  <c r="AF156" i="1"/>
  <c r="AG156" i="1"/>
  <c r="CU156" i="1" s="1"/>
  <c r="AH156" i="1"/>
  <c r="AI156" i="1"/>
  <c r="CW156" i="1" s="1"/>
  <c r="AJ156" i="1"/>
  <c r="CR156" i="1"/>
  <c r="CT156" i="1"/>
  <c r="CV156" i="1"/>
  <c r="CX156" i="1"/>
  <c r="FR156" i="1"/>
  <c r="GL156" i="1"/>
  <c r="GO156" i="1"/>
  <c r="GP156" i="1"/>
  <c r="GV156" i="1"/>
  <c r="HC156" i="1" s="1"/>
  <c r="AC157" i="1"/>
  <c r="AE157" i="1"/>
  <c r="AD157" i="1" s="1"/>
  <c r="AF157" i="1"/>
  <c r="AG157" i="1"/>
  <c r="CU157" i="1" s="1"/>
  <c r="AH157" i="1"/>
  <c r="AI157" i="1"/>
  <c r="CW157" i="1" s="1"/>
  <c r="AJ157" i="1"/>
  <c r="CR157" i="1"/>
  <c r="CT157" i="1"/>
  <c r="CV157" i="1"/>
  <c r="CX157" i="1"/>
  <c r="FR157" i="1"/>
  <c r="GL157" i="1"/>
  <c r="GO157" i="1"/>
  <c r="CC165" i="1" s="1"/>
  <c r="GP157" i="1"/>
  <c r="GV157" i="1"/>
  <c r="HC157" i="1"/>
  <c r="P158" i="1"/>
  <c r="R158" i="1"/>
  <c r="GK158" i="1" s="1"/>
  <c r="AC158" i="1"/>
  <c r="AD158" i="1"/>
  <c r="AE158" i="1"/>
  <c r="Q158" i="1" s="1"/>
  <c r="AF158" i="1"/>
  <c r="AG158" i="1"/>
  <c r="AH158" i="1"/>
  <c r="CV158" i="1" s="1"/>
  <c r="U158" i="1" s="1"/>
  <c r="AI158" i="1"/>
  <c r="AJ158" i="1"/>
  <c r="CX158" i="1" s="1"/>
  <c r="W158" i="1" s="1"/>
  <c r="CQ158" i="1"/>
  <c r="CR158" i="1"/>
  <c r="CS158" i="1"/>
  <c r="CU158" i="1"/>
  <c r="T158" i="1" s="1"/>
  <c r="CW158" i="1"/>
  <c r="V158" i="1" s="1"/>
  <c r="FR158" i="1"/>
  <c r="GL158" i="1"/>
  <c r="GO158" i="1"/>
  <c r="GP158" i="1"/>
  <c r="GV158" i="1"/>
  <c r="HC158" i="1" s="1"/>
  <c r="GX158" i="1"/>
  <c r="C159" i="1"/>
  <c r="D159" i="1"/>
  <c r="S159" i="1"/>
  <c r="CY159" i="1" s="1"/>
  <c r="X159" i="1" s="1"/>
  <c r="AC159" i="1"/>
  <c r="AE159" i="1"/>
  <c r="AD159" i="1" s="1"/>
  <c r="AF159" i="1"/>
  <c r="AG159" i="1"/>
  <c r="CU159" i="1" s="1"/>
  <c r="T159" i="1" s="1"/>
  <c r="AH159" i="1"/>
  <c r="AI159" i="1"/>
  <c r="CW159" i="1" s="1"/>
  <c r="V159" i="1" s="1"/>
  <c r="AJ159" i="1"/>
  <c r="CR159" i="1"/>
  <c r="CT159" i="1"/>
  <c r="CV159" i="1"/>
  <c r="U159" i="1" s="1"/>
  <c r="CX159" i="1"/>
  <c r="W159" i="1" s="1"/>
  <c r="FR159" i="1"/>
  <c r="GL159" i="1"/>
  <c r="GO159" i="1"/>
  <c r="GP159" i="1"/>
  <c r="GV159" i="1"/>
  <c r="HC159" i="1" s="1"/>
  <c r="GX159" i="1" s="1"/>
  <c r="C160" i="1"/>
  <c r="D160" i="1"/>
  <c r="P160" i="1"/>
  <c r="R160" i="1"/>
  <c r="GK160" i="1" s="1"/>
  <c r="T160" i="1"/>
  <c r="V160" i="1"/>
  <c r="AC160" i="1"/>
  <c r="AD160" i="1"/>
  <c r="AB160" i="1" s="1"/>
  <c r="AE160" i="1"/>
  <c r="Q160" i="1" s="1"/>
  <c r="AF160" i="1"/>
  <c r="AG160" i="1"/>
  <c r="AH160" i="1"/>
  <c r="CV160" i="1" s="1"/>
  <c r="U160" i="1" s="1"/>
  <c r="AI160" i="1"/>
  <c r="AJ160" i="1"/>
  <c r="CX160" i="1" s="1"/>
  <c r="W160" i="1" s="1"/>
  <c r="CQ160" i="1"/>
  <c r="CR160" i="1"/>
  <c r="CS160" i="1"/>
  <c r="CU160" i="1"/>
  <c r="CW160" i="1"/>
  <c r="FR160" i="1"/>
  <c r="BY165" i="1" s="1"/>
  <c r="GL160" i="1"/>
  <c r="GN160" i="1"/>
  <c r="GO160" i="1"/>
  <c r="GV160" i="1"/>
  <c r="HC160" i="1" s="1"/>
  <c r="GX160" i="1"/>
  <c r="C161" i="1"/>
  <c r="D161" i="1"/>
  <c r="S161" i="1"/>
  <c r="CY161" i="1" s="1"/>
  <c r="X161" i="1" s="1"/>
  <c r="U161" i="1"/>
  <c r="AC161" i="1"/>
  <c r="AE161" i="1"/>
  <c r="Q161" i="1" s="1"/>
  <c r="AF161" i="1"/>
  <c r="AG161" i="1"/>
  <c r="CU161" i="1" s="1"/>
  <c r="T161" i="1" s="1"/>
  <c r="AH161" i="1"/>
  <c r="AI161" i="1"/>
  <c r="CW161" i="1" s="1"/>
  <c r="V161" i="1" s="1"/>
  <c r="AJ161" i="1"/>
  <c r="CT161" i="1"/>
  <c r="CV161" i="1"/>
  <c r="CX161" i="1"/>
  <c r="W161" i="1" s="1"/>
  <c r="CZ161" i="1"/>
  <c r="Y161" i="1" s="1"/>
  <c r="FR161" i="1"/>
  <c r="GL161" i="1"/>
  <c r="GN161" i="1"/>
  <c r="GO161" i="1"/>
  <c r="GV161" i="1"/>
  <c r="HC161" i="1"/>
  <c r="GX161" i="1" s="1"/>
  <c r="C162" i="1"/>
  <c r="D162" i="1"/>
  <c r="P162" i="1"/>
  <c r="CP162" i="1" s="1"/>
  <c r="O162" i="1" s="1"/>
  <c r="R162" i="1"/>
  <c r="S162" i="1"/>
  <c r="CZ162" i="1" s="1"/>
  <c r="Y162" i="1" s="1"/>
  <c r="AC162" i="1"/>
  <c r="AB162" i="1" s="1"/>
  <c r="AD162" i="1"/>
  <c r="AE162" i="1"/>
  <c r="Q162" i="1" s="1"/>
  <c r="AF162" i="1"/>
  <c r="AG162" i="1"/>
  <c r="AH162" i="1"/>
  <c r="CV162" i="1" s="1"/>
  <c r="U162" i="1" s="1"/>
  <c r="AI162" i="1"/>
  <c r="AJ162" i="1"/>
  <c r="CQ162" i="1"/>
  <c r="CR162" i="1"/>
  <c r="CS162" i="1"/>
  <c r="CT162" i="1"/>
  <c r="CU162" i="1"/>
  <c r="T162" i="1" s="1"/>
  <c r="CW162" i="1"/>
  <c r="V162" i="1" s="1"/>
  <c r="CX162" i="1"/>
  <c r="W162" i="1" s="1"/>
  <c r="CY162" i="1"/>
  <c r="X162" i="1" s="1"/>
  <c r="FR162" i="1"/>
  <c r="GK162" i="1"/>
  <c r="GL162" i="1"/>
  <c r="GN162" i="1"/>
  <c r="GO162" i="1"/>
  <c r="GV162" i="1"/>
  <c r="HC162" i="1"/>
  <c r="GX162" i="1" s="1"/>
  <c r="C163" i="1"/>
  <c r="D163" i="1"/>
  <c r="P163" i="1"/>
  <c r="S163" i="1"/>
  <c r="AC163" i="1"/>
  <c r="AE163" i="1"/>
  <c r="Q163" i="1" s="1"/>
  <c r="AF163" i="1"/>
  <c r="AG163" i="1"/>
  <c r="AH163" i="1"/>
  <c r="AI163" i="1"/>
  <c r="CW163" i="1" s="1"/>
  <c r="V163" i="1" s="1"/>
  <c r="AJ163" i="1"/>
  <c r="CQ163" i="1"/>
  <c r="CR163" i="1"/>
  <c r="CT163" i="1"/>
  <c r="CU163" i="1"/>
  <c r="T163" i="1" s="1"/>
  <c r="CV163" i="1"/>
  <c r="U163" i="1" s="1"/>
  <c r="CX163" i="1"/>
  <c r="W163" i="1" s="1"/>
  <c r="CY163" i="1"/>
  <c r="X163" i="1" s="1"/>
  <c r="CZ163" i="1"/>
  <c r="Y163" i="1" s="1"/>
  <c r="FR163" i="1"/>
  <c r="GL163" i="1"/>
  <c r="GN163" i="1"/>
  <c r="GO163" i="1"/>
  <c r="GV163" i="1"/>
  <c r="HC163" i="1" s="1"/>
  <c r="GX163" i="1" s="1"/>
  <c r="B165" i="1"/>
  <c r="B150" i="1" s="1"/>
  <c r="C165" i="1"/>
  <c r="C150" i="1" s="1"/>
  <c r="D165" i="1"/>
  <c r="D150" i="1" s="1"/>
  <c r="F165" i="1"/>
  <c r="F150" i="1" s="1"/>
  <c r="G165" i="1"/>
  <c r="G150" i="1" s="1"/>
  <c r="BX165" i="1"/>
  <c r="BX150" i="1" s="1"/>
  <c r="BZ165" i="1"/>
  <c r="BZ150" i="1" s="1"/>
  <c r="CK165" i="1"/>
  <c r="CK150" i="1" s="1"/>
  <c r="CL165" i="1"/>
  <c r="CL150" i="1" s="1"/>
  <c r="CM165" i="1"/>
  <c r="CM150" i="1" s="1"/>
  <c r="D195" i="1"/>
  <c r="E197" i="1"/>
  <c r="Z197" i="1"/>
  <c r="AA197" i="1"/>
  <c r="AM197" i="1"/>
  <c r="AN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CN197" i="1"/>
  <c r="CO197" i="1"/>
  <c r="CP197" i="1"/>
  <c r="CQ197" i="1"/>
  <c r="CR197" i="1"/>
  <c r="CS197" i="1"/>
  <c r="CT197" i="1"/>
  <c r="CU197" i="1"/>
  <c r="CV197" i="1"/>
  <c r="CW197" i="1"/>
  <c r="CX197" i="1"/>
  <c r="CY197" i="1"/>
  <c r="CZ197" i="1"/>
  <c r="DA197" i="1"/>
  <c r="DB197" i="1"/>
  <c r="DC197" i="1"/>
  <c r="DD197" i="1"/>
  <c r="DE197" i="1"/>
  <c r="DF197" i="1"/>
  <c r="DG197" i="1"/>
  <c r="DH197" i="1"/>
  <c r="DI197" i="1"/>
  <c r="DJ197" i="1"/>
  <c r="DK197" i="1"/>
  <c r="DL197" i="1"/>
  <c r="DM197" i="1"/>
  <c r="DN197" i="1"/>
  <c r="DO197" i="1"/>
  <c r="DP197" i="1"/>
  <c r="DQ197" i="1"/>
  <c r="DR197" i="1"/>
  <c r="DS197" i="1"/>
  <c r="DT197" i="1"/>
  <c r="DU197" i="1"/>
  <c r="DV197" i="1"/>
  <c r="DW197" i="1"/>
  <c r="DX197" i="1"/>
  <c r="DY197" i="1"/>
  <c r="DZ197" i="1"/>
  <c r="EA197" i="1"/>
  <c r="EB197" i="1"/>
  <c r="EC197" i="1"/>
  <c r="ED197" i="1"/>
  <c r="EE197" i="1"/>
  <c r="EF197" i="1"/>
  <c r="EG197" i="1"/>
  <c r="EH197" i="1"/>
  <c r="EI197" i="1"/>
  <c r="EJ197" i="1"/>
  <c r="EK197" i="1"/>
  <c r="EL197" i="1"/>
  <c r="EM197" i="1"/>
  <c r="EN197" i="1"/>
  <c r="EO197" i="1"/>
  <c r="EP197" i="1"/>
  <c r="EQ197" i="1"/>
  <c r="ER197" i="1"/>
  <c r="ES197" i="1"/>
  <c r="ET197" i="1"/>
  <c r="EU197" i="1"/>
  <c r="EV197" i="1"/>
  <c r="EW197" i="1"/>
  <c r="EX197" i="1"/>
  <c r="EY197" i="1"/>
  <c r="EZ197" i="1"/>
  <c r="FA197" i="1"/>
  <c r="FB197" i="1"/>
  <c r="FC197" i="1"/>
  <c r="FD197" i="1"/>
  <c r="FE197" i="1"/>
  <c r="FF197" i="1"/>
  <c r="FG197" i="1"/>
  <c r="FH197" i="1"/>
  <c r="FI197" i="1"/>
  <c r="FJ197" i="1"/>
  <c r="FK197" i="1"/>
  <c r="FL197" i="1"/>
  <c r="FM197" i="1"/>
  <c r="FN197" i="1"/>
  <c r="FO197" i="1"/>
  <c r="FP197" i="1"/>
  <c r="FQ197" i="1"/>
  <c r="FR197" i="1"/>
  <c r="FS197" i="1"/>
  <c r="FT197" i="1"/>
  <c r="FU197" i="1"/>
  <c r="FV197" i="1"/>
  <c r="FW197" i="1"/>
  <c r="FX197" i="1"/>
  <c r="FY197" i="1"/>
  <c r="FZ197" i="1"/>
  <c r="GA197" i="1"/>
  <c r="GB197" i="1"/>
  <c r="GC197" i="1"/>
  <c r="GD197" i="1"/>
  <c r="GE197" i="1"/>
  <c r="GF197" i="1"/>
  <c r="GG197" i="1"/>
  <c r="GH197" i="1"/>
  <c r="GI197" i="1"/>
  <c r="GJ197" i="1"/>
  <c r="GK197" i="1"/>
  <c r="GL197" i="1"/>
  <c r="GM197" i="1"/>
  <c r="GN197" i="1"/>
  <c r="GO197" i="1"/>
  <c r="GP197" i="1"/>
  <c r="GQ197" i="1"/>
  <c r="GR197" i="1"/>
  <c r="GS197" i="1"/>
  <c r="GT197" i="1"/>
  <c r="GU197" i="1"/>
  <c r="GV197" i="1"/>
  <c r="GW197" i="1"/>
  <c r="GX197" i="1"/>
  <c r="C199" i="1"/>
  <c r="D199" i="1"/>
  <c r="P199" i="1"/>
  <c r="S199" i="1"/>
  <c r="AC199" i="1"/>
  <c r="AE199" i="1"/>
  <c r="Q199" i="1" s="1"/>
  <c r="AF199" i="1"/>
  <c r="AG199" i="1"/>
  <c r="AH199" i="1"/>
  <c r="AI199" i="1"/>
  <c r="CW199" i="1" s="1"/>
  <c r="V199" i="1" s="1"/>
  <c r="AJ199" i="1"/>
  <c r="CQ199" i="1"/>
  <c r="CR199" i="1"/>
  <c r="CT199" i="1"/>
  <c r="CU199" i="1"/>
  <c r="T199" i="1" s="1"/>
  <c r="CV199" i="1"/>
  <c r="U199" i="1" s="1"/>
  <c r="CX199" i="1"/>
  <c r="W199" i="1" s="1"/>
  <c r="CY199" i="1"/>
  <c r="X199" i="1" s="1"/>
  <c r="CZ199" i="1"/>
  <c r="Y199" i="1" s="1"/>
  <c r="FR199" i="1"/>
  <c r="GL199" i="1"/>
  <c r="GO199" i="1"/>
  <c r="GP199" i="1"/>
  <c r="GV199" i="1"/>
  <c r="HC199" i="1" s="1"/>
  <c r="GX199" i="1" s="1"/>
  <c r="C200" i="1"/>
  <c r="D200" i="1"/>
  <c r="I200" i="1"/>
  <c r="K200" i="1"/>
  <c r="P200" i="1"/>
  <c r="R200" i="1"/>
  <c r="AC200" i="1"/>
  <c r="AB200" i="1" s="1"/>
  <c r="AD200" i="1"/>
  <c r="AE200" i="1"/>
  <c r="Q200" i="1" s="1"/>
  <c r="AF200" i="1"/>
  <c r="S200" i="1" s="1"/>
  <c r="AG200" i="1"/>
  <c r="AH200" i="1"/>
  <c r="CV200" i="1" s="1"/>
  <c r="U200" i="1" s="1"/>
  <c r="AI200" i="1"/>
  <c r="AJ200" i="1"/>
  <c r="CQ200" i="1"/>
  <c r="CR200" i="1"/>
  <c r="CS200" i="1"/>
  <c r="CT200" i="1"/>
  <c r="CU200" i="1"/>
  <c r="T200" i="1" s="1"/>
  <c r="CW200" i="1"/>
  <c r="V200" i="1" s="1"/>
  <c r="CX200" i="1"/>
  <c r="W200" i="1" s="1"/>
  <c r="FR200" i="1"/>
  <c r="GK200" i="1"/>
  <c r="GL200" i="1"/>
  <c r="GO200" i="1"/>
  <c r="GP200" i="1"/>
  <c r="GV200" i="1"/>
  <c r="HC200" i="1"/>
  <c r="GX200" i="1" s="1"/>
  <c r="I201" i="1"/>
  <c r="P201" i="1" s="1"/>
  <c r="R201" i="1"/>
  <c r="GK201" i="1" s="1"/>
  <c r="AC201" i="1"/>
  <c r="AE201" i="1"/>
  <c r="AD201" i="1" s="1"/>
  <c r="AB201" i="1" s="1"/>
  <c r="AF201" i="1"/>
  <c r="S201" i="1" s="1"/>
  <c r="AG201" i="1"/>
  <c r="AH201" i="1"/>
  <c r="AI201" i="1"/>
  <c r="AJ201" i="1"/>
  <c r="CX201" i="1" s="1"/>
  <c r="W201" i="1" s="1"/>
  <c r="CQ201" i="1"/>
  <c r="CR201" i="1"/>
  <c r="CS201" i="1"/>
  <c r="CU201" i="1"/>
  <c r="T201" i="1" s="1"/>
  <c r="CV201" i="1"/>
  <c r="U201" i="1" s="1"/>
  <c r="CW201" i="1"/>
  <c r="V201" i="1" s="1"/>
  <c r="FR201" i="1"/>
  <c r="GL201" i="1"/>
  <c r="GO201" i="1"/>
  <c r="GP201" i="1"/>
  <c r="GV201" i="1"/>
  <c r="HC201" i="1" s="1"/>
  <c r="GX201" i="1" s="1"/>
  <c r="C202" i="1"/>
  <c r="D202" i="1"/>
  <c r="I202" i="1"/>
  <c r="I204" i="1" s="1"/>
  <c r="K202" i="1"/>
  <c r="AC202" i="1"/>
  <c r="AE202" i="1"/>
  <c r="Q202" i="1" s="1"/>
  <c r="AF202" i="1"/>
  <c r="AG202" i="1"/>
  <c r="AH202" i="1"/>
  <c r="AI202" i="1"/>
  <c r="CW202" i="1" s="1"/>
  <c r="V202" i="1" s="1"/>
  <c r="AJ202" i="1"/>
  <c r="CQ202" i="1"/>
  <c r="CR202" i="1"/>
  <c r="CT202" i="1"/>
  <c r="CU202" i="1"/>
  <c r="T202" i="1" s="1"/>
  <c r="CV202" i="1"/>
  <c r="U202" i="1" s="1"/>
  <c r="CX202" i="1"/>
  <c r="W202" i="1" s="1"/>
  <c r="FR202" i="1"/>
  <c r="GL202" i="1"/>
  <c r="GO202" i="1"/>
  <c r="GP202" i="1"/>
  <c r="GV202" i="1"/>
  <c r="HC202" i="1" s="1"/>
  <c r="GX202" i="1" s="1"/>
  <c r="AC203" i="1"/>
  <c r="AE203" i="1"/>
  <c r="AD203" i="1" s="1"/>
  <c r="AF203" i="1"/>
  <c r="AG203" i="1"/>
  <c r="CU203" i="1" s="1"/>
  <c r="AH203" i="1"/>
  <c r="AI203" i="1"/>
  <c r="AJ203" i="1"/>
  <c r="CR203" i="1"/>
  <c r="CS203" i="1"/>
  <c r="CT203" i="1"/>
  <c r="CV203" i="1"/>
  <c r="CW203" i="1"/>
  <c r="CX203" i="1"/>
  <c r="FR203" i="1"/>
  <c r="GL203" i="1"/>
  <c r="GO203" i="1"/>
  <c r="GP203" i="1"/>
  <c r="GV203" i="1"/>
  <c r="HC203" i="1"/>
  <c r="AC204" i="1"/>
  <c r="AE204" i="1"/>
  <c r="R204" i="1" s="1"/>
  <c r="GK204" i="1" s="1"/>
  <c r="AF204" i="1"/>
  <c r="AG204" i="1"/>
  <c r="CU204" i="1" s="1"/>
  <c r="T204" i="1" s="1"/>
  <c r="AH204" i="1"/>
  <c r="AI204" i="1"/>
  <c r="CW204" i="1" s="1"/>
  <c r="V204" i="1" s="1"/>
  <c r="AJ204" i="1"/>
  <c r="CR204" i="1"/>
  <c r="CT204" i="1"/>
  <c r="CV204" i="1"/>
  <c r="U204" i="1" s="1"/>
  <c r="CX204" i="1"/>
  <c r="W204" i="1" s="1"/>
  <c r="FR204" i="1"/>
  <c r="GL204" i="1"/>
  <c r="GO204" i="1"/>
  <c r="GP204" i="1"/>
  <c r="GV204" i="1"/>
  <c r="HC204" i="1" s="1"/>
  <c r="GX204" i="1" s="1"/>
  <c r="AC205" i="1"/>
  <c r="AE205" i="1"/>
  <c r="AD205" i="1" s="1"/>
  <c r="AF205" i="1"/>
  <c r="AG205" i="1"/>
  <c r="CU205" i="1" s="1"/>
  <c r="AH205" i="1"/>
  <c r="AI205" i="1"/>
  <c r="CW205" i="1" s="1"/>
  <c r="AJ205" i="1"/>
  <c r="CR205" i="1"/>
  <c r="CT205" i="1"/>
  <c r="CV205" i="1"/>
  <c r="CX205" i="1"/>
  <c r="FR205" i="1"/>
  <c r="GL205" i="1"/>
  <c r="GO205" i="1"/>
  <c r="GP205" i="1"/>
  <c r="GV205" i="1"/>
  <c r="HC205" i="1"/>
  <c r="C206" i="1"/>
  <c r="D206" i="1"/>
  <c r="I206" i="1"/>
  <c r="K206" i="1"/>
  <c r="P206" i="1"/>
  <c r="R206" i="1"/>
  <c r="GK206" i="1" s="1"/>
  <c r="V206" i="1"/>
  <c r="AC206" i="1"/>
  <c r="AD206" i="1"/>
  <c r="AE206" i="1"/>
  <c r="Q206" i="1" s="1"/>
  <c r="AF206" i="1"/>
  <c r="AG206" i="1"/>
  <c r="AH206" i="1"/>
  <c r="AI206" i="1"/>
  <c r="AJ206" i="1"/>
  <c r="CX206" i="1" s="1"/>
  <c r="W206" i="1" s="1"/>
  <c r="CQ206" i="1"/>
  <c r="CR206" i="1"/>
  <c r="CS206" i="1"/>
  <c r="CU206" i="1"/>
  <c r="T206" i="1" s="1"/>
  <c r="CV206" i="1"/>
  <c r="U206" i="1" s="1"/>
  <c r="CW206" i="1"/>
  <c r="FR206" i="1"/>
  <c r="GL206" i="1"/>
  <c r="GO206" i="1"/>
  <c r="GP206" i="1"/>
  <c r="GV206" i="1"/>
  <c r="HC206" i="1" s="1"/>
  <c r="GX206" i="1" s="1"/>
  <c r="I207" i="1"/>
  <c r="Q207" i="1" s="1"/>
  <c r="P207" i="1"/>
  <c r="CP207" i="1" s="1"/>
  <c r="O207" i="1" s="1"/>
  <c r="R207" i="1"/>
  <c r="GK207" i="1" s="1"/>
  <c r="T207" i="1"/>
  <c r="AC207" i="1"/>
  <c r="AD207" i="1"/>
  <c r="AB207" i="1" s="1"/>
  <c r="AE207" i="1"/>
  <c r="AF207" i="1"/>
  <c r="S207" i="1" s="1"/>
  <c r="CZ207" i="1" s="1"/>
  <c r="Y207" i="1" s="1"/>
  <c r="AG207" i="1"/>
  <c r="AH207" i="1"/>
  <c r="CV207" i="1" s="1"/>
  <c r="U207" i="1" s="1"/>
  <c r="AI207" i="1"/>
  <c r="AJ207" i="1"/>
  <c r="CX207" i="1" s="1"/>
  <c r="W207" i="1" s="1"/>
  <c r="CQ207" i="1"/>
  <c r="CR207" i="1"/>
  <c r="CS207" i="1"/>
  <c r="CU207" i="1"/>
  <c r="CW207" i="1"/>
  <c r="V207" i="1" s="1"/>
  <c r="CY207" i="1"/>
  <c r="X207" i="1" s="1"/>
  <c r="FR207" i="1"/>
  <c r="GL207" i="1"/>
  <c r="GO207" i="1"/>
  <c r="GP207" i="1"/>
  <c r="GV207" i="1"/>
  <c r="GX207" i="1"/>
  <c r="HC207" i="1"/>
  <c r="I208" i="1"/>
  <c r="AC208" i="1"/>
  <c r="AD208" i="1"/>
  <c r="AE208" i="1"/>
  <c r="AF208" i="1"/>
  <c r="AG208" i="1"/>
  <c r="AH208" i="1"/>
  <c r="CV208" i="1" s="1"/>
  <c r="AI208" i="1"/>
  <c r="AJ208" i="1"/>
  <c r="CX208" i="1" s="1"/>
  <c r="W208" i="1" s="1"/>
  <c r="CQ208" i="1"/>
  <c r="CR208" i="1"/>
  <c r="CS208" i="1"/>
  <c r="CU208" i="1"/>
  <c r="T208" i="1" s="1"/>
  <c r="CW208" i="1"/>
  <c r="V208" i="1" s="1"/>
  <c r="FR208" i="1"/>
  <c r="GL208" i="1"/>
  <c r="GO208" i="1"/>
  <c r="GP208" i="1"/>
  <c r="GV208" i="1"/>
  <c r="HC208" i="1" s="1"/>
  <c r="GX208" i="1"/>
  <c r="C209" i="1"/>
  <c r="D209" i="1"/>
  <c r="I209" i="1"/>
  <c r="K209" i="1"/>
  <c r="AC209" i="1"/>
  <c r="AE209" i="1"/>
  <c r="AF209" i="1"/>
  <c r="AG209" i="1"/>
  <c r="CU209" i="1" s="1"/>
  <c r="T209" i="1" s="1"/>
  <c r="AH209" i="1"/>
  <c r="AI209" i="1"/>
  <c r="CW209" i="1" s="1"/>
  <c r="V209" i="1" s="1"/>
  <c r="AJ209" i="1"/>
  <c r="CT209" i="1"/>
  <c r="CV209" i="1"/>
  <c r="U209" i="1" s="1"/>
  <c r="CX209" i="1"/>
  <c r="W209" i="1" s="1"/>
  <c r="FR209" i="1"/>
  <c r="GL209" i="1"/>
  <c r="GO209" i="1"/>
  <c r="GP209" i="1"/>
  <c r="GV209" i="1"/>
  <c r="HC209" i="1" s="1"/>
  <c r="GX209" i="1" s="1"/>
  <c r="AC210" i="1"/>
  <c r="AE210" i="1"/>
  <c r="AD210" i="1" s="1"/>
  <c r="AF210" i="1"/>
  <c r="AG210" i="1"/>
  <c r="CU210" i="1" s="1"/>
  <c r="AH210" i="1"/>
  <c r="AI210" i="1"/>
  <c r="CW210" i="1" s="1"/>
  <c r="AJ210" i="1"/>
  <c r="CR210" i="1"/>
  <c r="CT210" i="1"/>
  <c r="CV210" i="1"/>
  <c r="CX210" i="1"/>
  <c r="FR210" i="1"/>
  <c r="GL210" i="1"/>
  <c r="GO210" i="1"/>
  <c r="GP210" i="1"/>
  <c r="GV210" i="1"/>
  <c r="HC210" i="1"/>
  <c r="AC211" i="1"/>
  <c r="AE211" i="1"/>
  <c r="AF211" i="1"/>
  <c r="AG211" i="1"/>
  <c r="CU211" i="1" s="1"/>
  <c r="AH211" i="1"/>
  <c r="AI211" i="1"/>
  <c r="CW211" i="1" s="1"/>
  <c r="AJ211" i="1"/>
  <c r="CT211" i="1"/>
  <c r="CV211" i="1"/>
  <c r="CX211" i="1"/>
  <c r="FR211" i="1"/>
  <c r="GL211" i="1"/>
  <c r="GO211" i="1"/>
  <c r="GP211" i="1"/>
  <c r="GV211" i="1"/>
  <c r="HC211" i="1" s="1"/>
  <c r="C212" i="1"/>
  <c r="D212" i="1"/>
  <c r="P212" i="1"/>
  <c r="R212" i="1"/>
  <c r="GK212" i="1" s="1"/>
  <c r="V212" i="1"/>
  <c r="AC212" i="1"/>
  <c r="AD212" i="1"/>
  <c r="AE212" i="1"/>
  <c r="Q212" i="1" s="1"/>
  <c r="AF212" i="1"/>
  <c r="AG212" i="1"/>
  <c r="AH212" i="1"/>
  <c r="CV212" i="1" s="1"/>
  <c r="U212" i="1" s="1"/>
  <c r="AI212" i="1"/>
  <c r="AJ212" i="1"/>
  <c r="CX212" i="1" s="1"/>
  <c r="W212" i="1" s="1"/>
  <c r="CQ212" i="1"/>
  <c r="CR212" i="1"/>
  <c r="CS212" i="1"/>
  <c r="CU212" i="1"/>
  <c r="T212" i="1" s="1"/>
  <c r="CW212" i="1"/>
  <c r="FR212" i="1"/>
  <c r="GL212" i="1"/>
  <c r="GN212" i="1"/>
  <c r="GO212" i="1"/>
  <c r="GV212" i="1"/>
  <c r="HC212" i="1" s="1"/>
  <c r="GX212" i="1" s="1"/>
  <c r="C213" i="1"/>
  <c r="D213" i="1"/>
  <c r="S213" i="1"/>
  <c r="AC213" i="1"/>
  <c r="AE213" i="1"/>
  <c r="AD213" i="1" s="1"/>
  <c r="AF213" i="1"/>
  <c r="AG213" i="1"/>
  <c r="CU213" i="1" s="1"/>
  <c r="T213" i="1" s="1"/>
  <c r="AH213" i="1"/>
  <c r="AI213" i="1"/>
  <c r="CW213" i="1" s="1"/>
  <c r="V213" i="1" s="1"/>
  <c r="AJ213" i="1"/>
  <c r="CR213" i="1"/>
  <c r="CT213" i="1"/>
  <c r="CV213" i="1"/>
  <c r="U213" i="1" s="1"/>
  <c r="CX213" i="1"/>
  <c r="W213" i="1" s="1"/>
  <c r="FR213" i="1"/>
  <c r="GL213" i="1"/>
  <c r="GN213" i="1"/>
  <c r="GO213" i="1"/>
  <c r="GV213" i="1"/>
  <c r="HC213" i="1"/>
  <c r="GX213" i="1" s="1"/>
  <c r="B215" i="1"/>
  <c r="B197" i="1" s="1"/>
  <c r="C215" i="1"/>
  <c r="C197" i="1" s="1"/>
  <c r="D215" i="1"/>
  <c r="D197" i="1" s="1"/>
  <c r="F215" i="1"/>
  <c r="F197" i="1" s="1"/>
  <c r="G215" i="1"/>
  <c r="G197" i="1" s="1"/>
  <c r="BX215" i="1"/>
  <c r="CK215" i="1"/>
  <c r="BB215" i="1" s="1"/>
  <c r="CL215" i="1"/>
  <c r="BC215" i="1" s="1"/>
  <c r="CM215" i="1"/>
  <c r="CM197" i="1" s="1"/>
  <c r="D245" i="1"/>
  <c r="E247" i="1"/>
  <c r="Z247" i="1"/>
  <c r="AA247" i="1"/>
  <c r="AM247" i="1"/>
  <c r="AN247" i="1"/>
  <c r="BE247" i="1"/>
  <c r="BF247" i="1"/>
  <c r="BG247" i="1"/>
  <c r="BH247" i="1"/>
  <c r="BI247" i="1"/>
  <c r="BJ247" i="1"/>
  <c r="BK247" i="1"/>
  <c r="BL247" i="1"/>
  <c r="BM247" i="1"/>
  <c r="BN247" i="1"/>
  <c r="BO247" i="1"/>
  <c r="BP247" i="1"/>
  <c r="BQ247" i="1"/>
  <c r="BR247" i="1"/>
  <c r="BS247" i="1"/>
  <c r="BT247" i="1"/>
  <c r="BU247" i="1"/>
  <c r="BV247" i="1"/>
  <c r="BW247" i="1"/>
  <c r="CN247" i="1"/>
  <c r="CO247" i="1"/>
  <c r="CP247" i="1"/>
  <c r="CQ247" i="1"/>
  <c r="CR247" i="1"/>
  <c r="CS247" i="1"/>
  <c r="CT247" i="1"/>
  <c r="CU247" i="1"/>
  <c r="CV247" i="1"/>
  <c r="CW247" i="1"/>
  <c r="CX247" i="1"/>
  <c r="CY247" i="1"/>
  <c r="CZ247" i="1"/>
  <c r="DA247" i="1"/>
  <c r="DB247" i="1"/>
  <c r="DC247" i="1"/>
  <c r="DD247" i="1"/>
  <c r="DE247" i="1"/>
  <c r="DF247" i="1"/>
  <c r="DG247" i="1"/>
  <c r="DH247" i="1"/>
  <c r="DI247" i="1"/>
  <c r="DJ247" i="1"/>
  <c r="DK247" i="1"/>
  <c r="DL247" i="1"/>
  <c r="DM247" i="1"/>
  <c r="DN247" i="1"/>
  <c r="DO247" i="1"/>
  <c r="DP247" i="1"/>
  <c r="DQ247" i="1"/>
  <c r="DR247" i="1"/>
  <c r="DS247" i="1"/>
  <c r="DT247" i="1"/>
  <c r="DU247" i="1"/>
  <c r="DV247" i="1"/>
  <c r="DW247" i="1"/>
  <c r="DX247" i="1"/>
  <c r="DY247" i="1"/>
  <c r="DZ247" i="1"/>
  <c r="EA247" i="1"/>
  <c r="EB247" i="1"/>
  <c r="EC247" i="1"/>
  <c r="ED247" i="1"/>
  <c r="EE247" i="1"/>
  <c r="EF247" i="1"/>
  <c r="EG247" i="1"/>
  <c r="EH247" i="1"/>
  <c r="EI247" i="1"/>
  <c r="EJ247" i="1"/>
  <c r="EK247" i="1"/>
  <c r="EL247" i="1"/>
  <c r="EM247" i="1"/>
  <c r="EN247" i="1"/>
  <c r="EO247" i="1"/>
  <c r="EP247" i="1"/>
  <c r="EQ247" i="1"/>
  <c r="ER247" i="1"/>
  <c r="ES247" i="1"/>
  <c r="ET247" i="1"/>
  <c r="EU247" i="1"/>
  <c r="EV247" i="1"/>
  <c r="EW247" i="1"/>
  <c r="EX247" i="1"/>
  <c r="EY247" i="1"/>
  <c r="EZ247" i="1"/>
  <c r="FA247" i="1"/>
  <c r="FB247" i="1"/>
  <c r="FC247" i="1"/>
  <c r="FD247" i="1"/>
  <c r="FE247" i="1"/>
  <c r="FF247" i="1"/>
  <c r="FG247" i="1"/>
  <c r="FH247" i="1"/>
  <c r="FI247" i="1"/>
  <c r="FJ247" i="1"/>
  <c r="FK247" i="1"/>
  <c r="FL247" i="1"/>
  <c r="FM247" i="1"/>
  <c r="FN247" i="1"/>
  <c r="FO247" i="1"/>
  <c r="FP247" i="1"/>
  <c r="FQ247" i="1"/>
  <c r="FR247" i="1"/>
  <c r="FS247" i="1"/>
  <c r="FT247" i="1"/>
  <c r="FU247" i="1"/>
  <c r="FV247" i="1"/>
  <c r="FW247" i="1"/>
  <c r="FX247" i="1"/>
  <c r="FY247" i="1"/>
  <c r="FZ247" i="1"/>
  <c r="GA247" i="1"/>
  <c r="GB247" i="1"/>
  <c r="GC247" i="1"/>
  <c r="GD247" i="1"/>
  <c r="GE247" i="1"/>
  <c r="GF247" i="1"/>
  <c r="GG247" i="1"/>
  <c r="GH247" i="1"/>
  <c r="GI247" i="1"/>
  <c r="GJ247" i="1"/>
  <c r="GK247" i="1"/>
  <c r="GL247" i="1"/>
  <c r="GM247" i="1"/>
  <c r="GN247" i="1"/>
  <c r="GO247" i="1"/>
  <c r="GP247" i="1"/>
  <c r="GQ247" i="1"/>
  <c r="GR247" i="1"/>
  <c r="GS247" i="1"/>
  <c r="GT247" i="1"/>
  <c r="GU247" i="1"/>
  <c r="GV247" i="1"/>
  <c r="GW247" i="1"/>
  <c r="GX247" i="1"/>
  <c r="C249" i="1"/>
  <c r="D249" i="1"/>
  <c r="I249" i="1"/>
  <c r="K249" i="1"/>
  <c r="AC249" i="1"/>
  <c r="AE249" i="1"/>
  <c r="AF249" i="1"/>
  <c r="AG249" i="1"/>
  <c r="CU249" i="1" s="1"/>
  <c r="AH249" i="1"/>
  <c r="AI249" i="1"/>
  <c r="CW249" i="1" s="1"/>
  <c r="V249" i="1" s="1"/>
  <c r="AJ249" i="1"/>
  <c r="CS249" i="1"/>
  <c r="CT249" i="1"/>
  <c r="CV249" i="1"/>
  <c r="U249" i="1" s="1"/>
  <c r="CX249" i="1"/>
  <c r="W249" i="1" s="1"/>
  <c r="FR249" i="1"/>
  <c r="GL249" i="1"/>
  <c r="GO249" i="1"/>
  <c r="GP249" i="1"/>
  <c r="GV249" i="1"/>
  <c r="HC249" i="1" s="1"/>
  <c r="GX249" i="1" s="1"/>
  <c r="C250" i="1"/>
  <c r="D250" i="1"/>
  <c r="R250" i="1"/>
  <c r="GK250" i="1" s="1"/>
  <c r="S250" i="1"/>
  <c r="CZ250" i="1" s="1"/>
  <c r="Y250" i="1" s="1"/>
  <c r="W250" i="1"/>
  <c r="AC250" i="1"/>
  <c r="P250" i="1" s="1"/>
  <c r="CP250" i="1" s="1"/>
  <c r="O250" i="1" s="1"/>
  <c r="AD250" i="1"/>
  <c r="AB250" i="1" s="1"/>
  <c r="AE250" i="1"/>
  <c r="Q250" i="1" s="1"/>
  <c r="AF250" i="1"/>
  <c r="CT250" i="1" s="1"/>
  <c r="AG250" i="1"/>
  <c r="AH250" i="1"/>
  <c r="CV250" i="1" s="1"/>
  <c r="U250" i="1" s="1"/>
  <c r="AI250" i="1"/>
  <c r="AJ250" i="1"/>
  <c r="CQ250" i="1"/>
  <c r="CR250" i="1"/>
  <c r="CS250" i="1"/>
  <c r="CU250" i="1"/>
  <c r="T250" i="1" s="1"/>
  <c r="CW250" i="1"/>
  <c r="V250" i="1" s="1"/>
  <c r="CX250" i="1"/>
  <c r="FR250" i="1"/>
  <c r="GL250" i="1"/>
  <c r="GO250" i="1"/>
  <c r="GP250" i="1"/>
  <c r="GV250" i="1"/>
  <c r="HC250" i="1"/>
  <c r="GX250" i="1" s="1"/>
  <c r="C251" i="1"/>
  <c r="D251" i="1"/>
  <c r="I251" i="1"/>
  <c r="K251" i="1"/>
  <c r="Q251" i="1"/>
  <c r="AC251" i="1"/>
  <c r="P251" i="1" s="1"/>
  <c r="AE251" i="1"/>
  <c r="AD251" i="1" s="1"/>
  <c r="AF251" i="1"/>
  <c r="S251" i="1" s="1"/>
  <c r="AG251" i="1"/>
  <c r="CU251" i="1" s="1"/>
  <c r="T251" i="1" s="1"/>
  <c r="AH251" i="1"/>
  <c r="CV251" i="1" s="1"/>
  <c r="U251" i="1" s="1"/>
  <c r="AI251" i="1"/>
  <c r="AJ251" i="1"/>
  <c r="CX251" i="1" s="1"/>
  <c r="W251" i="1" s="1"/>
  <c r="CQ251" i="1"/>
  <c r="CR251" i="1"/>
  <c r="CS251" i="1"/>
  <c r="CW251" i="1"/>
  <c r="V251" i="1" s="1"/>
  <c r="FR251" i="1"/>
  <c r="GL251" i="1"/>
  <c r="GO251" i="1"/>
  <c r="GP251" i="1"/>
  <c r="GV251" i="1"/>
  <c r="GX251" i="1"/>
  <c r="HC251" i="1"/>
  <c r="I252" i="1"/>
  <c r="P252" i="1"/>
  <c r="AC252" i="1"/>
  <c r="AD252" i="1"/>
  <c r="AB252" i="1" s="1"/>
  <c r="AE252" i="1"/>
  <c r="R252" i="1" s="1"/>
  <c r="GK252" i="1" s="1"/>
  <c r="AF252" i="1"/>
  <c r="S252" i="1" s="1"/>
  <c r="AG252" i="1"/>
  <c r="AH252" i="1"/>
  <c r="CV252" i="1" s="1"/>
  <c r="U252" i="1" s="1"/>
  <c r="AI252" i="1"/>
  <c r="CW252" i="1" s="1"/>
  <c r="V252" i="1" s="1"/>
  <c r="AJ252" i="1"/>
  <c r="CX252" i="1" s="1"/>
  <c r="W252" i="1" s="1"/>
  <c r="CQ252" i="1"/>
  <c r="CR252" i="1"/>
  <c r="CU252" i="1"/>
  <c r="T252" i="1" s="1"/>
  <c r="FR252" i="1"/>
  <c r="GL252" i="1"/>
  <c r="GO252" i="1"/>
  <c r="GP252" i="1"/>
  <c r="GV252" i="1"/>
  <c r="HC252" i="1" s="1"/>
  <c r="GX252" i="1" s="1"/>
  <c r="C253" i="1"/>
  <c r="D253" i="1"/>
  <c r="I253" i="1"/>
  <c r="K253" i="1"/>
  <c r="S253" i="1"/>
  <c r="CZ253" i="1" s="1"/>
  <c r="Y253" i="1" s="1"/>
  <c r="AC253" i="1"/>
  <c r="AB253" i="1" s="1"/>
  <c r="AD253" i="1"/>
  <c r="AE253" i="1"/>
  <c r="Q253" i="1" s="1"/>
  <c r="AF253" i="1"/>
  <c r="AG253" i="1"/>
  <c r="CU253" i="1" s="1"/>
  <c r="T253" i="1" s="1"/>
  <c r="AH253" i="1"/>
  <c r="CV253" i="1" s="1"/>
  <c r="U253" i="1" s="1"/>
  <c r="AI253" i="1"/>
  <c r="CW253" i="1" s="1"/>
  <c r="V253" i="1" s="1"/>
  <c r="AJ253" i="1"/>
  <c r="CR253" i="1"/>
  <c r="CT253" i="1"/>
  <c r="CX253" i="1"/>
  <c r="W253" i="1" s="1"/>
  <c r="FR253" i="1"/>
  <c r="GL253" i="1"/>
  <c r="GO253" i="1"/>
  <c r="GP253" i="1"/>
  <c r="GV253" i="1"/>
  <c r="HC253" i="1"/>
  <c r="GX253" i="1" s="1"/>
  <c r="I254" i="1"/>
  <c r="AC254" i="1"/>
  <c r="P254" i="1" s="1"/>
  <c r="AE254" i="1"/>
  <c r="AD254" i="1" s="1"/>
  <c r="AB254" i="1" s="1"/>
  <c r="AF254" i="1"/>
  <c r="S254" i="1" s="1"/>
  <c r="AG254" i="1"/>
  <c r="CU254" i="1" s="1"/>
  <c r="T254" i="1" s="1"/>
  <c r="AH254" i="1"/>
  <c r="AI254" i="1"/>
  <c r="CW254" i="1" s="1"/>
  <c r="V254" i="1" s="1"/>
  <c r="AJ254" i="1"/>
  <c r="CX254" i="1" s="1"/>
  <c r="W254" i="1" s="1"/>
  <c r="CR254" i="1"/>
  <c r="CV254" i="1"/>
  <c r="U254" i="1" s="1"/>
  <c r="FR254" i="1"/>
  <c r="GL254" i="1"/>
  <c r="GO254" i="1"/>
  <c r="GP254" i="1"/>
  <c r="GV254" i="1"/>
  <c r="HC254" i="1" s="1"/>
  <c r="GX254" i="1" s="1"/>
  <c r="I255" i="1"/>
  <c r="S255" i="1"/>
  <c r="CZ255" i="1" s="1"/>
  <c r="Y255" i="1" s="1"/>
  <c r="AC255" i="1"/>
  <c r="AB255" i="1" s="1"/>
  <c r="AD255" i="1"/>
  <c r="AE255" i="1"/>
  <c r="Q255" i="1" s="1"/>
  <c r="AF255" i="1"/>
  <c r="AG255" i="1"/>
  <c r="CU255" i="1" s="1"/>
  <c r="T255" i="1" s="1"/>
  <c r="AH255" i="1"/>
  <c r="CV255" i="1" s="1"/>
  <c r="U255" i="1" s="1"/>
  <c r="AI255" i="1"/>
  <c r="CW255" i="1" s="1"/>
  <c r="V255" i="1" s="1"/>
  <c r="AJ255" i="1"/>
  <c r="CR255" i="1"/>
  <c r="CT255" i="1"/>
  <c r="CX255" i="1"/>
  <c r="W255" i="1" s="1"/>
  <c r="FR255" i="1"/>
  <c r="GL255" i="1"/>
  <c r="GO255" i="1"/>
  <c r="GP255" i="1"/>
  <c r="GV255" i="1"/>
  <c r="HC255" i="1"/>
  <c r="GX255" i="1" s="1"/>
  <c r="I256" i="1"/>
  <c r="AC256" i="1"/>
  <c r="P256" i="1" s="1"/>
  <c r="AE256" i="1"/>
  <c r="AD256" i="1" s="1"/>
  <c r="AB256" i="1" s="1"/>
  <c r="AF256" i="1"/>
  <c r="S256" i="1" s="1"/>
  <c r="AG256" i="1"/>
  <c r="CU256" i="1" s="1"/>
  <c r="T256" i="1" s="1"/>
  <c r="AH256" i="1"/>
  <c r="AI256" i="1"/>
  <c r="CW256" i="1" s="1"/>
  <c r="V256" i="1" s="1"/>
  <c r="AJ256" i="1"/>
  <c r="CX256" i="1" s="1"/>
  <c r="W256" i="1" s="1"/>
  <c r="CR256" i="1"/>
  <c r="CV256" i="1"/>
  <c r="U256" i="1" s="1"/>
  <c r="FR256" i="1"/>
  <c r="GL256" i="1"/>
  <c r="GO256" i="1"/>
  <c r="GP256" i="1"/>
  <c r="GV256" i="1"/>
  <c r="HC256" i="1" s="1"/>
  <c r="GX256" i="1" s="1"/>
  <c r="C257" i="1"/>
  <c r="D257" i="1"/>
  <c r="I257" i="1"/>
  <c r="K257" i="1"/>
  <c r="P257" i="1"/>
  <c r="AC257" i="1"/>
  <c r="AD257" i="1"/>
  <c r="AB257" i="1" s="1"/>
  <c r="AE257" i="1"/>
  <c r="R257" i="1" s="1"/>
  <c r="GK257" i="1" s="1"/>
  <c r="AF257" i="1"/>
  <c r="S257" i="1" s="1"/>
  <c r="AG257" i="1"/>
  <c r="AH257" i="1"/>
  <c r="CV257" i="1" s="1"/>
  <c r="U257" i="1" s="1"/>
  <c r="AI257" i="1"/>
  <c r="CW257" i="1" s="1"/>
  <c r="V257" i="1" s="1"/>
  <c r="AJ257" i="1"/>
  <c r="CX257" i="1" s="1"/>
  <c r="W257" i="1" s="1"/>
  <c r="CQ257" i="1"/>
  <c r="CR257" i="1"/>
  <c r="CU257" i="1"/>
  <c r="T257" i="1" s="1"/>
  <c r="FR257" i="1"/>
  <c r="GL257" i="1"/>
  <c r="GO257" i="1"/>
  <c r="GP257" i="1"/>
  <c r="GV257" i="1"/>
  <c r="HC257" i="1" s="1"/>
  <c r="GX257" i="1" s="1"/>
  <c r="I258" i="1"/>
  <c r="Q258" i="1" s="1"/>
  <c r="R258" i="1"/>
  <c r="GK258" i="1" s="1"/>
  <c r="AC258" i="1"/>
  <c r="P258" i="1" s="1"/>
  <c r="AD258" i="1"/>
  <c r="AE258" i="1"/>
  <c r="AF258" i="1"/>
  <c r="AB258" i="1" s="1"/>
  <c r="AG258" i="1"/>
  <c r="CU258" i="1" s="1"/>
  <c r="T258" i="1" s="1"/>
  <c r="AH258" i="1"/>
  <c r="CV258" i="1" s="1"/>
  <c r="U258" i="1" s="1"/>
  <c r="AI258" i="1"/>
  <c r="AJ258" i="1"/>
  <c r="CX258" i="1" s="1"/>
  <c r="W258" i="1" s="1"/>
  <c r="CR258" i="1"/>
  <c r="CS258" i="1"/>
  <c r="CW258" i="1"/>
  <c r="V258" i="1" s="1"/>
  <c r="FR258" i="1"/>
  <c r="GL258" i="1"/>
  <c r="GO258" i="1"/>
  <c r="GP258" i="1"/>
  <c r="GV258" i="1"/>
  <c r="GX258" i="1"/>
  <c r="HC258" i="1"/>
  <c r="C259" i="1"/>
  <c r="D259" i="1"/>
  <c r="S259" i="1"/>
  <c r="CZ259" i="1" s="1"/>
  <c r="Y259" i="1" s="1"/>
  <c r="AC259" i="1"/>
  <c r="AB259" i="1" s="1"/>
  <c r="AD259" i="1"/>
  <c r="AE259" i="1"/>
  <c r="Q259" i="1" s="1"/>
  <c r="AF259" i="1"/>
  <c r="AG259" i="1"/>
  <c r="CU259" i="1" s="1"/>
  <c r="T259" i="1" s="1"/>
  <c r="AH259" i="1"/>
  <c r="CV259" i="1" s="1"/>
  <c r="U259" i="1" s="1"/>
  <c r="AI259" i="1"/>
  <c r="CW259" i="1" s="1"/>
  <c r="V259" i="1" s="1"/>
  <c r="AJ259" i="1"/>
  <c r="CR259" i="1"/>
  <c r="CT259" i="1"/>
  <c r="CX259" i="1"/>
  <c r="W259" i="1" s="1"/>
  <c r="FR259" i="1"/>
  <c r="GL259" i="1"/>
  <c r="GO259" i="1"/>
  <c r="CC264" i="1" s="1"/>
  <c r="GP259" i="1"/>
  <c r="GV259" i="1"/>
  <c r="HC259" i="1"/>
  <c r="GX259" i="1" s="1"/>
  <c r="C260" i="1"/>
  <c r="D260" i="1"/>
  <c r="P260" i="1"/>
  <c r="AC260" i="1"/>
  <c r="AD260" i="1"/>
  <c r="AB260" i="1" s="1"/>
  <c r="AE260" i="1"/>
  <c r="R260" i="1" s="1"/>
  <c r="GK260" i="1" s="1"/>
  <c r="AF260" i="1"/>
  <c r="S260" i="1" s="1"/>
  <c r="AG260" i="1"/>
  <c r="AH260" i="1"/>
  <c r="CV260" i="1" s="1"/>
  <c r="U260" i="1" s="1"/>
  <c r="AI260" i="1"/>
  <c r="CW260" i="1" s="1"/>
  <c r="V260" i="1" s="1"/>
  <c r="AJ260" i="1"/>
  <c r="CX260" i="1" s="1"/>
  <c r="W260" i="1" s="1"/>
  <c r="CQ260" i="1"/>
  <c r="CR260" i="1"/>
  <c r="CU260" i="1"/>
  <c r="T260" i="1" s="1"/>
  <c r="FR260" i="1"/>
  <c r="GL260" i="1"/>
  <c r="BZ264" i="1" s="1"/>
  <c r="GN260" i="1"/>
  <c r="GO260" i="1"/>
  <c r="GV260" i="1"/>
  <c r="HC260" i="1" s="1"/>
  <c r="GX260" i="1" s="1"/>
  <c r="C261" i="1"/>
  <c r="D261" i="1"/>
  <c r="AC261" i="1"/>
  <c r="P261" i="1" s="1"/>
  <c r="AE261" i="1"/>
  <c r="AD261" i="1" s="1"/>
  <c r="AB261" i="1" s="1"/>
  <c r="AF261" i="1"/>
  <c r="S261" i="1" s="1"/>
  <c r="AG261" i="1"/>
  <c r="CU261" i="1" s="1"/>
  <c r="T261" i="1" s="1"/>
  <c r="AH261" i="1"/>
  <c r="AI261" i="1"/>
  <c r="CW261" i="1" s="1"/>
  <c r="V261" i="1" s="1"/>
  <c r="AJ261" i="1"/>
  <c r="CX261" i="1" s="1"/>
  <c r="W261" i="1" s="1"/>
  <c r="CR261" i="1"/>
  <c r="CV261" i="1"/>
  <c r="U261" i="1" s="1"/>
  <c r="FR261" i="1"/>
  <c r="GL261" i="1"/>
  <c r="GN261" i="1"/>
  <c r="GO261" i="1"/>
  <c r="GV261" i="1"/>
  <c r="HC261" i="1" s="1"/>
  <c r="GX261" i="1" s="1"/>
  <c r="C262" i="1"/>
  <c r="D262" i="1"/>
  <c r="R262" i="1"/>
  <c r="GK262" i="1" s="1"/>
  <c r="AC262" i="1"/>
  <c r="P262" i="1" s="1"/>
  <c r="AD262" i="1"/>
  <c r="AE262" i="1"/>
  <c r="Q262" i="1" s="1"/>
  <c r="AF262" i="1"/>
  <c r="AB262" i="1" s="1"/>
  <c r="AG262" i="1"/>
  <c r="CU262" i="1" s="1"/>
  <c r="T262" i="1" s="1"/>
  <c r="AH262" i="1"/>
  <c r="AI262" i="1"/>
  <c r="AJ262" i="1"/>
  <c r="CX262" i="1" s="1"/>
  <c r="W262" i="1" s="1"/>
  <c r="CR262" i="1"/>
  <c r="CS262" i="1"/>
  <c r="CV262" i="1"/>
  <c r="U262" i="1" s="1"/>
  <c r="CW262" i="1"/>
  <c r="V262" i="1" s="1"/>
  <c r="FR262" i="1"/>
  <c r="BY264" i="1" s="1"/>
  <c r="GL262" i="1"/>
  <c r="GN262" i="1"/>
  <c r="GO262" i="1"/>
  <c r="GV262" i="1"/>
  <c r="GX262" i="1"/>
  <c r="HC262" i="1"/>
  <c r="B264" i="1"/>
  <c r="B247" i="1" s="1"/>
  <c r="C264" i="1"/>
  <c r="C247" i="1" s="1"/>
  <c r="D264" i="1"/>
  <c r="D247" i="1" s="1"/>
  <c r="F264" i="1"/>
  <c r="F247" i="1" s="1"/>
  <c r="G264" i="1"/>
  <c r="G247" i="1" s="1"/>
  <c r="BX264" i="1"/>
  <c r="BX247" i="1" s="1"/>
  <c r="CK264" i="1"/>
  <c r="CK247" i="1" s="1"/>
  <c r="CL264" i="1"/>
  <c r="CL247" i="1" s="1"/>
  <c r="CM264" i="1"/>
  <c r="D294" i="1"/>
  <c r="E296" i="1"/>
  <c r="Z296" i="1"/>
  <c r="AA296" i="1"/>
  <c r="AM296" i="1"/>
  <c r="AN296" i="1"/>
  <c r="BE296" i="1"/>
  <c r="BF296" i="1"/>
  <c r="BG296" i="1"/>
  <c r="BH296" i="1"/>
  <c r="BI296" i="1"/>
  <c r="BJ296" i="1"/>
  <c r="BK296" i="1"/>
  <c r="BL296" i="1"/>
  <c r="BM296" i="1"/>
  <c r="BN296" i="1"/>
  <c r="BO296" i="1"/>
  <c r="BP296" i="1"/>
  <c r="BQ296" i="1"/>
  <c r="BR296" i="1"/>
  <c r="BS296" i="1"/>
  <c r="BT296" i="1"/>
  <c r="BU296" i="1"/>
  <c r="BV296" i="1"/>
  <c r="BW296" i="1"/>
  <c r="BX296" i="1"/>
  <c r="CN296" i="1"/>
  <c r="CO296" i="1"/>
  <c r="CP296" i="1"/>
  <c r="CQ296" i="1"/>
  <c r="CR296" i="1"/>
  <c r="CS296" i="1"/>
  <c r="CT296" i="1"/>
  <c r="CU296" i="1"/>
  <c r="CV296" i="1"/>
  <c r="CW296" i="1"/>
  <c r="CX296" i="1"/>
  <c r="CY296" i="1"/>
  <c r="CZ296" i="1"/>
  <c r="DA296" i="1"/>
  <c r="DB296" i="1"/>
  <c r="DC296" i="1"/>
  <c r="DD296" i="1"/>
  <c r="DE296" i="1"/>
  <c r="DF296" i="1"/>
  <c r="DG296" i="1"/>
  <c r="DH296" i="1"/>
  <c r="DI296" i="1"/>
  <c r="DJ296" i="1"/>
  <c r="DK296" i="1"/>
  <c r="DL296" i="1"/>
  <c r="DM296" i="1"/>
  <c r="DN296" i="1"/>
  <c r="DO296" i="1"/>
  <c r="DP296" i="1"/>
  <c r="DQ296" i="1"/>
  <c r="DR296" i="1"/>
  <c r="DS296" i="1"/>
  <c r="DT296" i="1"/>
  <c r="DU296" i="1"/>
  <c r="DV296" i="1"/>
  <c r="DW296" i="1"/>
  <c r="DX296" i="1"/>
  <c r="DY296" i="1"/>
  <c r="DZ296" i="1"/>
  <c r="EA296" i="1"/>
  <c r="EB296" i="1"/>
  <c r="EC296" i="1"/>
  <c r="ED296" i="1"/>
  <c r="EE296" i="1"/>
  <c r="EF296" i="1"/>
  <c r="EG296" i="1"/>
  <c r="EH296" i="1"/>
  <c r="EI296" i="1"/>
  <c r="EJ296" i="1"/>
  <c r="EK296" i="1"/>
  <c r="EL296" i="1"/>
  <c r="EM296" i="1"/>
  <c r="EN296" i="1"/>
  <c r="EO296" i="1"/>
  <c r="EP296" i="1"/>
  <c r="EQ296" i="1"/>
  <c r="ER296" i="1"/>
  <c r="ES296" i="1"/>
  <c r="ET296" i="1"/>
  <c r="EU296" i="1"/>
  <c r="EV296" i="1"/>
  <c r="EW296" i="1"/>
  <c r="EX296" i="1"/>
  <c r="EY296" i="1"/>
  <c r="EZ296" i="1"/>
  <c r="FA296" i="1"/>
  <c r="FB296" i="1"/>
  <c r="FC296" i="1"/>
  <c r="FD296" i="1"/>
  <c r="FE296" i="1"/>
  <c r="FF296" i="1"/>
  <c r="FG296" i="1"/>
  <c r="FH296" i="1"/>
  <c r="FI296" i="1"/>
  <c r="FJ296" i="1"/>
  <c r="FK296" i="1"/>
  <c r="FL296" i="1"/>
  <c r="FM296" i="1"/>
  <c r="FN296" i="1"/>
  <c r="FO296" i="1"/>
  <c r="FP296" i="1"/>
  <c r="FQ296" i="1"/>
  <c r="FR296" i="1"/>
  <c r="FS296" i="1"/>
  <c r="FT296" i="1"/>
  <c r="FU296" i="1"/>
  <c r="FV296" i="1"/>
  <c r="FW296" i="1"/>
  <c r="FX296" i="1"/>
  <c r="FY296" i="1"/>
  <c r="FZ296" i="1"/>
  <c r="GA296" i="1"/>
  <c r="GB296" i="1"/>
  <c r="GC296" i="1"/>
  <c r="GD296" i="1"/>
  <c r="GE296" i="1"/>
  <c r="GF296" i="1"/>
  <c r="GG296" i="1"/>
  <c r="GH296" i="1"/>
  <c r="GI296" i="1"/>
  <c r="GJ296" i="1"/>
  <c r="GK296" i="1"/>
  <c r="GL296" i="1"/>
  <c r="GM296" i="1"/>
  <c r="GN296" i="1"/>
  <c r="GO296" i="1"/>
  <c r="GP296" i="1"/>
  <c r="GQ296" i="1"/>
  <c r="GR296" i="1"/>
  <c r="GS296" i="1"/>
  <c r="GT296" i="1"/>
  <c r="GU296" i="1"/>
  <c r="GV296" i="1"/>
  <c r="GW296" i="1"/>
  <c r="GX296" i="1"/>
  <c r="C298" i="1"/>
  <c r="D298" i="1"/>
  <c r="I298" i="1"/>
  <c r="K298" i="1"/>
  <c r="P298" i="1"/>
  <c r="AC298" i="1"/>
  <c r="AD298" i="1"/>
  <c r="AB298" i="1" s="1"/>
  <c r="AE298" i="1"/>
  <c r="R298" i="1" s="1"/>
  <c r="GK298" i="1" s="1"/>
  <c r="AF298" i="1"/>
  <c r="S298" i="1" s="1"/>
  <c r="CZ298" i="1" s="1"/>
  <c r="Y298" i="1" s="1"/>
  <c r="AG298" i="1"/>
  <c r="AH298" i="1"/>
  <c r="CV298" i="1" s="1"/>
  <c r="U298" i="1" s="1"/>
  <c r="AI298" i="1"/>
  <c r="CW298" i="1" s="1"/>
  <c r="V298" i="1" s="1"/>
  <c r="AJ298" i="1"/>
  <c r="CX298" i="1" s="1"/>
  <c r="W298" i="1" s="1"/>
  <c r="CQ298" i="1"/>
  <c r="CR298" i="1"/>
  <c r="CU298" i="1"/>
  <c r="T298" i="1" s="1"/>
  <c r="CY298" i="1"/>
  <c r="X298" i="1" s="1"/>
  <c r="FR298" i="1"/>
  <c r="GL298" i="1"/>
  <c r="GO298" i="1"/>
  <c r="GP298" i="1"/>
  <c r="GV298" i="1"/>
  <c r="HC298" i="1" s="1"/>
  <c r="GX298" i="1" s="1"/>
  <c r="C299" i="1"/>
  <c r="D299" i="1"/>
  <c r="I299" i="1"/>
  <c r="K299" i="1"/>
  <c r="S299" i="1"/>
  <c r="CZ299" i="1" s="1"/>
  <c r="Y299" i="1" s="1"/>
  <c r="AC299" i="1"/>
  <c r="CQ299" i="1" s="1"/>
  <c r="AD299" i="1"/>
  <c r="AE299" i="1"/>
  <c r="Q299" i="1" s="1"/>
  <c r="AF299" i="1"/>
  <c r="AG299" i="1"/>
  <c r="AH299" i="1"/>
  <c r="CV299" i="1" s="1"/>
  <c r="U299" i="1" s="1"/>
  <c r="AI299" i="1"/>
  <c r="CW299" i="1" s="1"/>
  <c r="V299" i="1" s="1"/>
  <c r="AJ299" i="1"/>
  <c r="CR299" i="1"/>
  <c r="CT299" i="1"/>
  <c r="CU299" i="1"/>
  <c r="T299" i="1" s="1"/>
  <c r="CX299" i="1"/>
  <c r="W299" i="1" s="1"/>
  <c r="CY299" i="1"/>
  <c r="X299" i="1" s="1"/>
  <c r="FR299" i="1"/>
  <c r="GL299" i="1"/>
  <c r="GO299" i="1"/>
  <c r="GP299" i="1"/>
  <c r="GV299" i="1"/>
  <c r="HC299" i="1"/>
  <c r="GX299" i="1" s="1"/>
  <c r="C300" i="1"/>
  <c r="D300" i="1"/>
  <c r="I300" i="1"/>
  <c r="CX209" i="3" s="1"/>
  <c r="K300" i="1"/>
  <c r="S300" i="1"/>
  <c r="CY300" i="1" s="1"/>
  <c r="X300" i="1" s="1"/>
  <c r="AC300" i="1"/>
  <c r="CQ300" i="1" s="1"/>
  <c r="AE300" i="1"/>
  <c r="Q300" i="1" s="1"/>
  <c r="AF300" i="1"/>
  <c r="AG300" i="1"/>
  <c r="CU300" i="1" s="1"/>
  <c r="T300" i="1" s="1"/>
  <c r="AH300" i="1"/>
  <c r="AI300" i="1"/>
  <c r="CW300" i="1" s="1"/>
  <c r="V300" i="1" s="1"/>
  <c r="AJ300" i="1"/>
  <c r="CR300" i="1"/>
  <c r="CT300" i="1"/>
  <c r="CV300" i="1"/>
  <c r="U300" i="1" s="1"/>
  <c r="AH305" i="1" s="1"/>
  <c r="CX300" i="1"/>
  <c r="W300" i="1" s="1"/>
  <c r="FR300" i="1"/>
  <c r="GL300" i="1"/>
  <c r="GO300" i="1"/>
  <c r="CC305" i="1" s="1"/>
  <c r="GP300" i="1"/>
  <c r="GV300" i="1"/>
  <c r="HC300" i="1"/>
  <c r="GX300" i="1" s="1"/>
  <c r="C301" i="1"/>
  <c r="D301" i="1"/>
  <c r="P301" i="1"/>
  <c r="R301" i="1"/>
  <c r="GK301" i="1" s="1"/>
  <c r="AC301" i="1"/>
  <c r="AD301" i="1"/>
  <c r="AB301" i="1" s="1"/>
  <c r="AE301" i="1"/>
  <c r="Q301" i="1" s="1"/>
  <c r="AF301" i="1"/>
  <c r="S301" i="1" s="1"/>
  <c r="AG301" i="1"/>
  <c r="AH301" i="1"/>
  <c r="CV301" i="1" s="1"/>
  <c r="U301" i="1" s="1"/>
  <c r="AI301" i="1"/>
  <c r="AJ301" i="1"/>
  <c r="CX301" i="1" s="1"/>
  <c r="W301" i="1" s="1"/>
  <c r="CQ301" i="1"/>
  <c r="CR301" i="1"/>
  <c r="CS301" i="1"/>
  <c r="CU301" i="1"/>
  <c r="T301" i="1" s="1"/>
  <c r="CW301" i="1"/>
  <c r="V301" i="1" s="1"/>
  <c r="FR301" i="1"/>
  <c r="GL301" i="1"/>
  <c r="BZ305" i="1" s="1"/>
  <c r="GO301" i="1"/>
  <c r="GP301" i="1"/>
  <c r="GV301" i="1"/>
  <c r="HC301" i="1" s="1"/>
  <c r="GX301" i="1" s="1"/>
  <c r="C302" i="1"/>
  <c r="D302" i="1"/>
  <c r="S302" i="1"/>
  <c r="CY302" i="1" s="1"/>
  <c r="X302" i="1" s="1"/>
  <c r="AC302" i="1"/>
  <c r="AE302" i="1"/>
  <c r="Q302" i="1" s="1"/>
  <c r="AF302" i="1"/>
  <c r="AG302" i="1"/>
  <c r="CU302" i="1" s="1"/>
  <c r="T302" i="1" s="1"/>
  <c r="AH302" i="1"/>
  <c r="AI302" i="1"/>
  <c r="CW302" i="1" s="1"/>
  <c r="V302" i="1" s="1"/>
  <c r="AJ302" i="1"/>
  <c r="CR302" i="1"/>
  <c r="CT302" i="1"/>
  <c r="CV302" i="1"/>
  <c r="U302" i="1" s="1"/>
  <c r="CX302" i="1"/>
  <c r="W302" i="1" s="1"/>
  <c r="CZ302" i="1"/>
  <c r="Y302" i="1" s="1"/>
  <c r="FR302" i="1"/>
  <c r="GL302" i="1"/>
  <c r="GN302" i="1"/>
  <c r="GO302" i="1"/>
  <c r="GV302" i="1"/>
  <c r="HC302" i="1" s="1"/>
  <c r="GX302" i="1" s="1"/>
  <c r="C303" i="1"/>
  <c r="D303" i="1"/>
  <c r="P303" i="1"/>
  <c r="R303" i="1"/>
  <c r="GK303" i="1" s="1"/>
  <c r="AC303" i="1"/>
  <c r="AD303" i="1"/>
  <c r="AE303" i="1"/>
  <c r="Q303" i="1" s="1"/>
  <c r="AF303" i="1"/>
  <c r="AB303" i="1" s="1"/>
  <c r="AG303" i="1"/>
  <c r="AH303" i="1"/>
  <c r="CV303" i="1" s="1"/>
  <c r="U303" i="1" s="1"/>
  <c r="AI303" i="1"/>
  <c r="AJ303" i="1"/>
  <c r="CX303" i="1" s="1"/>
  <c r="W303" i="1" s="1"/>
  <c r="CQ303" i="1"/>
  <c r="CR303" i="1"/>
  <c r="CS303" i="1"/>
  <c r="CU303" i="1"/>
  <c r="T303" i="1" s="1"/>
  <c r="CW303" i="1"/>
  <c r="V303" i="1" s="1"/>
  <c r="FR303" i="1"/>
  <c r="BY305" i="1" s="1"/>
  <c r="GL303" i="1"/>
  <c r="GN303" i="1"/>
  <c r="GO303" i="1"/>
  <c r="GV303" i="1"/>
  <c r="GX303" i="1"/>
  <c r="HC303" i="1"/>
  <c r="B305" i="1"/>
  <c r="B296" i="1" s="1"/>
  <c r="C305" i="1"/>
  <c r="C296" i="1" s="1"/>
  <c r="D305" i="1"/>
  <c r="D296" i="1" s="1"/>
  <c r="F305" i="1"/>
  <c r="F296" i="1" s="1"/>
  <c r="G305" i="1"/>
  <c r="G296" i="1" s="1"/>
  <c r="BX305" i="1"/>
  <c r="AO305" i="1" s="1"/>
  <c r="CK305" i="1"/>
  <c r="CK296" i="1" s="1"/>
  <c r="CL305" i="1"/>
  <c r="CL296" i="1" s="1"/>
  <c r="CM305" i="1"/>
  <c r="CM296" i="1" s="1"/>
  <c r="D335" i="1"/>
  <c r="E337" i="1"/>
  <c r="Z337" i="1"/>
  <c r="AA337" i="1"/>
  <c r="AM337" i="1"/>
  <c r="AN337" i="1"/>
  <c r="BE337" i="1"/>
  <c r="BF337" i="1"/>
  <c r="BG337" i="1"/>
  <c r="BH337" i="1"/>
  <c r="BI337" i="1"/>
  <c r="BJ337" i="1"/>
  <c r="BK337" i="1"/>
  <c r="BL337" i="1"/>
  <c r="BM337" i="1"/>
  <c r="BN337" i="1"/>
  <c r="BO337" i="1"/>
  <c r="BP337" i="1"/>
  <c r="BQ337" i="1"/>
  <c r="BR337" i="1"/>
  <c r="BS337" i="1"/>
  <c r="BT337" i="1"/>
  <c r="BU337" i="1"/>
  <c r="BV337" i="1"/>
  <c r="BW337" i="1"/>
  <c r="BX337" i="1"/>
  <c r="CN337" i="1"/>
  <c r="CO337" i="1"/>
  <c r="CP337" i="1"/>
  <c r="CQ337" i="1"/>
  <c r="CR337" i="1"/>
  <c r="CS337" i="1"/>
  <c r="CT337" i="1"/>
  <c r="CU337" i="1"/>
  <c r="CV337" i="1"/>
  <c r="CW337" i="1"/>
  <c r="CX337" i="1"/>
  <c r="CY337" i="1"/>
  <c r="CZ337" i="1"/>
  <c r="DA337" i="1"/>
  <c r="DB337" i="1"/>
  <c r="DC337" i="1"/>
  <c r="DD337" i="1"/>
  <c r="DE337" i="1"/>
  <c r="DF337" i="1"/>
  <c r="DG337" i="1"/>
  <c r="DH337" i="1"/>
  <c r="DI337" i="1"/>
  <c r="DJ337" i="1"/>
  <c r="DK337" i="1"/>
  <c r="DL337" i="1"/>
  <c r="DM337" i="1"/>
  <c r="DN337" i="1"/>
  <c r="DO337" i="1"/>
  <c r="DP337" i="1"/>
  <c r="DQ337" i="1"/>
  <c r="DR337" i="1"/>
  <c r="DS337" i="1"/>
  <c r="DT337" i="1"/>
  <c r="DU337" i="1"/>
  <c r="DV337" i="1"/>
  <c r="DW337" i="1"/>
  <c r="DX337" i="1"/>
  <c r="DY337" i="1"/>
  <c r="DZ337" i="1"/>
  <c r="EA337" i="1"/>
  <c r="EB337" i="1"/>
  <c r="EC337" i="1"/>
  <c r="ED337" i="1"/>
  <c r="EE337" i="1"/>
  <c r="EF337" i="1"/>
  <c r="EG337" i="1"/>
  <c r="EH337" i="1"/>
  <c r="EI337" i="1"/>
  <c r="EJ337" i="1"/>
  <c r="EK337" i="1"/>
  <c r="EL337" i="1"/>
  <c r="EM337" i="1"/>
  <c r="EN337" i="1"/>
  <c r="EO337" i="1"/>
  <c r="EP337" i="1"/>
  <c r="EQ337" i="1"/>
  <c r="ER337" i="1"/>
  <c r="ES337" i="1"/>
  <c r="ET337" i="1"/>
  <c r="EU337" i="1"/>
  <c r="EV337" i="1"/>
  <c r="EW337" i="1"/>
  <c r="EX337" i="1"/>
  <c r="EY337" i="1"/>
  <c r="EZ337" i="1"/>
  <c r="FA337" i="1"/>
  <c r="FB337" i="1"/>
  <c r="FC337" i="1"/>
  <c r="FD337" i="1"/>
  <c r="FE337" i="1"/>
  <c r="FF337" i="1"/>
  <c r="FG337" i="1"/>
  <c r="FH337" i="1"/>
  <c r="FI337" i="1"/>
  <c r="FJ337" i="1"/>
  <c r="FK337" i="1"/>
  <c r="FL337" i="1"/>
  <c r="FM337" i="1"/>
  <c r="FN337" i="1"/>
  <c r="FO337" i="1"/>
  <c r="FP337" i="1"/>
  <c r="FQ337" i="1"/>
  <c r="FR337" i="1"/>
  <c r="FS337" i="1"/>
  <c r="FT337" i="1"/>
  <c r="FU337" i="1"/>
  <c r="FV337" i="1"/>
  <c r="FW337" i="1"/>
  <c r="FX337" i="1"/>
  <c r="FY337" i="1"/>
  <c r="FZ337" i="1"/>
  <c r="GA337" i="1"/>
  <c r="GB337" i="1"/>
  <c r="GC337" i="1"/>
  <c r="GD337" i="1"/>
  <c r="GE337" i="1"/>
  <c r="GF337" i="1"/>
  <c r="GG337" i="1"/>
  <c r="GH337" i="1"/>
  <c r="GI337" i="1"/>
  <c r="GJ337" i="1"/>
  <c r="GK337" i="1"/>
  <c r="GL337" i="1"/>
  <c r="GM337" i="1"/>
  <c r="GN337" i="1"/>
  <c r="GO337" i="1"/>
  <c r="GP337" i="1"/>
  <c r="GQ337" i="1"/>
  <c r="GR337" i="1"/>
  <c r="GS337" i="1"/>
  <c r="GT337" i="1"/>
  <c r="GU337" i="1"/>
  <c r="GV337" i="1"/>
  <c r="GW337" i="1"/>
  <c r="GX337" i="1"/>
  <c r="I339" i="1"/>
  <c r="K339" i="1"/>
  <c r="P339" i="1"/>
  <c r="R339" i="1"/>
  <c r="GK339" i="1" s="1"/>
  <c r="AC339" i="1"/>
  <c r="AD339" i="1"/>
  <c r="AE339" i="1"/>
  <c r="Q339" i="1" s="1"/>
  <c r="AF339" i="1"/>
  <c r="AB339" i="1" s="1"/>
  <c r="AG339" i="1"/>
  <c r="AH339" i="1"/>
  <c r="CV339" i="1" s="1"/>
  <c r="U339" i="1" s="1"/>
  <c r="AI339" i="1"/>
  <c r="AJ339" i="1"/>
  <c r="CX339" i="1" s="1"/>
  <c r="W339" i="1" s="1"/>
  <c r="CQ339" i="1"/>
  <c r="CR339" i="1"/>
  <c r="CS339" i="1"/>
  <c r="CU339" i="1"/>
  <c r="T339" i="1" s="1"/>
  <c r="CW339" i="1"/>
  <c r="V339" i="1" s="1"/>
  <c r="FR339" i="1"/>
  <c r="BY348" i="1" s="1"/>
  <c r="GL339" i="1"/>
  <c r="GO339" i="1"/>
  <c r="GP339" i="1"/>
  <c r="GV339" i="1"/>
  <c r="GX339" i="1"/>
  <c r="HC339" i="1"/>
  <c r="C340" i="1"/>
  <c r="D340" i="1"/>
  <c r="I340" i="1"/>
  <c r="I342" i="1" s="1"/>
  <c r="K340" i="1"/>
  <c r="AC340" i="1"/>
  <c r="AE340" i="1"/>
  <c r="Q340" i="1" s="1"/>
  <c r="AF340" i="1"/>
  <c r="AG340" i="1"/>
  <c r="CU340" i="1" s="1"/>
  <c r="T340" i="1" s="1"/>
  <c r="AH340" i="1"/>
  <c r="AI340" i="1"/>
  <c r="CW340" i="1" s="1"/>
  <c r="V340" i="1" s="1"/>
  <c r="AJ340" i="1"/>
  <c r="CR340" i="1"/>
  <c r="CT340" i="1"/>
  <c r="CV340" i="1"/>
  <c r="U340" i="1" s="1"/>
  <c r="CX340" i="1"/>
  <c r="W340" i="1" s="1"/>
  <c r="FR340" i="1"/>
  <c r="GL340" i="1"/>
  <c r="GO340" i="1"/>
  <c r="GP340" i="1"/>
  <c r="GV340" i="1"/>
  <c r="HC340" i="1" s="1"/>
  <c r="GX340" i="1" s="1"/>
  <c r="AC341" i="1"/>
  <c r="AE341" i="1"/>
  <c r="AD341" i="1" s="1"/>
  <c r="AF341" i="1"/>
  <c r="AG341" i="1"/>
  <c r="CU341" i="1" s="1"/>
  <c r="AH341" i="1"/>
  <c r="AI341" i="1"/>
  <c r="CW341" i="1" s="1"/>
  <c r="AJ341" i="1"/>
  <c r="CR341" i="1"/>
  <c r="CT341" i="1"/>
  <c r="CV341" i="1"/>
  <c r="CX341" i="1"/>
  <c r="FR341" i="1"/>
  <c r="GL341" i="1"/>
  <c r="GO341" i="1"/>
  <c r="CC348" i="1" s="1"/>
  <c r="GP341" i="1"/>
  <c r="GV341" i="1"/>
  <c r="HC341" i="1"/>
  <c r="AC342" i="1"/>
  <c r="AE342" i="1"/>
  <c r="R342" i="1" s="1"/>
  <c r="GK342" i="1" s="1"/>
  <c r="AF342" i="1"/>
  <c r="AG342" i="1"/>
  <c r="CU342" i="1" s="1"/>
  <c r="T342" i="1" s="1"/>
  <c r="AH342" i="1"/>
  <c r="AI342" i="1"/>
  <c r="CW342" i="1" s="1"/>
  <c r="V342" i="1" s="1"/>
  <c r="AJ342" i="1"/>
  <c r="CR342" i="1"/>
  <c r="CT342" i="1"/>
  <c r="CV342" i="1"/>
  <c r="U342" i="1" s="1"/>
  <c r="CX342" i="1"/>
  <c r="W342" i="1" s="1"/>
  <c r="FR342" i="1"/>
  <c r="GL342" i="1"/>
  <c r="GO342" i="1"/>
  <c r="GP342" i="1"/>
  <c r="GV342" i="1"/>
  <c r="HC342" i="1" s="1"/>
  <c r="GX342" i="1" s="1"/>
  <c r="C343" i="1"/>
  <c r="D343" i="1"/>
  <c r="I343" i="1"/>
  <c r="K343" i="1"/>
  <c r="P343" i="1"/>
  <c r="R343" i="1"/>
  <c r="GK343" i="1" s="1"/>
  <c r="AC343" i="1"/>
  <c r="AD343" i="1"/>
  <c r="AB343" i="1" s="1"/>
  <c r="AE343" i="1"/>
  <c r="Q343" i="1" s="1"/>
  <c r="AF343" i="1"/>
  <c r="S343" i="1" s="1"/>
  <c r="AG343" i="1"/>
  <c r="AH343" i="1"/>
  <c r="CV343" i="1" s="1"/>
  <c r="U343" i="1" s="1"/>
  <c r="AI343" i="1"/>
  <c r="AJ343" i="1"/>
  <c r="CX343" i="1" s="1"/>
  <c r="W343" i="1" s="1"/>
  <c r="CQ343" i="1"/>
  <c r="CR343" i="1"/>
  <c r="CS343" i="1"/>
  <c r="CU343" i="1"/>
  <c r="T343" i="1" s="1"/>
  <c r="CW343" i="1"/>
  <c r="V343" i="1" s="1"/>
  <c r="FR343" i="1"/>
  <c r="GL343" i="1"/>
  <c r="BZ348" i="1" s="1"/>
  <c r="GO343" i="1"/>
  <c r="GP343" i="1"/>
  <c r="CD348" i="1" s="1"/>
  <c r="GV343" i="1"/>
  <c r="HC343" i="1" s="1"/>
  <c r="GX343" i="1" s="1"/>
  <c r="I344" i="1"/>
  <c r="P344" i="1" s="1"/>
  <c r="R344" i="1"/>
  <c r="GK344" i="1" s="1"/>
  <c r="AC344" i="1"/>
  <c r="AD344" i="1"/>
  <c r="AE344" i="1"/>
  <c r="AF344" i="1"/>
  <c r="AB344" i="1" s="1"/>
  <c r="AG344" i="1"/>
  <c r="AH344" i="1"/>
  <c r="CV344" i="1" s="1"/>
  <c r="U344" i="1" s="1"/>
  <c r="AI344" i="1"/>
  <c r="AJ344" i="1"/>
  <c r="CX344" i="1" s="1"/>
  <c r="W344" i="1" s="1"/>
  <c r="CQ344" i="1"/>
  <c r="CR344" i="1"/>
  <c r="CS344" i="1"/>
  <c r="CU344" i="1"/>
  <c r="T344" i="1" s="1"/>
  <c r="CW344" i="1"/>
  <c r="V344" i="1" s="1"/>
  <c r="FR344" i="1"/>
  <c r="GL344" i="1"/>
  <c r="GO344" i="1"/>
  <c r="GP344" i="1"/>
  <c r="GV344" i="1"/>
  <c r="GX344" i="1"/>
  <c r="HC344" i="1"/>
  <c r="I345" i="1"/>
  <c r="Q345" i="1" s="1"/>
  <c r="P345" i="1"/>
  <c r="CP345" i="1" s="1"/>
  <c r="O345" i="1" s="1"/>
  <c r="R345" i="1"/>
  <c r="GK345" i="1" s="1"/>
  <c r="AC345" i="1"/>
  <c r="AD345" i="1"/>
  <c r="AB345" i="1" s="1"/>
  <c r="AE345" i="1"/>
  <c r="AF345" i="1"/>
  <c r="S345" i="1" s="1"/>
  <c r="AG345" i="1"/>
  <c r="AH345" i="1"/>
  <c r="CV345" i="1" s="1"/>
  <c r="U345" i="1" s="1"/>
  <c r="AI345" i="1"/>
  <c r="AJ345" i="1"/>
  <c r="CX345" i="1" s="1"/>
  <c r="W345" i="1" s="1"/>
  <c r="CQ345" i="1"/>
  <c r="CR345" i="1"/>
  <c r="CS345" i="1"/>
  <c r="CU345" i="1"/>
  <c r="T345" i="1" s="1"/>
  <c r="CW345" i="1"/>
  <c r="V345" i="1" s="1"/>
  <c r="FR345" i="1"/>
  <c r="GL345" i="1"/>
  <c r="GO345" i="1"/>
  <c r="GP345" i="1"/>
  <c r="GV345" i="1"/>
  <c r="HC345" i="1" s="1"/>
  <c r="GX345" i="1" s="1"/>
  <c r="I346" i="1"/>
  <c r="P346" i="1" s="1"/>
  <c r="R346" i="1"/>
  <c r="GK346" i="1" s="1"/>
  <c r="AC346" i="1"/>
  <c r="AD346" i="1"/>
  <c r="AE346" i="1"/>
  <c r="AF346" i="1"/>
  <c r="AB346" i="1" s="1"/>
  <c r="AG346" i="1"/>
  <c r="AH346" i="1"/>
  <c r="CV346" i="1" s="1"/>
  <c r="U346" i="1" s="1"/>
  <c r="AI346" i="1"/>
  <c r="AJ346" i="1"/>
  <c r="CX346" i="1" s="1"/>
  <c r="W346" i="1" s="1"/>
  <c r="CQ346" i="1"/>
  <c r="CR346" i="1"/>
  <c r="CS346" i="1"/>
  <c r="CU346" i="1"/>
  <c r="T346" i="1" s="1"/>
  <c r="CW346" i="1"/>
  <c r="V346" i="1" s="1"/>
  <c r="FR346" i="1"/>
  <c r="GL346" i="1"/>
  <c r="GO346" i="1"/>
  <c r="GP346" i="1"/>
  <c r="GV346" i="1"/>
  <c r="GX346" i="1"/>
  <c r="HC346" i="1"/>
  <c r="B348" i="1"/>
  <c r="B337" i="1" s="1"/>
  <c r="C348" i="1"/>
  <c r="C337" i="1" s="1"/>
  <c r="D348" i="1"/>
  <c r="D337" i="1" s="1"/>
  <c r="F348" i="1"/>
  <c r="F337" i="1" s="1"/>
  <c r="G348" i="1"/>
  <c r="G337" i="1" s="1"/>
  <c r="BX348" i="1"/>
  <c r="AO348" i="1" s="1"/>
  <c r="CK348" i="1"/>
  <c r="CK337" i="1" s="1"/>
  <c r="CL348" i="1"/>
  <c r="CL337" i="1" s="1"/>
  <c r="CM348" i="1"/>
  <c r="BD348" i="1" s="1"/>
  <c r="D378" i="1"/>
  <c r="E380" i="1"/>
  <c r="Z380" i="1"/>
  <c r="AA380" i="1"/>
  <c r="AM380" i="1"/>
  <c r="AN380" i="1"/>
  <c r="BE380" i="1"/>
  <c r="BF380" i="1"/>
  <c r="BG380" i="1"/>
  <c r="BH380" i="1"/>
  <c r="BI380" i="1"/>
  <c r="BJ380" i="1"/>
  <c r="BK380" i="1"/>
  <c r="BL380" i="1"/>
  <c r="BM380" i="1"/>
  <c r="BN380" i="1"/>
  <c r="BO380" i="1"/>
  <c r="BP380" i="1"/>
  <c r="BQ380" i="1"/>
  <c r="BR380" i="1"/>
  <c r="BS380" i="1"/>
  <c r="BT380" i="1"/>
  <c r="BU380" i="1"/>
  <c r="BV380" i="1"/>
  <c r="BW380" i="1"/>
  <c r="CN380" i="1"/>
  <c r="CO380" i="1"/>
  <c r="CP380" i="1"/>
  <c r="CQ380" i="1"/>
  <c r="CR380" i="1"/>
  <c r="CS380" i="1"/>
  <c r="CT380" i="1"/>
  <c r="CU380" i="1"/>
  <c r="CV380" i="1"/>
  <c r="CW380" i="1"/>
  <c r="CX380" i="1"/>
  <c r="CY380" i="1"/>
  <c r="CZ380" i="1"/>
  <c r="DA380" i="1"/>
  <c r="DB380" i="1"/>
  <c r="DC380" i="1"/>
  <c r="DD380" i="1"/>
  <c r="DE380" i="1"/>
  <c r="DF380" i="1"/>
  <c r="DG380" i="1"/>
  <c r="DH380" i="1"/>
  <c r="DI380" i="1"/>
  <c r="DJ380" i="1"/>
  <c r="DK380" i="1"/>
  <c r="DL380" i="1"/>
  <c r="DM380" i="1"/>
  <c r="DN380" i="1"/>
  <c r="DO380" i="1"/>
  <c r="DP380" i="1"/>
  <c r="DQ380" i="1"/>
  <c r="DR380" i="1"/>
  <c r="DS380" i="1"/>
  <c r="DT380" i="1"/>
  <c r="DU380" i="1"/>
  <c r="DV380" i="1"/>
  <c r="DW380" i="1"/>
  <c r="DX380" i="1"/>
  <c r="DY380" i="1"/>
  <c r="DZ380" i="1"/>
  <c r="EA380" i="1"/>
  <c r="EB380" i="1"/>
  <c r="EC380" i="1"/>
  <c r="ED380" i="1"/>
  <c r="EE380" i="1"/>
  <c r="EF380" i="1"/>
  <c r="EG380" i="1"/>
  <c r="EH380" i="1"/>
  <c r="EI380" i="1"/>
  <c r="EJ380" i="1"/>
  <c r="EK380" i="1"/>
  <c r="EL380" i="1"/>
  <c r="EM380" i="1"/>
  <c r="EN380" i="1"/>
  <c r="EO380" i="1"/>
  <c r="EP380" i="1"/>
  <c r="EQ380" i="1"/>
  <c r="ER380" i="1"/>
  <c r="ES380" i="1"/>
  <c r="ET380" i="1"/>
  <c r="EU380" i="1"/>
  <c r="EV380" i="1"/>
  <c r="EW380" i="1"/>
  <c r="EX380" i="1"/>
  <c r="EY380" i="1"/>
  <c r="EZ380" i="1"/>
  <c r="FA380" i="1"/>
  <c r="FB380" i="1"/>
  <c r="FC380" i="1"/>
  <c r="FD380" i="1"/>
  <c r="FE380" i="1"/>
  <c r="FF380" i="1"/>
  <c r="FG380" i="1"/>
  <c r="FH380" i="1"/>
  <c r="FI380" i="1"/>
  <c r="FJ380" i="1"/>
  <c r="FK380" i="1"/>
  <c r="FL380" i="1"/>
  <c r="FM380" i="1"/>
  <c r="FN380" i="1"/>
  <c r="FO380" i="1"/>
  <c r="FP380" i="1"/>
  <c r="FQ380" i="1"/>
  <c r="FR380" i="1"/>
  <c r="FS380" i="1"/>
  <c r="FT380" i="1"/>
  <c r="FU380" i="1"/>
  <c r="FV380" i="1"/>
  <c r="FW380" i="1"/>
  <c r="FX380" i="1"/>
  <c r="FY380" i="1"/>
  <c r="FZ380" i="1"/>
  <c r="GA380" i="1"/>
  <c r="GB380" i="1"/>
  <c r="GC380" i="1"/>
  <c r="GD380" i="1"/>
  <c r="GE380" i="1"/>
  <c r="GF380" i="1"/>
  <c r="GG380" i="1"/>
  <c r="GH380" i="1"/>
  <c r="GI380" i="1"/>
  <c r="GJ380" i="1"/>
  <c r="GK380" i="1"/>
  <c r="GL380" i="1"/>
  <c r="GM380" i="1"/>
  <c r="GN380" i="1"/>
  <c r="GO380" i="1"/>
  <c r="GP380" i="1"/>
  <c r="GQ380" i="1"/>
  <c r="GR380" i="1"/>
  <c r="GS380" i="1"/>
  <c r="GT380" i="1"/>
  <c r="GU380" i="1"/>
  <c r="GV380" i="1"/>
  <c r="GW380" i="1"/>
  <c r="GX380" i="1"/>
  <c r="C382" i="1"/>
  <c r="D382" i="1"/>
  <c r="I382" i="1"/>
  <c r="K382" i="1"/>
  <c r="P382" i="1"/>
  <c r="R382" i="1"/>
  <c r="GK382" i="1" s="1"/>
  <c r="AC382" i="1"/>
  <c r="AD382" i="1"/>
  <c r="AB382" i="1" s="1"/>
  <c r="AE382" i="1"/>
  <c r="Q382" i="1" s="1"/>
  <c r="AF382" i="1"/>
  <c r="S382" i="1" s="1"/>
  <c r="AG382" i="1"/>
  <c r="AH382" i="1"/>
  <c r="CV382" i="1" s="1"/>
  <c r="U382" i="1" s="1"/>
  <c r="AI382" i="1"/>
  <c r="AJ382" i="1"/>
  <c r="CX382" i="1" s="1"/>
  <c r="W382" i="1" s="1"/>
  <c r="CQ382" i="1"/>
  <c r="CR382" i="1"/>
  <c r="CS382" i="1"/>
  <c r="CU382" i="1"/>
  <c r="T382" i="1" s="1"/>
  <c r="CW382" i="1"/>
  <c r="V382" i="1" s="1"/>
  <c r="FR382" i="1"/>
  <c r="GL382" i="1"/>
  <c r="GO382" i="1"/>
  <c r="GP382" i="1"/>
  <c r="GV382" i="1"/>
  <c r="HC382" i="1" s="1"/>
  <c r="GX382" i="1" s="1"/>
  <c r="C383" i="1"/>
  <c r="D383" i="1"/>
  <c r="I383" i="1"/>
  <c r="K383" i="1"/>
  <c r="S383" i="1"/>
  <c r="CY383" i="1" s="1"/>
  <c r="X383" i="1" s="1"/>
  <c r="AC383" i="1"/>
  <c r="P383" i="1" s="1"/>
  <c r="AE383" i="1"/>
  <c r="AD383" i="1" s="1"/>
  <c r="AF383" i="1"/>
  <c r="AG383" i="1"/>
  <c r="CU383" i="1" s="1"/>
  <c r="T383" i="1" s="1"/>
  <c r="AH383" i="1"/>
  <c r="AI383" i="1"/>
  <c r="CW383" i="1" s="1"/>
  <c r="V383" i="1" s="1"/>
  <c r="AJ383" i="1"/>
  <c r="CR383" i="1"/>
  <c r="CT383" i="1"/>
  <c r="CV383" i="1"/>
  <c r="U383" i="1" s="1"/>
  <c r="CX383" i="1"/>
  <c r="W383" i="1" s="1"/>
  <c r="FR383" i="1"/>
  <c r="GL383" i="1"/>
  <c r="GO383" i="1"/>
  <c r="GP383" i="1"/>
  <c r="GV383" i="1"/>
  <c r="HC383" i="1"/>
  <c r="GX383" i="1" s="1"/>
  <c r="AC384" i="1"/>
  <c r="AE384" i="1"/>
  <c r="AF384" i="1"/>
  <c r="AG384" i="1"/>
  <c r="CU384" i="1" s="1"/>
  <c r="AH384" i="1"/>
  <c r="AI384" i="1"/>
  <c r="CW384" i="1" s="1"/>
  <c r="AJ384" i="1"/>
  <c r="CR384" i="1"/>
  <c r="CT384" i="1"/>
  <c r="CV384" i="1"/>
  <c r="CX384" i="1"/>
  <c r="FR384" i="1"/>
  <c r="GL384" i="1"/>
  <c r="GO384" i="1"/>
  <c r="GP384" i="1"/>
  <c r="GV384" i="1"/>
  <c r="HC384" i="1" s="1"/>
  <c r="C385" i="1"/>
  <c r="D385" i="1"/>
  <c r="I385" i="1"/>
  <c r="K385" i="1"/>
  <c r="P385" i="1"/>
  <c r="R385" i="1"/>
  <c r="GK385" i="1" s="1"/>
  <c r="AC385" i="1"/>
  <c r="AD385" i="1"/>
  <c r="AB385" i="1" s="1"/>
  <c r="AE385" i="1"/>
  <c r="Q385" i="1" s="1"/>
  <c r="AF385" i="1"/>
  <c r="S385" i="1" s="1"/>
  <c r="AG385" i="1"/>
  <c r="AH385" i="1"/>
  <c r="CV385" i="1" s="1"/>
  <c r="U385" i="1" s="1"/>
  <c r="AI385" i="1"/>
  <c r="AJ385" i="1"/>
  <c r="CX385" i="1" s="1"/>
  <c r="W385" i="1" s="1"/>
  <c r="CQ385" i="1"/>
  <c r="CR385" i="1"/>
  <c r="CS385" i="1"/>
  <c r="CU385" i="1"/>
  <c r="T385" i="1" s="1"/>
  <c r="CW385" i="1"/>
  <c r="V385" i="1" s="1"/>
  <c r="FR385" i="1"/>
  <c r="GL385" i="1"/>
  <c r="GO385" i="1"/>
  <c r="GP385" i="1"/>
  <c r="GV385" i="1"/>
  <c r="HC385" i="1" s="1"/>
  <c r="GX385" i="1" s="1"/>
  <c r="I386" i="1"/>
  <c r="P386" i="1" s="1"/>
  <c r="R386" i="1"/>
  <c r="GK386" i="1" s="1"/>
  <c r="AC386" i="1"/>
  <c r="AD386" i="1"/>
  <c r="AE386" i="1"/>
  <c r="AF386" i="1"/>
  <c r="AB386" i="1" s="1"/>
  <c r="AG386" i="1"/>
  <c r="AH386" i="1"/>
  <c r="CV386" i="1" s="1"/>
  <c r="U386" i="1" s="1"/>
  <c r="AI386" i="1"/>
  <c r="AJ386" i="1"/>
  <c r="CX386" i="1" s="1"/>
  <c r="W386" i="1" s="1"/>
  <c r="CQ386" i="1"/>
  <c r="CR386" i="1"/>
  <c r="CS386" i="1"/>
  <c r="CU386" i="1"/>
  <c r="T386" i="1" s="1"/>
  <c r="CW386" i="1"/>
  <c r="V386" i="1" s="1"/>
  <c r="FR386" i="1"/>
  <c r="GL386" i="1"/>
  <c r="GO386" i="1"/>
  <c r="GP386" i="1"/>
  <c r="GV386" i="1"/>
  <c r="GX386" i="1"/>
  <c r="HC386" i="1"/>
  <c r="C387" i="1"/>
  <c r="D387" i="1"/>
  <c r="I387" i="1"/>
  <c r="S387" i="1" s="1"/>
  <c r="K387" i="1"/>
  <c r="AC387" i="1"/>
  <c r="AE387" i="1"/>
  <c r="Q387" i="1" s="1"/>
  <c r="AF387" i="1"/>
  <c r="AG387" i="1"/>
  <c r="CU387" i="1" s="1"/>
  <c r="T387" i="1" s="1"/>
  <c r="AH387" i="1"/>
  <c r="AI387" i="1"/>
  <c r="CW387" i="1" s="1"/>
  <c r="V387" i="1" s="1"/>
  <c r="AJ387" i="1"/>
  <c r="CR387" i="1"/>
  <c r="CT387" i="1"/>
  <c r="CV387" i="1"/>
  <c r="U387" i="1" s="1"/>
  <c r="CX387" i="1"/>
  <c r="W387" i="1" s="1"/>
  <c r="FR387" i="1"/>
  <c r="GL387" i="1"/>
  <c r="GO387" i="1"/>
  <c r="GP387" i="1"/>
  <c r="GV387" i="1"/>
  <c r="HC387" i="1" s="1"/>
  <c r="GX387" i="1" s="1"/>
  <c r="C388" i="1"/>
  <c r="D388" i="1"/>
  <c r="P388" i="1"/>
  <c r="R388" i="1"/>
  <c r="GK388" i="1" s="1"/>
  <c r="AC388" i="1"/>
  <c r="AD388" i="1"/>
  <c r="AE388" i="1"/>
  <c r="Q388" i="1" s="1"/>
  <c r="AF388" i="1"/>
  <c r="AB388" i="1" s="1"/>
  <c r="AG388" i="1"/>
  <c r="AH388" i="1"/>
  <c r="CV388" i="1" s="1"/>
  <c r="U388" i="1" s="1"/>
  <c r="AI388" i="1"/>
  <c r="AJ388" i="1"/>
  <c r="CX388" i="1" s="1"/>
  <c r="W388" i="1" s="1"/>
  <c r="CQ388" i="1"/>
  <c r="CR388" i="1"/>
  <c r="CS388" i="1"/>
  <c r="CU388" i="1"/>
  <c r="T388" i="1" s="1"/>
  <c r="CW388" i="1"/>
  <c r="V388" i="1" s="1"/>
  <c r="FR388" i="1"/>
  <c r="GL388" i="1"/>
  <c r="GN388" i="1"/>
  <c r="GO388" i="1"/>
  <c r="GV388" i="1"/>
  <c r="GX388" i="1"/>
  <c r="HC388" i="1"/>
  <c r="C389" i="1"/>
  <c r="D389" i="1"/>
  <c r="S389" i="1"/>
  <c r="CY389" i="1" s="1"/>
  <c r="X389" i="1" s="1"/>
  <c r="AC389" i="1"/>
  <c r="P389" i="1" s="1"/>
  <c r="AE389" i="1"/>
  <c r="AD389" i="1" s="1"/>
  <c r="AF389" i="1"/>
  <c r="AG389" i="1"/>
  <c r="CU389" i="1" s="1"/>
  <c r="T389" i="1" s="1"/>
  <c r="AH389" i="1"/>
  <c r="AI389" i="1"/>
  <c r="CW389" i="1" s="1"/>
  <c r="V389" i="1" s="1"/>
  <c r="AJ389" i="1"/>
  <c r="CR389" i="1"/>
  <c r="CT389" i="1"/>
  <c r="CV389" i="1"/>
  <c r="U389" i="1" s="1"/>
  <c r="CX389" i="1"/>
  <c r="W389" i="1" s="1"/>
  <c r="FR389" i="1"/>
  <c r="GL389" i="1"/>
  <c r="GN389" i="1"/>
  <c r="GO389" i="1"/>
  <c r="GV389" i="1"/>
  <c r="HC389" i="1"/>
  <c r="GX389" i="1" s="1"/>
  <c r="C390" i="1"/>
  <c r="D390" i="1"/>
  <c r="I390" i="1"/>
  <c r="K390" i="1"/>
  <c r="P390" i="1"/>
  <c r="R390" i="1"/>
  <c r="GK390" i="1" s="1"/>
  <c r="AC390" i="1"/>
  <c r="AD390" i="1"/>
  <c r="AE390" i="1"/>
  <c r="Q390" i="1" s="1"/>
  <c r="AF390" i="1"/>
  <c r="AB390" i="1" s="1"/>
  <c r="AG390" i="1"/>
  <c r="AH390" i="1"/>
  <c r="CV390" i="1" s="1"/>
  <c r="U390" i="1" s="1"/>
  <c r="AI390" i="1"/>
  <c r="AJ390" i="1"/>
  <c r="CX390" i="1" s="1"/>
  <c r="W390" i="1" s="1"/>
  <c r="CQ390" i="1"/>
  <c r="CR390" i="1"/>
  <c r="CS390" i="1"/>
  <c r="CU390" i="1"/>
  <c r="T390" i="1" s="1"/>
  <c r="CW390" i="1"/>
  <c r="V390" i="1" s="1"/>
  <c r="FR390" i="1"/>
  <c r="GL390" i="1"/>
  <c r="GO390" i="1"/>
  <c r="GP390" i="1"/>
  <c r="GV390" i="1"/>
  <c r="HC390" i="1" s="1"/>
  <c r="GX390" i="1" s="1"/>
  <c r="I391" i="1"/>
  <c r="Q391" i="1" s="1"/>
  <c r="P391" i="1"/>
  <c r="CP391" i="1" s="1"/>
  <c r="O391" i="1" s="1"/>
  <c r="R391" i="1"/>
  <c r="GK391" i="1" s="1"/>
  <c r="AC391" i="1"/>
  <c r="AD391" i="1"/>
  <c r="AB391" i="1" s="1"/>
  <c r="AE391" i="1"/>
  <c r="AF391" i="1"/>
  <c r="S391" i="1" s="1"/>
  <c r="AG391" i="1"/>
  <c r="AH391" i="1"/>
  <c r="CV391" i="1" s="1"/>
  <c r="U391" i="1" s="1"/>
  <c r="AI391" i="1"/>
  <c r="AJ391" i="1"/>
  <c r="CX391" i="1" s="1"/>
  <c r="W391" i="1" s="1"/>
  <c r="CQ391" i="1"/>
  <c r="CR391" i="1"/>
  <c r="CS391" i="1"/>
  <c r="CU391" i="1"/>
  <c r="T391" i="1" s="1"/>
  <c r="CW391" i="1"/>
  <c r="V391" i="1" s="1"/>
  <c r="FR391" i="1"/>
  <c r="GL391" i="1"/>
  <c r="GO391" i="1"/>
  <c r="GP391" i="1"/>
  <c r="GV391" i="1"/>
  <c r="HC391" i="1" s="1"/>
  <c r="GX391" i="1" s="1"/>
  <c r="I392" i="1"/>
  <c r="P392" i="1" s="1"/>
  <c r="R392" i="1"/>
  <c r="GK392" i="1" s="1"/>
  <c r="AC392" i="1"/>
  <c r="AD392" i="1"/>
  <c r="AE392" i="1"/>
  <c r="AF392" i="1"/>
  <c r="AB392" i="1" s="1"/>
  <c r="AG392" i="1"/>
  <c r="AH392" i="1"/>
  <c r="CV392" i="1" s="1"/>
  <c r="U392" i="1" s="1"/>
  <c r="AI392" i="1"/>
  <c r="AJ392" i="1"/>
  <c r="CX392" i="1" s="1"/>
  <c r="W392" i="1" s="1"/>
  <c r="CQ392" i="1"/>
  <c r="CR392" i="1"/>
  <c r="CS392" i="1"/>
  <c r="CU392" i="1"/>
  <c r="T392" i="1" s="1"/>
  <c r="CW392" i="1"/>
  <c r="V392" i="1" s="1"/>
  <c r="FR392" i="1"/>
  <c r="GL392" i="1"/>
  <c r="GO392" i="1"/>
  <c r="GP392" i="1"/>
  <c r="GV392" i="1"/>
  <c r="GX392" i="1"/>
  <c r="HC392" i="1"/>
  <c r="C393" i="1"/>
  <c r="D393" i="1"/>
  <c r="S393" i="1"/>
  <c r="CY393" i="1" s="1"/>
  <c r="X393" i="1" s="1"/>
  <c r="AC393" i="1"/>
  <c r="P393" i="1" s="1"/>
  <c r="AE393" i="1"/>
  <c r="AD393" i="1" s="1"/>
  <c r="AF393" i="1"/>
  <c r="AG393" i="1"/>
  <c r="CU393" i="1" s="1"/>
  <c r="T393" i="1" s="1"/>
  <c r="AH393" i="1"/>
  <c r="AI393" i="1"/>
  <c r="CW393" i="1" s="1"/>
  <c r="V393" i="1" s="1"/>
  <c r="AJ393" i="1"/>
  <c r="CR393" i="1"/>
  <c r="CT393" i="1"/>
  <c r="CV393" i="1"/>
  <c r="U393" i="1" s="1"/>
  <c r="CX393" i="1"/>
  <c r="W393" i="1" s="1"/>
  <c r="FR393" i="1"/>
  <c r="GL393" i="1"/>
  <c r="GO393" i="1"/>
  <c r="GP393" i="1"/>
  <c r="GV393" i="1"/>
  <c r="HC393" i="1"/>
  <c r="GX393" i="1" s="1"/>
  <c r="C394" i="1"/>
  <c r="D394" i="1"/>
  <c r="P394" i="1"/>
  <c r="R394" i="1"/>
  <c r="GK394" i="1" s="1"/>
  <c r="AC394" i="1"/>
  <c r="AD394" i="1"/>
  <c r="AB394" i="1" s="1"/>
  <c r="AE394" i="1"/>
  <c r="Q394" i="1" s="1"/>
  <c r="AF394" i="1"/>
  <c r="S394" i="1" s="1"/>
  <c r="AG394" i="1"/>
  <c r="AH394" i="1"/>
  <c r="CV394" i="1" s="1"/>
  <c r="U394" i="1" s="1"/>
  <c r="AI394" i="1"/>
  <c r="AJ394" i="1"/>
  <c r="CX394" i="1" s="1"/>
  <c r="W394" i="1" s="1"/>
  <c r="CQ394" i="1"/>
  <c r="CR394" i="1"/>
  <c r="CS394" i="1"/>
  <c r="CU394" i="1"/>
  <c r="T394" i="1" s="1"/>
  <c r="CW394" i="1"/>
  <c r="V394" i="1" s="1"/>
  <c r="FR394" i="1"/>
  <c r="GL394" i="1"/>
  <c r="GO394" i="1"/>
  <c r="GP394" i="1"/>
  <c r="GV394" i="1"/>
  <c r="HC394" i="1" s="1"/>
  <c r="GX394" i="1" s="1"/>
  <c r="C395" i="1"/>
  <c r="D395" i="1"/>
  <c r="S395" i="1"/>
  <c r="CY395" i="1" s="1"/>
  <c r="X395" i="1" s="1"/>
  <c r="AC395" i="1"/>
  <c r="AE395" i="1"/>
  <c r="Q395" i="1" s="1"/>
  <c r="AF395" i="1"/>
  <c r="AG395" i="1"/>
  <c r="CU395" i="1" s="1"/>
  <c r="T395" i="1" s="1"/>
  <c r="AH395" i="1"/>
  <c r="AI395" i="1"/>
  <c r="CW395" i="1" s="1"/>
  <c r="V395" i="1" s="1"/>
  <c r="AJ395" i="1"/>
  <c r="CR395" i="1"/>
  <c r="CT395" i="1"/>
  <c r="CV395" i="1"/>
  <c r="U395" i="1" s="1"/>
  <c r="CX395" i="1"/>
  <c r="W395" i="1" s="1"/>
  <c r="CZ395" i="1"/>
  <c r="Y395" i="1" s="1"/>
  <c r="FR395" i="1"/>
  <c r="GL395" i="1"/>
  <c r="GO395" i="1"/>
  <c r="GP395" i="1"/>
  <c r="GV395" i="1"/>
  <c r="HC395" i="1" s="1"/>
  <c r="GX395" i="1" s="1"/>
  <c r="C396" i="1"/>
  <c r="D396" i="1"/>
  <c r="P396" i="1"/>
  <c r="R396" i="1"/>
  <c r="GK396" i="1" s="1"/>
  <c r="V396" i="1"/>
  <c r="AC396" i="1"/>
  <c r="AD396" i="1"/>
  <c r="AE396" i="1"/>
  <c r="Q396" i="1" s="1"/>
  <c r="AF396" i="1"/>
  <c r="AG396" i="1"/>
  <c r="AH396" i="1"/>
  <c r="CV396" i="1" s="1"/>
  <c r="U396" i="1" s="1"/>
  <c r="AI396" i="1"/>
  <c r="AJ396" i="1"/>
  <c r="CX396" i="1" s="1"/>
  <c r="W396" i="1" s="1"/>
  <c r="CQ396" i="1"/>
  <c r="CR396" i="1"/>
  <c r="CS396" i="1"/>
  <c r="CU396" i="1"/>
  <c r="T396" i="1" s="1"/>
  <c r="CW396" i="1"/>
  <c r="FR396" i="1"/>
  <c r="GL396" i="1"/>
  <c r="GN396" i="1"/>
  <c r="GP396" i="1"/>
  <c r="GV396" i="1"/>
  <c r="GX396" i="1"/>
  <c r="HC396" i="1"/>
  <c r="C397" i="1"/>
  <c r="D397" i="1"/>
  <c r="I397" i="1"/>
  <c r="Q397" i="1" s="1"/>
  <c r="K397" i="1"/>
  <c r="U397" i="1"/>
  <c r="AC397" i="1"/>
  <c r="AE397" i="1"/>
  <c r="AF397" i="1"/>
  <c r="AG397" i="1"/>
  <c r="CU397" i="1" s="1"/>
  <c r="T397" i="1" s="1"/>
  <c r="AH397" i="1"/>
  <c r="AI397" i="1"/>
  <c r="CW397" i="1" s="1"/>
  <c r="AJ397" i="1"/>
  <c r="CR397" i="1"/>
  <c r="CT397" i="1"/>
  <c r="CV397" i="1"/>
  <c r="CX397" i="1"/>
  <c r="W397" i="1" s="1"/>
  <c r="FR397" i="1"/>
  <c r="GL397" i="1"/>
  <c r="GN397" i="1"/>
  <c r="GP397" i="1"/>
  <c r="GV397" i="1"/>
  <c r="HC397" i="1" s="1"/>
  <c r="C398" i="1"/>
  <c r="D398" i="1"/>
  <c r="P398" i="1"/>
  <c r="R398" i="1"/>
  <c r="GK398" i="1" s="1"/>
  <c r="V398" i="1"/>
  <c r="AC398" i="1"/>
  <c r="AD398" i="1"/>
  <c r="AE398" i="1"/>
  <c r="Q398" i="1" s="1"/>
  <c r="AF398" i="1"/>
  <c r="AG398" i="1"/>
  <c r="AH398" i="1"/>
  <c r="CV398" i="1" s="1"/>
  <c r="U398" i="1" s="1"/>
  <c r="AI398" i="1"/>
  <c r="AJ398" i="1"/>
  <c r="CX398" i="1" s="1"/>
  <c r="W398" i="1" s="1"/>
  <c r="CQ398" i="1"/>
  <c r="CR398" i="1"/>
  <c r="CS398" i="1"/>
  <c r="CU398" i="1"/>
  <c r="T398" i="1" s="1"/>
  <c r="CW398" i="1"/>
  <c r="FR398" i="1"/>
  <c r="GL398" i="1"/>
  <c r="GN398" i="1"/>
  <c r="GP398" i="1"/>
  <c r="GV398" i="1"/>
  <c r="HC398" i="1" s="1"/>
  <c r="GX398" i="1"/>
  <c r="C399" i="1"/>
  <c r="D399" i="1"/>
  <c r="I399" i="1"/>
  <c r="K399" i="1"/>
  <c r="AC399" i="1"/>
  <c r="AE399" i="1"/>
  <c r="CR399" i="1" s="1"/>
  <c r="AF399" i="1"/>
  <c r="AG399" i="1"/>
  <c r="CU399" i="1" s="1"/>
  <c r="T399" i="1" s="1"/>
  <c r="AH399" i="1"/>
  <c r="AI399" i="1"/>
  <c r="CW399" i="1" s="1"/>
  <c r="V399" i="1" s="1"/>
  <c r="AJ399" i="1"/>
  <c r="CT399" i="1"/>
  <c r="CV399" i="1"/>
  <c r="U399" i="1" s="1"/>
  <c r="CX399" i="1"/>
  <c r="W399" i="1" s="1"/>
  <c r="FR399" i="1"/>
  <c r="GL399" i="1"/>
  <c r="GN399" i="1"/>
  <c r="GP399" i="1"/>
  <c r="GV399" i="1"/>
  <c r="HC399" i="1" s="1"/>
  <c r="GX399" i="1" s="1"/>
  <c r="C400" i="1"/>
  <c r="D400" i="1"/>
  <c r="I400" i="1"/>
  <c r="CX268" i="3" s="1"/>
  <c r="K400" i="1"/>
  <c r="P400" i="1"/>
  <c r="R400" i="1"/>
  <c r="GK400" i="1" s="1"/>
  <c r="AC400" i="1"/>
  <c r="AD400" i="1"/>
  <c r="AE400" i="1"/>
  <c r="Q400" i="1" s="1"/>
  <c r="AF400" i="1"/>
  <c r="AG400" i="1"/>
  <c r="AH400" i="1"/>
  <c r="CV400" i="1" s="1"/>
  <c r="U400" i="1" s="1"/>
  <c r="AI400" i="1"/>
  <c r="AJ400" i="1"/>
  <c r="CX400" i="1" s="1"/>
  <c r="W400" i="1" s="1"/>
  <c r="CQ400" i="1"/>
  <c r="CR400" i="1"/>
  <c r="CS400" i="1"/>
  <c r="CU400" i="1"/>
  <c r="T400" i="1" s="1"/>
  <c r="CW400" i="1"/>
  <c r="V400" i="1" s="1"/>
  <c r="FR400" i="1"/>
  <c r="GL400" i="1"/>
  <c r="BZ443" i="1" s="1"/>
  <c r="GN400" i="1"/>
  <c r="GP400" i="1"/>
  <c r="GV400" i="1"/>
  <c r="HC400" i="1" s="1"/>
  <c r="GX400" i="1"/>
  <c r="C401" i="1"/>
  <c r="D401" i="1"/>
  <c r="I401" i="1"/>
  <c r="CX269" i="3" s="1"/>
  <c r="K401" i="1"/>
  <c r="S401" i="1"/>
  <c r="CY401" i="1" s="1"/>
  <c r="X401" i="1" s="1"/>
  <c r="U401" i="1"/>
  <c r="W401" i="1"/>
  <c r="AC401" i="1"/>
  <c r="AE401" i="1"/>
  <c r="Q401" i="1" s="1"/>
  <c r="AF401" i="1"/>
  <c r="AG401" i="1"/>
  <c r="CU401" i="1" s="1"/>
  <c r="T401" i="1" s="1"/>
  <c r="AH401" i="1"/>
  <c r="AI401" i="1"/>
  <c r="CW401" i="1" s="1"/>
  <c r="V401" i="1" s="1"/>
  <c r="AJ401" i="1"/>
  <c r="CT401" i="1"/>
  <c r="CV401" i="1"/>
  <c r="CX401" i="1"/>
  <c r="CZ401" i="1"/>
  <c r="Y401" i="1" s="1"/>
  <c r="FR401" i="1"/>
  <c r="GL401" i="1"/>
  <c r="GN401" i="1"/>
  <c r="GP401" i="1"/>
  <c r="GV401" i="1"/>
  <c r="HC401" i="1"/>
  <c r="GX401" i="1" s="1"/>
  <c r="C402" i="1"/>
  <c r="D402" i="1"/>
  <c r="I402" i="1"/>
  <c r="K402" i="1"/>
  <c r="P402" i="1"/>
  <c r="R402" i="1"/>
  <c r="GK402" i="1" s="1"/>
  <c r="V402" i="1"/>
  <c r="AC402" i="1"/>
  <c r="AD402" i="1"/>
  <c r="AB402" i="1" s="1"/>
  <c r="AE402" i="1"/>
  <c r="Q402" i="1" s="1"/>
  <c r="AF402" i="1"/>
  <c r="AG402" i="1"/>
  <c r="AH402" i="1"/>
  <c r="CV402" i="1" s="1"/>
  <c r="U402" i="1" s="1"/>
  <c r="AI402" i="1"/>
  <c r="AJ402" i="1"/>
  <c r="CX402" i="1" s="1"/>
  <c r="W402" i="1" s="1"/>
  <c r="CQ402" i="1"/>
  <c r="CR402" i="1"/>
  <c r="CS402" i="1"/>
  <c r="CU402" i="1"/>
  <c r="T402" i="1" s="1"/>
  <c r="CW402" i="1"/>
  <c r="FR402" i="1"/>
  <c r="GL402" i="1"/>
  <c r="GO402" i="1"/>
  <c r="GP402" i="1"/>
  <c r="GV402" i="1"/>
  <c r="HC402" i="1" s="1"/>
  <c r="GX402" i="1"/>
  <c r="I403" i="1"/>
  <c r="Q403" i="1" s="1"/>
  <c r="V403" i="1"/>
  <c r="AC403" i="1"/>
  <c r="AD403" i="1"/>
  <c r="AB403" i="1" s="1"/>
  <c r="AE403" i="1"/>
  <c r="AF403" i="1"/>
  <c r="AG403" i="1"/>
  <c r="AH403" i="1"/>
  <c r="CV403" i="1" s="1"/>
  <c r="U403" i="1" s="1"/>
  <c r="AI403" i="1"/>
  <c r="AJ403" i="1"/>
  <c r="CX403" i="1" s="1"/>
  <c r="CQ403" i="1"/>
  <c r="CR403" i="1"/>
  <c r="CS403" i="1"/>
  <c r="CU403" i="1"/>
  <c r="T403" i="1" s="1"/>
  <c r="CW403" i="1"/>
  <c r="FR403" i="1"/>
  <c r="GL403" i="1"/>
  <c r="GO403" i="1"/>
  <c r="GP403" i="1"/>
  <c r="GV403" i="1"/>
  <c r="HC403" i="1"/>
  <c r="I404" i="1"/>
  <c r="Q404" i="1" s="1"/>
  <c r="T404" i="1"/>
  <c r="AC404" i="1"/>
  <c r="AD404" i="1"/>
  <c r="AB404" i="1" s="1"/>
  <c r="AE404" i="1"/>
  <c r="AF404" i="1"/>
  <c r="AG404" i="1"/>
  <c r="AH404" i="1"/>
  <c r="CV404" i="1" s="1"/>
  <c r="U404" i="1" s="1"/>
  <c r="AI404" i="1"/>
  <c r="AJ404" i="1"/>
  <c r="CX404" i="1" s="1"/>
  <c r="CQ404" i="1"/>
  <c r="CR404" i="1"/>
  <c r="CS404" i="1"/>
  <c r="CU404" i="1"/>
  <c r="CW404" i="1"/>
  <c r="V404" i="1" s="1"/>
  <c r="FR404" i="1"/>
  <c r="GL404" i="1"/>
  <c r="GO404" i="1"/>
  <c r="GP404" i="1"/>
  <c r="GV404" i="1"/>
  <c r="HC404" i="1" s="1"/>
  <c r="GX404" i="1"/>
  <c r="D406" i="1"/>
  <c r="E408" i="1"/>
  <c r="Z408" i="1"/>
  <c r="AA408" i="1"/>
  <c r="AM408" i="1"/>
  <c r="AN408" i="1"/>
  <c r="BE408" i="1"/>
  <c r="BF408" i="1"/>
  <c r="BG408" i="1"/>
  <c r="BH408" i="1"/>
  <c r="BI408" i="1"/>
  <c r="BJ408" i="1"/>
  <c r="BK408" i="1"/>
  <c r="BL408" i="1"/>
  <c r="BM408" i="1"/>
  <c r="BN408" i="1"/>
  <c r="BO408" i="1"/>
  <c r="BP408" i="1"/>
  <c r="BQ408" i="1"/>
  <c r="BR408" i="1"/>
  <c r="BS408" i="1"/>
  <c r="BT408" i="1"/>
  <c r="BU408" i="1"/>
  <c r="BV408" i="1"/>
  <c r="BW408" i="1"/>
  <c r="CN408" i="1"/>
  <c r="CO408" i="1"/>
  <c r="CP408" i="1"/>
  <c r="CQ408" i="1"/>
  <c r="CR408" i="1"/>
  <c r="CS408" i="1"/>
  <c r="CT408" i="1"/>
  <c r="CU408" i="1"/>
  <c r="CV408" i="1"/>
  <c r="CW408" i="1"/>
  <c r="CX408" i="1"/>
  <c r="CY408" i="1"/>
  <c r="CZ408" i="1"/>
  <c r="DA408" i="1"/>
  <c r="DB408" i="1"/>
  <c r="DC408" i="1"/>
  <c r="DD408" i="1"/>
  <c r="DE408" i="1"/>
  <c r="DF408" i="1"/>
  <c r="DG408" i="1"/>
  <c r="DH408" i="1"/>
  <c r="DI408" i="1"/>
  <c r="DJ408" i="1"/>
  <c r="DK408" i="1"/>
  <c r="DL408" i="1"/>
  <c r="DM408" i="1"/>
  <c r="DN408" i="1"/>
  <c r="DO408" i="1"/>
  <c r="DP408" i="1"/>
  <c r="DQ408" i="1"/>
  <c r="DR408" i="1"/>
  <c r="DS408" i="1"/>
  <c r="DT408" i="1"/>
  <c r="DU408" i="1"/>
  <c r="DV408" i="1"/>
  <c r="DW408" i="1"/>
  <c r="DX408" i="1"/>
  <c r="DY408" i="1"/>
  <c r="DZ408" i="1"/>
  <c r="EA408" i="1"/>
  <c r="EB408" i="1"/>
  <c r="EC408" i="1"/>
  <c r="ED408" i="1"/>
  <c r="EE408" i="1"/>
  <c r="EF408" i="1"/>
  <c r="EG408" i="1"/>
  <c r="EH408" i="1"/>
  <c r="EI408" i="1"/>
  <c r="EJ408" i="1"/>
  <c r="EK408" i="1"/>
  <c r="EL408" i="1"/>
  <c r="EM408" i="1"/>
  <c r="EN408" i="1"/>
  <c r="EO408" i="1"/>
  <c r="EP408" i="1"/>
  <c r="EQ408" i="1"/>
  <c r="ER408" i="1"/>
  <c r="ES408" i="1"/>
  <c r="ET408" i="1"/>
  <c r="EU408" i="1"/>
  <c r="EV408" i="1"/>
  <c r="EW408" i="1"/>
  <c r="EX408" i="1"/>
  <c r="EY408" i="1"/>
  <c r="EZ408" i="1"/>
  <c r="FA408" i="1"/>
  <c r="FB408" i="1"/>
  <c r="FC408" i="1"/>
  <c r="FD408" i="1"/>
  <c r="FE408" i="1"/>
  <c r="FF408" i="1"/>
  <c r="FG408" i="1"/>
  <c r="FH408" i="1"/>
  <c r="FI408" i="1"/>
  <c r="FJ408" i="1"/>
  <c r="FK408" i="1"/>
  <c r="FL408" i="1"/>
  <c r="FM408" i="1"/>
  <c r="FN408" i="1"/>
  <c r="FO408" i="1"/>
  <c r="FP408" i="1"/>
  <c r="FQ408" i="1"/>
  <c r="FR408" i="1"/>
  <c r="FS408" i="1"/>
  <c r="FT408" i="1"/>
  <c r="FU408" i="1"/>
  <c r="FV408" i="1"/>
  <c r="FW408" i="1"/>
  <c r="FX408" i="1"/>
  <c r="FY408" i="1"/>
  <c r="FZ408" i="1"/>
  <c r="GA408" i="1"/>
  <c r="GB408" i="1"/>
  <c r="GC408" i="1"/>
  <c r="GD408" i="1"/>
  <c r="GE408" i="1"/>
  <c r="GF408" i="1"/>
  <c r="GG408" i="1"/>
  <c r="GH408" i="1"/>
  <c r="GI408" i="1"/>
  <c r="GJ408" i="1"/>
  <c r="GK408" i="1"/>
  <c r="GL408" i="1"/>
  <c r="GM408" i="1"/>
  <c r="GN408" i="1"/>
  <c r="GO408" i="1"/>
  <c r="GP408" i="1"/>
  <c r="GQ408" i="1"/>
  <c r="GR408" i="1"/>
  <c r="GS408" i="1"/>
  <c r="GT408" i="1"/>
  <c r="GU408" i="1"/>
  <c r="GV408" i="1"/>
  <c r="GW408" i="1"/>
  <c r="GX408" i="1"/>
  <c r="T410" i="1"/>
  <c r="AC410" i="1"/>
  <c r="P410" i="1" s="1"/>
  <c r="AE410" i="1"/>
  <c r="Q410" i="1" s="1"/>
  <c r="AF410" i="1"/>
  <c r="S410" i="1" s="1"/>
  <c r="CY410" i="1" s="1"/>
  <c r="X410" i="1" s="1"/>
  <c r="AG410" i="1"/>
  <c r="AH410" i="1"/>
  <c r="AI410" i="1"/>
  <c r="CW410" i="1" s="1"/>
  <c r="V410" i="1" s="1"/>
  <c r="AJ410" i="1"/>
  <c r="CX410" i="1" s="1"/>
  <c r="W410" i="1" s="1"/>
  <c r="CQ410" i="1"/>
  <c r="CR410" i="1"/>
  <c r="CU410" i="1"/>
  <c r="CV410" i="1"/>
  <c r="U410" i="1" s="1"/>
  <c r="AH413" i="1" s="1"/>
  <c r="CZ410" i="1"/>
  <c r="Y410" i="1" s="1"/>
  <c r="FR410" i="1"/>
  <c r="GL410" i="1"/>
  <c r="GO410" i="1"/>
  <c r="GP410" i="1"/>
  <c r="GV410" i="1"/>
  <c r="HC410" i="1" s="1"/>
  <c r="GX410" i="1" s="1"/>
  <c r="P411" i="1"/>
  <c r="S411" i="1"/>
  <c r="AC411" i="1"/>
  <c r="AB411" i="1" s="1"/>
  <c r="AD411" i="1"/>
  <c r="AE411" i="1"/>
  <c r="Q411" i="1" s="1"/>
  <c r="AF411" i="1"/>
  <c r="AG411" i="1"/>
  <c r="AH411" i="1"/>
  <c r="CV411" i="1" s="1"/>
  <c r="U411" i="1" s="1"/>
  <c r="AI411" i="1"/>
  <c r="CW411" i="1" s="1"/>
  <c r="V411" i="1" s="1"/>
  <c r="AJ411" i="1"/>
  <c r="CQ411" i="1"/>
  <c r="CR411" i="1"/>
  <c r="CT411" i="1"/>
  <c r="CU411" i="1"/>
  <c r="T411" i="1" s="1"/>
  <c r="CX411" i="1"/>
  <c r="W411" i="1" s="1"/>
  <c r="CY411" i="1"/>
  <c r="X411" i="1" s="1"/>
  <c r="CZ411" i="1"/>
  <c r="Y411" i="1" s="1"/>
  <c r="FR411" i="1"/>
  <c r="GL411" i="1"/>
  <c r="BZ413" i="1" s="1"/>
  <c r="GO411" i="1"/>
  <c r="GP411" i="1"/>
  <c r="CD413" i="1" s="1"/>
  <c r="GV411" i="1"/>
  <c r="HC411" i="1" s="1"/>
  <c r="GX411" i="1" s="1"/>
  <c r="B413" i="1"/>
  <c r="B408" i="1" s="1"/>
  <c r="C413" i="1"/>
  <c r="C408" i="1" s="1"/>
  <c r="D413" i="1"/>
  <c r="D408" i="1" s="1"/>
  <c r="F413" i="1"/>
  <c r="F408" i="1" s="1"/>
  <c r="G413" i="1"/>
  <c r="G408" i="1" s="1"/>
  <c r="AF413" i="1"/>
  <c r="S413" i="1" s="1"/>
  <c r="BX413" i="1"/>
  <c r="BX408" i="1" s="1"/>
  <c r="BY413" i="1"/>
  <c r="BY408" i="1" s="1"/>
  <c r="CC413" i="1"/>
  <c r="CC408" i="1" s="1"/>
  <c r="CK413" i="1"/>
  <c r="CK408" i="1" s="1"/>
  <c r="CL413" i="1"/>
  <c r="BC413" i="1" s="1"/>
  <c r="CM413" i="1"/>
  <c r="CM408" i="1" s="1"/>
  <c r="B443" i="1"/>
  <c r="B380" i="1" s="1"/>
  <c r="C443" i="1"/>
  <c r="C380" i="1" s="1"/>
  <c r="D443" i="1"/>
  <c r="D380" i="1" s="1"/>
  <c r="F443" i="1"/>
  <c r="F380" i="1" s="1"/>
  <c r="G443" i="1"/>
  <c r="G380" i="1" s="1"/>
  <c r="BX443" i="1"/>
  <c r="BX380" i="1" s="1"/>
  <c r="BY443" i="1"/>
  <c r="BY380" i="1" s="1"/>
  <c r="CK443" i="1"/>
  <c r="CK380" i="1" s="1"/>
  <c r="CL443" i="1"/>
  <c r="CL380" i="1" s="1"/>
  <c r="CM443" i="1"/>
  <c r="CM380" i="1" s="1"/>
  <c r="D473" i="1"/>
  <c r="E475" i="1"/>
  <c r="Z475" i="1"/>
  <c r="AA475" i="1"/>
  <c r="AM475" i="1"/>
  <c r="AN475" i="1"/>
  <c r="BE475" i="1"/>
  <c r="BF475" i="1"/>
  <c r="BG475" i="1"/>
  <c r="BH475" i="1"/>
  <c r="BI475" i="1"/>
  <c r="BJ475" i="1"/>
  <c r="BK475" i="1"/>
  <c r="BL475" i="1"/>
  <c r="BM475" i="1"/>
  <c r="BN475" i="1"/>
  <c r="BO475" i="1"/>
  <c r="BP475" i="1"/>
  <c r="BQ475" i="1"/>
  <c r="BR475" i="1"/>
  <c r="BS475" i="1"/>
  <c r="BT475" i="1"/>
  <c r="BU475" i="1"/>
  <c r="BV475" i="1"/>
  <c r="BW475" i="1"/>
  <c r="CN475" i="1"/>
  <c r="CO475" i="1"/>
  <c r="CP475" i="1"/>
  <c r="CQ475" i="1"/>
  <c r="CR475" i="1"/>
  <c r="CS475" i="1"/>
  <c r="CT475" i="1"/>
  <c r="CU475" i="1"/>
  <c r="CV475" i="1"/>
  <c r="CW475" i="1"/>
  <c r="CX475" i="1"/>
  <c r="CY475" i="1"/>
  <c r="CZ475" i="1"/>
  <c r="DA475" i="1"/>
  <c r="DB475" i="1"/>
  <c r="DC475" i="1"/>
  <c r="DD475" i="1"/>
  <c r="DE475" i="1"/>
  <c r="DF475" i="1"/>
  <c r="DG475" i="1"/>
  <c r="DH475" i="1"/>
  <c r="DI475" i="1"/>
  <c r="DJ475" i="1"/>
  <c r="DK475" i="1"/>
  <c r="DL475" i="1"/>
  <c r="DM475" i="1"/>
  <c r="DN475" i="1"/>
  <c r="DO475" i="1"/>
  <c r="DP475" i="1"/>
  <c r="DQ475" i="1"/>
  <c r="DR475" i="1"/>
  <c r="DS475" i="1"/>
  <c r="DT475" i="1"/>
  <c r="DU475" i="1"/>
  <c r="DV475" i="1"/>
  <c r="DW475" i="1"/>
  <c r="DX475" i="1"/>
  <c r="DY475" i="1"/>
  <c r="DZ475" i="1"/>
  <c r="EA475" i="1"/>
  <c r="EB475" i="1"/>
  <c r="EC475" i="1"/>
  <c r="ED475" i="1"/>
  <c r="EE475" i="1"/>
  <c r="EF475" i="1"/>
  <c r="EG475" i="1"/>
  <c r="EH475" i="1"/>
  <c r="EI475" i="1"/>
  <c r="EJ475" i="1"/>
  <c r="EK475" i="1"/>
  <c r="EL475" i="1"/>
  <c r="EM475" i="1"/>
  <c r="EN475" i="1"/>
  <c r="EO475" i="1"/>
  <c r="EP475" i="1"/>
  <c r="EQ475" i="1"/>
  <c r="ER475" i="1"/>
  <c r="ES475" i="1"/>
  <c r="ET475" i="1"/>
  <c r="EU475" i="1"/>
  <c r="EV475" i="1"/>
  <c r="EW475" i="1"/>
  <c r="EX475" i="1"/>
  <c r="EY475" i="1"/>
  <c r="EZ475" i="1"/>
  <c r="FA475" i="1"/>
  <c r="FB475" i="1"/>
  <c r="FC475" i="1"/>
  <c r="FD475" i="1"/>
  <c r="FE475" i="1"/>
  <c r="FF475" i="1"/>
  <c r="FG475" i="1"/>
  <c r="FH475" i="1"/>
  <c r="FI475" i="1"/>
  <c r="FJ475" i="1"/>
  <c r="FK475" i="1"/>
  <c r="FL475" i="1"/>
  <c r="FM475" i="1"/>
  <c r="FN475" i="1"/>
  <c r="FO475" i="1"/>
  <c r="FP475" i="1"/>
  <c r="FQ475" i="1"/>
  <c r="FR475" i="1"/>
  <c r="FS475" i="1"/>
  <c r="FT475" i="1"/>
  <c r="FU475" i="1"/>
  <c r="FV475" i="1"/>
  <c r="FW475" i="1"/>
  <c r="FX475" i="1"/>
  <c r="FY475" i="1"/>
  <c r="FZ475" i="1"/>
  <c r="GA475" i="1"/>
  <c r="GB475" i="1"/>
  <c r="GC475" i="1"/>
  <c r="GD475" i="1"/>
  <c r="GE475" i="1"/>
  <c r="GF475" i="1"/>
  <c r="GG475" i="1"/>
  <c r="GH475" i="1"/>
  <c r="GI475" i="1"/>
  <c r="GJ475" i="1"/>
  <c r="GK475" i="1"/>
  <c r="GL475" i="1"/>
  <c r="GM475" i="1"/>
  <c r="GN475" i="1"/>
  <c r="GO475" i="1"/>
  <c r="GP475" i="1"/>
  <c r="GQ475" i="1"/>
  <c r="GR475" i="1"/>
  <c r="GS475" i="1"/>
  <c r="GT475" i="1"/>
  <c r="GU475" i="1"/>
  <c r="GV475" i="1"/>
  <c r="GW475" i="1"/>
  <c r="GX475" i="1"/>
  <c r="C477" i="1"/>
  <c r="D477" i="1"/>
  <c r="R477" i="1"/>
  <c r="GK477" i="1" s="1"/>
  <c r="AC477" i="1"/>
  <c r="P477" i="1" s="1"/>
  <c r="AE477" i="1"/>
  <c r="AD477" i="1" s="1"/>
  <c r="AB477" i="1" s="1"/>
  <c r="AF477" i="1"/>
  <c r="S477" i="1" s="1"/>
  <c r="AG477" i="1"/>
  <c r="CU477" i="1" s="1"/>
  <c r="T477" i="1" s="1"/>
  <c r="AH477" i="1"/>
  <c r="AI477" i="1"/>
  <c r="AJ477" i="1"/>
  <c r="CX477" i="1" s="1"/>
  <c r="W477" i="1" s="1"/>
  <c r="CR477" i="1"/>
  <c r="CS477" i="1"/>
  <c r="CV477" i="1"/>
  <c r="U477" i="1" s="1"/>
  <c r="CW477" i="1"/>
  <c r="V477" i="1" s="1"/>
  <c r="FR477" i="1"/>
  <c r="GL477" i="1"/>
  <c r="GN477" i="1"/>
  <c r="GO477" i="1"/>
  <c r="GV477" i="1"/>
  <c r="GX477" i="1"/>
  <c r="HC477" i="1"/>
  <c r="C478" i="1"/>
  <c r="D478" i="1"/>
  <c r="R478" i="1"/>
  <c r="S478" i="1"/>
  <c r="CY478" i="1" s="1"/>
  <c r="X478" i="1" s="1"/>
  <c r="AC478" i="1"/>
  <c r="P478" i="1" s="1"/>
  <c r="CP478" i="1" s="1"/>
  <c r="O478" i="1" s="1"/>
  <c r="AD478" i="1"/>
  <c r="AE478" i="1"/>
  <c r="Q478" i="1" s="1"/>
  <c r="AF478" i="1"/>
  <c r="AG478" i="1"/>
  <c r="CU478" i="1" s="1"/>
  <c r="T478" i="1" s="1"/>
  <c r="AH478" i="1"/>
  <c r="CV478" i="1" s="1"/>
  <c r="U478" i="1" s="1"/>
  <c r="AI478" i="1"/>
  <c r="AJ478" i="1"/>
  <c r="CR478" i="1"/>
  <c r="CS478" i="1"/>
  <c r="CT478" i="1"/>
  <c r="CW478" i="1"/>
  <c r="V478" i="1" s="1"/>
  <c r="CX478" i="1"/>
  <c r="W478" i="1" s="1"/>
  <c r="FR478" i="1"/>
  <c r="GK478" i="1"/>
  <c r="GL478" i="1"/>
  <c r="GN478" i="1"/>
  <c r="GO478" i="1"/>
  <c r="GV478" i="1"/>
  <c r="HC478" i="1"/>
  <c r="GX478" i="1" s="1"/>
  <c r="I479" i="1"/>
  <c r="P479" i="1" s="1"/>
  <c r="AC479" i="1"/>
  <c r="AE479" i="1"/>
  <c r="Q479" i="1" s="1"/>
  <c r="AF479" i="1"/>
  <c r="S479" i="1" s="1"/>
  <c r="AG479" i="1"/>
  <c r="AH479" i="1"/>
  <c r="AI479" i="1"/>
  <c r="CW479" i="1" s="1"/>
  <c r="V479" i="1" s="1"/>
  <c r="AJ479" i="1"/>
  <c r="CX479" i="1" s="1"/>
  <c r="W479" i="1" s="1"/>
  <c r="CQ479" i="1"/>
  <c r="CR479" i="1"/>
  <c r="CU479" i="1"/>
  <c r="T479" i="1" s="1"/>
  <c r="CV479" i="1"/>
  <c r="U479" i="1" s="1"/>
  <c r="FR479" i="1"/>
  <c r="GL479" i="1"/>
  <c r="GN479" i="1"/>
  <c r="GO479" i="1"/>
  <c r="GV479" i="1"/>
  <c r="HC479" i="1" s="1"/>
  <c r="GX479" i="1" s="1"/>
  <c r="C480" i="1"/>
  <c r="D480" i="1"/>
  <c r="I480" i="1"/>
  <c r="K480" i="1"/>
  <c r="P480" i="1"/>
  <c r="AC480" i="1"/>
  <c r="AB480" i="1" s="1"/>
  <c r="AD480" i="1"/>
  <c r="AE480" i="1"/>
  <c r="Q480" i="1" s="1"/>
  <c r="AF480" i="1"/>
  <c r="S480" i="1" s="1"/>
  <c r="AG480" i="1"/>
  <c r="AH480" i="1"/>
  <c r="CV480" i="1" s="1"/>
  <c r="U480" i="1" s="1"/>
  <c r="AI480" i="1"/>
  <c r="CW480" i="1" s="1"/>
  <c r="V480" i="1" s="1"/>
  <c r="AJ480" i="1"/>
  <c r="CQ480" i="1"/>
  <c r="CR480" i="1"/>
  <c r="CT480" i="1"/>
  <c r="CU480" i="1"/>
  <c r="T480" i="1" s="1"/>
  <c r="CX480" i="1"/>
  <c r="W480" i="1" s="1"/>
  <c r="FR480" i="1"/>
  <c r="GL480" i="1"/>
  <c r="GO480" i="1"/>
  <c r="GP480" i="1"/>
  <c r="GV480" i="1"/>
  <c r="HC480" i="1" s="1"/>
  <c r="GX480" i="1" s="1"/>
  <c r="C481" i="1"/>
  <c r="D481" i="1"/>
  <c r="AC481" i="1"/>
  <c r="P481" i="1" s="1"/>
  <c r="AE481" i="1"/>
  <c r="Q481" i="1" s="1"/>
  <c r="AF481" i="1"/>
  <c r="S481" i="1" s="1"/>
  <c r="AG481" i="1"/>
  <c r="AH481" i="1"/>
  <c r="AI481" i="1"/>
  <c r="CW481" i="1" s="1"/>
  <c r="V481" i="1" s="1"/>
  <c r="AJ481" i="1"/>
  <c r="CX481" i="1" s="1"/>
  <c r="W481" i="1" s="1"/>
  <c r="CQ481" i="1"/>
  <c r="CR481" i="1"/>
  <c r="CU481" i="1"/>
  <c r="T481" i="1" s="1"/>
  <c r="CV481" i="1"/>
  <c r="U481" i="1" s="1"/>
  <c r="FR481" i="1"/>
  <c r="GL481" i="1"/>
  <c r="GO481" i="1"/>
  <c r="GP481" i="1"/>
  <c r="GV481" i="1"/>
  <c r="HC481" i="1" s="1"/>
  <c r="GX481" i="1" s="1"/>
  <c r="C482" i="1"/>
  <c r="D482" i="1"/>
  <c r="I482" i="1"/>
  <c r="K482" i="1"/>
  <c r="P482" i="1"/>
  <c r="AC482" i="1"/>
  <c r="AB482" i="1" s="1"/>
  <c r="AD482" i="1"/>
  <c r="AE482" i="1"/>
  <c r="Q482" i="1" s="1"/>
  <c r="AF482" i="1"/>
  <c r="S482" i="1" s="1"/>
  <c r="AG482" i="1"/>
  <c r="AH482" i="1"/>
  <c r="CV482" i="1" s="1"/>
  <c r="U482" i="1" s="1"/>
  <c r="AI482" i="1"/>
  <c r="CW482" i="1" s="1"/>
  <c r="V482" i="1" s="1"/>
  <c r="AJ482" i="1"/>
  <c r="CQ482" i="1"/>
  <c r="CR482" i="1"/>
  <c r="CT482" i="1"/>
  <c r="CU482" i="1"/>
  <c r="T482" i="1" s="1"/>
  <c r="CX482" i="1"/>
  <c r="W482" i="1" s="1"/>
  <c r="FR482" i="1"/>
  <c r="GL482" i="1"/>
  <c r="GO482" i="1"/>
  <c r="GP482" i="1"/>
  <c r="GV482" i="1"/>
  <c r="HC482" i="1" s="1"/>
  <c r="GX482" i="1" s="1"/>
  <c r="C483" i="1"/>
  <c r="D483" i="1"/>
  <c r="I483" i="1"/>
  <c r="CX300" i="3" s="1"/>
  <c r="K483" i="1"/>
  <c r="S483" i="1"/>
  <c r="CY483" i="1" s="1"/>
  <c r="X483" i="1" s="1"/>
  <c r="AC483" i="1"/>
  <c r="P483" i="1" s="1"/>
  <c r="AD483" i="1"/>
  <c r="AE483" i="1"/>
  <c r="Q483" i="1" s="1"/>
  <c r="AF483" i="1"/>
  <c r="AG483" i="1"/>
  <c r="CU483" i="1" s="1"/>
  <c r="T483" i="1" s="1"/>
  <c r="AH483" i="1"/>
  <c r="CV483" i="1" s="1"/>
  <c r="U483" i="1" s="1"/>
  <c r="AI483" i="1"/>
  <c r="AJ483" i="1"/>
  <c r="CR483" i="1"/>
  <c r="CS483" i="1"/>
  <c r="CT483" i="1"/>
  <c r="CW483" i="1"/>
  <c r="V483" i="1" s="1"/>
  <c r="CX483" i="1"/>
  <c r="W483" i="1" s="1"/>
  <c r="FR483" i="1"/>
  <c r="GL483" i="1"/>
  <c r="GO483" i="1"/>
  <c r="GP483" i="1"/>
  <c r="GV483" i="1"/>
  <c r="HC483" i="1"/>
  <c r="GX483" i="1" s="1"/>
  <c r="C484" i="1"/>
  <c r="D484" i="1"/>
  <c r="I484" i="1"/>
  <c r="K484" i="1"/>
  <c r="R484" i="1"/>
  <c r="GK484" i="1" s="1"/>
  <c r="AC484" i="1"/>
  <c r="P484" i="1" s="1"/>
  <c r="AE484" i="1"/>
  <c r="AD484" i="1" s="1"/>
  <c r="AB484" i="1" s="1"/>
  <c r="AF484" i="1"/>
  <c r="S484" i="1" s="1"/>
  <c r="AG484" i="1"/>
  <c r="CU484" i="1" s="1"/>
  <c r="T484" i="1" s="1"/>
  <c r="AH484" i="1"/>
  <c r="AI484" i="1"/>
  <c r="AJ484" i="1"/>
  <c r="CX484" i="1" s="1"/>
  <c r="W484" i="1" s="1"/>
  <c r="CR484" i="1"/>
  <c r="CS484" i="1"/>
  <c r="CV484" i="1"/>
  <c r="U484" i="1" s="1"/>
  <c r="CW484" i="1"/>
  <c r="V484" i="1" s="1"/>
  <c r="FR484" i="1"/>
  <c r="GL484" i="1"/>
  <c r="GO484" i="1"/>
  <c r="GP484" i="1"/>
  <c r="GV484" i="1"/>
  <c r="GX484" i="1"/>
  <c r="HC484" i="1"/>
  <c r="I485" i="1"/>
  <c r="P485" i="1"/>
  <c r="S485" i="1"/>
  <c r="AC485" i="1"/>
  <c r="AB485" i="1" s="1"/>
  <c r="AD485" i="1"/>
  <c r="AE485" i="1"/>
  <c r="Q485" i="1" s="1"/>
  <c r="AF485" i="1"/>
  <c r="AG485" i="1"/>
  <c r="AH485" i="1"/>
  <c r="CV485" i="1" s="1"/>
  <c r="U485" i="1" s="1"/>
  <c r="AI485" i="1"/>
  <c r="CW485" i="1" s="1"/>
  <c r="V485" i="1" s="1"/>
  <c r="AJ485" i="1"/>
  <c r="CQ485" i="1"/>
  <c r="CR485" i="1"/>
  <c r="CT485" i="1"/>
  <c r="CU485" i="1"/>
  <c r="T485" i="1" s="1"/>
  <c r="CX485" i="1"/>
  <c r="W485" i="1" s="1"/>
  <c r="CY485" i="1"/>
  <c r="X485" i="1" s="1"/>
  <c r="CZ485" i="1"/>
  <c r="Y485" i="1" s="1"/>
  <c r="FR485" i="1"/>
  <c r="GL485" i="1"/>
  <c r="GO485" i="1"/>
  <c r="GP485" i="1"/>
  <c r="GV485" i="1"/>
  <c r="HC485" i="1" s="1"/>
  <c r="GX485" i="1" s="1"/>
  <c r="I486" i="1"/>
  <c r="Q486" i="1" s="1"/>
  <c r="R486" i="1"/>
  <c r="GK486" i="1" s="1"/>
  <c r="AC486" i="1"/>
  <c r="P486" i="1" s="1"/>
  <c r="AE486" i="1"/>
  <c r="AD486" i="1" s="1"/>
  <c r="AB486" i="1" s="1"/>
  <c r="AF486" i="1"/>
  <c r="S486" i="1" s="1"/>
  <c r="AG486" i="1"/>
  <c r="CU486" i="1" s="1"/>
  <c r="T486" i="1" s="1"/>
  <c r="AH486" i="1"/>
  <c r="AI486" i="1"/>
  <c r="AJ486" i="1"/>
  <c r="CX486" i="1" s="1"/>
  <c r="W486" i="1" s="1"/>
  <c r="CR486" i="1"/>
  <c r="CS486" i="1"/>
  <c r="CV486" i="1"/>
  <c r="U486" i="1" s="1"/>
  <c r="CW486" i="1"/>
  <c r="V486" i="1" s="1"/>
  <c r="FR486" i="1"/>
  <c r="GL486" i="1"/>
  <c r="GO486" i="1"/>
  <c r="GP486" i="1"/>
  <c r="GV486" i="1"/>
  <c r="GX486" i="1"/>
  <c r="HC486" i="1"/>
  <c r="I487" i="1"/>
  <c r="P487" i="1"/>
  <c r="S487" i="1"/>
  <c r="AC487" i="1"/>
  <c r="AB487" i="1" s="1"/>
  <c r="AD487" i="1"/>
  <c r="AE487" i="1"/>
  <c r="Q487" i="1" s="1"/>
  <c r="AF487" i="1"/>
  <c r="AG487" i="1"/>
  <c r="AH487" i="1"/>
  <c r="CV487" i="1" s="1"/>
  <c r="U487" i="1" s="1"/>
  <c r="AI487" i="1"/>
  <c r="CW487" i="1" s="1"/>
  <c r="V487" i="1" s="1"/>
  <c r="AJ487" i="1"/>
  <c r="CQ487" i="1"/>
  <c r="CR487" i="1"/>
  <c r="CT487" i="1"/>
  <c r="CU487" i="1"/>
  <c r="T487" i="1" s="1"/>
  <c r="CX487" i="1"/>
  <c r="W487" i="1" s="1"/>
  <c r="CY487" i="1"/>
  <c r="X487" i="1" s="1"/>
  <c r="CZ487" i="1"/>
  <c r="Y487" i="1" s="1"/>
  <c r="FR487" i="1"/>
  <c r="GL487" i="1"/>
  <c r="GO487" i="1"/>
  <c r="GP487" i="1"/>
  <c r="GV487" i="1"/>
  <c r="HC487" i="1" s="1"/>
  <c r="GX487" i="1" s="1"/>
  <c r="I488" i="1"/>
  <c r="Q488" i="1" s="1"/>
  <c r="R488" i="1"/>
  <c r="GK488" i="1" s="1"/>
  <c r="AC488" i="1"/>
  <c r="P488" i="1" s="1"/>
  <c r="CP488" i="1" s="1"/>
  <c r="O488" i="1" s="1"/>
  <c r="AE488" i="1"/>
  <c r="AD488" i="1" s="1"/>
  <c r="AB488" i="1" s="1"/>
  <c r="AF488" i="1"/>
  <c r="S488" i="1" s="1"/>
  <c r="AG488" i="1"/>
  <c r="CU488" i="1" s="1"/>
  <c r="T488" i="1" s="1"/>
  <c r="AH488" i="1"/>
  <c r="AI488" i="1"/>
  <c r="AJ488" i="1"/>
  <c r="CX488" i="1" s="1"/>
  <c r="W488" i="1" s="1"/>
  <c r="CR488" i="1"/>
  <c r="CS488" i="1"/>
  <c r="CV488" i="1"/>
  <c r="U488" i="1" s="1"/>
  <c r="CW488" i="1"/>
  <c r="V488" i="1" s="1"/>
  <c r="FR488" i="1"/>
  <c r="GL488" i="1"/>
  <c r="GO488" i="1"/>
  <c r="GP488" i="1"/>
  <c r="GV488" i="1"/>
  <c r="HC488" i="1" s="1"/>
  <c r="GX488" i="1" s="1"/>
  <c r="C489" i="1"/>
  <c r="D489" i="1"/>
  <c r="I489" i="1"/>
  <c r="P489" i="1" s="1"/>
  <c r="K489" i="1"/>
  <c r="AC489" i="1"/>
  <c r="AE489" i="1"/>
  <c r="Q489" i="1" s="1"/>
  <c r="AF489" i="1"/>
  <c r="S489" i="1" s="1"/>
  <c r="AG489" i="1"/>
  <c r="AH489" i="1"/>
  <c r="AI489" i="1"/>
  <c r="CW489" i="1" s="1"/>
  <c r="V489" i="1" s="1"/>
  <c r="AJ489" i="1"/>
  <c r="CX489" i="1" s="1"/>
  <c r="W489" i="1" s="1"/>
  <c r="CQ489" i="1"/>
  <c r="CR489" i="1"/>
  <c r="CU489" i="1"/>
  <c r="T489" i="1" s="1"/>
  <c r="CV489" i="1"/>
  <c r="U489" i="1" s="1"/>
  <c r="FR489" i="1"/>
  <c r="GL489" i="1"/>
  <c r="GO489" i="1"/>
  <c r="GP489" i="1"/>
  <c r="GV489" i="1"/>
  <c r="HC489" i="1" s="1"/>
  <c r="GX489" i="1" s="1"/>
  <c r="AC490" i="1"/>
  <c r="AD490" i="1"/>
  <c r="AE490" i="1"/>
  <c r="AF490" i="1"/>
  <c r="AG490" i="1"/>
  <c r="CU490" i="1" s="1"/>
  <c r="AH490" i="1"/>
  <c r="AI490" i="1"/>
  <c r="AJ490" i="1"/>
  <c r="CR490" i="1"/>
  <c r="CS490" i="1"/>
  <c r="CT490" i="1"/>
  <c r="CV490" i="1"/>
  <c r="CW490" i="1"/>
  <c r="CX490" i="1"/>
  <c r="FR490" i="1"/>
  <c r="GL490" i="1"/>
  <c r="GO490" i="1"/>
  <c r="GP490" i="1"/>
  <c r="GV490" i="1"/>
  <c r="HC490" i="1"/>
  <c r="C491" i="1"/>
  <c r="D491" i="1"/>
  <c r="I491" i="1"/>
  <c r="K491" i="1"/>
  <c r="R491" i="1"/>
  <c r="GK491" i="1" s="1"/>
  <c r="AC491" i="1"/>
  <c r="P491" i="1" s="1"/>
  <c r="AE491" i="1"/>
  <c r="AD491" i="1" s="1"/>
  <c r="AB491" i="1" s="1"/>
  <c r="AF491" i="1"/>
  <c r="S491" i="1" s="1"/>
  <c r="AG491" i="1"/>
  <c r="CU491" i="1" s="1"/>
  <c r="T491" i="1" s="1"/>
  <c r="AH491" i="1"/>
  <c r="AI491" i="1"/>
  <c r="AJ491" i="1"/>
  <c r="CX491" i="1" s="1"/>
  <c r="W491" i="1" s="1"/>
  <c r="CR491" i="1"/>
  <c r="CS491" i="1"/>
  <c r="CV491" i="1"/>
  <c r="U491" i="1" s="1"/>
  <c r="CW491" i="1"/>
  <c r="V491" i="1" s="1"/>
  <c r="FR491" i="1"/>
  <c r="GL491" i="1"/>
  <c r="GO491" i="1"/>
  <c r="GP491" i="1"/>
  <c r="GV491" i="1"/>
  <c r="HC491" i="1" s="1"/>
  <c r="GX491" i="1" s="1"/>
  <c r="AC492" i="1"/>
  <c r="AB492" i="1" s="1"/>
  <c r="AD492" i="1"/>
  <c r="AE492" i="1"/>
  <c r="AF492" i="1"/>
  <c r="AG492" i="1"/>
  <c r="AH492" i="1"/>
  <c r="CV492" i="1" s="1"/>
  <c r="AI492" i="1"/>
  <c r="AJ492" i="1"/>
  <c r="CQ492" i="1"/>
  <c r="CR492" i="1"/>
  <c r="CS492" i="1"/>
  <c r="CT492" i="1"/>
  <c r="CU492" i="1"/>
  <c r="CW492" i="1"/>
  <c r="CX492" i="1"/>
  <c r="FR492" i="1"/>
  <c r="GL492" i="1"/>
  <c r="GO492" i="1"/>
  <c r="GP492" i="1"/>
  <c r="GV492" i="1"/>
  <c r="HC492" i="1"/>
  <c r="C493" i="1"/>
  <c r="D493" i="1"/>
  <c r="I493" i="1"/>
  <c r="K493" i="1"/>
  <c r="S493" i="1"/>
  <c r="CY493" i="1" s="1"/>
  <c r="X493" i="1" s="1"/>
  <c r="AC493" i="1"/>
  <c r="P493" i="1" s="1"/>
  <c r="CP493" i="1" s="1"/>
  <c r="O493" i="1" s="1"/>
  <c r="AD493" i="1"/>
  <c r="AE493" i="1"/>
  <c r="Q493" i="1" s="1"/>
  <c r="AF493" i="1"/>
  <c r="AG493" i="1"/>
  <c r="CU493" i="1" s="1"/>
  <c r="T493" i="1" s="1"/>
  <c r="AH493" i="1"/>
  <c r="AI493" i="1"/>
  <c r="AJ493" i="1"/>
  <c r="CR493" i="1"/>
  <c r="CS493" i="1"/>
  <c r="CT493" i="1"/>
  <c r="CV493" i="1"/>
  <c r="U493" i="1" s="1"/>
  <c r="CW493" i="1"/>
  <c r="V493" i="1" s="1"/>
  <c r="CX493" i="1"/>
  <c r="W493" i="1" s="1"/>
  <c r="FR493" i="1"/>
  <c r="GL493" i="1"/>
  <c r="GO493" i="1"/>
  <c r="GP493" i="1"/>
  <c r="GV493" i="1"/>
  <c r="HC493" i="1"/>
  <c r="GX493" i="1" s="1"/>
  <c r="I494" i="1"/>
  <c r="AC494" i="1"/>
  <c r="AE494" i="1"/>
  <c r="Q494" i="1" s="1"/>
  <c r="AF494" i="1"/>
  <c r="S494" i="1" s="1"/>
  <c r="AG494" i="1"/>
  <c r="AH494" i="1"/>
  <c r="AI494" i="1"/>
  <c r="CW494" i="1" s="1"/>
  <c r="V494" i="1" s="1"/>
  <c r="AJ494" i="1"/>
  <c r="CQ494" i="1"/>
  <c r="CR494" i="1"/>
  <c r="CT494" i="1"/>
  <c r="CU494" i="1"/>
  <c r="T494" i="1" s="1"/>
  <c r="CV494" i="1"/>
  <c r="U494" i="1" s="1"/>
  <c r="CX494" i="1"/>
  <c r="W494" i="1" s="1"/>
  <c r="FR494" i="1"/>
  <c r="GL494" i="1"/>
  <c r="GO494" i="1"/>
  <c r="GP494" i="1"/>
  <c r="GV494" i="1"/>
  <c r="HC494" i="1" s="1"/>
  <c r="GX494" i="1" s="1"/>
  <c r="I495" i="1"/>
  <c r="Q495" i="1" s="1"/>
  <c r="S495" i="1"/>
  <c r="CY495" i="1" s="1"/>
  <c r="X495" i="1" s="1"/>
  <c r="AC495" i="1"/>
  <c r="P495" i="1" s="1"/>
  <c r="CP495" i="1" s="1"/>
  <c r="O495" i="1" s="1"/>
  <c r="AE495" i="1"/>
  <c r="AD495" i="1" s="1"/>
  <c r="AF495" i="1"/>
  <c r="AG495" i="1"/>
  <c r="CU495" i="1" s="1"/>
  <c r="T495" i="1" s="1"/>
  <c r="AH495" i="1"/>
  <c r="AI495" i="1"/>
  <c r="AJ495" i="1"/>
  <c r="CR495" i="1"/>
  <c r="CS495" i="1"/>
  <c r="CT495" i="1"/>
  <c r="CV495" i="1"/>
  <c r="U495" i="1" s="1"/>
  <c r="CW495" i="1"/>
  <c r="V495" i="1" s="1"/>
  <c r="CX495" i="1"/>
  <c r="W495" i="1" s="1"/>
  <c r="FR495" i="1"/>
  <c r="GL495" i="1"/>
  <c r="GO495" i="1"/>
  <c r="GP495" i="1"/>
  <c r="GV495" i="1"/>
  <c r="HC495" i="1"/>
  <c r="GX495" i="1" s="1"/>
  <c r="I496" i="1"/>
  <c r="AC496" i="1"/>
  <c r="AE496" i="1"/>
  <c r="Q496" i="1" s="1"/>
  <c r="AF496" i="1"/>
  <c r="S496" i="1" s="1"/>
  <c r="AG496" i="1"/>
  <c r="AH496" i="1"/>
  <c r="AI496" i="1"/>
  <c r="CW496" i="1" s="1"/>
  <c r="V496" i="1" s="1"/>
  <c r="AJ496" i="1"/>
  <c r="CQ496" i="1"/>
  <c r="CR496" i="1"/>
  <c r="CT496" i="1"/>
  <c r="CU496" i="1"/>
  <c r="T496" i="1" s="1"/>
  <c r="CV496" i="1"/>
  <c r="U496" i="1" s="1"/>
  <c r="CX496" i="1"/>
  <c r="W496" i="1" s="1"/>
  <c r="FR496" i="1"/>
  <c r="GL496" i="1"/>
  <c r="GO496" i="1"/>
  <c r="GP496" i="1"/>
  <c r="GV496" i="1"/>
  <c r="HC496" i="1" s="1"/>
  <c r="GX496" i="1" s="1"/>
  <c r="C497" i="1"/>
  <c r="D497" i="1"/>
  <c r="R497" i="1"/>
  <c r="GK497" i="1" s="1"/>
  <c r="AC497" i="1"/>
  <c r="P497" i="1" s="1"/>
  <c r="AE497" i="1"/>
  <c r="AD497" i="1" s="1"/>
  <c r="AB497" i="1" s="1"/>
  <c r="AF497" i="1"/>
  <c r="S497" i="1" s="1"/>
  <c r="AG497" i="1"/>
  <c r="AH497" i="1"/>
  <c r="AI497" i="1"/>
  <c r="AJ497" i="1"/>
  <c r="CX497" i="1" s="1"/>
  <c r="W497" i="1" s="1"/>
  <c r="CQ497" i="1"/>
  <c r="CR497" i="1"/>
  <c r="CS497" i="1"/>
  <c r="CU497" i="1"/>
  <c r="T497" i="1" s="1"/>
  <c r="CV497" i="1"/>
  <c r="U497" i="1" s="1"/>
  <c r="CW497" i="1"/>
  <c r="V497" i="1" s="1"/>
  <c r="FR497" i="1"/>
  <c r="GL497" i="1"/>
  <c r="GO497" i="1"/>
  <c r="GP497" i="1"/>
  <c r="GV497" i="1"/>
  <c r="HC497" i="1" s="1"/>
  <c r="GX497" i="1" s="1"/>
  <c r="I498" i="1"/>
  <c r="Q498" i="1" s="1"/>
  <c r="P498" i="1"/>
  <c r="R498" i="1"/>
  <c r="S498" i="1"/>
  <c r="CZ498" i="1" s="1"/>
  <c r="Y498" i="1" s="1"/>
  <c r="AC498" i="1"/>
  <c r="AB498" i="1" s="1"/>
  <c r="AD498" i="1"/>
  <c r="AE498" i="1"/>
  <c r="AF498" i="1"/>
  <c r="AG498" i="1"/>
  <c r="AH498" i="1"/>
  <c r="CV498" i="1" s="1"/>
  <c r="U498" i="1" s="1"/>
  <c r="AI498" i="1"/>
  <c r="AJ498" i="1"/>
  <c r="CQ498" i="1"/>
  <c r="CR498" i="1"/>
  <c r="CS498" i="1"/>
  <c r="CT498" i="1"/>
  <c r="CU498" i="1"/>
  <c r="T498" i="1" s="1"/>
  <c r="CW498" i="1"/>
  <c r="V498" i="1" s="1"/>
  <c r="CX498" i="1"/>
  <c r="W498" i="1" s="1"/>
  <c r="CY498" i="1"/>
  <c r="X498" i="1" s="1"/>
  <c r="FR498" i="1"/>
  <c r="GK498" i="1"/>
  <c r="GL498" i="1"/>
  <c r="GO498" i="1"/>
  <c r="GP498" i="1"/>
  <c r="GV498" i="1"/>
  <c r="HC498" i="1"/>
  <c r="GX498" i="1" s="1"/>
  <c r="C499" i="1"/>
  <c r="D499" i="1"/>
  <c r="I499" i="1"/>
  <c r="K499" i="1"/>
  <c r="S499" i="1"/>
  <c r="CY499" i="1" s="1"/>
  <c r="X499" i="1" s="1"/>
  <c r="AC499" i="1"/>
  <c r="P499" i="1" s="1"/>
  <c r="AE499" i="1"/>
  <c r="AD499" i="1" s="1"/>
  <c r="AF499" i="1"/>
  <c r="AG499" i="1"/>
  <c r="CU499" i="1" s="1"/>
  <c r="T499" i="1" s="1"/>
  <c r="AH499" i="1"/>
  <c r="AI499" i="1"/>
  <c r="AJ499" i="1"/>
  <c r="CR499" i="1"/>
  <c r="CS499" i="1"/>
  <c r="CT499" i="1"/>
  <c r="CV499" i="1"/>
  <c r="U499" i="1" s="1"/>
  <c r="CW499" i="1"/>
  <c r="V499" i="1" s="1"/>
  <c r="CX499" i="1"/>
  <c r="W499" i="1" s="1"/>
  <c r="FR499" i="1"/>
  <c r="GL499" i="1"/>
  <c r="GO499" i="1"/>
  <c r="GP499" i="1"/>
  <c r="GV499" i="1"/>
  <c r="HC499" i="1"/>
  <c r="GX499" i="1" s="1"/>
  <c r="I500" i="1"/>
  <c r="S500" i="1"/>
  <c r="AC500" i="1"/>
  <c r="AE500" i="1"/>
  <c r="Q500" i="1" s="1"/>
  <c r="AF500" i="1"/>
  <c r="AG500" i="1"/>
  <c r="CU500" i="1" s="1"/>
  <c r="T500" i="1" s="1"/>
  <c r="AH500" i="1"/>
  <c r="AI500" i="1"/>
  <c r="CW500" i="1" s="1"/>
  <c r="V500" i="1" s="1"/>
  <c r="AJ500" i="1"/>
  <c r="CR500" i="1"/>
  <c r="CT500" i="1"/>
  <c r="CV500" i="1"/>
  <c r="U500" i="1" s="1"/>
  <c r="CX500" i="1"/>
  <c r="W500" i="1" s="1"/>
  <c r="CY500" i="1"/>
  <c r="X500" i="1" s="1"/>
  <c r="CZ500" i="1"/>
  <c r="Y500" i="1" s="1"/>
  <c r="FR500" i="1"/>
  <c r="GL500" i="1"/>
  <c r="GO500" i="1"/>
  <c r="GP500" i="1"/>
  <c r="GV500" i="1"/>
  <c r="HC500" i="1" s="1"/>
  <c r="GX500" i="1" s="1"/>
  <c r="C501" i="1"/>
  <c r="D501" i="1"/>
  <c r="P501" i="1"/>
  <c r="R501" i="1"/>
  <c r="GK501" i="1" s="1"/>
  <c r="AC501" i="1"/>
  <c r="AD501" i="1"/>
  <c r="AE501" i="1"/>
  <c r="Q501" i="1" s="1"/>
  <c r="AF501" i="1"/>
  <c r="AB501" i="1" s="1"/>
  <c r="AG501" i="1"/>
  <c r="AH501" i="1"/>
  <c r="AI501" i="1"/>
  <c r="AJ501" i="1"/>
  <c r="CX501" i="1" s="1"/>
  <c r="W501" i="1" s="1"/>
  <c r="CQ501" i="1"/>
  <c r="CR501" i="1"/>
  <c r="CS501" i="1"/>
  <c r="CU501" i="1"/>
  <c r="T501" i="1" s="1"/>
  <c r="CV501" i="1"/>
  <c r="U501" i="1" s="1"/>
  <c r="CW501" i="1"/>
  <c r="V501" i="1" s="1"/>
  <c r="FR501" i="1"/>
  <c r="GL501" i="1"/>
  <c r="GO501" i="1"/>
  <c r="GP501" i="1"/>
  <c r="GV501" i="1"/>
  <c r="HC501" i="1" s="1"/>
  <c r="GX501" i="1" s="1"/>
  <c r="C502" i="1"/>
  <c r="D502" i="1"/>
  <c r="S502" i="1"/>
  <c r="CY502" i="1" s="1"/>
  <c r="X502" i="1" s="1"/>
  <c r="AC502" i="1"/>
  <c r="P502" i="1" s="1"/>
  <c r="AE502" i="1"/>
  <c r="AD502" i="1" s="1"/>
  <c r="AF502" i="1"/>
  <c r="AG502" i="1"/>
  <c r="CU502" i="1" s="1"/>
  <c r="T502" i="1" s="1"/>
  <c r="AH502" i="1"/>
  <c r="AI502" i="1"/>
  <c r="AJ502" i="1"/>
  <c r="CR502" i="1"/>
  <c r="CS502" i="1"/>
  <c r="CT502" i="1"/>
  <c r="CV502" i="1"/>
  <c r="U502" i="1" s="1"/>
  <c r="CW502" i="1"/>
  <c r="V502" i="1" s="1"/>
  <c r="CX502" i="1"/>
  <c r="W502" i="1" s="1"/>
  <c r="FR502" i="1"/>
  <c r="GL502" i="1"/>
  <c r="GN502" i="1"/>
  <c r="GO502" i="1"/>
  <c r="GV502" i="1"/>
  <c r="HC502" i="1"/>
  <c r="GX502" i="1" s="1"/>
  <c r="C503" i="1"/>
  <c r="D503" i="1"/>
  <c r="P503" i="1"/>
  <c r="R503" i="1"/>
  <c r="GK503" i="1" s="1"/>
  <c r="AC503" i="1"/>
  <c r="AD503" i="1"/>
  <c r="AB503" i="1" s="1"/>
  <c r="AE503" i="1"/>
  <c r="Q503" i="1" s="1"/>
  <c r="AF503" i="1"/>
  <c r="S503" i="1" s="1"/>
  <c r="AG503" i="1"/>
  <c r="AH503" i="1"/>
  <c r="CV503" i="1" s="1"/>
  <c r="U503" i="1" s="1"/>
  <c r="AI503" i="1"/>
  <c r="AJ503" i="1"/>
  <c r="CX503" i="1" s="1"/>
  <c r="W503" i="1" s="1"/>
  <c r="CQ503" i="1"/>
  <c r="CR503" i="1"/>
  <c r="CS503" i="1"/>
  <c r="CU503" i="1"/>
  <c r="T503" i="1" s="1"/>
  <c r="CW503" i="1"/>
  <c r="V503" i="1" s="1"/>
  <c r="FR503" i="1"/>
  <c r="GL503" i="1"/>
  <c r="BZ507" i="1" s="1"/>
  <c r="GN503" i="1"/>
  <c r="GO503" i="1"/>
  <c r="GV503" i="1"/>
  <c r="GX503" i="1"/>
  <c r="HC503" i="1"/>
  <c r="C504" i="1"/>
  <c r="D504" i="1"/>
  <c r="S504" i="1"/>
  <c r="CY504" i="1" s="1"/>
  <c r="X504" i="1" s="1"/>
  <c r="AC504" i="1"/>
  <c r="AE504" i="1"/>
  <c r="Q504" i="1" s="1"/>
  <c r="AF504" i="1"/>
  <c r="AG504" i="1"/>
  <c r="CU504" i="1" s="1"/>
  <c r="T504" i="1" s="1"/>
  <c r="AH504" i="1"/>
  <c r="AI504" i="1"/>
  <c r="CW504" i="1" s="1"/>
  <c r="V504" i="1" s="1"/>
  <c r="AJ504" i="1"/>
  <c r="CR504" i="1"/>
  <c r="CT504" i="1"/>
  <c r="CV504" i="1"/>
  <c r="U504" i="1" s="1"/>
  <c r="CX504" i="1"/>
  <c r="W504" i="1" s="1"/>
  <c r="CZ504" i="1"/>
  <c r="Y504" i="1" s="1"/>
  <c r="FR504" i="1"/>
  <c r="GL504" i="1"/>
  <c r="GN504" i="1"/>
  <c r="GO504" i="1"/>
  <c r="GV504" i="1"/>
  <c r="HC504" i="1" s="1"/>
  <c r="GX504" i="1" s="1"/>
  <c r="C505" i="1"/>
  <c r="D505" i="1"/>
  <c r="P505" i="1"/>
  <c r="R505" i="1"/>
  <c r="GK505" i="1" s="1"/>
  <c r="AC505" i="1"/>
  <c r="AD505" i="1"/>
  <c r="AE505" i="1"/>
  <c r="Q505" i="1" s="1"/>
  <c r="AF505" i="1"/>
  <c r="AB505" i="1" s="1"/>
  <c r="AG505" i="1"/>
  <c r="AH505" i="1"/>
  <c r="CV505" i="1" s="1"/>
  <c r="U505" i="1" s="1"/>
  <c r="AI505" i="1"/>
  <c r="AJ505" i="1"/>
  <c r="CX505" i="1" s="1"/>
  <c r="W505" i="1" s="1"/>
  <c r="CQ505" i="1"/>
  <c r="CR505" i="1"/>
  <c r="CS505" i="1"/>
  <c r="CU505" i="1"/>
  <c r="T505" i="1" s="1"/>
  <c r="CW505" i="1"/>
  <c r="V505" i="1" s="1"/>
  <c r="FR505" i="1"/>
  <c r="BY507" i="1" s="1"/>
  <c r="GL505" i="1"/>
  <c r="GN505" i="1"/>
  <c r="GO505" i="1"/>
  <c r="GV505" i="1"/>
  <c r="HC505" i="1" s="1"/>
  <c r="GX505" i="1" s="1"/>
  <c r="B507" i="1"/>
  <c r="B475" i="1" s="1"/>
  <c r="C507" i="1"/>
  <c r="C475" i="1" s="1"/>
  <c r="D507" i="1"/>
  <c r="D475" i="1" s="1"/>
  <c r="F507" i="1"/>
  <c r="F475" i="1" s="1"/>
  <c r="G507" i="1"/>
  <c r="G475" i="1" s="1"/>
  <c r="BX507" i="1"/>
  <c r="BX475" i="1" s="1"/>
  <c r="CC507" i="1"/>
  <c r="CC475" i="1" s="1"/>
  <c r="CK507" i="1"/>
  <c r="CK475" i="1" s="1"/>
  <c r="CL507" i="1"/>
  <c r="CL475" i="1" s="1"/>
  <c r="CM507" i="1"/>
  <c r="D537" i="1"/>
  <c r="E539" i="1"/>
  <c r="Z539" i="1"/>
  <c r="AA539" i="1"/>
  <c r="AM539" i="1"/>
  <c r="AN539" i="1"/>
  <c r="BE539" i="1"/>
  <c r="BF539" i="1"/>
  <c r="BG539" i="1"/>
  <c r="BH539" i="1"/>
  <c r="BI539" i="1"/>
  <c r="BJ539" i="1"/>
  <c r="BK539" i="1"/>
  <c r="BL539" i="1"/>
  <c r="BM539" i="1"/>
  <c r="BN539" i="1"/>
  <c r="BO539" i="1"/>
  <c r="BP539" i="1"/>
  <c r="BQ539" i="1"/>
  <c r="BR539" i="1"/>
  <c r="BS539" i="1"/>
  <c r="BT539" i="1"/>
  <c r="BU539" i="1"/>
  <c r="BV539" i="1"/>
  <c r="BW539" i="1"/>
  <c r="CN539" i="1"/>
  <c r="CO539" i="1"/>
  <c r="CP539" i="1"/>
  <c r="CQ539" i="1"/>
  <c r="CR539" i="1"/>
  <c r="CS539" i="1"/>
  <c r="CT539" i="1"/>
  <c r="CU539" i="1"/>
  <c r="CV539" i="1"/>
  <c r="CW539" i="1"/>
  <c r="CX539" i="1"/>
  <c r="CY539" i="1"/>
  <c r="CZ539" i="1"/>
  <c r="DA539" i="1"/>
  <c r="DB539" i="1"/>
  <c r="DC539" i="1"/>
  <c r="DD539" i="1"/>
  <c r="DE539" i="1"/>
  <c r="DF539" i="1"/>
  <c r="DG539" i="1"/>
  <c r="DH539" i="1"/>
  <c r="DI539" i="1"/>
  <c r="DJ539" i="1"/>
  <c r="DK539" i="1"/>
  <c r="DL539" i="1"/>
  <c r="DM539" i="1"/>
  <c r="DN539" i="1"/>
  <c r="DO539" i="1"/>
  <c r="DP539" i="1"/>
  <c r="DQ539" i="1"/>
  <c r="DR539" i="1"/>
  <c r="DS539" i="1"/>
  <c r="DT539" i="1"/>
  <c r="DU539" i="1"/>
  <c r="DV539" i="1"/>
  <c r="DW539" i="1"/>
  <c r="DX539" i="1"/>
  <c r="DY539" i="1"/>
  <c r="DZ539" i="1"/>
  <c r="EA539" i="1"/>
  <c r="EB539" i="1"/>
  <c r="EC539" i="1"/>
  <c r="ED539" i="1"/>
  <c r="EE539" i="1"/>
  <c r="EF539" i="1"/>
  <c r="EG539" i="1"/>
  <c r="EH539" i="1"/>
  <c r="EI539" i="1"/>
  <c r="EJ539" i="1"/>
  <c r="EK539" i="1"/>
  <c r="EL539" i="1"/>
  <c r="EM539" i="1"/>
  <c r="EN539" i="1"/>
  <c r="EO539" i="1"/>
  <c r="EP539" i="1"/>
  <c r="EQ539" i="1"/>
  <c r="ER539" i="1"/>
  <c r="ES539" i="1"/>
  <c r="ET539" i="1"/>
  <c r="EU539" i="1"/>
  <c r="EV539" i="1"/>
  <c r="EW539" i="1"/>
  <c r="EX539" i="1"/>
  <c r="EY539" i="1"/>
  <c r="EZ539" i="1"/>
  <c r="FA539" i="1"/>
  <c r="FB539" i="1"/>
  <c r="FC539" i="1"/>
  <c r="FD539" i="1"/>
  <c r="FE539" i="1"/>
  <c r="FF539" i="1"/>
  <c r="FG539" i="1"/>
  <c r="FH539" i="1"/>
  <c r="FI539" i="1"/>
  <c r="FJ539" i="1"/>
  <c r="FK539" i="1"/>
  <c r="FL539" i="1"/>
  <c r="FM539" i="1"/>
  <c r="FN539" i="1"/>
  <c r="FO539" i="1"/>
  <c r="FP539" i="1"/>
  <c r="FQ539" i="1"/>
  <c r="FR539" i="1"/>
  <c r="FS539" i="1"/>
  <c r="FT539" i="1"/>
  <c r="FU539" i="1"/>
  <c r="FV539" i="1"/>
  <c r="FW539" i="1"/>
  <c r="FX539" i="1"/>
  <c r="FY539" i="1"/>
  <c r="FZ539" i="1"/>
  <c r="GA539" i="1"/>
  <c r="GB539" i="1"/>
  <c r="GC539" i="1"/>
  <c r="GD539" i="1"/>
  <c r="GE539" i="1"/>
  <c r="GF539" i="1"/>
  <c r="GG539" i="1"/>
  <c r="GH539" i="1"/>
  <c r="GI539" i="1"/>
  <c r="GJ539" i="1"/>
  <c r="GK539" i="1"/>
  <c r="GL539" i="1"/>
  <c r="GM539" i="1"/>
  <c r="GN539" i="1"/>
  <c r="GO539" i="1"/>
  <c r="GP539" i="1"/>
  <c r="GQ539" i="1"/>
  <c r="GR539" i="1"/>
  <c r="GS539" i="1"/>
  <c r="GT539" i="1"/>
  <c r="GU539" i="1"/>
  <c r="GV539" i="1"/>
  <c r="GW539" i="1"/>
  <c r="GX539" i="1"/>
  <c r="C541" i="1"/>
  <c r="D541" i="1"/>
  <c r="I541" i="1"/>
  <c r="K541" i="1"/>
  <c r="P541" i="1"/>
  <c r="R541" i="1"/>
  <c r="GK541" i="1" s="1"/>
  <c r="AC541" i="1"/>
  <c r="AD541" i="1"/>
  <c r="AE541" i="1"/>
  <c r="Q541" i="1" s="1"/>
  <c r="AF541" i="1"/>
  <c r="AG541" i="1"/>
  <c r="AH541" i="1"/>
  <c r="CV541" i="1" s="1"/>
  <c r="U541" i="1" s="1"/>
  <c r="AI541" i="1"/>
  <c r="AJ541" i="1"/>
  <c r="CX541" i="1" s="1"/>
  <c r="W541" i="1" s="1"/>
  <c r="CQ541" i="1"/>
  <c r="CR541" i="1"/>
  <c r="CS541" i="1"/>
  <c r="CU541" i="1"/>
  <c r="T541" i="1" s="1"/>
  <c r="CW541" i="1"/>
  <c r="V541" i="1" s="1"/>
  <c r="FR541" i="1"/>
  <c r="GL541" i="1"/>
  <c r="GO541" i="1"/>
  <c r="GP541" i="1"/>
  <c r="GV541" i="1"/>
  <c r="HC541" i="1" s="1"/>
  <c r="GX541" i="1" s="1"/>
  <c r="C542" i="1"/>
  <c r="D542" i="1"/>
  <c r="R542" i="1"/>
  <c r="GK542" i="1" s="1"/>
  <c r="AC542" i="1"/>
  <c r="P542" i="1" s="1"/>
  <c r="AD542" i="1"/>
  <c r="AB542" i="1" s="1"/>
  <c r="AE542" i="1"/>
  <c r="Q542" i="1" s="1"/>
  <c r="AF542" i="1"/>
  <c r="S542" i="1" s="1"/>
  <c r="AG542" i="1"/>
  <c r="AH542" i="1"/>
  <c r="CV542" i="1" s="1"/>
  <c r="U542" i="1" s="1"/>
  <c r="AI542" i="1"/>
  <c r="AJ542" i="1"/>
  <c r="CX542" i="1" s="1"/>
  <c r="W542" i="1" s="1"/>
  <c r="CQ542" i="1"/>
  <c r="CR542" i="1"/>
  <c r="CS542" i="1"/>
  <c r="CU542" i="1"/>
  <c r="T542" i="1" s="1"/>
  <c r="CW542" i="1"/>
  <c r="V542" i="1" s="1"/>
  <c r="FR542" i="1"/>
  <c r="GL542" i="1"/>
  <c r="BZ552" i="1" s="1"/>
  <c r="GO542" i="1"/>
  <c r="GP542" i="1"/>
  <c r="GV542" i="1"/>
  <c r="HC542" i="1" s="1"/>
  <c r="GX542" i="1" s="1"/>
  <c r="I543" i="1"/>
  <c r="Q543" i="1" s="1"/>
  <c r="R543" i="1"/>
  <c r="GK543" i="1" s="1"/>
  <c r="AC543" i="1"/>
  <c r="P543" i="1" s="1"/>
  <c r="AD543" i="1"/>
  <c r="AE543" i="1"/>
  <c r="AF543" i="1"/>
  <c r="AB543" i="1" s="1"/>
  <c r="AG543" i="1"/>
  <c r="AH543" i="1"/>
  <c r="CV543" i="1" s="1"/>
  <c r="U543" i="1" s="1"/>
  <c r="AI543" i="1"/>
  <c r="AJ543" i="1"/>
  <c r="CX543" i="1" s="1"/>
  <c r="W543" i="1" s="1"/>
  <c r="CQ543" i="1"/>
  <c r="CR543" i="1"/>
  <c r="CS543" i="1"/>
  <c r="CU543" i="1"/>
  <c r="T543" i="1" s="1"/>
  <c r="CW543" i="1"/>
  <c r="V543" i="1" s="1"/>
  <c r="FR543" i="1"/>
  <c r="GL543" i="1"/>
  <c r="GO543" i="1"/>
  <c r="GP543" i="1"/>
  <c r="GV543" i="1"/>
  <c r="GX543" i="1"/>
  <c r="HC543" i="1"/>
  <c r="I544" i="1"/>
  <c r="Q544" i="1" s="1"/>
  <c r="P544" i="1"/>
  <c r="CP544" i="1" s="1"/>
  <c r="O544" i="1" s="1"/>
  <c r="R544" i="1"/>
  <c r="GK544" i="1" s="1"/>
  <c r="AC544" i="1"/>
  <c r="AD544" i="1"/>
  <c r="AB544" i="1" s="1"/>
  <c r="AE544" i="1"/>
  <c r="AF544" i="1"/>
  <c r="S544" i="1" s="1"/>
  <c r="AG544" i="1"/>
  <c r="AH544" i="1"/>
  <c r="CV544" i="1" s="1"/>
  <c r="U544" i="1" s="1"/>
  <c r="AI544" i="1"/>
  <c r="AJ544" i="1"/>
  <c r="CX544" i="1" s="1"/>
  <c r="W544" i="1" s="1"/>
  <c r="CQ544" i="1"/>
  <c r="CR544" i="1"/>
  <c r="CS544" i="1"/>
  <c r="CU544" i="1"/>
  <c r="T544" i="1" s="1"/>
  <c r="CW544" i="1"/>
  <c r="V544" i="1" s="1"/>
  <c r="FR544" i="1"/>
  <c r="GL544" i="1"/>
  <c r="GO544" i="1"/>
  <c r="GP544" i="1"/>
  <c r="GV544" i="1"/>
  <c r="HC544" i="1" s="1"/>
  <c r="GX544" i="1" s="1"/>
  <c r="C545" i="1"/>
  <c r="D545" i="1"/>
  <c r="I545" i="1"/>
  <c r="I547" i="1" s="1"/>
  <c r="K545" i="1"/>
  <c r="S545" i="1"/>
  <c r="CY545" i="1" s="1"/>
  <c r="X545" i="1" s="1"/>
  <c r="AC545" i="1"/>
  <c r="P545" i="1" s="1"/>
  <c r="AE545" i="1"/>
  <c r="AD545" i="1" s="1"/>
  <c r="AF545" i="1"/>
  <c r="AG545" i="1"/>
  <c r="CU545" i="1" s="1"/>
  <c r="T545" i="1" s="1"/>
  <c r="AH545" i="1"/>
  <c r="AI545" i="1"/>
  <c r="CW545" i="1" s="1"/>
  <c r="V545" i="1" s="1"/>
  <c r="AJ545" i="1"/>
  <c r="CR545" i="1"/>
  <c r="CT545" i="1"/>
  <c r="CV545" i="1"/>
  <c r="U545" i="1" s="1"/>
  <c r="CX545" i="1"/>
  <c r="W545" i="1" s="1"/>
  <c r="FR545" i="1"/>
  <c r="GL545" i="1"/>
  <c r="GO545" i="1"/>
  <c r="CC552" i="1" s="1"/>
  <c r="GP545" i="1"/>
  <c r="GV545" i="1"/>
  <c r="HC545" i="1"/>
  <c r="GX545" i="1" s="1"/>
  <c r="AC546" i="1"/>
  <c r="AE546" i="1"/>
  <c r="AF546" i="1"/>
  <c r="AG546" i="1"/>
  <c r="CU546" i="1" s="1"/>
  <c r="AH546" i="1"/>
  <c r="AI546" i="1"/>
  <c r="CW546" i="1" s="1"/>
  <c r="AJ546" i="1"/>
  <c r="CR546" i="1"/>
  <c r="CT546" i="1"/>
  <c r="CV546" i="1"/>
  <c r="CX546" i="1"/>
  <c r="FR546" i="1"/>
  <c r="GL546" i="1"/>
  <c r="GO546" i="1"/>
  <c r="GP546" i="1"/>
  <c r="GV546" i="1"/>
  <c r="HC546" i="1" s="1"/>
  <c r="AC547" i="1"/>
  <c r="P547" i="1" s="1"/>
  <c r="AE547" i="1"/>
  <c r="AD547" i="1" s="1"/>
  <c r="AF547" i="1"/>
  <c r="AG547" i="1"/>
  <c r="CU547" i="1" s="1"/>
  <c r="T547" i="1" s="1"/>
  <c r="AH547" i="1"/>
  <c r="AI547" i="1"/>
  <c r="CW547" i="1" s="1"/>
  <c r="AJ547" i="1"/>
  <c r="CR547" i="1"/>
  <c r="CT547" i="1"/>
  <c r="CV547" i="1"/>
  <c r="CX547" i="1"/>
  <c r="W547" i="1" s="1"/>
  <c r="FR547" i="1"/>
  <c r="GL547" i="1"/>
  <c r="GO547" i="1"/>
  <c r="GP547" i="1"/>
  <c r="GV547" i="1"/>
  <c r="HC547" i="1"/>
  <c r="GX547" i="1" s="1"/>
  <c r="C548" i="1"/>
  <c r="D548" i="1"/>
  <c r="P548" i="1"/>
  <c r="R548" i="1"/>
  <c r="GK548" i="1" s="1"/>
  <c r="AC548" i="1"/>
  <c r="AD548" i="1"/>
  <c r="AB548" i="1" s="1"/>
  <c r="AE548" i="1"/>
  <c r="Q548" i="1" s="1"/>
  <c r="AF548" i="1"/>
  <c r="S548" i="1" s="1"/>
  <c r="AG548" i="1"/>
  <c r="AH548" i="1"/>
  <c r="CV548" i="1" s="1"/>
  <c r="U548" i="1" s="1"/>
  <c r="AI548" i="1"/>
  <c r="AJ548" i="1"/>
  <c r="CX548" i="1" s="1"/>
  <c r="W548" i="1" s="1"/>
  <c r="CQ548" i="1"/>
  <c r="CR548" i="1"/>
  <c r="CS548" i="1"/>
  <c r="CU548" i="1"/>
  <c r="T548" i="1" s="1"/>
  <c r="CW548" i="1"/>
  <c r="V548" i="1" s="1"/>
  <c r="FR548" i="1"/>
  <c r="GL548" i="1"/>
  <c r="GO548" i="1"/>
  <c r="GP548" i="1"/>
  <c r="GV548" i="1"/>
  <c r="HC548" i="1" s="1"/>
  <c r="GX548" i="1" s="1"/>
  <c r="C549" i="1"/>
  <c r="D549" i="1"/>
  <c r="S549" i="1"/>
  <c r="CY549" i="1" s="1"/>
  <c r="X549" i="1" s="1"/>
  <c r="AC549" i="1"/>
  <c r="AE549" i="1"/>
  <c r="Q549" i="1" s="1"/>
  <c r="AF549" i="1"/>
  <c r="AG549" i="1"/>
  <c r="CU549" i="1" s="1"/>
  <c r="T549" i="1" s="1"/>
  <c r="AH549" i="1"/>
  <c r="AI549" i="1"/>
  <c r="CW549" i="1" s="1"/>
  <c r="V549" i="1" s="1"/>
  <c r="AJ549" i="1"/>
  <c r="CR549" i="1"/>
  <c r="CT549" i="1"/>
  <c r="CV549" i="1"/>
  <c r="U549" i="1" s="1"/>
  <c r="CX549" i="1"/>
  <c r="W549" i="1" s="1"/>
  <c r="CZ549" i="1"/>
  <c r="Y549" i="1" s="1"/>
  <c r="FR549" i="1"/>
  <c r="GL549" i="1"/>
  <c r="GN549" i="1"/>
  <c r="GO549" i="1"/>
  <c r="GV549" i="1"/>
  <c r="HC549" i="1" s="1"/>
  <c r="GX549" i="1" s="1"/>
  <c r="C550" i="1"/>
  <c r="D550" i="1"/>
  <c r="P550" i="1"/>
  <c r="R550" i="1"/>
  <c r="GK550" i="1" s="1"/>
  <c r="AC550" i="1"/>
  <c r="AD550" i="1"/>
  <c r="AE550" i="1"/>
  <c r="Q550" i="1" s="1"/>
  <c r="AF550" i="1"/>
  <c r="AB550" i="1" s="1"/>
  <c r="AG550" i="1"/>
  <c r="AH550" i="1"/>
  <c r="CV550" i="1" s="1"/>
  <c r="U550" i="1" s="1"/>
  <c r="AI550" i="1"/>
  <c r="AJ550" i="1"/>
  <c r="CX550" i="1" s="1"/>
  <c r="W550" i="1" s="1"/>
  <c r="CQ550" i="1"/>
  <c r="CR550" i="1"/>
  <c r="CS550" i="1"/>
  <c r="CU550" i="1"/>
  <c r="T550" i="1" s="1"/>
  <c r="CW550" i="1"/>
  <c r="V550" i="1" s="1"/>
  <c r="FR550" i="1"/>
  <c r="BY552" i="1" s="1"/>
  <c r="GL550" i="1"/>
  <c r="GN550" i="1"/>
  <c r="GO550" i="1"/>
  <c r="GV550" i="1"/>
  <c r="GX550" i="1"/>
  <c r="HC550" i="1"/>
  <c r="B552" i="1"/>
  <c r="B539" i="1" s="1"/>
  <c r="C552" i="1"/>
  <c r="C539" i="1" s="1"/>
  <c r="D552" i="1"/>
  <c r="D539" i="1" s="1"/>
  <c r="F552" i="1"/>
  <c r="F539" i="1" s="1"/>
  <c r="G552" i="1"/>
  <c r="G539" i="1" s="1"/>
  <c r="BX552" i="1"/>
  <c r="BX539" i="1" s="1"/>
  <c r="CK552" i="1"/>
  <c r="CK539" i="1" s="1"/>
  <c r="CL552" i="1"/>
  <c r="CL539" i="1" s="1"/>
  <c r="CM552" i="1"/>
  <c r="CM539" i="1" s="1"/>
  <c r="D582" i="1"/>
  <c r="E584" i="1"/>
  <c r="Z584" i="1"/>
  <c r="AA584" i="1"/>
  <c r="AB584" i="1"/>
  <c r="AC584" i="1"/>
  <c r="AD584" i="1"/>
  <c r="AE584" i="1"/>
  <c r="AF584" i="1"/>
  <c r="AG584" i="1"/>
  <c r="AH584" i="1"/>
  <c r="AI584" i="1"/>
  <c r="AJ584" i="1"/>
  <c r="AK584" i="1"/>
  <c r="AL584" i="1"/>
  <c r="AM584" i="1"/>
  <c r="AN584" i="1"/>
  <c r="BE584" i="1"/>
  <c r="BF584" i="1"/>
  <c r="BG584" i="1"/>
  <c r="BH584" i="1"/>
  <c r="BI584" i="1"/>
  <c r="BJ584" i="1"/>
  <c r="BK584" i="1"/>
  <c r="BL584" i="1"/>
  <c r="BM584" i="1"/>
  <c r="BN584" i="1"/>
  <c r="BO584" i="1"/>
  <c r="BP584" i="1"/>
  <c r="BQ584" i="1"/>
  <c r="BR584" i="1"/>
  <c r="BS584" i="1"/>
  <c r="BT584" i="1"/>
  <c r="BU584" i="1"/>
  <c r="BV584" i="1"/>
  <c r="BW584" i="1"/>
  <c r="BX584" i="1"/>
  <c r="BY584" i="1"/>
  <c r="BZ584" i="1"/>
  <c r="CA584" i="1"/>
  <c r="CB584" i="1"/>
  <c r="CC584" i="1"/>
  <c r="CD584" i="1"/>
  <c r="CE584" i="1"/>
  <c r="CF584" i="1"/>
  <c r="CG584" i="1"/>
  <c r="CH584" i="1"/>
  <c r="CI584" i="1"/>
  <c r="CJ584" i="1"/>
  <c r="CK584" i="1"/>
  <c r="CL584" i="1"/>
  <c r="CM584" i="1"/>
  <c r="CN584" i="1"/>
  <c r="CO584" i="1"/>
  <c r="CP584" i="1"/>
  <c r="CQ584" i="1"/>
  <c r="CR584" i="1"/>
  <c r="CS584" i="1"/>
  <c r="CT584" i="1"/>
  <c r="CU584" i="1"/>
  <c r="CV584" i="1"/>
  <c r="CW584" i="1"/>
  <c r="CX584" i="1"/>
  <c r="CY584" i="1"/>
  <c r="CZ584" i="1"/>
  <c r="DA584" i="1"/>
  <c r="DB584" i="1"/>
  <c r="DC584" i="1"/>
  <c r="DD584" i="1"/>
  <c r="DE584" i="1"/>
  <c r="DF584" i="1"/>
  <c r="DG584" i="1"/>
  <c r="DH584" i="1"/>
  <c r="DI584" i="1"/>
  <c r="DJ584" i="1"/>
  <c r="DK584" i="1"/>
  <c r="DL584" i="1"/>
  <c r="DM584" i="1"/>
  <c r="DN584" i="1"/>
  <c r="DO584" i="1"/>
  <c r="DP584" i="1"/>
  <c r="DQ584" i="1"/>
  <c r="DR584" i="1"/>
  <c r="DS584" i="1"/>
  <c r="DT584" i="1"/>
  <c r="DU584" i="1"/>
  <c r="DV584" i="1"/>
  <c r="DW584" i="1"/>
  <c r="DX584" i="1"/>
  <c r="DY584" i="1"/>
  <c r="DZ584" i="1"/>
  <c r="EA584" i="1"/>
  <c r="EB584" i="1"/>
  <c r="EC584" i="1"/>
  <c r="ED584" i="1"/>
  <c r="EE584" i="1"/>
  <c r="EF584" i="1"/>
  <c r="EG584" i="1"/>
  <c r="EH584" i="1"/>
  <c r="EI584" i="1"/>
  <c r="EJ584" i="1"/>
  <c r="EK584" i="1"/>
  <c r="EL584" i="1"/>
  <c r="EM584" i="1"/>
  <c r="EN584" i="1"/>
  <c r="EO584" i="1"/>
  <c r="EP584" i="1"/>
  <c r="EQ584" i="1"/>
  <c r="ER584" i="1"/>
  <c r="ES584" i="1"/>
  <c r="ET584" i="1"/>
  <c r="EU584" i="1"/>
  <c r="EV584" i="1"/>
  <c r="EW584" i="1"/>
  <c r="EX584" i="1"/>
  <c r="EY584" i="1"/>
  <c r="EZ584" i="1"/>
  <c r="FA584" i="1"/>
  <c r="FB584" i="1"/>
  <c r="FC584" i="1"/>
  <c r="FD584" i="1"/>
  <c r="FE584" i="1"/>
  <c r="FF584" i="1"/>
  <c r="FG584" i="1"/>
  <c r="FH584" i="1"/>
  <c r="FI584" i="1"/>
  <c r="FJ584" i="1"/>
  <c r="FK584" i="1"/>
  <c r="FL584" i="1"/>
  <c r="FM584" i="1"/>
  <c r="FN584" i="1"/>
  <c r="FO584" i="1"/>
  <c r="FP584" i="1"/>
  <c r="FQ584" i="1"/>
  <c r="FR584" i="1"/>
  <c r="FS584" i="1"/>
  <c r="FT584" i="1"/>
  <c r="FU584" i="1"/>
  <c r="FV584" i="1"/>
  <c r="FW584" i="1"/>
  <c r="FX584" i="1"/>
  <c r="FY584" i="1"/>
  <c r="FZ584" i="1"/>
  <c r="GA584" i="1"/>
  <c r="GB584" i="1"/>
  <c r="GC584" i="1"/>
  <c r="GD584" i="1"/>
  <c r="GE584" i="1"/>
  <c r="GF584" i="1"/>
  <c r="GG584" i="1"/>
  <c r="GH584" i="1"/>
  <c r="GI584" i="1"/>
  <c r="GJ584" i="1"/>
  <c r="GK584" i="1"/>
  <c r="GL584" i="1"/>
  <c r="GM584" i="1"/>
  <c r="GN584" i="1"/>
  <c r="GO584" i="1"/>
  <c r="GP584" i="1"/>
  <c r="GQ584" i="1"/>
  <c r="GR584" i="1"/>
  <c r="GS584" i="1"/>
  <c r="GT584" i="1"/>
  <c r="GU584" i="1"/>
  <c r="GV584" i="1"/>
  <c r="GW584" i="1"/>
  <c r="GX584" i="1"/>
  <c r="D586" i="1"/>
  <c r="E588" i="1"/>
  <c r="Z588" i="1"/>
  <c r="AA588" i="1"/>
  <c r="AM588" i="1"/>
  <c r="AN588" i="1"/>
  <c r="BE588" i="1"/>
  <c r="BF588" i="1"/>
  <c r="BG588" i="1"/>
  <c r="BH588" i="1"/>
  <c r="BI588" i="1"/>
  <c r="BJ588" i="1"/>
  <c r="BK588" i="1"/>
  <c r="BL588" i="1"/>
  <c r="BM588" i="1"/>
  <c r="BN588" i="1"/>
  <c r="BO588" i="1"/>
  <c r="BP588" i="1"/>
  <c r="BQ588" i="1"/>
  <c r="BR588" i="1"/>
  <c r="BS588" i="1"/>
  <c r="BT588" i="1"/>
  <c r="BU588" i="1"/>
  <c r="BV588" i="1"/>
  <c r="BW588" i="1"/>
  <c r="CN588" i="1"/>
  <c r="CO588" i="1"/>
  <c r="CP588" i="1"/>
  <c r="CQ588" i="1"/>
  <c r="CR588" i="1"/>
  <c r="CS588" i="1"/>
  <c r="CT588" i="1"/>
  <c r="CU588" i="1"/>
  <c r="CV588" i="1"/>
  <c r="CW588" i="1"/>
  <c r="CX588" i="1"/>
  <c r="CY588" i="1"/>
  <c r="CZ588" i="1"/>
  <c r="DA588" i="1"/>
  <c r="DB588" i="1"/>
  <c r="DC588" i="1"/>
  <c r="DD588" i="1"/>
  <c r="DE588" i="1"/>
  <c r="DF588" i="1"/>
  <c r="DG588" i="1"/>
  <c r="DH588" i="1"/>
  <c r="DI588" i="1"/>
  <c r="DJ588" i="1"/>
  <c r="DK588" i="1"/>
  <c r="DL588" i="1"/>
  <c r="DM588" i="1"/>
  <c r="DN588" i="1"/>
  <c r="DO588" i="1"/>
  <c r="DP588" i="1"/>
  <c r="DQ588" i="1"/>
  <c r="DR588" i="1"/>
  <c r="DS588" i="1"/>
  <c r="DT588" i="1"/>
  <c r="DU588" i="1"/>
  <c r="DV588" i="1"/>
  <c r="DW588" i="1"/>
  <c r="DX588" i="1"/>
  <c r="DY588" i="1"/>
  <c r="DZ588" i="1"/>
  <c r="EA588" i="1"/>
  <c r="EB588" i="1"/>
  <c r="EC588" i="1"/>
  <c r="ED588" i="1"/>
  <c r="EE588" i="1"/>
  <c r="EF588" i="1"/>
  <c r="EG588" i="1"/>
  <c r="EH588" i="1"/>
  <c r="EI588" i="1"/>
  <c r="EJ588" i="1"/>
  <c r="EK588" i="1"/>
  <c r="EL588" i="1"/>
  <c r="EM588" i="1"/>
  <c r="EN588" i="1"/>
  <c r="EO588" i="1"/>
  <c r="EP588" i="1"/>
  <c r="EQ588" i="1"/>
  <c r="ER588" i="1"/>
  <c r="ES588" i="1"/>
  <c r="ET588" i="1"/>
  <c r="EU588" i="1"/>
  <c r="EV588" i="1"/>
  <c r="EW588" i="1"/>
  <c r="EX588" i="1"/>
  <c r="EY588" i="1"/>
  <c r="EZ588" i="1"/>
  <c r="FA588" i="1"/>
  <c r="FB588" i="1"/>
  <c r="FC588" i="1"/>
  <c r="FD588" i="1"/>
  <c r="FE588" i="1"/>
  <c r="FF588" i="1"/>
  <c r="FG588" i="1"/>
  <c r="FH588" i="1"/>
  <c r="FI588" i="1"/>
  <c r="FJ588" i="1"/>
  <c r="FK588" i="1"/>
  <c r="FL588" i="1"/>
  <c r="FM588" i="1"/>
  <c r="FN588" i="1"/>
  <c r="FO588" i="1"/>
  <c r="FP588" i="1"/>
  <c r="FQ588" i="1"/>
  <c r="FR588" i="1"/>
  <c r="FS588" i="1"/>
  <c r="FT588" i="1"/>
  <c r="FU588" i="1"/>
  <c r="FV588" i="1"/>
  <c r="FW588" i="1"/>
  <c r="FX588" i="1"/>
  <c r="FY588" i="1"/>
  <c r="FZ588" i="1"/>
  <c r="GA588" i="1"/>
  <c r="GB588" i="1"/>
  <c r="GC588" i="1"/>
  <c r="GD588" i="1"/>
  <c r="GE588" i="1"/>
  <c r="GF588" i="1"/>
  <c r="GG588" i="1"/>
  <c r="GH588" i="1"/>
  <c r="GI588" i="1"/>
  <c r="GJ588" i="1"/>
  <c r="GK588" i="1"/>
  <c r="GL588" i="1"/>
  <c r="GM588" i="1"/>
  <c r="GN588" i="1"/>
  <c r="GO588" i="1"/>
  <c r="GP588" i="1"/>
  <c r="GQ588" i="1"/>
  <c r="GR588" i="1"/>
  <c r="GS588" i="1"/>
  <c r="GT588" i="1"/>
  <c r="GU588" i="1"/>
  <c r="GV588" i="1"/>
  <c r="GW588" i="1"/>
  <c r="GX588" i="1"/>
  <c r="C590" i="1"/>
  <c r="D590" i="1"/>
  <c r="I590" i="1"/>
  <c r="S590" i="1" s="1"/>
  <c r="K590" i="1"/>
  <c r="AC590" i="1"/>
  <c r="AE590" i="1"/>
  <c r="Q590" i="1" s="1"/>
  <c r="AF590" i="1"/>
  <c r="AG590" i="1"/>
  <c r="CU590" i="1" s="1"/>
  <c r="T590" i="1" s="1"/>
  <c r="AH590" i="1"/>
  <c r="AI590" i="1"/>
  <c r="CW590" i="1" s="1"/>
  <c r="V590" i="1" s="1"/>
  <c r="AJ590" i="1"/>
  <c r="CR590" i="1"/>
  <c r="CT590" i="1"/>
  <c r="CV590" i="1"/>
  <c r="U590" i="1" s="1"/>
  <c r="CX590" i="1"/>
  <c r="W590" i="1" s="1"/>
  <c r="FR590" i="1"/>
  <c r="GL590" i="1"/>
  <c r="GO590" i="1"/>
  <c r="GP590" i="1"/>
  <c r="GV590" i="1"/>
  <c r="HC590" i="1" s="1"/>
  <c r="GX590" i="1" s="1"/>
  <c r="AC591" i="1"/>
  <c r="AE591" i="1"/>
  <c r="AD591" i="1" s="1"/>
  <c r="AF591" i="1"/>
  <c r="AG591" i="1"/>
  <c r="CU591" i="1" s="1"/>
  <c r="AH591" i="1"/>
  <c r="AI591" i="1"/>
  <c r="CW591" i="1" s="1"/>
  <c r="AJ591" i="1"/>
  <c r="CR591" i="1"/>
  <c r="CT591" i="1"/>
  <c r="CV591" i="1"/>
  <c r="CX591" i="1"/>
  <c r="FR591" i="1"/>
  <c r="GL591" i="1"/>
  <c r="GO591" i="1"/>
  <c r="GP591" i="1"/>
  <c r="GV591" i="1"/>
  <c r="HC591" i="1"/>
  <c r="C592" i="1"/>
  <c r="D592" i="1"/>
  <c r="I592" i="1"/>
  <c r="K592" i="1"/>
  <c r="P592" i="1"/>
  <c r="R592" i="1"/>
  <c r="GK592" i="1" s="1"/>
  <c r="AC592" i="1"/>
  <c r="AD592" i="1"/>
  <c r="AE592" i="1"/>
  <c r="Q592" i="1" s="1"/>
  <c r="AF592" i="1"/>
  <c r="AB592" i="1" s="1"/>
  <c r="AG592" i="1"/>
  <c r="AH592" i="1"/>
  <c r="CV592" i="1" s="1"/>
  <c r="U592" i="1" s="1"/>
  <c r="AI592" i="1"/>
  <c r="AJ592" i="1"/>
  <c r="CX592" i="1" s="1"/>
  <c r="W592" i="1" s="1"/>
  <c r="CQ592" i="1"/>
  <c r="CR592" i="1"/>
  <c r="CS592" i="1"/>
  <c r="CU592" i="1"/>
  <c r="T592" i="1" s="1"/>
  <c r="CW592" i="1"/>
  <c r="V592" i="1" s="1"/>
  <c r="FR592" i="1"/>
  <c r="GL592" i="1"/>
  <c r="GO592" i="1"/>
  <c r="GP592" i="1"/>
  <c r="GV592" i="1"/>
  <c r="GX592" i="1"/>
  <c r="HC592" i="1"/>
  <c r="I593" i="1"/>
  <c r="Q593" i="1" s="1"/>
  <c r="P593" i="1"/>
  <c r="R593" i="1"/>
  <c r="GK593" i="1" s="1"/>
  <c r="AC593" i="1"/>
  <c r="AD593" i="1"/>
  <c r="AB593" i="1" s="1"/>
  <c r="AE593" i="1"/>
  <c r="AF593" i="1"/>
  <c r="S593" i="1" s="1"/>
  <c r="AG593" i="1"/>
  <c r="AH593" i="1"/>
  <c r="CV593" i="1" s="1"/>
  <c r="U593" i="1" s="1"/>
  <c r="AI593" i="1"/>
  <c r="AJ593" i="1"/>
  <c r="CX593" i="1" s="1"/>
  <c r="W593" i="1" s="1"/>
  <c r="CQ593" i="1"/>
  <c r="CR593" i="1"/>
  <c r="CS593" i="1"/>
  <c r="CU593" i="1"/>
  <c r="T593" i="1" s="1"/>
  <c r="CW593" i="1"/>
  <c r="V593" i="1" s="1"/>
  <c r="FR593" i="1"/>
  <c r="GL593" i="1"/>
  <c r="GO593" i="1"/>
  <c r="GP593" i="1"/>
  <c r="GV593" i="1"/>
  <c r="HC593" i="1" s="1"/>
  <c r="GX593" i="1" s="1"/>
  <c r="I594" i="1"/>
  <c r="P594" i="1" s="1"/>
  <c r="R594" i="1"/>
  <c r="GK594" i="1" s="1"/>
  <c r="AC594" i="1"/>
  <c r="AD594" i="1"/>
  <c r="AE594" i="1"/>
  <c r="AF594" i="1"/>
  <c r="AB594" i="1" s="1"/>
  <c r="AG594" i="1"/>
  <c r="AH594" i="1"/>
  <c r="CV594" i="1" s="1"/>
  <c r="U594" i="1" s="1"/>
  <c r="AI594" i="1"/>
  <c r="AJ594" i="1"/>
  <c r="CX594" i="1" s="1"/>
  <c r="W594" i="1" s="1"/>
  <c r="CQ594" i="1"/>
  <c r="CR594" i="1"/>
  <c r="CS594" i="1"/>
  <c r="CU594" i="1"/>
  <c r="T594" i="1" s="1"/>
  <c r="CW594" i="1"/>
  <c r="V594" i="1" s="1"/>
  <c r="FR594" i="1"/>
  <c r="GL594" i="1"/>
  <c r="GO594" i="1"/>
  <c r="GP594" i="1"/>
  <c r="GV594" i="1"/>
  <c r="GX594" i="1"/>
  <c r="HC594" i="1"/>
  <c r="I595" i="1"/>
  <c r="Q595" i="1" s="1"/>
  <c r="P595" i="1"/>
  <c r="CP595" i="1" s="1"/>
  <c r="O595" i="1" s="1"/>
  <c r="R595" i="1"/>
  <c r="GK595" i="1" s="1"/>
  <c r="AC595" i="1"/>
  <c r="AD595" i="1"/>
  <c r="AB595" i="1" s="1"/>
  <c r="AE595" i="1"/>
  <c r="AF595" i="1"/>
  <c r="S595" i="1" s="1"/>
  <c r="AG595" i="1"/>
  <c r="AH595" i="1"/>
  <c r="CV595" i="1" s="1"/>
  <c r="U595" i="1" s="1"/>
  <c r="AI595" i="1"/>
  <c r="AJ595" i="1"/>
  <c r="CX595" i="1" s="1"/>
  <c r="W595" i="1" s="1"/>
  <c r="CQ595" i="1"/>
  <c r="CR595" i="1"/>
  <c r="CS595" i="1"/>
  <c r="CU595" i="1"/>
  <c r="T595" i="1" s="1"/>
  <c r="CW595" i="1"/>
  <c r="V595" i="1" s="1"/>
  <c r="FR595" i="1"/>
  <c r="GL595" i="1"/>
  <c r="GO595" i="1"/>
  <c r="GP595" i="1"/>
  <c r="GV595" i="1"/>
  <c r="HC595" i="1" s="1"/>
  <c r="GX595" i="1" s="1"/>
  <c r="I596" i="1"/>
  <c r="P596" i="1" s="1"/>
  <c r="R596" i="1"/>
  <c r="GK596" i="1" s="1"/>
  <c r="AC596" i="1"/>
  <c r="AD596" i="1"/>
  <c r="AE596" i="1"/>
  <c r="AF596" i="1"/>
  <c r="AB596" i="1" s="1"/>
  <c r="AG596" i="1"/>
  <c r="AH596" i="1"/>
  <c r="CV596" i="1" s="1"/>
  <c r="U596" i="1" s="1"/>
  <c r="AI596" i="1"/>
  <c r="AJ596" i="1"/>
  <c r="CX596" i="1" s="1"/>
  <c r="W596" i="1" s="1"/>
  <c r="CQ596" i="1"/>
  <c r="CR596" i="1"/>
  <c r="CS596" i="1"/>
  <c r="CU596" i="1"/>
  <c r="T596" i="1" s="1"/>
  <c r="CW596" i="1"/>
  <c r="V596" i="1" s="1"/>
  <c r="FR596" i="1"/>
  <c r="GL596" i="1"/>
  <c r="GO596" i="1"/>
  <c r="GP596" i="1"/>
  <c r="GV596" i="1"/>
  <c r="GX596" i="1"/>
  <c r="HC596" i="1"/>
  <c r="I597" i="1"/>
  <c r="Q597" i="1" s="1"/>
  <c r="P597" i="1"/>
  <c r="R597" i="1"/>
  <c r="GK597" i="1" s="1"/>
  <c r="AC597" i="1"/>
  <c r="AD597" i="1"/>
  <c r="AB597" i="1" s="1"/>
  <c r="AE597" i="1"/>
  <c r="AF597" i="1"/>
  <c r="S597" i="1" s="1"/>
  <c r="AG597" i="1"/>
  <c r="AH597" i="1"/>
  <c r="CV597" i="1" s="1"/>
  <c r="U597" i="1" s="1"/>
  <c r="AI597" i="1"/>
  <c r="AJ597" i="1"/>
  <c r="CX597" i="1" s="1"/>
  <c r="W597" i="1" s="1"/>
  <c r="CQ597" i="1"/>
  <c r="CR597" i="1"/>
  <c r="CS597" i="1"/>
  <c r="CU597" i="1"/>
  <c r="T597" i="1" s="1"/>
  <c r="CW597" i="1"/>
  <c r="V597" i="1" s="1"/>
  <c r="FR597" i="1"/>
  <c r="GL597" i="1"/>
  <c r="GO597" i="1"/>
  <c r="GP597" i="1"/>
  <c r="GV597" i="1"/>
  <c r="HC597" i="1" s="1"/>
  <c r="GX597" i="1" s="1"/>
  <c r="C598" i="1"/>
  <c r="D598" i="1"/>
  <c r="I598" i="1"/>
  <c r="I600" i="1" s="1"/>
  <c r="K598" i="1"/>
  <c r="S598" i="1"/>
  <c r="CY598" i="1" s="1"/>
  <c r="X598" i="1" s="1"/>
  <c r="AC598" i="1"/>
  <c r="P598" i="1" s="1"/>
  <c r="AE598" i="1"/>
  <c r="AD598" i="1" s="1"/>
  <c r="AF598" i="1"/>
  <c r="AG598" i="1"/>
  <c r="CU598" i="1" s="1"/>
  <c r="T598" i="1" s="1"/>
  <c r="AH598" i="1"/>
  <c r="AI598" i="1"/>
  <c r="CW598" i="1" s="1"/>
  <c r="V598" i="1" s="1"/>
  <c r="AJ598" i="1"/>
  <c r="CR598" i="1"/>
  <c r="CT598" i="1"/>
  <c r="CV598" i="1"/>
  <c r="U598" i="1" s="1"/>
  <c r="CX598" i="1"/>
  <c r="W598" i="1" s="1"/>
  <c r="FR598" i="1"/>
  <c r="GL598" i="1"/>
  <c r="GO598" i="1"/>
  <c r="GP598" i="1"/>
  <c r="GV598" i="1"/>
  <c r="HC598" i="1"/>
  <c r="GX598" i="1" s="1"/>
  <c r="AC599" i="1"/>
  <c r="AE599" i="1"/>
  <c r="AF599" i="1"/>
  <c r="AG599" i="1"/>
  <c r="CU599" i="1" s="1"/>
  <c r="AH599" i="1"/>
  <c r="AI599" i="1"/>
  <c r="CW599" i="1" s="1"/>
  <c r="AJ599" i="1"/>
  <c r="CR599" i="1"/>
  <c r="CT599" i="1"/>
  <c r="CV599" i="1"/>
  <c r="CX599" i="1"/>
  <c r="FR599" i="1"/>
  <c r="GL599" i="1"/>
  <c r="GO599" i="1"/>
  <c r="GP599" i="1"/>
  <c r="GV599" i="1"/>
  <c r="HC599" i="1" s="1"/>
  <c r="AC600" i="1"/>
  <c r="P600" i="1" s="1"/>
  <c r="AE600" i="1"/>
  <c r="AD600" i="1" s="1"/>
  <c r="AF600" i="1"/>
  <c r="AG600" i="1"/>
  <c r="CU600" i="1" s="1"/>
  <c r="T600" i="1" s="1"/>
  <c r="AH600" i="1"/>
  <c r="AI600" i="1"/>
  <c r="CW600" i="1" s="1"/>
  <c r="V600" i="1" s="1"/>
  <c r="AJ600" i="1"/>
  <c r="CR600" i="1"/>
  <c r="CT600" i="1"/>
  <c r="CV600" i="1"/>
  <c r="U600" i="1" s="1"/>
  <c r="CX600" i="1"/>
  <c r="FR600" i="1"/>
  <c r="GL600" i="1"/>
  <c r="GO600" i="1"/>
  <c r="GP600" i="1"/>
  <c r="GV600" i="1"/>
  <c r="HC600" i="1"/>
  <c r="GX600" i="1" s="1"/>
  <c r="AC601" i="1"/>
  <c r="AE601" i="1"/>
  <c r="AF601" i="1"/>
  <c r="AG601" i="1"/>
  <c r="CU601" i="1" s="1"/>
  <c r="AH601" i="1"/>
  <c r="AI601" i="1"/>
  <c r="CW601" i="1" s="1"/>
  <c r="AJ601" i="1"/>
  <c r="CR601" i="1"/>
  <c r="CT601" i="1"/>
  <c r="CV601" i="1"/>
  <c r="CX601" i="1"/>
  <c r="FR601" i="1"/>
  <c r="GL601" i="1"/>
  <c r="GO601" i="1"/>
  <c r="GP601" i="1"/>
  <c r="GV601" i="1"/>
  <c r="HC601" i="1" s="1"/>
  <c r="I602" i="1"/>
  <c r="S602" i="1"/>
  <c r="CY602" i="1" s="1"/>
  <c r="X602" i="1" s="1"/>
  <c r="AC602" i="1"/>
  <c r="P602" i="1" s="1"/>
  <c r="AE602" i="1"/>
  <c r="AD602" i="1" s="1"/>
  <c r="AF602" i="1"/>
  <c r="AG602" i="1"/>
  <c r="CU602" i="1" s="1"/>
  <c r="T602" i="1" s="1"/>
  <c r="AH602" i="1"/>
  <c r="AI602" i="1"/>
  <c r="CW602" i="1" s="1"/>
  <c r="V602" i="1" s="1"/>
  <c r="AJ602" i="1"/>
  <c r="CR602" i="1"/>
  <c r="CT602" i="1"/>
  <c r="CV602" i="1"/>
  <c r="U602" i="1" s="1"/>
  <c r="CX602" i="1"/>
  <c r="W602" i="1" s="1"/>
  <c r="FR602" i="1"/>
  <c r="GL602" i="1"/>
  <c r="GO602" i="1"/>
  <c r="GP602" i="1"/>
  <c r="GV602" i="1"/>
  <c r="HC602" i="1"/>
  <c r="GX602" i="1" s="1"/>
  <c r="I603" i="1"/>
  <c r="S603" i="1"/>
  <c r="CY603" i="1" s="1"/>
  <c r="X603" i="1" s="1"/>
  <c r="AC603" i="1"/>
  <c r="AE603" i="1"/>
  <c r="Q603" i="1" s="1"/>
  <c r="AF603" i="1"/>
  <c r="AG603" i="1"/>
  <c r="CU603" i="1" s="1"/>
  <c r="T603" i="1" s="1"/>
  <c r="AH603" i="1"/>
  <c r="AI603" i="1"/>
  <c r="CW603" i="1" s="1"/>
  <c r="V603" i="1" s="1"/>
  <c r="AJ603" i="1"/>
  <c r="CR603" i="1"/>
  <c r="CT603" i="1"/>
  <c r="CV603" i="1"/>
  <c r="U603" i="1" s="1"/>
  <c r="CX603" i="1"/>
  <c r="W603" i="1" s="1"/>
  <c r="CZ603" i="1"/>
  <c r="Y603" i="1" s="1"/>
  <c r="FR603" i="1"/>
  <c r="GL603" i="1"/>
  <c r="GO603" i="1"/>
  <c r="GP603" i="1"/>
  <c r="GV603" i="1"/>
  <c r="HC603" i="1" s="1"/>
  <c r="GX603" i="1" s="1"/>
  <c r="I604" i="1"/>
  <c r="S604" i="1"/>
  <c r="CY604" i="1" s="1"/>
  <c r="X604" i="1" s="1"/>
  <c r="AC604" i="1"/>
  <c r="P604" i="1" s="1"/>
  <c r="AE604" i="1"/>
  <c r="AD604" i="1" s="1"/>
  <c r="AF604" i="1"/>
  <c r="AG604" i="1"/>
  <c r="CU604" i="1" s="1"/>
  <c r="T604" i="1" s="1"/>
  <c r="AH604" i="1"/>
  <c r="AI604" i="1"/>
  <c r="CW604" i="1" s="1"/>
  <c r="V604" i="1" s="1"/>
  <c r="AJ604" i="1"/>
  <c r="CR604" i="1"/>
  <c r="CT604" i="1"/>
  <c r="CV604" i="1"/>
  <c r="U604" i="1" s="1"/>
  <c r="CX604" i="1"/>
  <c r="W604" i="1" s="1"/>
  <c r="FR604" i="1"/>
  <c r="GL604" i="1"/>
  <c r="GO604" i="1"/>
  <c r="GP604" i="1"/>
  <c r="GV604" i="1"/>
  <c r="HC604" i="1"/>
  <c r="GX604" i="1" s="1"/>
  <c r="I605" i="1"/>
  <c r="S605" i="1"/>
  <c r="CY605" i="1" s="1"/>
  <c r="X605" i="1" s="1"/>
  <c r="AC605" i="1"/>
  <c r="AE605" i="1"/>
  <c r="Q605" i="1" s="1"/>
  <c r="AF605" i="1"/>
  <c r="AG605" i="1"/>
  <c r="CU605" i="1" s="1"/>
  <c r="T605" i="1" s="1"/>
  <c r="AH605" i="1"/>
  <c r="AI605" i="1"/>
  <c r="CW605" i="1" s="1"/>
  <c r="V605" i="1" s="1"/>
  <c r="AJ605" i="1"/>
  <c r="CR605" i="1"/>
  <c r="CT605" i="1"/>
  <c r="CV605" i="1"/>
  <c r="U605" i="1" s="1"/>
  <c r="CX605" i="1"/>
  <c r="W605" i="1" s="1"/>
  <c r="CZ605" i="1"/>
  <c r="Y605" i="1" s="1"/>
  <c r="FR605" i="1"/>
  <c r="GL605" i="1"/>
  <c r="GO605" i="1"/>
  <c r="GP605" i="1"/>
  <c r="GV605" i="1"/>
  <c r="HC605" i="1" s="1"/>
  <c r="GX605" i="1" s="1"/>
  <c r="C606" i="1"/>
  <c r="D606" i="1"/>
  <c r="P606" i="1"/>
  <c r="R606" i="1"/>
  <c r="GK606" i="1" s="1"/>
  <c r="AC606" i="1"/>
  <c r="AD606" i="1"/>
  <c r="AE606" i="1"/>
  <c r="Q606" i="1" s="1"/>
  <c r="AF606" i="1"/>
  <c r="AB606" i="1" s="1"/>
  <c r="AG606" i="1"/>
  <c r="AH606" i="1"/>
  <c r="CV606" i="1" s="1"/>
  <c r="U606" i="1" s="1"/>
  <c r="AI606" i="1"/>
  <c r="AJ606" i="1"/>
  <c r="CX606" i="1" s="1"/>
  <c r="W606" i="1" s="1"/>
  <c r="CQ606" i="1"/>
  <c r="CR606" i="1"/>
  <c r="CS606" i="1"/>
  <c r="CU606" i="1"/>
  <c r="T606" i="1" s="1"/>
  <c r="CW606" i="1"/>
  <c r="V606" i="1" s="1"/>
  <c r="FR606" i="1"/>
  <c r="GL606" i="1"/>
  <c r="GO606" i="1"/>
  <c r="GP606" i="1"/>
  <c r="GV606" i="1"/>
  <c r="HC606" i="1" s="1"/>
  <c r="GX606" i="1" s="1"/>
  <c r="I607" i="1"/>
  <c r="Q607" i="1" s="1"/>
  <c r="P607" i="1"/>
  <c r="R607" i="1"/>
  <c r="GK607" i="1" s="1"/>
  <c r="AC607" i="1"/>
  <c r="AD607" i="1"/>
  <c r="AB607" i="1" s="1"/>
  <c r="AE607" i="1"/>
  <c r="AF607" i="1"/>
  <c r="S607" i="1" s="1"/>
  <c r="AG607" i="1"/>
  <c r="AH607" i="1"/>
  <c r="CV607" i="1" s="1"/>
  <c r="U607" i="1" s="1"/>
  <c r="AI607" i="1"/>
  <c r="AJ607" i="1"/>
  <c r="CX607" i="1" s="1"/>
  <c r="W607" i="1" s="1"/>
  <c r="CQ607" i="1"/>
  <c r="CR607" i="1"/>
  <c r="CS607" i="1"/>
  <c r="CU607" i="1"/>
  <c r="T607" i="1" s="1"/>
  <c r="CW607" i="1"/>
  <c r="V607" i="1" s="1"/>
  <c r="FR607" i="1"/>
  <c r="GL607" i="1"/>
  <c r="BZ611" i="1" s="1"/>
  <c r="GO607" i="1"/>
  <c r="GP607" i="1"/>
  <c r="CD611" i="1" s="1"/>
  <c r="GV607" i="1"/>
  <c r="GX607" i="1"/>
  <c r="HC607" i="1"/>
  <c r="I608" i="1"/>
  <c r="P608" i="1" s="1"/>
  <c r="R608" i="1"/>
  <c r="GK608" i="1" s="1"/>
  <c r="AC608" i="1"/>
  <c r="AD608" i="1"/>
  <c r="AE608" i="1"/>
  <c r="AF608" i="1"/>
  <c r="AB608" i="1" s="1"/>
  <c r="AG608" i="1"/>
  <c r="AH608" i="1"/>
  <c r="CV608" i="1" s="1"/>
  <c r="U608" i="1" s="1"/>
  <c r="AI608" i="1"/>
  <c r="AJ608" i="1"/>
  <c r="CX608" i="1" s="1"/>
  <c r="W608" i="1" s="1"/>
  <c r="CQ608" i="1"/>
  <c r="CR608" i="1"/>
  <c r="CS608" i="1"/>
  <c r="CU608" i="1"/>
  <c r="T608" i="1" s="1"/>
  <c r="CW608" i="1"/>
  <c r="V608" i="1" s="1"/>
  <c r="FR608" i="1"/>
  <c r="GL608" i="1"/>
  <c r="GO608" i="1"/>
  <c r="GP608" i="1"/>
  <c r="GV608" i="1"/>
  <c r="HC608" i="1" s="1"/>
  <c r="GX608" i="1" s="1"/>
  <c r="I609" i="1"/>
  <c r="Q609" i="1" s="1"/>
  <c r="P609" i="1"/>
  <c r="CP609" i="1" s="1"/>
  <c r="O609" i="1" s="1"/>
  <c r="R609" i="1"/>
  <c r="GK609" i="1" s="1"/>
  <c r="AC609" i="1"/>
  <c r="AD609" i="1"/>
  <c r="AB609" i="1" s="1"/>
  <c r="AE609" i="1"/>
  <c r="AF609" i="1"/>
  <c r="S609" i="1" s="1"/>
  <c r="AG609" i="1"/>
  <c r="AH609" i="1"/>
  <c r="CV609" i="1" s="1"/>
  <c r="U609" i="1" s="1"/>
  <c r="AI609" i="1"/>
  <c r="AJ609" i="1"/>
  <c r="CX609" i="1" s="1"/>
  <c r="W609" i="1" s="1"/>
  <c r="CQ609" i="1"/>
  <c r="CR609" i="1"/>
  <c r="CS609" i="1"/>
  <c r="CU609" i="1"/>
  <c r="T609" i="1" s="1"/>
  <c r="CW609" i="1"/>
  <c r="V609" i="1" s="1"/>
  <c r="FR609" i="1"/>
  <c r="GL609" i="1"/>
  <c r="GO609" i="1"/>
  <c r="GP609" i="1"/>
  <c r="GV609" i="1"/>
  <c r="GX609" i="1"/>
  <c r="HC609" i="1"/>
  <c r="B611" i="1"/>
  <c r="B588" i="1" s="1"/>
  <c r="C611" i="1"/>
  <c r="C588" i="1" s="1"/>
  <c r="D611" i="1"/>
  <c r="D588" i="1" s="1"/>
  <c r="F611" i="1"/>
  <c r="F588" i="1" s="1"/>
  <c r="G611" i="1"/>
  <c r="G588" i="1" s="1"/>
  <c r="BX611" i="1"/>
  <c r="BX588" i="1" s="1"/>
  <c r="BY611" i="1"/>
  <c r="BY588" i="1" s="1"/>
  <c r="CC611" i="1"/>
  <c r="CC588" i="1" s="1"/>
  <c r="CK611" i="1"/>
  <c r="CK588" i="1" s="1"/>
  <c r="CL611" i="1"/>
  <c r="CL588" i="1" s="1"/>
  <c r="CM611" i="1"/>
  <c r="CM588" i="1" s="1"/>
  <c r="D641" i="1"/>
  <c r="E643" i="1"/>
  <c r="Z643" i="1"/>
  <c r="AA643" i="1"/>
  <c r="AM643" i="1"/>
  <c r="AN643" i="1"/>
  <c r="BE643" i="1"/>
  <c r="BF643" i="1"/>
  <c r="BG643" i="1"/>
  <c r="BH643" i="1"/>
  <c r="BI643" i="1"/>
  <c r="BJ643" i="1"/>
  <c r="BK643" i="1"/>
  <c r="BL643" i="1"/>
  <c r="BM643" i="1"/>
  <c r="BN643" i="1"/>
  <c r="BO643" i="1"/>
  <c r="BP643" i="1"/>
  <c r="BQ643" i="1"/>
  <c r="BR643" i="1"/>
  <c r="BS643" i="1"/>
  <c r="BT643" i="1"/>
  <c r="BU643" i="1"/>
  <c r="BV643" i="1"/>
  <c r="BW643" i="1"/>
  <c r="CN643" i="1"/>
  <c r="CO643" i="1"/>
  <c r="CP643" i="1"/>
  <c r="CQ643" i="1"/>
  <c r="CR643" i="1"/>
  <c r="CS643" i="1"/>
  <c r="CT643" i="1"/>
  <c r="CU643" i="1"/>
  <c r="CV643" i="1"/>
  <c r="CW643" i="1"/>
  <c r="CX643" i="1"/>
  <c r="CY643" i="1"/>
  <c r="CZ643" i="1"/>
  <c r="DA643" i="1"/>
  <c r="DB643" i="1"/>
  <c r="DC643" i="1"/>
  <c r="DD643" i="1"/>
  <c r="DE643" i="1"/>
  <c r="DF643" i="1"/>
  <c r="DG643" i="1"/>
  <c r="DH643" i="1"/>
  <c r="DI643" i="1"/>
  <c r="DJ643" i="1"/>
  <c r="DK643" i="1"/>
  <c r="DL643" i="1"/>
  <c r="DM643" i="1"/>
  <c r="DN643" i="1"/>
  <c r="DO643" i="1"/>
  <c r="DP643" i="1"/>
  <c r="DQ643" i="1"/>
  <c r="DR643" i="1"/>
  <c r="DS643" i="1"/>
  <c r="DT643" i="1"/>
  <c r="DU643" i="1"/>
  <c r="DV643" i="1"/>
  <c r="DW643" i="1"/>
  <c r="DX643" i="1"/>
  <c r="DY643" i="1"/>
  <c r="DZ643" i="1"/>
  <c r="EA643" i="1"/>
  <c r="EB643" i="1"/>
  <c r="EC643" i="1"/>
  <c r="ED643" i="1"/>
  <c r="EE643" i="1"/>
  <c r="EF643" i="1"/>
  <c r="EG643" i="1"/>
  <c r="EH643" i="1"/>
  <c r="EI643" i="1"/>
  <c r="EJ643" i="1"/>
  <c r="EK643" i="1"/>
  <c r="EL643" i="1"/>
  <c r="EM643" i="1"/>
  <c r="EN643" i="1"/>
  <c r="EO643" i="1"/>
  <c r="EP643" i="1"/>
  <c r="EQ643" i="1"/>
  <c r="ER643" i="1"/>
  <c r="ES643" i="1"/>
  <c r="ET643" i="1"/>
  <c r="EU643" i="1"/>
  <c r="EV643" i="1"/>
  <c r="EW643" i="1"/>
  <c r="EX643" i="1"/>
  <c r="EY643" i="1"/>
  <c r="EZ643" i="1"/>
  <c r="FA643" i="1"/>
  <c r="FB643" i="1"/>
  <c r="FC643" i="1"/>
  <c r="FD643" i="1"/>
  <c r="FE643" i="1"/>
  <c r="FF643" i="1"/>
  <c r="FG643" i="1"/>
  <c r="FH643" i="1"/>
  <c r="FI643" i="1"/>
  <c r="FJ643" i="1"/>
  <c r="FK643" i="1"/>
  <c r="FL643" i="1"/>
  <c r="FM643" i="1"/>
  <c r="FN643" i="1"/>
  <c r="FO643" i="1"/>
  <c r="FP643" i="1"/>
  <c r="FQ643" i="1"/>
  <c r="FR643" i="1"/>
  <c r="FS643" i="1"/>
  <c r="FT643" i="1"/>
  <c r="FU643" i="1"/>
  <c r="FV643" i="1"/>
  <c r="FW643" i="1"/>
  <c r="FX643" i="1"/>
  <c r="FY643" i="1"/>
  <c r="FZ643" i="1"/>
  <c r="GA643" i="1"/>
  <c r="GB643" i="1"/>
  <c r="GC643" i="1"/>
  <c r="GD643" i="1"/>
  <c r="GE643" i="1"/>
  <c r="GF643" i="1"/>
  <c r="GG643" i="1"/>
  <c r="GH643" i="1"/>
  <c r="GI643" i="1"/>
  <c r="GJ643" i="1"/>
  <c r="GK643" i="1"/>
  <c r="GL643" i="1"/>
  <c r="GM643" i="1"/>
  <c r="GN643" i="1"/>
  <c r="GO643" i="1"/>
  <c r="GP643" i="1"/>
  <c r="GQ643" i="1"/>
  <c r="GR643" i="1"/>
  <c r="GS643" i="1"/>
  <c r="GT643" i="1"/>
  <c r="GU643" i="1"/>
  <c r="GV643" i="1"/>
  <c r="GW643" i="1"/>
  <c r="GX643" i="1"/>
  <c r="P645" i="1"/>
  <c r="R645" i="1"/>
  <c r="GK645" i="1" s="1"/>
  <c r="AC645" i="1"/>
  <c r="AD645" i="1"/>
  <c r="AE645" i="1"/>
  <c r="Q645" i="1" s="1"/>
  <c r="AF645" i="1"/>
  <c r="AB645" i="1" s="1"/>
  <c r="AG645" i="1"/>
  <c r="AH645" i="1"/>
  <c r="CV645" i="1" s="1"/>
  <c r="U645" i="1" s="1"/>
  <c r="AI645" i="1"/>
  <c r="AJ645" i="1"/>
  <c r="CX645" i="1" s="1"/>
  <c r="W645" i="1" s="1"/>
  <c r="CQ645" i="1"/>
  <c r="CR645" i="1"/>
  <c r="CS645" i="1"/>
  <c r="CU645" i="1"/>
  <c r="T645" i="1" s="1"/>
  <c r="CW645" i="1"/>
  <c r="V645" i="1" s="1"/>
  <c r="FR645" i="1"/>
  <c r="GL645" i="1"/>
  <c r="GO645" i="1"/>
  <c r="GP645" i="1"/>
  <c r="GV645" i="1"/>
  <c r="HC645" i="1" s="1"/>
  <c r="GX645" i="1" s="1"/>
  <c r="S646" i="1"/>
  <c r="CY646" i="1" s="1"/>
  <c r="X646" i="1" s="1"/>
  <c r="AC646" i="1"/>
  <c r="AE646" i="1"/>
  <c r="Q646" i="1" s="1"/>
  <c r="AF646" i="1"/>
  <c r="AG646" i="1"/>
  <c r="CU646" i="1" s="1"/>
  <c r="T646" i="1" s="1"/>
  <c r="AH646" i="1"/>
  <c r="AI646" i="1"/>
  <c r="CW646" i="1" s="1"/>
  <c r="V646" i="1" s="1"/>
  <c r="AJ646" i="1"/>
  <c r="CR646" i="1"/>
  <c r="CT646" i="1"/>
  <c r="CV646" i="1"/>
  <c r="U646" i="1" s="1"/>
  <c r="CX646" i="1"/>
  <c r="W646" i="1" s="1"/>
  <c r="CZ646" i="1"/>
  <c r="Y646" i="1" s="1"/>
  <c r="FR646" i="1"/>
  <c r="GL646" i="1"/>
  <c r="GO646" i="1"/>
  <c r="GP646" i="1"/>
  <c r="GV646" i="1"/>
  <c r="HC646" i="1" s="1"/>
  <c r="GX646" i="1" s="1"/>
  <c r="P647" i="1"/>
  <c r="R647" i="1"/>
  <c r="GK647" i="1" s="1"/>
  <c r="AC647" i="1"/>
  <c r="AD647" i="1"/>
  <c r="AB647" i="1" s="1"/>
  <c r="AE647" i="1"/>
  <c r="Q647" i="1" s="1"/>
  <c r="AF647" i="1"/>
  <c r="S647" i="1" s="1"/>
  <c r="AG647" i="1"/>
  <c r="AH647" i="1"/>
  <c r="CV647" i="1" s="1"/>
  <c r="U647" i="1" s="1"/>
  <c r="AI647" i="1"/>
  <c r="AJ647" i="1"/>
  <c r="CX647" i="1" s="1"/>
  <c r="W647" i="1" s="1"/>
  <c r="CQ647" i="1"/>
  <c r="CR647" i="1"/>
  <c r="CS647" i="1"/>
  <c r="CU647" i="1"/>
  <c r="T647" i="1" s="1"/>
  <c r="CW647" i="1"/>
  <c r="V647" i="1" s="1"/>
  <c r="FR647" i="1"/>
  <c r="GL647" i="1"/>
  <c r="GO647" i="1"/>
  <c r="GP647" i="1"/>
  <c r="GV647" i="1"/>
  <c r="HC647" i="1" s="1"/>
  <c r="GX647" i="1" s="1"/>
  <c r="S648" i="1"/>
  <c r="CY648" i="1" s="1"/>
  <c r="X648" i="1" s="1"/>
  <c r="AC648" i="1"/>
  <c r="P648" i="1" s="1"/>
  <c r="AE648" i="1"/>
  <c r="AD648" i="1" s="1"/>
  <c r="AF648" i="1"/>
  <c r="AG648" i="1"/>
  <c r="CU648" i="1" s="1"/>
  <c r="T648" i="1" s="1"/>
  <c r="AH648" i="1"/>
  <c r="AI648" i="1"/>
  <c r="CW648" i="1" s="1"/>
  <c r="V648" i="1" s="1"/>
  <c r="AJ648" i="1"/>
  <c r="CR648" i="1"/>
  <c r="CT648" i="1"/>
  <c r="CV648" i="1"/>
  <c r="U648" i="1" s="1"/>
  <c r="CX648" i="1"/>
  <c r="W648" i="1" s="1"/>
  <c r="FR648" i="1"/>
  <c r="GL648" i="1"/>
  <c r="GO648" i="1"/>
  <c r="GP648" i="1"/>
  <c r="GV648" i="1"/>
  <c r="HC648" i="1"/>
  <c r="GX648" i="1" s="1"/>
  <c r="P649" i="1"/>
  <c r="R649" i="1"/>
  <c r="GK649" i="1" s="1"/>
  <c r="AC649" i="1"/>
  <c r="AD649" i="1"/>
  <c r="AE649" i="1"/>
  <c r="Q649" i="1" s="1"/>
  <c r="AF649" i="1"/>
  <c r="AB649" i="1" s="1"/>
  <c r="AG649" i="1"/>
  <c r="AH649" i="1"/>
  <c r="CV649" i="1" s="1"/>
  <c r="U649" i="1" s="1"/>
  <c r="AI649" i="1"/>
  <c r="AJ649" i="1"/>
  <c r="CX649" i="1" s="1"/>
  <c r="W649" i="1" s="1"/>
  <c r="CQ649" i="1"/>
  <c r="CR649" i="1"/>
  <c r="CS649" i="1"/>
  <c r="CU649" i="1"/>
  <c r="T649" i="1" s="1"/>
  <c r="CW649" i="1"/>
  <c r="V649" i="1" s="1"/>
  <c r="FR649" i="1"/>
  <c r="GL649" i="1"/>
  <c r="GO649" i="1"/>
  <c r="GP649" i="1"/>
  <c r="GV649" i="1"/>
  <c r="HC649" i="1" s="1"/>
  <c r="GX649" i="1" s="1"/>
  <c r="S650" i="1"/>
  <c r="CY650" i="1" s="1"/>
  <c r="X650" i="1" s="1"/>
  <c r="AC650" i="1"/>
  <c r="AE650" i="1"/>
  <c r="Q650" i="1" s="1"/>
  <c r="AF650" i="1"/>
  <c r="AG650" i="1"/>
  <c r="CU650" i="1" s="1"/>
  <c r="T650" i="1" s="1"/>
  <c r="AH650" i="1"/>
  <c r="AI650" i="1"/>
  <c r="CW650" i="1" s="1"/>
  <c r="V650" i="1" s="1"/>
  <c r="AJ650" i="1"/>
  <c r="CR650" i="1"/>
  <c r="CT650" i="1"/>
  <c r="CV650" i="1"/>
  <c r="U650" i="1" s="1"/>
  <c r="CX650" i="1"/>
  <c r="W650" i="1" s="1"/>
  <c r="CZ650" i="1"/>
  <c r="Y650" i="1" s="1"/>
  <c r="FR650" i="1"/>
  <c r="GL650" i="1"/>
  <c r="GO650" i="1"/>
  <c r="GP650" i="1"/>
  <c r="GV650" i="1"/>
  <c r="HC650" i="1" s="1"/>
  <c r="GX650" i="1" s="1"/>
  <c r="P651" i="1"/>
  <c r="R651" i="1"/>
  <c r="GK651" i="1" s="1"/>
  <c r="AC651" i="1"/>
  <c r="AD651" i="1"/>
  <c r="AB651" i="1" s="1"/>
  <c r="AE651" i="1"/>
  <c r="Q651" i="1" s="1"/>
  <c r="AF651" i="1"/>
  <c r="S651" i="1" s="1"/>
  <c r="AG651" i="1"/>
  <c r="AH651" i="1"/>
  <c r="CV651" i="1" s="1"/>
  <c r="U651" i="1" s="1"/>
  <c r="AI651" i="1"/>
  <c r="AJ651" i="1"/>
  <c r="CX651" i="1" s="1"/>
  <c r="W651" i="1" s="1"/>
  <c r="CQ651" i="1"/>
  <c r="CR651" i="1"/>
  <c r="CS651" i="1"/>
  <c r="CU651" i="1"/>
  <c r="T651" i="1" s="1"/>
  <c r="CW651" i="1"/>
  <c r="V651" i="1" s="1"/>
  <c r="FR651" i="1"/>
  <c r="GL651" i="1"/>
  <c r="GO651" i="1"/>
  <c r="GP651" i="1"/>
  <c r="GV651" i="1"/>
  <c r="GX651" i="1"/>
  <c r="HC651" i="1"/>
  <c r="S652" i="1"/>
  <c r="CY652" i="1" s="1"/>
  <c r="X652" i="1" s="1"/>
  <c r="AC652" i="1"/>
  <c r="P652" i="1" s="1"/>
  <c r="AE652" i="1"/>
  <c r="AD652" i="1" s="1"/>
  <c r="AF652" i="1"/>
  <c r="AG652" i="1"/>
  <c r="CU652" i="1" s="1"/>
  <c r="T652" i="1" s="1"/>
  <c r="AH652" i="1"/>
  <c r="AI652" i="1"/>
  <c r="CW652" i="1" s="1"/>
  <c r="V652" i="1" s="1"/>
  <c r="AJ652" i="1"/>
  <c r="CR652" i="1"/>
  <c r="CT652" i="1"/>
  <c r="CV652" i="1"/>
  <c r="U652" i="1" s="1"/>
  <c r="CX652" i="1"/>
  <c r="W652" i="1" s="1"/>
  <c r="FR652" i="1"/>
  <c r="GL652" i="1"/>
  <c r="GO652" i="1"/>
  <c r="GP652" i="1"/>
  <c r="GV652" i="1"/>
  <c r="HC652" i="1"/>
  <c r="GX652" i="1" s="1"/>
  <c r="P653" i="1"/>
  <c r="R653" i="1"/>
  <c r="GK653" i="1" s="1"/>
  <c r="AC653" i="1"/>
  <c r="AD653" i="1"/>
  <c r="AE653" i="1"/>
  <c r="Q653" i="1" s="1"/>
  <c r="AF653" i="1"/>
  <c r="AB653" i="1" s="1"/>
  <c r="AG653" i="1"/>
  <c r="AH653" i="1"/>
  <c r="CV653" i="1" s="1"/>
  <c r="U653" i="1" s="1"/>
  <c r="AI653" i="1"/>
  <c r="AJ653" i="1"/>
  <c r="CX653" i="1" s="1"/>
  <c r="W653" i="1" s="1"/>
  <c r="CQ653" i="1"/>
  <c r="CR653" i="1"/>
  <c r="CS653" i="1"/>
  <c r="CU653" i="1"/>
  <c r="T653" i="1" s="1"/>
  <c r="CW653" i="1"/>
  <c r="V653" i="1" s="1"/>
  <c r="FR653" i="1"/>
  <c r="BY660" i="1" s="1"/>
  <c r="GL653" i="1"/>
  <c r="GN653" i="1"/>
  <c r="GP653" i="1"/>
  <c r="GV653" i="1"/>
  <c r="HC653" i="1" s="1"/>
  <c r="GX653" i="1" s="1"/>
  <c r="S654" i="1"/>
  <c r="CY654" i="1" s="1"/>
  <c r="X654" i="1" s="1"/>
  <c r="AC654" i="1"/>
  <c r="AE654" i="1"/>
  <c r="Q654" i="1" s="1"/>
  <c r="AF654" i="1"/>
  <c r="AG654" i="1"/>
  <c r="CU654" i="1" s="1"/>
  <c r="T654" i="1" s="1"/>
  <c r="AH654" i="1"/>
  <c r="AI654" i="1"/>
  <c r="CW654" i="1" s="1"/>
  <c r="V654" i="1" s="1"/>
  <c r="AJ654" i="1"/>
  <c r="CR654" i="1"/>
  <c r="CT654" i="1"/>
  <c r="CV654" i="1"/>
  <c r="U654" i="1" s="1"/>
  <c r="CX654" i="1"/>
  <c r="W654" i="1" s="1"/>
  <c r="CZ654" i="1"/>
  <c r="Y654" i="1" s="1"/>
  <c r="FR654" i="1"/>
  <c r="GL654" i="1"/>
  <c r="GN654" i="1"/>
  <c r="GP654" i="1"/>
  <c r="GV654" i="1"/>
  <c r="HC654" i="1" s="1"/>
  <c r="GX654" i="1" s="1"/>
  <c r="P655" i="1"/>
  <c r="R655" i="1"/>
  <c r="GK655" i="1" s="1"/>
  <c r="AC655" i="1"/>
  <c r="AD655" i="1"/>
  <c r="AB655" i="1" s="1"/>
  <c r="AE655" i="1"/>
  <c r="Q655" i="1" s="1"/>
  <c r="AF655" i="1"/>
  <c r="S655" i="1" s="1"/>
  <c r="AG655" i="1"/>
  <c r="AH655" i="1"/>
  <c r="CV655" i="1" s="1"/>
  <c r="U655" i="1" s="1"/>
  <c r="AI655" i="1"/>
  <c r="AJ655" i="1"/>
  <c r="CX655" i="1" s="1"/>
  <c r="W655" i="1" s="1"/>
  <c r="CQ655" i="1"/>
  <c r="CR655" i="1"/>
  <c r="CS655" i="1"/>
  <c r="CU655" i="1"/>
  <c r="T655" i="1" s="1"/>
  <c r="CW655" i="1"/>
  <c r="V655" i="1" s="1"/>
  <c r="FR655" i="1"/>
  <c r="GL655" i="1"/>
  <c r="GO655" i="1"/>
  <c r="GP655" i="1"/>
  <c r="GV655" i="1"/>
  <c r="HC655" i="1" s="1"/>
  <c r="GX655" i="1" s="1"/>
  <c r="S656" i="1"/>
  <c r="CY656" i="1" s="1"/>
  <c r="X656" i="1" s="1"/>
  <c r="AC656" i="1"/>
  <c r="P656" i="1" s="1"/>
  <c r="AE656" i="1"/>
  <c r="AD656" i="1" s="1"/>
  <c r="AF656" i="1"/>
  <c r="AG656" i="1"/>
  <c r="CU656" i="1" s="1"/>
  <c r="T656" i="1" s="1"/>
  <c r="AH656" i="1"/>
  <c r="AI656" i="1"/>
  <c r="CW656" i="1" s="1"/>
  <c r="V656" i="1" s="1"/>
  <c r="AJ656" i="1"/>
  <c r="CR656" i="1"/>
  <c r="CT656" i="1"/>
  <c r="CV656" i="1"/>
  <c r="U656" i="1" s="1"/>
  <c r="CX656" i="1"/>
  <c r="W656" i="1" s="1"/>
  <c r="FR656" i="1"/>
  <c r="GL656" i="1"/>
  <c r="GO656" i="1"/>
  <c r="GP656" i="1"/>
  <c r="GV656" i="1"/>
  <c r="HC656" i="1"/>
  <c r="GX656" i="1" s="1"/>
  <c r="P657" i="1"/>
  <c r="R657" i="1"/>
  <c r="GK657" i="1" s="1"/>
  <c r="AC657" i="1"/>
  <c r="AD657" i="1"/>
  <c r="AE657" i="1"/>
  <c r="Q657" i="1" s="1"/>
  <c r="AF657" i="1"/>
  <c r="AB657" i="1" s="1"/>
  <c r="AG657" i="1"/>
  <c r="AH657" i="1"/>
  <c r="CV657" i="1" s="1"/>
  <c r="U657" i="1" s="1"/>
  <c r="AI657" i="1"/>
  <c r="AJ657" i="1"/>
  <c r="CX657" i="1" s="1"/>
  <c r="W657" i="1" s="1"/>
  <c r="CQ657" i="1"/>
  <c r="CR657" i="1"/>
  <c r="CS657" i="1"/>
  <c r="CU657" i="1"/>
  <c r="T657" i="1" s="1"/>
  <c r="CW657" i="1"/>
  <c r="V657" i="1" s="1"/>
  <c r="FR657" i="1"/>
  <c r="GL657" i="1"/>
  <c r="GO657" i="1"/>
  <c r="GP657" i="1"/>
  <c r="GV657" i="1"/>
  <c r="HC657" i="1" s="1"/>
  <c r="GX657" i="1" s="1"/>
  <c r="S658" i="1"/>
  <c r="CY658" i="1" s="1"/>
  <c r="X658" i="1" s="1"/>
  <c r="AC658" i="1"/>
  <c r="AE658" i="1"/>
  <c r="Q658" i="1" s="1"/>
  <c r="AF658" i="1"/>
  <c r="AG658" i="1"/>
  <c r="CU658" i="1" s="1"/>
  <c r="T658" i="1" s="1"/>
  <c r="AH658" i="1"/>
  <c r="AI658" i="1"/>
  <c r="CW658" i="1" s="1"/>
  <c r="V658" i="1" s="1"/>
  <c r="AJ658" i="1"/>
  <c r="CR658" i="1"/>
  <c r="CT658" i="1"/>
  <c r="CV658" i="1"/>
  <c r="U658" i="1" s="1"/>
  <c r="CX658" i="1"/>
  <c r="W658" i="1" s="1"/>
  <c r="CZ658" i="1"/>
  <c r="Y658" i="1" s="1"/>
  <c r="FR658" i="1"/>
  <c r="GL658" i="1"/>
  <c r="GO658" i="1"/>
  <c r="GP658" i="1"/>
  <c r="GV658" i="1"/>
  <c r="HC658" i="1" s="1"/>
  <c r="GX658" i="1" s="1"/>
  <c r="B660" i="1"/>
  <c r="B643" i="1" s="1"/>
  <c r="C660" i="1"/>
  <c r="C643" i="1" s="1"/>
  <c r="D660" i="1"/>
  <c r="D643" i="1" s="1"/>
  <c r="F660" i="1"/>
  <c r="F643" i="1" s="1"/>
  <c r="G660" i="1"/>
  <c r="G643" i="1" s="1"/>
  <c r="BX660" i="1"/>
  <c r="BX643" i="1" s="1"/>
  <c r="BZ660" i="1"/>
  <c r="BZ643" i="1" s="1"/>
  <c r="CD660" i="1"/>
  <c r="CD643" i="1" s="1"/>
  <c r="CK660" i="1"/>
  <c r="CK643" i="1" s="1"/>
  <c r="CL660" i="1"/>
  <c r="CL643" i="1" s="1"/>
  <c r="CM660" i="1"/>
  <c r="CM643" i="1" s="1"/>
  <c r="D690" i="1"/>
  <c r="E692" i="1"/>
  <c r="Z692" i="1"/>
  <c r="AA692" i="1"/>
  <c r="AM692" i="1"/>
  <c r="AN692" i="1"/>
  <c r="BE692" i="1"/>
  <c r="BF692" i="1"/>
  <c r="BG692" i="1"/>
  <c r="BH692" i="1"/>
  <c r="BI692" i="1"/>
  <c r="BJ692" i="1"/>
  <c r="BK692" i="1"/>
  <c r="BL692" i="1"/>
  <c r="BM692" i="1"/>
  <c r="BN692" i="1"/>
  <c r="BO692" i="1"/>
  <c r="BP692" i="1"/>
  <c r="BQ692" i="1"/>
  <c r="BR692" i="1"/>
  <c r="BS692" i="1"/>
  <c r="BT692" i="1"/>
  <c r="BU692" i="1"/>
  <c r="BV692" i="1"/>
  <c r="BW692" i="1"/>
  <c r="CN692" i="1"/>
  <c r="CO692" i="1"/>
  <c r="CP692" i="1"/>
  <c r="CQ692" i="1"/>
  <c r="CR692" i="1"/>
  <c r="CS692" i="1"/>
  <c r="CT692" i="1"/>
  <c r="CU692" i="1"/>
  <c r="CV692" i="1"/>
  <c r="CW692" i="1"/>
  <c r="CX692" i="1"/>
  <c r="CY692" i="1"/>
  <c r="CZ692" i="1"/>
  <c r="DA692" i="1"/>
  <c r="DB692" i="1"/>
  <c r="DC692" i="1"/>
  <c r="DD692" i="1"/>
  <c r="DE692" i="1"/>
  <c r="DF692" i="1"/>
  <c r="DG692" i="1"/>
  <c r="DH692" i="1"/>
  <c r="DI692" i="1"/>
  <c r="DJ692" i="1"/>
  <c r="DK692" i="1"/>
  <c r="DL692" i="1"/>
  <c r="DM692" i="1"/>
  <c r="DN692" i="1"/>
  <c r="DO692" i="1"/>
  <c r="DP692" i="1"/>
  <c r="DQ692" i="1"/>
  <c r="DR692" i="1"/>
  <c r="DS692" i="1"/>
  <c r="DT692" i="1"/>
  <c r="DU692" i="1"/>
  <c r="DV692" i="1"/>
  <c r="DW692" i="1"/>
  <c r="DX692" i="1"/>
  <c r="DY692" i="1"/>
  <c r="DZ692" i="1"/>
  <c r="EA692" i="1"/>
  <c r="EB692" i="1"/>
  <c r="EC692" i="1"/>
  <c r="ED692" i="1"/>
  <c r="EE692" i="1"/>
  <c r="EF692" i="1"/>
  <c r="EG692" i="1"/>
  <c r="EH692" i="1"/>
  <c r="EI692" i="1"/>
  <c r="EJ692" i="1"/>
  <c r="EK692" i="1"/>
  <c r="EL692" i="1"/>
  <c r="EM692" i="1"/>
  <c r="EN692" i="1"/>
  <c r="EO692" i="1"/>
  <c r="EP692" i="1"/>
  <c r="EQ692" i="1"/>
  <c r="ER692" i="1"/>
  <c r="ES692" i="1"/>
  <c r="ET692" i="1"/>
  <c r="EU692" i="1"/>
  <c r="EV692" i="1"/>
  <c r="EW692" i="1"/>
  <c r="EX692" i="1"/>
  <c r="EY692" i="1"/>
  <c r="EZ692" i="1"/>
  <c r="FA692" i="1"/>
  <c r="FB692" i="1"/>
  <c r="FC692" i="1"/>
  <c r="FD692" i="1"/>
  <c r="FE692" i="1"/>
  <c r="FF692" i="1"/>
  <c r="FG692" i="1"/>
  <c r="FH692" i="1"/>
  <c r="FI692" i="1"/>
  <c r="FJ692" i="1"/>
  <c r="FK692" i="1"/>
  <c r="FL692" i="1"/>
  <c r="FM692" i="1"/>
  <c r="FN692" i="1"/>
  <c r="FO692" i="1"/>
  <c r="FP692" i="1"/>
  <c r="FQ692" i="1"/>
  <c r="FR692" i="1"/>
  <c r="FS692" i="1"/>
  <c r="FT692" i="1"/>
  <c r="FU692" i="1"/>
  <c r="FV692" i="1"/>
  <c r="FW692" i="1"/>
  <c r="FX692" i="1"/>
  <c r="FY692" i="1"/>
  <c r="FZ692" i="1"/>
  <c r="GA692" i="1"/>
  <c r="GB692" i="1"/>
  <c r="GC692" i="1"/>
  <c r="GD692" i="1"/>
  <c r="GE692" i="1"/>
  <c r="GF692" i="1"/>
  <c r="GG692" i="1"/>
  <c r="GH692" i="1"/>
  <c r="GI692" i="1"/>
  <c r="GJ692" i="1"/>
  <c r="GK692" i="1"/>
  <c r="GL692" i="1"/>
  <c r="GM692" i="1"/>
  <c r="GN692" i="1"/>
  <c r="GO692" i="1"/>
  <c r="GP692" i="1"/>
  <c r="GQ692" i="1"/>
  <c r="GR692" i="1"/>
  <c r="GS692" i="1"/>
  <c r="GT692" i="1"/>
  <c r="GU692" i="1"/>
  <c r="GV692" i="1"/>
  <c r="GW692" i="1"/>
  <c r="GX692" i="1"/>
  <c r="C694" i="1"/>
  <c r="D694" i="1"/>
  <c r="I694" i="1"/>
  <c r="I696" i="1" s="1"/>
  <c r="Q696" i="1" s="1"/>
  <c r="K694" i="1"/>
  <c r="S694" i="1"/>
  <c r="CY694" i="1" s="1"/>
  <c r="X694" i="1" s="1"/>
  <c r="AC694" i="1"/>
  <c r="P694" i="1" s="1"/>
  <c r="AE694" i="1"/>
  <c r="AD694" i="1" s="1"/>
  <c r="AF694" i="1"/>
  <c r="AG694" i="1"/>
  <c r="CU694" i="1" s="1"/>
  <c r="T694" i="1" s="1"/>
  <c r="AH694" i="1"/>
  <c r="AI694" i="1"/>
  <c r="CW694" i="1" s="1"/>
  <c r="V694" i="1" s="1"/>
  <c r="AJ694" i="1"/>
  <c r="CR694" i="1"/>
  <c r="CT694" i="1"/>
  <c r="CV694" i="1"/>
  <c r="U694" i="1" s="1"/>
  <c r="CX694" i="1"/>
  <c r="W694" i="1" s="1"/>
  <c r="FR694" i="1"/>
  <c r="GL694" i="1"/>
  <c r="GO694" i="1"/>
  <c r="GP694" i="1"/>
  <c r="GV694" i="1"/>
  <c r="HC694" i="1"/>
  <c r="GX694" i="1" s="1"/>
  <c r="AC695" i="1"/>
  <c r="AE695" i="1"/>
  <c r="AF695" i="1"/>
  <c r="AG695" i="1"/>
  <c r="CU695" i="1" s="1"/>
  <c r="AH695" i="1"/>
  <c r="AI695" i="1"/>
  <c r="CW695" i="1" s="1"/>
  <c r="AJ695" i="1"/>
  <c r="CR695" i="1"/>
  <c r="CT695" i="1"/>
  <c r="CV695" i="1"/>
  <c r="CX695" i="1"/>
  <c r="FR695" i="1"/>
  <c r="GL695" i="1"/>
  <c r="GO695" i="1"/>
  <c r="GP695" i="1"/>
  <c r="GV695" i="1"/>
  <c r="HC695" i="1" s="1"/>
  <c r="AC696" i="1"/>
  <c r="AE696" i="1"/>
  <c r="AD696" i="1" s="1"/>
  <c r="AF696" i="1"/>
  <c r="AG696" i="1"/>
  <c r="CU696" i="1" s="1"/>
  <c r="T696" i="1" s="1"/>
  <c r="AH696" i="1"/>
  <c r="AI696" i="1"/>
  <c r="CW696" i="1" s="1"/>
  <c r="V696" i="1" s="1"/>
  <c r="AJ696" i="1"/>
  <c r="CR696" i="1"/>
  <c r="CT696" i="1"/>
  <c r="CV696" i="1"/>
  <c r="CX696" i="1"/>
  <c r="W696" i="1" s="1"/>
  <c r="FR696" i="1"/>
  <c r="GL696" i="1"/>
  <c r="GO696" i="1"/>
  <c r="GP696" i="1"/>
  <c r="GV696" i="1"/>
  <c r="HC696" i="1"/>
  <c r="AC697" i="1"/>
  <c r="AE697" i="1"/>
  <c r="AF697" i="1"/>
  <c r="AG697" i="1"/>
  <c r="CU697" i="1" s="1"/>
  <c r="AH697" i="1"/>
  <c r="AI697" i="1"/>
  <c r="CW697" i="1" s="1"/>
  <c r="AJ697" i="1"/>
  <c r="CR697" i="1"/>
  <c r="CT697" i="1"/>
  <c r="CV697" i="1"/>
  <c r="CX697" i="1"/>
  <c r="FR697" i="1"/>
  <c r="GL697" i="1"/>
  <c r="GO697" i="1"/>
  <c r="GP697" i="1"/>
  <c r="GV697" i="1"/>
  <c r="HC697" i="1"/>
  <c r="I698" i="1"/>
  <c r="S698" i="1"/>
  <c r="CY698" i="1" s="1"/>
  <c r="X698" i="1" s="1"/>
  <c r="W698" i="1"/>
  <c r="AC698" i="1"/>
  <c r="AE698" i="1"/>
  <c r="Q698" i="1" s="1"/>
  <c r="AF698" i="1"/>
  <c r="AG698" i="1"/>
  <c r="CU698" i="1" s="1"/>
  <c r="T698" i="1" s="1"/>
  <c r="AH698" i="1"/>
  <c r="AI698" i="1"/>
  <c r="CW698" i="1" s="1"/>
  <c r="V698" i="1" s="1"/>
  <c r="AJ698" i="1"/>
  <c r="CR698" i="1"/>
  <c r="CT698" i="1"/>
  <c r="CV698" i="1"/>
  <c r="U698" i="1" s="1"/>
  <c r="CX698" i="1"/>
  <c r="CZ698" i="1"/>
  <c r="Y698" i="1" s="1"/>
  <c r="FR698" i="1"/>
  <c r="GL698" i="1"/>
  <c r="GO698" i="1"/>
  <c r="GP698" i="1"/>
  <c r="GV698" i="1"/>
  <c r="HC698" i="1"/>
  <c r="GX698" i="1" s="1"/>
  <c r="I699" i="1"/>
  <c r="S699" i="1"/>
  <c r="CY699" i="1" s="1"/>
  <c r="X699" i="1" s="1"/>
  <c r="W699" i="1"/>
  <c r="AC699" i="1"/>
  <c r="AE699" i="1"/>
  <c r="Q699" i="1" s="1"/>
  <c r="AF699" i="1"/>
  <c r="AG699" i="1"/>
  <c r="CU699" i="1" s="1"/>
  <c r="T699" i="1" s="1"/>
  <c r="AH699" i="1"/>
  <c r="AI699" i="1"/>
  <c r="CW699" i="1" s="1"/>
  <c r="V699" i="1" s="1"/>
  <c r="AJ699" i="1"/>
  <c r="CR699" i="1"/>
  <c r="CT699" i="1"/>
  <c r="CV699" i="1"/>
  <c r="U699" i="1" s="1"/>
  <c r="CX699" i="1"/>
  <c r="CZ699" i="1"/>
  <c r="Y699" i="1" s="1"/>
  <c r="FR699" i="1"/>
  <c r="GL699" i="1"/>
  <c r="GO699" i="1"/>
  <c r="GP699" i="1"/>
  <c r="GV699" i="1"/>
  <c r="HC699" i="1"/>
  <c r="GX699" i="1" s="1"/>
  <c r="I700" i="1"/>
  <c r="S700" i="1"/>
  <c r="CY700" i="1" s="1"/>
  <c r="X700" i="1" s="1"/>
  <c r="W700" i="1"/>
  <c r="AC700" i="1"/>
  <c r="AE700" i="1"/>
  <c r="Q700" i="1" s="1"/>
  <c r="AF700" i="1"/>
  <c r="AG700" i="1"/>
  <c r="CU700" i="1" s="1"/>
  <c r="T700" i="1" s="1"/>
  <c r="AH700" i="1"/>
  <c r="AI700" i="1"/>
  <c r="CW700" i="1" s="1"/>
  <c r="V700" i="1" s="1"/>
  <c r="AJ700" i="1"/>
  <c r="CR700" i="1"/>
  <c r="CT700" i="1"/>
  <c r="CV700" i="1"/>
  <c r="U700" i="1" s="1"/>
  <c r="CX700" i="1"/>
  <c r="CZ700" i="1"/>
  <c r="Y700" i="1" s="1"/>
  <c r="FR700" i="1"/>
  <c r="GL700" i="1"/>
  <c r="GO700" i="1"/>
  <c r="GP700" i="1"/>
  <c r="GV700" i="1"/>
  <c r="HC700" i="1"/>
  <c r="GX700" i="1" s="1"/>
  <c r="B702" i="1"/>
  <c r="B692" i="1" s="1"/>
  <c r="C702" i="1"/>
  <c r="C692" i="1" s="1"/>
  <c r="D702" i="1"/>
  <c r="D692" i="1" s="1"/>
  <c r="F702" i="1"/>
  <c r="F692" i="1" s="1"/>
  <c r="G702" i="1"/>
  <c r="G692" i="1" s="1"/>
  <c r="BX702" i="1"/>
  <c r="BX692" i="1" s="1"/>
  <c r="BY702" i="1"/>
  <c r="BY692" i="1" s="1"/>
  <c r="BZ702" i="1"/>
  <c r="BZ692" i="1" s="1"/>
  <c r="CC702" i="1"/>
  <c r="CC692" i="1" s="1"/>
  <c r="CD702" i="1"/>
  <c r="CD692" i="1" s="1"/>
  <c r="CK702" i="1"/>
  <c r="CK692" i="1" s="1"/>
  <c r="CL702" i="1"/>
  <c r="CL692" i="1" s="1"/>
  <c r="CM702" i="1"/>
  <c r="CM692" i="1" s="1"/>
  <c r="B732" i="1"/>
  <c r="B584" i="1" s="1"/>
  <c r="C732" i="1"/>
  <c r="C584" i="1" s="1"/>
  <c r="D732" i="1"/>
  <c r="D584" i="1" s="1"/>
  <c r="F732" i="1"/>
  <c r="F584" i="1" s="1"/>
  <c r="G732" i="1"/>
  <c r="G584" i="1" s="1"/>
  <c r="D762" i="1"/>
  <c r="E764" i="1"/>
  <c r="Z764" i="1"/>
  <c r="AA764" i="1"/>
  <c r="AM764" i="1"/>
  <c r="AN764" i="1"/>
  <c r="BE764" i="1"/>
  <c r="BF764" i="1"/>
  <c r="BG764" i="1"/>
  <c r="BH764" i="1"/>
  <c r="BI764" i="1"/>
  <c r="BJ764" i="1"/>
  <c r="BK764" i="1"/>
  <c r="BL764" i="1"/>
  <c r="BM764" i="1"/>
  <c r="BN764" i="1"/>
  <c r="BO764" i="1"/>
  <c r="BP764" i="1"/>
  <c r="BQ764" i="1"/>
  <c r="BR764" i="1"/>
  <c r="BS764" i="1"/>
  <c r="BT764" i="1"/>
  <c r="BU764" i="1"/>
  <c r="BV764" i="1"/>
  <c r="BW764" i="1"/>
  <c r="CN764" i="1"/>
  <c r="CO764" i="1"/>
  <c r="CP764" i="1"/>
  <c r="CQ764" i="1"/>
  <c r="CR764" i="1"/>
  <c r="CS764" i="1"/>
  <c r="CT764" i="1"/>
  <c r="CU764" i="1"/>
  <c r="CV764" i="1"/>
  <c r="CW764" i="1"/>
  <c r="CX764" i="1"/>
  <c r="CY764" i="1"/>
  <c r="CZ764" i="1"/>
  <c r="DA764" i="1"/>
  <c r="DB764" i="1"/>
  <c r="DC764" i="1"/>
  <c r="DD764" i="1"/>
  <c r="DE764" i="1"/>
  <c r="DF764" i="1"/>
  <c r="DG764" i="1"/>
  <c r="DH764" i="1"/>
  <c r="DI764" i="1"/>
  <c r="DJ764" i="1"/>
  <c r="DK764" i="1"/>
  <c r="DL764" i="1"/>
  <c r="DM764" i="1"/>
  <c r="DN764" i="1"/>
  <c r="DO764" i="1"/>
  <c r="DP764" i="1"/>
  <c r="DQ764" i="1"/>
  <c r="DR764" i="1"/>
  <c r="DS764" i="1"/>
  <c r="DT764" i="1"/>
  <c r="DU764" i="1"/>
  <c r="DV764" i="1"/>
  <c r="DW764" i="1"/>
  <c r="DX764" i="1"/>
  <c r="DY764" i="1"/>
  <c r="DZ764" i="1"/>
  <c r="EA764" i="1"/>
  <c r="EB764" i="1"/>
  <c r="EC764" i="1"/>
  <c r="ED764" i="1"/>
  <c r="EE764" i="1"/>
  <c r="EF764" i="1"/>
  <c r="EG764" i="1"/>
  <c r="EH764" i="1"/>
  <c r="EI764" i="1"/>
  <c r="EJ764" i="1"/>
  <c r="EK764" i="1"/>
  <c r="EL764" i="1"/>
  <c r="EM764" i="1"/>
  <c r="EN764" i="1"/>
  <c r="EO764" i="1"/>
  <c r="EP764" i="1"/>
  <c r="EQ764" i="1"/>
  <c r="ER764" i="1"/>
  <c r="ES764" i="1"/>
  <c r="ET764" i="1"/>
  <c r="EU764" i="1"/>
  <c r="EV764" i="1"/>
  <c r="EW764" i="1"/>
  <c r="EX764" i="1"/>
  <c r="EY764" i="1"/>
  <c r="EZ764" i="1"/>
  <c r="FA764" i="1"/>
  <c r="FB764" i="1"/>
  <c r="FC764" i="1"/>
  <c r="FD764" i="1"/>
  <c r="FE764" i="1"/>
  <c r="FF764" i="1"/>
  <c r="FG764" i="1"/>
  <c r="FH764" i="1"/>
  <c r="FI764" i="1"/>
  <c r="FJ764" i="1"/>
  <c r="FK764" i="1"/>
  <c r="FL764" i="1"/>
  <c r="FM764" i="1"/>
  <c r="FN764" i="1"/>
  <c r="FO764" i="1"/>
  <c r="FP764" i="1"/>
  <c r="FQ764" i="1"/>
  <c r="FR764" i="1"/>
  <c r="FS764" i="1"/>
  <c r="FT764" i="1"/>
  <c r="FU764" i="1"/>
  <c r="FV764" i="1"/>
  <c r="FW764" i="1"/>
  <c r="FX764" i="1"/>
  <c r="FY764" i="1"/>
  <c r="FZ764" i="1"/>
  <c r="GA764" i="1"/>
  <c r="GB764" i="1"/>
  <c r="GC764" i="1"/>
  <c r="GD764" i="1"/>
  <c r="GE764" i="1"/>
  <c r="GF764" i="1"/>
  <c r="GG764" i="1"/>
  <c r="GH764" i="1"/>
  <c r="GI764" i="1"/>
  <c r="GJ764" i="1"/>
  <c r="GK764" i="1"/>
  <c r="GL764" i="1"/>
  <c r="GM764" i="1"/>
  <c r="GN764" i="1"/>
  <c r="GO764" i="1"/>
  <c r="GP764" i="1"/>
  <c r="GQ764" i="1"/>
  <c r="GR764" i="1"/>
  <c r="GS764" i="1"/>
  <c r="GT764" i="1"/>
  <c r="GU764" i="1"/>
  <c r="GV764" i="1"/>
  <c r="GW764" i="1"/>
  <c r="GX764" i="1"/>
  <c r="C766" i="1"/>
  <c r="D766" i="1"/>
  <c r="I766" i="1"/>
  <c r="CX411" i="3" s="1"/>
  <c r="K766" i="1"/>
  <c r="P766" i="1"/>
  <c r="R766" i="1"/>
  <c r="GK766" i="1" s="1"/>
  <c r="AC766" i="1"/>
  <c r="AD766" i="1"/>
  <c r="AE766" i="1"/>
  <c r="Q766" i="1" s="1"/>
  <c r="AF766" i="1"/>
  <c r="AB766" i="1" s="1"/>
  <c r="AG766" i="1"/>
  <c r="AH766" i="1"/>
  <c r="CV766" i="1" s="1"/>
  <c r="U766" i="1" s="1"/>
  <c r="AI766" i="1"/>
  <c r="AJ766" i="1"/>
  <c r="CX766" i="1" s="1"/>
  <c r="W766" i="1" s="1"/>
  <c r="CQ766" i="1"/>
  <c r="CR766" i="1"/>
  <c r="CS766" i="1"/>
  <c r="CU766" i="1"/>
  <c r="T766" i="1" s="1"/>
  <c r="CW766" i="1"/>
  <c r="V766" i="1" s="1"/>
  <c r="FR766" i="1"/>
  <c r="GL766" i="1"/>
  <c r="GO766" i="1"/>
  <c r="GP766" i="1"/>
  <c r="GV766" i="1"/>
  <c r="GX766" i="1"/>
  <c r="HC766" i="1"/>
  <c r="C767" i="1"/>
  <c r="D767" i="1"/>
  <c r="S767" i="1"/>
  <c r="CY767" i="1" s="1"/>
  <c r="X767" i="1" s="1"/>
  <c r="AC767" i="1"/>
  <c r="P767" i="1" s="1"/>
  <c r="AE767" i="1"/>
  <c r="AD767" i="1" s="1"/>
  <c r="AF767" i="1"/>
  <c r="AG767" i="1"/>
  <c r="CU767" i="1" s="1"/>
  <c r="T767" i="1" s="1"/>
  <c r="AH767" i="1"/>
  <c r="AI767" i="1"/>
  <c r="CW767" i="1" s="1"/>
  <c r="V767" i="1" s="1"/>
  <c r="AJ767" i="1"/>
  <c r="CR767" i="1"/>
  <c r="CT767" i="1"/>
  <c r="CV767" i="1"/>
  <c r="U767" i="1" s="1"/>
  <c r="CX767" i="1"/>
  <c r="W767" i="1" s="1"/>
  <c r="FR767" i="1"/>
  <c r="GL767" i="1"/>
  <c r="GO767" i="1"/>
  <c r="GP767" i="1"/>
  <c r="GV767" i="1"/>
  <c r="HC767" i="1"/>
  <c r="GX767" i="1" s="1"/>
  <c r="C768" i="1"/>
  <c r="D768" i="1"/>
  <c r="I768" i="1"/>
  <c r="K768" i="1"/>
  <c r="P768" i="1"/>
  <c r="R768" i="1"/>
  <c r="GK768" i="1" s="1"/>
  <c r="AC768" i="1"/>
  <c r="AD768" i="1"/>
  <c r="AE768" i="1"/>
  <c r="Q768" i="1" s="1"/>
  <c r="AF768" i="1"/>
  <c r="AB768" i="1" s="1"/>
  <c r="AG768" i="1"/>
  <c r="AH768" i="1"/>
  <c r="CV768" i="1" s="1"/>
  <c r="U768" i="1" s="1"/>
  <c r="AI768" i="1"/>
  <c r="AJ768" i="1"/>
  <c r="CX768" i="1" s="1"/>
  <c r="W768" i="1" s="1"/>
  <c r="CQ768" i="1"/>
  <c r="CR768" i="1"/>
  <c r="CS768" i="1"/>
  <c r="CU768" i="1"/>
  <c r="T768" i="1" s="1"/>
  <c r="CW768" i="1"/>
  <c r="V768" i="1" s="1"/>
  <c r="FR768" i="1"/>
  <c r="GL768" i="1"/>
  <c r="GO768" i="1"/>
  <c r="GP768" i="1"/>
  <c r="GV768" i="1"/>
  <c r="GX768" i="1"/>
  <c r="HC768" i="1"/>
  <c r="I769" i="1"/>
  <c r="Q769" i="1" s="1"/>
  <c r="P769" i="1"/>
  <c r="CP769" i="1" s="1"/>
  <c r="O769" i="1" s="1"/>
  <c r="R769" i="1"/>
  <c r="GK769" i="1" s="1"/>
  <c r="AC769" i="1"/>
  <c r="AD769" i="1"/>
  <c r="AB769" i="1" s="1"/>
  <c r="AE769" i="1"/>
  <c r="AF769" i="1"/>
  <c r="S769" i="1" s="1"/>
  <c r="AG769" i="1"/>
  <c r="AH769" i="1"/>
  <c r="CV769" i="1" s="1"/>
  <c r="U769" i="1" s="1"/>
  <c r="AI769" i="1"/>
  <c r="AJ769" i="1"/>
  <c r="CX769" i="1" s="1"/>
  <c r="W769" i="1" s="1"/>
  <c r="CQ769" i="1"/>
  <c r="CR769" i="1"/>
  <c r="CS769" i="1"/>
  <c r="CU769" i="1"/>
  <c r="T769" i="1" s="1"/>
  <c r="CW769" i="1"/>
  <c r="V769" i="1" s="1"/>
  <c r="FR769" i="1"/>
  <c r="GL769" i="1"/>
  <c r="GO769" i="1"/>
  <c r="GP769" i="1"/>
  <c r="GV769" i="1"/>
  <c r="HC769" i="1" s="1"/>
  <c r="GX769" i="1" s="1"/>
  <c r="C770" i="1"/>
  <c r="D770" i="1"/>
  <c r="I770" i="1"/>
  <c r="K770" i="1"/>
  <c r="S770" i="1"/>
  <c r="CY770" i="1" s="1"/>
  <c r="X770" i="1" s="1"/>
  <c r="AC770" i="1"/>
  <c r="P770" i="1" s="1"/>
  <c r="AE770" i="1"/>
  <c r="AD770" i="1" s="1"/>
  <c r="AF770" i="1"/>
  <c r="AG770" i="1"/>
  <c r="CU770" i="1" s="1"/>
  <c r="T770" i="1" s="1"/>
  <c r="AH770" i="1"/>
  <c r="AI770" i="1"/>
  <c r="CW770" i="1" s="1"/>
  <c r="V770" i="1" s="1"/>
  <c r="AJ770" i="1"/>
  <c r="CR770" i="1"/>
  <c r="CT770" i="1"/>
  <c r="CV770" i="1"/>
  <c r="U770" i="1" s="1"/>
  <c r="CX770" i="1"/>
  <c r="W770" i="1" s="1"/>
  <c r="FR770" i="1"/>
  <c r="GL770" i="1"/>
  <c r="GO770" i="1"/>
  <c r="CC781" i="1" s="1"/>
  <c r="GP770" i="1"/>
  <c r="GV770" i="1"/>
  <c r="HC770" i="1"/>
  <c r="GX770" i="1" s="1"/>
  <c r="AC771" i="1"/>
  <c r="AE771" i="1"/>
  <c r="AF771" i="1"/>
  <c r="AG771" i="1"/>
  <c r="CU771" i="1" s="1"/>
  <c r="AH771" i="1"/>
  <c r="AI771" i="1"/>
  <c r="CW771" i="1" s="1"/>
  <c r="AJ771" i="1"/>
  <c r="CR771" i="1"/>
  <c r="CT771" i="1"/>
  <c r="CV771" i="1"/>
  <c r="CX771" i="1"/>
  <c r="FR771" i="1"/>
  <c r="GL771" i="1"/>
  <c r="GO771" i="1"/>
  <c r="GP771" i="1"/>
  <c r="GV771" i="1"/>
  <c r="HC771" i="1" s="1"/>
  <c r="C772" i="1"/>
  <c r="D772" i="1"/>
  <c r="I772" i="1"/>
  <c r="K772" i="1"/>
  <c r="P772" i="1"/>
  <c r="R772" i="1"/>
  <c r="GK772" i="1" s="1"/>
  <c r="AC772" i="1"/>
  <c r="AD772" i="1"/>
  <c r="AB772" i="1" s="1"/>
  <c r="AE772" i="1"/>
  <c r="Q772" i="1" s="1"/>
  <c r="AF772" i="1"/>
  <c r="S772" i="1" s="1"/>
  <c r="AG772" i="1"/>
  <c r="AH772" i="1"/>
  <c r="CV772" i="1" s="1"/>
  <c r="U772" i="1" s="1"/>
  <c r="AI772" i="1"/>
  <c r="AJ772" i="1"/>
  <c r="CX772" i="1" s="1"/>
  <c r="W772" i="1" s="1"/>
  <c r="CQ772" i="1"/>
  <c r="CR772" i="1"/>
  <c r="CS772" i="1"/>
  <c r="CU772" i="1"/>
  <c r="T772" i="1" s="1"/>
  <c r="CW772" i="1"/>
  <c r="V772" i="1" s="1"/>
  <c r="FR772" i="1"/>
  <c r="GL772" i="1"/>
  <c r="GO772" i="1"/>
  <c r="GP772" i="1"/>
  <c r="GV772" i="1"/>
  <c r="HC772" i="1" s="1"/>
  <c r="GX772" i="1" s="1"/>
  <c r="I773" i="1"/>
  <c r="P773" i="1" s="1"/>
  <c r="R773" i="1"/>
  <c r="GK773" i="1" s="1"/>
  <c r="AC773" i="1"/>
  <c r="AD773" i="1"/>
  <c r="AE773" i="1"/>
  <c r="AF773" i="1"/>
  <c r="AB773" i="1" s="1"/>
  <c r="AG773" i="1"/>
  <c r="AH773" i="1"/>
  <c r="CV773" i="1" s="1"/>
  <c r="U773" i="1" s="1"/>
  <c r="AI773" i="1"/>
  <c r="AJ773" i="1"/>
  <c r="CX773" i="1" s="1"/>
  <c r="W773" i="1" s="1"/>
  <c r="CQ773" i="1"/>
  <c r="CR773" i="1"/>
  <c r="CS773" i="1"/>
  <c r="CU773" i="1"/>
  <c r="T773" i="1" s="1"/>
  <c r="CW773" i="1"/>
  <c r="V773" i="1" s="1"/>
  <c r="FR773" i="1"/>
  <c r="BY781" i="1" s="1"/>
  <c r="GL773" i="1"/>
  <c r="GO773" i="1"/>
  <c r="GP773" i="1"/>
  <c r="GV773" i="1"/>
  <c r="GX773" i="1"/>
  <c r="HC773" i="1"/>
  <c r="C774" i="1"/>
  <c r="D774" i="1"/>
  <c r="I774" i="1"/>
  <c r="S774" i="1" s="1"/>
  <c r="K774" i="1"/>
  <c r="AC774" i="1"/>
  <c r="AE774" i="1"/>
  <c r="Q774" i="1" s="1"/>
  <c r="AF774" i="1"/>
  <c r="AG774" i="1"/>
  <c r="CU774" i="1" s="1"/>
  <c r="T774" i="1" s="1"/>
  <c r="AH774" i="1"/>
  <c r="AI774" i="1"/>
  <c r="CW774" i="1" s="1"/>
  <c r="V774" i="1" s="1"/>
  <c r="AJ774" i="1"/>
  <c r="CR774" i="1"/>
  <c r="CT774" i="1"/>
  <c r="CV774" i="1"/>
  <c r="U774" i="1" s="1"/>
  <c r="CX774" i="1"/>
  <c r="W774" i="1" s="1"/>
  <c r="FR774" i="1"/>
  <c r="GL774" i="1"/>
  <c r="GO774" i="1"/>
  <c r="GP774" i="1"/>
  <c r="GV774" i="1"/>
  <c r="HC774" i="1" s="1"/>
  <c r="GX774" i="1" s="1"/>
  <c r="P775" i="1"/>
  <c r="R775" i="1"/>
  <c r="GK775" i="1" s="1"/>
  <c r="AC775" i="1"/>
  <c r="AD775" i="1"/>
  <c r="AB775" i="1" s="1"/>
  <c r="AE775" i="1"/>
  <c r="Q775" i="1" s="1"/>
  <c r="AF775" i="1"/>
  <c r="S775" i="1" s="1"/>
  <c r="AG775" i="1"/>
  <c r="AH775" i="1"/>
  <c r="CV775" i="1" s="1"/>
  <c r="U775" i="1" s="1"/>
  <c r="AI775" i="1"/>
  <c r="AJ775" i="1"/>
  <c r="CX775" i="1" s="1"/>
  <c r="W775" i="1" s="1"/>
  <c r="CQ775" i="1"/>
  <c r="CR775" i="1"/>
  <c r="CS775" i="1"/>
  <c r="CU775" i="1"/>
  <c r="T775" i="1" s="1"/>
  <c r="CW775" i="1"/>
  <c r="V775" i="1" s="1"/>
  <c r="FR775" i="1"/>
  <c r="GL775" i="1"/>
  <c r="BZ781" i="1" s="1"/>
  <c r="GO775" i="1"/>
  <c r="GP775" i="1"/>
  <c r="GV775" i="1"/>
  <c r="HC775" i="1" s="1"/>
  <c r="GX775" i="1" s="1"/>
  <c r="C776" i="1"/>
  <c r="D776" i="1"/>
  <c r="I776" i="1"/>
  <c r="K776" i="1"/>
  <c r="S776" i="1"/>
  <c r="CY776" i="1" s="1"/>
  <c r="X776" i="1" s="1"/>
  <c r="AC776" i="1"/>
  <c r="P776" i="1" s="1"/>
  <c r="AE776" i="1"/>
  <c r="AD776" i="1" s="1"/>
  <c r="AF776" i="1"/>
  <c r="AG776" i="1"/>
  <c r="CU776" i="1" s="1"/>
  <c r="T776" i="1" s="1"/>
  <c r="AH776" i="1"/>
  <c r="AI776" i="1"/>
  <c r="CW776" i="1" s="1"/>
  <c r="V776" i="1" s="1"/>
  <c r="AJ776" i="1"/>
  <c r="CR776" i="1"/>
  <c r="CT776" i="1"/>
  <c r="CV776" i="1"/>
  <c r="U776" i="1" s="1"/>
  <c r="CX776" i="1"/>
  <c r="W776" i="1" s="1"/>
  <c r="FR776" i="1"/>
  <c r="GL776" i="1"/>
  <c r="GO776" i="1"/>
  <c r="GP776" i="1"/>
  <c r="GV776" i="1"/>
  <c r="HC776" i="1"/>
  <c r="GX776" i="1" s="1"/>
  <c r="AC777" i="1"/>
  <c r="AE777" i="1"/>
  <c r="AF777" i="1"/>
  <c r="AG777" i="1"/>
  <c r="CU777" i="1" s="1"/>
  <c r="AH777" i="1"/>
  <c r="AI777" i="1"/>
  <c r="CW777" i="1" s="1"/>
  <c r="AJ777" i="1"/>
  <c r="CR777" i="1"/>
  <c r="CT777" i="1"/>
  <c r="CV777" i="1"/>
  <c r="CX777" i="1"/>
  <c r="FR777" i="1"/>
  <c r="GL777" i="1"/>
  <c r="GO777" i="1"/>
  <c r="GP777" i="1"/>
  <c r="GV777" i="1"/>
  <c r="HC777" i="1" s="1"/>
  <c r="C778" i="1"/>
  <c r="D778" i="1"/>
  <c r="P778" i="1"/>
  <c r="R778" i="1"/>
  <c r="GK778" i="1" s="1"/>
  <c r="AC778" i="1"/>
  <c r="AD778" i="1"/>
  <c r="AE778" i="1"/>
  <c r="Q778" i="1" s="1"/>
  <c r="AF778" i="1"/>
  <c r="AB778" i="1" s="1"/>
  <c r="AG778" i="1"/>
  <c r="AH778" i="1"/>
  <c r="CV778" i="1" s="1"/>
  <c r="U778" i="1" s="1"/>
  <c r="AI778" i="1"/>
  <c r="AJ778" i="1"/>
  <c r="CX778" i="1" s="1"/>
  <c r="W778" i="1" s="1"/>
  <c r="CQ778" i="1"/>
  <c r="CR778" i="1"/>
  <c r="CS778" i="1"/>
  <c r="CU778" i="1"/>
  <c r="T778" i="1" s="1"/>
  <c r="CW778" i="1"/>
  <c r="V778" i="1" s="1"/>
  <c r="FR778" i="1"/>
  <c r="GL778" i="1"/>
  <c r="GN778" i="1"/>
  <c r="GO778" i="1"/>
  <c r="GV778" i="1"/>
  <c r="GX778" i="1"/>
  <c r="HC778" i="1"/>
  <c r="C779" i="1"/>
  <c r="D779" i="1"/>
  <c r="S779" i="1"/>
  <c r="CY779" i="1" s="1"/>
  <c r="X779" i="1" s="1"/>
  <c r="AC779" i="1"/>
  <c r="P779" i="1" s="1"/>
  <c r="AE779" i="1"/>
  <c r="AD779" i="1" s="1"/>
  <c r="AF779" i="1"/>
  <c r="AG779" i="1"/>
  <c r="CU779" i="1" s="1"/>
  <c r="T779" i="1" s="1"/>
  <c r="AH779" i="1"/>
  <c r="AI779" i="1"/>
  <c r="CW779" i="1" s="1"/>
  <c r="V779" i="1" s="1"/>
  <c r="AJ779" i="1"/>
  <c r="CR779" i="1"/>
  <c r="CT779" i="1"/>
  <c r="CV779" i="1"/>
  <c r="U779" i="1" s="1"/>
  <c r="CX779" i="1"/>
  <c r="W779" i="1" s="1"/>
  <c r="FR779" i="1"/>
  <c r="GL779" i="1"/>
  <c r="GN779" i="1"/>
  <c r="GO779" i="1"/>
  <c r="GV779" i="1"/>
  <c r="HC779" i="1"/>
  <c r="GX779" i="1" s="1"/>
  <c r="B781" i="1"/>
  <c r="B764" i="1" s="1"/>
  <c r="C781" i="1"/>
  <c r="C764" i="1" s="1"/>
  <c r="D781" i="1"/>
  <c r="D764" i="1" s="1"/>
  <c r="F781" i="1"/>
  <c r="F764" i="1" s="1"/>
  <c r="G781" i="1"/>
  <c r="G764" i="1" s="1"/>
  <c r="BX781" i="1"/>
  <c r="AO781" i="1" s="1"/>
  <c r="CK781" i="1"/>
  <c r="BB781" i="1" s="1"/>
  <c r="CL781" i="1"/>
  <c r="CL764" i="1" s="1"/>
  <c r="CM781" i="1"/>
  <c r="CM764" i="1" s="1"/>
  <c r="D811" i="1"/>
  <c r="E813" i="1"/>
  <c r="Z813" i="1"/>
  <c r="AA813" i="1"/>
  <c r="AM813" i="1"/>
  <c r="AN813" i="1"/>
  <c r="BE813" i="1"/>
  <c r="BF813" i="1"/>
  <c r="BG813" i="1"/>
  <c r="BH813" i="1"/>
  <c r="BI813" i="1"/>
  <c r="BJ813" i="1"/>
  <c r="BK813" i="1"/>
  <c r="BL813" i="1"/>
  <c r="BM813" i="1"/>
  <c r="BN813" i="1"/>
  <c r="BO813" i="1"/>
  <c r="BP813" i="1"/>
  <c r="BQ813" i="1"/>
  <c r="BR813" i="1"/>
  <c r="BS813" i="1"/>
  <c r="BT813" i="1"/>
  <c r="BU813" i="1"/>
  <c r="BV813" i="1"/>
  <c r="BW813" i="1"/>
  <c r="CN813" i="1"/>
  <c r="CO813" i="1"/>
  <c r="CP813" i="1"/>
  <c r="CQ813" i="1"/>
  <c r="CR813" i="1"/>
  <c r="CS813" i="1"/>
  <c r="CT813" i="1"/>
  <c r="CU813" i="1"/>
  <c r="CV813" i="1"/>
  <c r="CW813" i="1"/>
  <c r="CX813" i="1"/>
  <c r="CY813" i="1"/>
  <c r="CZ813" i="1"/>
  <c r="DA813" i="1"/>
  <c r="DB813" i="1"/>
  <c r="DC813" i="1"/>
  <c r="DD813" i="1"/>
  <c r="DE813" i="1"/>
  <c r="DF813" i="1"/>
  <c r="DG813" i="1"/>
  <c r="DH813" i="1"/>
  <c r="DI813" i="1"/>
  <c r="DJ813" i="1"/>
  <c r="DK813" i="1"/>
  <c r="DL813" i="1"/>
  <c r="DM813" i="1"/>
  <c r="DN813" i="1"/>
  <c r="DO813" i="1"/>
  <c r="DP813" i="1"/>
  <c r="DQ813" i="1"/>
  <c r="DR813" i="1"/>
  <c r="DS813" i="1"/>
  <c r="DT813" i="1"/>
  <c r="DU813" i="1"/>
  <c r="DV813" i="1"/>
  <c r="DW813" i="1"/>
  <c r="DX813" i="1"/>
  <c r="DY813" i="1"/>
  <c r="DZ813" i="1"/>
  <c r="EA813" i="1"/>
  <c r="EB813" i="1"/>
  <c r="EC813" i="1"/>
  <c r="ED813" i="1"/>
  <c r="EE813" i="1"/>
  <c r="EF813" i="1"/>
  <c r="EG813" i="1"/>
  <c r="EH813" i="1"/>
  <c r="EI813" i="1"/>
  <c r="EJ813" i="1"/>
  <c r="EK813" i="1"/>
  <c r="EL813" i="1"/>
  <c r="EM813" i="1"/>
  <c r="EN813" i="1"/>
  <c r="EO813" i="1"/>
  <c r="EP813" i="1"/>
  <c r="EQ813" i="1"/>
  <c r="ER813" i="1"/>
  <c r="ES813" i="1"/>
  <c r="ET813" i="1"/>
  <c r="EU813" i="1"/>
  <c r="EV813" i="1"/>
  <c r="EW813" i="1"/>
  <c r="EX813" i="1"/>
  <c r="EY813" i="1"/>
  <c r="EZ813" i="1"/>
  <c r="FA813" i="1"/>
  <c r="FB813" i="1"/>
  <c r="FC813" i="1"/>
  <c r="FD813" i="1"/>
  <c r="FE813" i="1"/>
  <c r="FF813" i="1"/>
  <c r="FG813" i="1"/>
  <c r="FH813" i="1"/>
  <c r="FI813" i="1"/>
  <c r="FJ813" i="1"/>
  <c r="FK813" i="1"/>
  <c r="FL813" i="1"/>
  <c r="FM813" i="1"/>
  <c r="FN813" i="1"/>
  <c r="FO813" i="1"/>
  <c r="FP813" i="1"/>
  <c r="FQ813" i="1"/>
  <c r="FR813" i="1"/>
  <c r="FS813" i="1"/>
  <c r="FT813" i="1"/>
  <c r="FU813" i="1"/>
  <c r="FV813" i="1"/>
  <c r="FW813" i="1"/>
  <c r="FX813" i="1"/>
  <c r="FY813" i="1"/>
  <c r="FZ813" i="1"/>
  <c r="GA813" i="1"/>
  <c r="GB813" i="1"/>
  <c r="GC813" i="1"/>
  <c r="GD813" i="1"/>
  <c r="GE813" i="1"/>
  <c r="GF813" i="1"/>
  <c r="GG813" i="1"/>
  <c r="GH813" i="1"/>
  <c r="GI813" i="1"/>
  <c r="GJ813" i="1"/>
  <c r="GK813" i="1"/>
  <c r="GL813" i="1"/>
  <c r="GM813" i="1"/>
  <c r="GN813" i="1"/>
  <c r="GO813" i="1"/>
  <c r="GP813" i="1"/>
  <c r="GQ813" i="1"/>
  <c r="GR813" i="1"/>
  <c r="GS813" i="1"/>
  <c r="GT813" i="1"/>
  <c r="GU813" i="1"/>
  <c r="GV813" i="1"/>
  <c r="GW813" i="1"/>
  <c r="GX813" i="1"/>
  <c r="C815" i="1"/>
  <c r="D815" i="1"/>
  <c r="I815" i="1"/>
  <c r="S815" i="1" s="1"/>
  <c r="K815" i="1"/>
  <c r="AC815" i="1"/>
  <c r="AE815" i="1"/>
  <c r="Q815" i="1" s="1"/>
  <c r="AF815" i="1"/>
  <c r="AG815" i="1"/>
  <c r="CU815" i="1" s="1"/>
  <c r="T815" i="1" s="1"/>
  <c r="AH815" i="1"/>
  <c r="AI815" i="1"/>
  <c r="CW815" i="1" s="1"/>
  <c r="V815" i="1" s="1"/>
  <c r="AJ815" i="1"/>
  <c r="CR815" i="1"/>
  <c r="CT815" i="1"/>
  <c r="CV815" i="1"/>
  <c r="U815" i="1" s="1"/>
  <c r="CX815" i="1"/>
  <c r="W815" i="1" s="1"/>
  <c r="FR815" i="1"/>
  <c r="GL815" i="1"/>
  <c r="GO815" i="1"/>
  <c r="GP815" i="1"/>
  <c r="GV815" i="1"/>
  <c r="HC815" i="1" s="1"/>
  <c r="GX815" i="1" s="1"/>
  <c r="AC816" i="1"/>
  <c r="AE816" i="1"/>
  <c r="AD816" i="1" s="1"/>
  <c r="AF816" i="1"/>
  <c r="AG816" i="1"/>
  <c r="CU816" i="1" s="1"/>
  <c r="AH816" i="1"/>
  <c r="AI816" i="1"/>
  <c r="CW816" i="1" s="1"/>
  <c r="AJ816" i="1"/>
  <c r="CR816" i="1"/>
  <c r="CT816" i="1"/>
  <c r="CV816" i="1"/>
  <c r="CX816" i="1"/>
  <c r="FR816" i="1"/>
  <c r="GL816" i="1"/>
  <c r="GO816" i="1"/>
  <c r="GP816" i="1"/>
  <c r="GV816" i="1"/>
  <c r="HC816" i="1"/>
  <c r="C817" i="1"/>
  <c r="D817" i="1"/>
  <c r="I817" i="1"/>
  <c r="K817" i="1"/>
  <c r="P817" i="1"/>
  <c r="R817" i="1"/>
  <c r="GK817" i="1" s="1"/>
  <c r="AC817" i="1"/>
  <c r="AD817" i="1"/>
  <c r="AE817" i="1"/>
  <c r="Q817" i="1" s="1"/>
  <c r="AF817" i="1"/>
  <c r="AB817" i="1" s="1"/>
  <c r="AG817" i="1"/>
  <c r="AH817" i="1"/>
  <c r="CV817" i="1" s="1"/>
  <c r="U817" i="1" s="1"/>
  <c r="AI817" i="1"/>
  <c r="AJ817" i="1"/>
  <c r="CX817" i="1" s="1"/>
  <c r="W817" i="1" s="1"/>
  <c r="CQ817" i="1"/>
  <c r="CR817" i="1"/>
  <c r="CS817" i="1"/>
  <c r="CU817" i="1"/>
  <c r="T817" i="1" s="1"/>
  <c r="CW817" i="1"/>
  <c r="V817" i="1" s="1"/>
  <c r="FR817" i="1"/>
  <c r="GL817" i="1"/>
  <c r="GO817" i="1"/>
  <c r="GP817" i="1"/>
  <c r="GV817" i="1"/>
  <c r="GX817" i="1"/>
  <c r="HC817" i="1"/>
  <c r="C818" i="1"/>
  <c r="D818" i="1"/>
  <c r="I818" i="1"/>
  <c r="S818" i="1" s="1"/>
  <c r="K818" i="1"/>
  <c r="AC818" i="1"/>
  <c r="AE818" i="1"/>
  <c r="Q818" i="1" s="1"/>
  <c r="AF818" i="1"/>
  <c r="AG818" i="1"/>
  <c r="CU818" i="1" s="1"/>
  <c r="T818" i="1" s="1"/>
  <c r="AH818" i="1"/>
  <c r="AI818" i="1"/>
  <c r="CW818" i="1" s="1"/>
  <c r="V818" i="1" s="1"/>
  <c r="AJ818" i="1"/>
  <c r="CR818" i="1"/>
  <c r="CT818" i="1"/>
  <c r="CV818" i="1"/>
  <c r="U818" i="1" s="1"/>
  <c r="CX818" i="1"/>
  <c r="W818" i="1" s="1"/>
  <c r="FR818" i="1"/>
  <c r="GL818" i="1"/>
  <c r="GO818" i="1"/>
  <c r="GP818" i="1"/>
  <c r="GV818" i="1"/>
  <c r="HC818" i="1" s="1"/>
  <c r="GX818" i="1" s="1"/>
  <c r="C819" i="1"/>
  <c r="D819" i="1"/>
  <c r="I819" i="1"/>
  <c r="K819" i="1"/>
  <c r="P819" i="1"/>
  <c r="R819" i="1"/>
  <c r="GK819" i="1" s="1"/>
  <c r="AC819" i="1"/>
  <c r="AD819" i="1"/>
  <c r="AB819" i="1" s="1"/>
  <c r="AE819" i="1"/>
  <c r="Q819" i="1" s="1"/>
  <c r="AF819" i="1"/>
  <c r="S819" i="1" s="1"/>
  <c r="AG819" i="1"/>
  <c r="AH819" i="1"/>
  <c r="CV819" i="1" s="1"/>
  <c r="U819" i="1" s="1"/>
  <c r="AI819" i="1"/>
  <c r="AJ819" i="1"/>
  <c r="CX819" i="1" s="1"/>
  <c r="W819" i="1" s="1"/>
  <c r="CQ819" i="1"/>
  <c r="CR819" i="1"/>
  <c r="CS819" i="1"/>
  <c r="CU819" i="1"/>
  <c r="T819" i="1" s="1"/>
  <c r="CW819" i="1"/>
  <c r="V819" i="1" s="1"/>
  <c r="FR819" i="1"/>
  <c r="GL819" i="1"/>
  <c r="GO819" i="1"/>
  <c r="GP819" i="1"/>
  <c r="GV819" i="1"/>
  <c r="HC819" i="1" s="1"/>
  <c r="GX819" i="1" s="1"/>
  <c r="I820" i="1"/>
  <c r="P820" i="1" s="1"/>
  <c r="R820" i="1"/>
  <c r="GK820" i="1" s="1"/>
  <c r="AC820" i="1"/>
  <c r="AD820" i="1"/>
  <c r="AE820" i="1"/>
  <c r="AF820" i="1"/>
  <c r="AB820" i="1" s="1"/>
  <c r="AG820" i="1"/>
  <c r="AH820" i="1"/>
  <c r="CV820" i="1" s="1"/>
  <c r="U820" i="1" s="1"/>
  <c r="AI820" i="1"/>
  <c r="AJ820" i="1"/>
  <c r="CX820" i="1" s="1"/>
  <c r="W820" i="1" s="1"/>
  <c r="CQ820" i="1"/>
  <c r="CR820" i="1"/>
  <c r="CS820" i="1"/>
  <c r="CU820" i="1"/>
  <c r="T820" i="1" s="1"/>
  <c r="CW820" i="1"/>
  <c r="V820" i="1" s="1"/>
  <c r="FR820" i="1"/>
  <c r="GL820" i="1"/>
  <c r="GO820" i="1"/>
  <c r="GP820" i="1"/>
  <c r="GV820" i="1"/>
  <c r="GX820" i="1"/>
  <c r="HC820" i="1"/>
  <c r="I821" i="1"/>
  <c r="Q821" i="1" s="1"/>
  <c r="P821" i="1"/>
  <c r="R821" i="1"/>
  <c r="GK821" i="1" s="1"/>
  <c r="AC821" i="1"/>
  <c r="AD821" i="1"/>
  <c r="AB821" i="1" s="1"/>
  <c r="AE821" i="1"/>
  <c r="AF821" i="1"/>
  <c r="S821" i="1" s="1"/>
  <c r="AG821" i="1"/>
  <c r="AH821" i="1"/>
  <c r="CV821" i="1" s="1"/>
  <c r="U821" i="1" s="1"/>
  <c r="AI821" i="1"/>
  <c r="AJ821" i="1"/>
  <c r="CX821" i="1" s="1"/>
  <c r="W821" i="1" s="1"/>
  <c r="CQ821" i="1"/>
  <c r="CR821" i="1"/>
  <c r="CS821" i="1"/>
  <c r="CU821" i="1"/>
  <c r="T821" i="1" s="1"/>
  <c r="CW821" i="1"/>
  <c r="V821" i="1" s="1"/>
  <c r="FR821" i="1"/>
  <c r="GL821" i="1"/>
  <c r="GO821" i="1"/>
  <c r="GP821" i="1"/>
  <c r="GV821" i="1"/>
  <c r="HC821" i="1" s="1"/>
  <c r="GX821" i="1" s="1"/>
  <c r="C822" i="1"/>
  <c r="D822" i="1"/>
  <c r="I822" i="1"/>
  <c r="CX445" i="3" s="1"/>
  <c r="K822" i="1"/>
  <c r="S822" i="1"/>
  <c r="CY822" i="1" s="1"/>
  <c r="X822" i="1" s="1"/>
  <c r="AC822" i="1"/>
  <c r="P822" i="1" s="1"/>
  <c r="AE822" i="1"/>
  <c r="AD822" i="1" s="1"/>
  <c r="AF822" i="1"/>
  <c r="AG822" i="1"/>
  <c r="CU822" i="1" s="1"/>
  <c r="T822" i="1" s="1"/>
  <c r="AH822" i="1"/>
  <c r="AI822" i="1"/>
  <c r="CW822" i="1" s="1"/>
  <c r="V822" i="1" s="1"/>
  <c r="AJ822" i="1"/>
  <c r="CR822" i="1"/>
  <c r="CT822" i="1"/>
  <c r="CV822" i="1"/>
  <c r="U822" i="1" s="1"/>
  <c r="CX822" i="1"/>
  <c r="W822" i="1" s="1"/>
  <c r="FR822" i="1"/>
  <c r="GL822" i="1"/>
  <c r="GO822" i="1"/>
  <c r="GP822" i="1"/>
  <c r="GV822" i="1"/>
  <c r="HC822" i="1"/>
  <c r="GX822" i="1" s="1"/>
  <c r="C823" i="1"/>
  <c r="D823" i="1"/>
  <c r="P823" i="1"/>
  <c r="R823" i="1"/>
  <c r="GK823" i="1" s="1"/>
  <c r="AC823" i="1"/>
  <c r="AD823" i="1"/>
  <c r="AB823" i="1" s="1"/>
  <c r="AE823" i="1"/>
  <c r="Q823" i="1" s="1"/>
  <c r="AF823" i="1"/>
  <c r="S823" i="1" s="1"/>
  <c r="AG823" i="1"/>
  <c r="AH823" i="1"/>
  <c r="CV823" i="1" s="1"/>
  <c r="U823" i="1" s="1"/>
  <c r="AI823" i="1"/>
  <c r="AJ823" i="1"/>
  <c r="CX823" i="1" s="1"/>
  <c r="W823" i="1" s="1"/>
  <c r="CQ823" i="1"/>
  <c r="CR823" i="1"/>
  <c r="CS823" i="1"/>
  <c r="CU823" i="1"/>
  <c r="T823" i="1" s="1"/>
  <c r="CW823" i="1"/>
  <c r="V823" i="1" s="1"/>
  <c r="FR823" i="1"/>
  <c r="GL823" i="1"/>
  <c r="GN823" i="1"/>
  <c r="GO823" i="1"/>
  <c r="GV823" i="1"/>
  <c r="HC823" i="1" s="1"/>
  <c r="GX823" i="1" s="1"/>
  <c r="C824" i="1"/>
  <c r="D824" i="1"/>
  <c r="S824" i="1"/>
  <c r="CY824" i="1" s="1"/>
  <c r="X824" i="1" s="1"/>
  <c r="AC824" i="1"/>
  <c r="AE824" i="1"/>
  <c r="Q824" i="1" s="1"/>
  <c r="AF824" i="1"/>
  <c r="AG824" i="1"/>
  <c r="CU824" i="1" s="1"/>
  <c r="T824" i="1" s="1"/>
  <c r="AH824" i="1"/>
  <c r="AI824" i="1"/>
  <c r="CW824" i="1" s="1"/>
  <c r="V824" i="1" s="1"/>
  <c r="AJ824" i="1"/>
  <c r="CR824" i="1"/>
  <c r="CT824" i="1"/>
  <c r="CV824" i="1"/>
  <c r="U824" i="1" s="1"/>
  <c r="CX824" i="1"/>
  <c r="W824" i="1" s="1"/>
  <c r="CZ824" i="1"/>
  <c r="Y824" i="1" s="1"/>
  <c r="FR824" i="1"/>
  <c r="GL824" i="1"/>
  <c r="GN824" i="1"/>
  <c r="GO824" i="1"/>
  <c r="GV824" i="1"/>
  <c r="HC824" i="1" s="1"/>
  <c r="GX824" i="1" s="1"/>
  <c r="D826" i="1"/>
  <c r="E828" i="1"/>
  <c r="Z828" i="1"/>
  <c r="AA828" i="1"/>
  <c r="AM828" i="1"/>
  <c r="AN828" i="1"/>
  <c r="BE828" i="1"/>
  <c r="BF828" i="1"/>
  <c r="BG828" i="1"/>
  <c r="BH828" i="1"/>
  <c r="BI828" i="1"/>
  <c r="BJ828" i="1"/>
  <c r="BK828" i="1"/>
  <c r="BL828" i="1"/>
  <c r="BM828" i="1"/>
  <c r="BN828" i="1"/>
  <c r="BO828" i="1"/>
  <c r="BP828" i="1"/>
  <c r="BQ828" i="1"/>
  <c r="BR828" i="1"/>
  <c r="BS828" i="1"/>
  <c r="BT828" i="1"/>
  <c r="BU828" i="1"/>
  <c r="BV828" i="1"/>
  <c r="BW828" i="1"/>
  <c r="CN828" i="1"/>
  <c r="CO828" i="1"/>
  <c r="CP828" i="1"/>
  <c r="CQ828" i="1"/>
  <c r="CR828" i="1"/>
  <c r="CS828" i="1"/>
  <c r="CT828" i="1"/>
  <c r="CU828" i="1"/>
  <c r="CV828" i="1"/>
  <c r="CW828" i="1"/>
  <c r="CX828" i="1"/>
  <c r="CY828" i="1"/>
  <c r="CZ828" i="1"/>
  <c r="DA828" i="1"/>
  <c r="DB828" i="1"/>
  <c r="DC828" i="1"/>
  <c r="DD828" i="1"/>
  <c r="DE828" i="1"/>
  <c r="DF828" i="1"/>
  <c r="DG828" i="1"/>
  <c r="DH828" i="1"/>
  <c r="DI828" i="1"/>
  <c r="DJ828" i="1"/>
  <c r="DK828" i="1"/>
  <c r="DL828" i="1"/>
  <c r="DM828" i="1"/>
  <c r="DN828" i="1"/>
  <c r="DO828" i="1"/>
  <c r="DP828" i="1"/>
  <c r="DQ828" i="1"/>
  <c r="DR828" i="1"/>
  <c r="DS828" i="1"/>
  <c r="DT828" i="1"/>
  <c r="DU828" i="1"/>
  <c r="DV828" i="1"/>
  <c r="DW828" i="1"/>
  <c r="DX828" i="1"/>
  <c r="DY828" i="1"/>
  <c r="DZ828" i="1"/>
  <c r="EA828" i="1"/>
  <c r="EB828" i="1"/>
  <c r="EC828" i="1"/>
  <c r="ED828" i="1"/>
  <c r="EE828" i="1"/>
  <c r="EF828" i="1"/>
  <c r="EG828" i="1"/>
  <c r="EH828" i="1"/>
  <c r="EI828" i="1"/>
  <c r="EJ828" i="1"/>
  <c r="EK828" i="1"/>
  <c r="EL828" i="1"/>
  <c r="EM828" i="1"/>
  <c r="EN828" i="1"/>
  <c r="EO828" i="1"/>
  <c r="EP828" i="1"/>
  <c r="EQ828" i="1"/>
  <c r="ER828" i="1"/>
  <c r="ES828" i="1"/>
  <c r="ET828" i="1"/>
  <c r="EU828" i="1"/>
  <c r="EV828" i="1"/>
  <c r="EW828" i="1"/>
  <c r="EX828" i="1"/>
  <c r="EY828" i="1"/>
  <c r="EZ828" i="1"/>
  <c r="FA828" i="1"/>
  <c r="FB828" i="1"/>
  <c r="FC828" i="1"/>
  <c r="FD828" i="1"/>
  <c r="FE828" i="1"/>
  <c r="FF828" i="1"/>
  <c r="FG828" i="1"/>
  <c r="FH828" i="1"/>
  <c r="FI828" i="1"/>
  <c r="FJ828" i="1"/>
  <c r="FK828" i="1"/>
  <c r="FL828" i="1"/>
  <c r="FM828" i="1"/>
  <c r="FN828" i="1"/>
  <c r="FO828" i="1"/>
  <c r="FP828" i="1"/>
  <c r="FQ828" i="1"/>
  <c r="FR828" i="1"/>
  <c r="FS828" i="1"/>
  <c r="FT828" i="1"/>
  <c r="FU828" i="1"/>
  <c r="FV828" i="1"/>
  <c r="FW828" i="1"/>
  <c r="FX828" i="1"/>
  <c r="FY828" i="1"/>
  <c r="FZ828" i="1"/>
  <c r="GA828" i="1"/>
  <c r="GB828" i="1"/>
  <c r="GC828" i="1"/>
  <c r="GD828" i="1"/>
  <c r="GE828" i="1"/>
  <c r="GF828" i="1"/>
  <c r="GG828" i="1"/>
  <c r="GH828" i="1"/>
  <c r="GI828" i="1"/>
  <c r="GJ828" i="1"/>
  <c r="GK828" i="1"/>
  <c r="GL828" i="1"/>
  <c r="GM828" i="1"/>
  <c r="GN828" i="1"/>
  <c r="GO828" i="1"/>
  <c r="GP828" i="1"/>
  <c r="GQ828" i="1"/>
  <c r="GR828" i="1"/>
  <c r="GS828" i="1"/>
  <c r="GT828" i="1"/>
  <c r="GU828" i="1"/>
  <c r="GV828" i="1"/>
  <c r="GW828" i="1"/>
  <c r="GX828" i="1"/>
  <c r="S830" i="1"/>
  <c r="CY830" i="1" s="1"/>
  <c r="X830" i="1" s="1"/>
  <c r="AC830" i="1"/>
  <c r="AE830" i="1"/>
  <c r="Q830" i="1" s="1"/>
  <c r="AF830" i="1"/>
  <c r="AG830" i="1"/>
  <c r="CU830" i="1" s="1"/>
  <c r="T830" i="1" s="1"/>
  <c r="AH830" i="1"/>
  <c r="AI830" i="1"/>
  <c r="CW830" i="1" s="1"/>
  <c r="V830" i="1" s="1"/>
  <c r="AJ830" i="1"/>
  <c r="CR830" i="1"/>
  <c r="CT830" i="1"/>
  <c r="CV830" i="1"/>
  <c r="U830" i="1" s="1"/>
  <c r="CX830" i="1"/>
  <c r="W830" i="1" s="1"/>
  <c r="CZ830" i="1"/>
  <c r="Y830" i="1" s="1"/>
  <c r="FR830" i="1"/>
  <c r="GL830" i="1"/>
  <c r="GO830" i="1"/>
  <c r="GP830" i="1"/>
  <c r="GV830" i="1"/>
  <c r="HC830" i="1" s="1"/>
  <c r="GX830" i="1" s="1"/>
  <c r="P831" i="1"/>
  <c r="R831" i="1"/>
  <c r="GK831" i="1" s="1"/>
  <c r="AC831" i="1"/>
  <c r="AD831" i="1"/>
  <c r="AB831" i="1" s="1"/>
  <c r="AE831" i="1"/>
  <c r="Q831" i="1" s="1"/>
  <c r="AF831" i="1"/>
  <c r="S831" i="1" s="1"/>
  <c r="AG831" i="1"/>
  <c r="AH831" i="1"/>
  <c r="CV831" i="1" s="1"/>
  <c r="U831" i="1" s="1"/>
  <c r="AI831" i="1"/>
  <c r="AJ831" i="1"/>
  <c r="CX831" i="1" s="1"/>
  <c r="W831" i="1" s="1"/>
  <c r="CQ831" i="1"/>
  <c r="CR831" i="1"/>
  <c r="CS831" i="1"/>
  <c r="CU831" i="1"/>
  <c r="T831" i="1" s="1"/>
  <c r="CW831" i="1"/>
  <c r="V831" i="1" s="1"/>
  <c r="FR831" i="1"/>
  <c r="GL831" i="1"/>
  <c r="GO831" i="1"/>
  <c r="GP831" i="1"/>
  <c r="GV831" i="1"/>
  <c r="HC831" i="1" s="1"/>
  <c r="GX831" i="1" s="1"/>
  <c r="S832" i="1"/>
  <c r="CY832" i="1" s="1"/>
  <c r="X832" i="1" s="1"/>
  <c r="AC832" i="1"/>
  <c r="P832" i="1" s="1"/>
  <c r="AE832" i="1"/>
  <c r="AD832" i="1" s="1"/>
  <c r="AF832" i="1"/>
  <c r="AG832" i="1"/>
  <c r="CU832" i="1" s="1"/>
  <c r="T832" i="1" s="1"/>
  <c r="AH832" i="1"/>
  <c r="AI832" i="1"/>
  <c r="CW832" i="1" s="1"/>
  <c r="V832" i="1" s="1"/>
  <c r="AJ832" i="1"/>
  <c r="CR832" i="1"/>
  <c r="CT832" i="1"/>
  <c r="CV832" i="1"/>
  <c r="U832" i="1" s="1"/>
  <c r="CX832" i="1"/>
  <c r="W832" i="1" s="1"/>
  <c r="FR832" i="1"/>
  <c r="GL832" i="1"/>
  <c r="GO832" i="1"/>
  <c r="GP832" i="1"/>
  <c r="GV832" i="1"/>
  <c r="HC832" i="1"/>
  <c r="GX832" i="1" s="1"/>
  <c r="P833" i="1"/>
  <c r="R833" i="1"/>
  <c r="GK833" i="1" s="1"/>
  <c r="AC833" i="1"/>
  <c r="AD833" i="1"/>
  <c r="AE833" i="1"/>
  <c r="Q833" i="1" s="1"/>
  <c r="AF833" i="1"/>
  <c r="AB833" i="1" s="1"/>
  <c r="AG833" i="1"/>
  <c r="AH833" i="1"/>
  <c r="CV833" i="1" s="1"/>
  <c r="U833" i="1" s="1"/>
  <c r="AI833" i="1"/>
  <c r="AJ833" i="1"/>
  <c r="CX833" i="1" s="1"/>
  <c r="W833" i="1" s="1"/>
  <c r="CQ833" i="1"/>
  <c r="CR833" i="1"/>
  <c r="CS833" i="1"/>
  <c r="CU833" i="1"/>
  <c r="T833" i="1" s="1"/>
  <c r="CW833" i="1"/>
  <c r="V833" i="1" s="1"/>
  <c r="FR833" i="1"/>
  <c r="BY842" i="1" s="1"/>
  <c r="GL833" i="1"/>
  <c r="GO833" i="1"/>
  <c r="GP833" i="1"/>
  <c r="GV833" i="1"/>
  <c r="HC833" i="1" s="1"/>
  <c r="GX833" i="1" s="1"/>
  <c r="S834" i="1"/>
  <c r="CY834" i="1" s="1"/>
  <c r="X834" i="1" s="1"/>
  <c r="AC834" i="1"/>
  <c r="AE834" i="1"/>
  <c r="Q834" i="1" s="1"/>
  <c r="AF834" i="1"/>
  <c r="AG834" i="1"/>
  <c r="CU834" i="1" s="1"/>
  <c r="T834" i="1" s="1"/>
  <c r="AH834" i="1"/>
  <c r="AI834" i="1"/>
  <c r="CW834" i="1" s="1"/>
  <c r="V834" i="1" s="1"/>
  <c r="AJ834" i="1"/>
  <c r="CR834" i="1"/>
  <c r="CT834" i="1"/>
  <c r="CV834" i="1"/>
  <c r="U834" i="1" s="1"/>
  <c r="CX834" i="1"/>
  <c r="W834" i="1" s="1"/>
  <c r="CZ834" i="1"/>
  <c r="Y834" i="1" s="1"/>
  <c r="FR834" i="1"/>
  <c r="GL834" i="1"/>
  <c r="GO834" i="1"/>
  <c r="GP834" i="1"/>
  <c r="GV834" i="1"/>
  <c r="HC834" i="1" s="1"/>
  <c r="GX834" i="1" s="1"/>
  <c r="P835" i="1"/>
  <c r="R835" i="1"/>
  <c r="GK835" i="1" s="1"/>
  <c r="AC835" i="1"/>
  <c r="AD835" i="1"/>
  <c r="AB835" i="1" s="1"/>
  <c r="AE835" i="1"/>
  <c r="Q835" i="1" s="1"/>
  <c r="AF835" i="1"/>
  <c r="S835" i="1" s="1"/>
  <c r="AG835" i="1"/>
  <c r="AH835" i="1"/>
  <c r="CV835" i="1" s="1"/>
  <c r="U835" i="1" s="1"/>
  <c r="AI835" i="1"/>
  <c r="AJ835" i="1"/>
  <c r="CX835" i="1" s="1"/>
  <c r="W835" i="1" s="1"/>
  <c r="CQ835" i="1"/>
  <c r="CR835" i="1"/>
  <c r="CS835" i="1"/>
  <c r="CU835" i="1"/>
  <c r="T835" i="1" s="1"/>
  <c r="CW835" i="1"/>
  <c r="V835" i="1" s="1"/>
  <c r="FR835" i="1"/>
  <c r="GL835" i="1"/>
  <c r="GO835" i="1"/>
  <c r="GP835" i="1"/>
  <c r="GV835" i="1"/>
  <c r="HC835" i="1" s="1"/>
  <c r="GX835" i="1" s="1"/>
  <c r="S836" i="1"/>
  <c r="CY836" i="1" s="1"/>
  <c r="X836" i="1" s="1"/>
  <c r="AC836" i="1"/>
  <c r="P836" i="1" s="1"/>
  <c r="AE836" i="1"/>
  <c r="AD836" i="1" s="1"/>
  <c r="AF836" i="1"/>
  <c r="AG836" i="1"/>
  <c r="CU836" i="1" s="1"/>
  <c r="T836" i="1" s="1"/>
  <c r="AH836" i="1"/>
  <c r="AI836" i="1"/>
  <c r="CW836" i="1" s="1"/>
  <c r="V836" i="1" s="1"/>
  <c r="AJ836" i="1"/>
  <c r="CR836" i="1"/>
  <c r="CT836" i="1"/>
  <c r="CV836" i="1"/>
  <c r="U836" i="1" s="1"/>
  <c r="CX836" i="1"/>
  <c r="W836" i="1" s="1"/>
  <c r="FR836" i="1"/>
  <c r="GL836" i="1"/>
  <c r="GO836" i="1"/>
  <c r="CC842" i="1" s="1"/>
  <c r="GP836" i="1"/>
  <c r="GV836" i="1"/>
  <c r="HC836" i="1"/>
  <c r="GX836" i="1" s="1"/>
  <c r="P837" i="1"/>
  <c r="R837" i="1"/>
  <c r="GK837" i="1" s="1"/>
  <c r="AC837" i="1"/>
  <c r="AD837" i="1"/>
  <c r="AE837" i="1"/>
  <c r="Q837" i="1" s="1"/>
  <c r="AF837" i="1"/>
  <c r="AB837" i="1" s="1"/>
  <c r="AG837" i="1"/>
  <c r="AH837" i="1"/>
  <c r="CV837" i="1" s="1"/>
  <c r="U837" i="1" s="1"/>
  <c r="AI837" i="1"/>
  <c r="AJ837" i="1"/>
  <c r="CX837" i="1" s="1"/>
  <c r="W837" i="1" s="1"/>
  <c r="CQ837" i="1"/>
  <c r="CR837" i="1"/>
  <c r="CS837" i="1"/>
  <c r="CU837" i="1"/>
  <c r="T837" i="1" s="1"/>
  <c r="CW837" i="1"/>
  <c r="V837" i="1" s="1"/>
  <c r="FR837" i="1"/>
  <c r="GL837" i="1"/>
  <c r="GO837" i="1"/>
  <c r="GP837" i="1"/>
  <c r="GV837" i="1"/>
  <c r="HC837" i="1" s="1"/>
  <c r="GX837" i="1" s="1"/>
  <c r="S838" i="1"/>
  <c r="CY838" i="1" s="1"/>
  <c r="X838" i="1" s="1"/>
  <c r="AC838" i="1"/>
  <c r="AE838" i="1"/>
  <c r="Q838" i="1" s="1"/>
  <c r="AF838" i="1"/>
  <c r="AG838" i="1"/>
  <c r="CU838" i="1" s="1"/>
  <c r="T838" i="1" s="1"/>
  <c r="AH838" i="1"/>
  <c r="AI838" i="1"/>
  <c r="CW838" i="1" s="1"/>
  <c r="V838" i="1" s="1"/>
  <c r="AJ838" i="1"/>
  <c r="CR838" i="1"/>
  <c r="CT838" i="1"/>
  <c r="CV838" i="1"/>
  <c r="U838" i="1" s="1"/>
  <c r="CX838" i="1"/>
  <c r="W838" i="1" s="1"/>
  <c r="CZ838" i="1"/>
  <c r="Y838" i="1" s="1"/>
  <c r="FR838" i="1"/>
  <c r="GL838" i="1"/>
  <c r="GO838" i="1"/>
  <c r="GP838" i="1"/>
  <c r="GV838" i="1"/>
  <c r="HC838" i="1" s="1"/>
  <c r="GX838" i="1" s="1"/>
  <c r="C839" i="1"/>
  <c r="D839" i="1"/>
  <c r="P839" i="1"/>
  <c r="R839" i="1"/>
  <c r="GK839" i="1" s="1"/>
  <c r="AC839" i="1"/>
  <c r="AD839" i="1"/>
  <c r="AE839" i="1"/>
  <c r="Q839" i="1" s="1"/>
  <c r="AF839" i="1"/>
  <c r="AB839" i="1" s="1"/>
  <c r="AG839" i="1"/>
  <c r="AH839" i="1"/>
  <c r="CV839" i="1" s="1"/>
  <c r="U839" i="1" s="1"/>
  <c r="AI839" i="1"/>
  <c r="AJ839" i="1"/>
  <c r="CX839" i="1" s="1"/>
  <c r="W839" i="1" s="1"/>
  <c r="CQ839" i="1"/>
  <c r="CR839" i="1"/>
  <c r="CS839" i="1"/>
  <c r="CU839" i="1"/>
  <c r="T839" i="1" s="1"/>
  <c r="CW839" i="1"/>
  <c r="V839" i="1" s="1"/>
  <c r="FR839" i="1"/>
  <c r="GL839" i="1"/>
  <c r="GN839" i="1"/>
  <c r="GO839" i="1"/>
  <c r="GV839" i="1"/>
  <c r="HC839" i="1" s="1"/>
  <c r="GX839" i="1" s="1"/>
  <c r="C840" i="1"/>
  <c r="D840" i="1"/>
  <c r="S840" i="1"/>
  <c r="CY840" i="1" s="1"/>
  <c r="X840" i="1" s="1"/>
  <c r="AC840" i="1"/>
  <c r="P840" i="1" s="1"/>
  <c r="AE840" i="1"/>
  <c r="AD840" i="1" s="1"/>
  <c r="AF840" i="1"/>
  <c r="AG840" i="1"/>
  <c r="CU840" i="1" s="1"/>
  <c r="T840" i="1" s="1"/>
  <c r="AH840" i="1"/>
  <c r="AI840" i="1"/>
  <c r="CW840" i="1" s="1"/>
  <c r="V840" i="1" s="1"/>
  <c r="AJ840" i="1"/>
  <c r="CR840" i="1"/>
  <c r="CT840" i="1"/>
  <c r="CV840" i="1"/>
  <c r="U840" i="1" s="1"/>
  <c r="CX840" i="1"/>
  <c r="W840" i="1" s="1"/>
  <c r="FR840" i="1"/>
  <c r="GL840" i="1"/>
  <c r="GN840" i="1"/>
  <c r="GO840" i="1"/>
  <c r="GV840" i="1"/>
  <c r="HC840" i="1"/>
  <c r="GX840" i="1" s="1"/>
  <c r="B842" i="1"/>
  <c r="B828" i="1" s="1"/>
  <c r="C842" i="1"/>
  <c r="C828" i="1" s="1"/>
  <c r="D842" i="1"/>
  <c r="D828" i="1" s="1"/>
  <c r="F842" i="1"/>
  <c r="F828" i="1" s="1"/>
  <c r="G842" i="1"/>
  <c r="G828" i="1" s="1"/>
  <c r="BX842" i="1"/>
  <c r="AO842" i="1" s="1"/>
  <c r="BZ842" i="1"/>
  <c r="BZ828" i="1" s="1"/>
  <c r="CK842" i="1"/>
  <c r="CK828" i="1" s="1"/>
  <c r="CL842" i="1"/>
  <c r="CL828" i="1" s="1"/>
  <c r="CM842" i="1"/>
  <c r="CM828" i="1" s="1"/>
  <c r="B872" i="1"/>
  <c r="B813" i="1" s="1"/>
  <c r="C872" i="1"/>
  <c r="C813" i="1" s="1"/>
  <c r="D872" i="1"/>
  <c r="D813" i="1" s="1"/>
  <c r="F872" i="1"/>
  <c r="F813" i="1" s="1"/>
  <c r="G872" i="1"/>
  <c r="G813" i="1" s="1"/>
  <c r="BX872" i="1"/>
  <c r="BX813" i="1" s="1"/>
  <c r="BY872" i="1"/>
  <c r="BY813" i="1" s="1"/>
  <c r="BZ872" i="1"/>
  <c r="BZ813" i="1" s="1"/>
  <c r="CC872" i="1"/>
  <c r="CC813" i="1" s="1"/>
  <c r="CK872" i="1"/>
  <c r="CK813" i="1" s="1"/>
  <c r="CL872" i="1"/>
  <c r="CL813" i="1" s="1"/>
  <c r="CM872" i="1"/>
  <c r="CM813" i="1" s="1"/>
  <c r="D902" i="1"/>
  <c r="E904" i="1"/>
  <c r="Z904" i="1"/>
  <c r="AA904" i="1"/>
  <c r="AM904" i="1"/>
  <c r="AN904" i="1"/>
  <c r="BE904" i="1"/>
  <c r="BF904" i="1"/>
  <c r="BG904" i="1"/>
  <c r="BH904" i="1"/>
  <c r="BI904" i="1"/>
  <c r="BJ904" i="1"/>
  <c r="BK904" i="1"/>
  <c r="BL904" i="1"/>
  <c r="BM904" i="1"/>
  <c r="BN904" i="1"/>
  <c r="BO904" i="1"/>
  <c r="BP904" i="1"/>
  <c r="BQ904" i="1"/>
  <c r="BR904" i="1"/>
  <c r="BS904" i="1"/>
  <c r="BT904" i="1"/>
  <c r="BU904" i="1"/>
  <c r="BV904" i="1"/>
  <c r="BW904" i="1"/>
  <c r="CN904" i="1"/>
  <c r="CO904" i="1"/>
  <c r="CP904" i="1"/>
  <c r="CQ904" i="1"/>
  <c r="CR904" i="1"/>
  <c r="CS904" i="1"/>
  <c r="CT904" i="1"/>
  <c r="CU904" i="1"/>
  <c r="CV904" i="1"/>
  <c r="CW904" i="1"/>
  <c r="CX904" i="1"/>
  <c r="CY904" i="1"/>
  <c r="CZ904" i="1"/>
  <c r="DA904" i="1"/>
  <c r="DB904" i="1"/>
  <c r="DC904" i="1"/>
  <c r="DD904" i="1"/>
  <c r="DE904" i="1"/>
  <c r="DF904" i="1"/>
  <c r="DG904" i="1"/>
  <c r="DH904" i="1"/>
  <c r="DI904" i="1"/>
  <c r="DJ904" i="1"/>
  <c r="DK904" i="1"/>
  <c r="DL904" i="1"/>
  <c r="DM904" i="1"/>
  <c r="DN904" i="1"/>
  <c r="DO904" i="1"/>
  <c r="DP904" i="1"/>
  <c r="DQ904" i="1"/>
  <c r="DR904" i="1"/>
  <c r="DS904" i="1"/>
  <c r="DT904" i="1"/>
  <c r="DU904" i="1"/>
  <c r="DV904" i="1"/>
  <c r="DW904" i="1"/>
  <c r="DX904" i="1"/>
  <c r="DY904" i="1"/>
  <c r="DZ904" i="1"/>
  <c r="EA904" i="1"/>
  <c r="EB904" i="1"/>
  <c r="EC904" i="1"/>
  <c r="ED904" i="1"/>
  <c r="EE904" i="1"/>
  <c r="EF904" i="1"/>
  <c r="EG904" i="1"/>
  <c r="EH904" i="1"/>
  <c r="EI904" i="1"/>
  <c r="EJ904" i="1"/>
  <c r="EK904" i="1"/>
  <c r="EL904" i="1"/>
  <c r="EM904" i="1"/>
  <c r="EN904" i="1"/>
  <c r="EO904" i="1"/>
  <c r="EP904" i="1"/>
  <c r="EQ904" i="1"/>
  <c r="ER904" i="1"/>
  <c r="ES904" i="1"/>
  <c r="ET904" i="1"/>
  <c r="EU904" i="1"/>
  <c r="EV904" i="1"/>
  <c r="EW904" i="1"/>
  <c r="EX904" i="1"/>
  <c r="EY904" i="1"/>
  <c r="EZ904" i="1"/>
  <c r="FA904" i="1"/>
  <c r="FB904" i="1"/>
  <c r="FC904" i="1"/>
  <c r="FD904" i="1"/>
  <c r="FE904" i="1"/>
  <c r="FF904" i="1"/>
  <c r="FG904" i="1"/>
  <c r="FH904" i="1"/>
  <c r="FI904" i="1"/>
  <c r="FJ904" i="1"/>
  <c r="FK904" i="1"/>
  <c r="FL904" i="1"/>
  <c r="FM904" i="1"/>
  <c r="FN904" i="1"/>
  <c r="FO904" i="1"/>
  <c r="FP904" i="1"/>
  <c r="FQ904" i="1"/>
  <c r="FR904" i="1"/>
  <c r="FS904" i="1"/>
  <c r="FT904" i="1"/>
  <c r="FU904" i="1"/>
  <c r="FV904" i="1"/>
  <c r="FW904" i="1"/>
  <c r="FX904" i="1"/>
  <c r="FY904" i="1"/>
  <c r="FZ904" i="1"/>
  <c r="GA904" i="1"/>
  <c r="GB904" i="1"/>
  <c r="GC904" i="1"/>
  <c r="GD904" i="1"/>
  <c r="GE904" i="1"/>
  <c r="GF904" i="1"/>
  <c r="GG904" i="1"/>
  <c r="GH904" i="1"/>
  <c r="GI904" i="1"/>
  <c r="GJ904" i="1"/>
  <c r="GK904" i="1"/>
  <c r="GL904" i="1"/>
  <c r="GM904" i="1"/>
  <c r="GN904" i="1"/>
  <c r="GO904" i="1"/>
  <c r="GP904" i="1"/>
  <c r="GQ904" i="1"/>
  <c r="GR904" i="1"/>
  <c r="GS904" i="1"/>
  <c r="GT904" i="1"/>
  <c r="GU904" i="1"/>
  <c r="GV904" i="1"/>
  <c r="GW904" i="1"/>
  <c r="GX904" i="1"/>
  <c r="C906" i="1"/>
  <c r="D906" i="1"/>
  <c r="I906" i="1"/>
  <c r="K906" i="1"/>
  <c r="S906" i="1"/>
  <c r="CY906" i="1" s="1"/>
  <c r="X906" i="1" s="1"/>
  <c r="AC906" i="1"/>
  <c r="P906" i="1" s="1"/>
  <c r="AE906" i="1"/>
  <c r="AD906" i="1" s="1"/>
  <c r="AF906" i="1"/>
  <c r="AG906" i="1"/>
  <c r="CU906" i="1" s="1"/>
  <c r="T906" i="1" s="1"/>
  <c r="AH906" i="1"/>
  <c r="AI906" i="1"/>
  <c r="CW906" i="1" s="1"/>
  <c r="V906" i="1" s="1"/>
  <c r="AJ906" i="1"/>
  <c r="CR906" i="1"/>
  <c r="CT906" i="1"/>
  <c r="CV906" i="1"/>
  <c r="U906" i="1" s="1"/>
  <c r="CX906" i="1"/>
  <c r="W906" i="1" s="1"/>
  <c r="FR906" i="1"/>
  <c r="GL906" i="1"/>
  <c r="GO906" i="1"/>
  <c r="GP906" i="1"/>
  <c r="GV906" i="1"/>
  <c r="HC906" i="1"/>
  <c r="GX906" i="1" s="1"/>
  <c r="C907" i="1"/>
  <c r="D907" i="1"/>
  <c r="I907" i="1"/>
  <c r="CX452" i="3" s="1"/>
  <c r="K907" i="1"/>
  <c r="P907" i="1"/>
  <c r="R907" i="1"/>
  <c r="GK907" i="1" s="1"/>
  <c r="AC907" i="1"/>
  <c r="AD907" i="1"/>
  <c r="AE907" i="1"/>
  <c r="Q907" i="1" s="1"/>
  <c r="AF907" i="1"/>
  <c r="AB907" i="1" s="1"/>
  <c r="AG907" i="1"/>
  <c r="AH907" i="1"/>
  <c r="CV907" i="1" s="1"/>
  <c r="U907" i="1" s="1"/>
  <c r="AI907" i="1"/>
  <c r="AJ907" i="1"/>
  <c r="CX907" i="1" s="1"/>
  <c r="W907" i="1" s="1"/>
  <c r="CQ907" i="1"/>
  <c r="CR907" i="1"/>
  <c r="CS907" i="1"/>
  <c r="CU907" i="1"/>
  <c r="T907" i="1" s="1"/>
  <c r="CW907" i="1"/>
  <c r="V907" i="1" s="1"/>
  <c r="FR907" i="1"/>
  <c r="GL907" i="1"/>
  <c r="GO907" i="1"/>
  <c r="GP907" i="1"/>
  <c r="GV907" i="1"/>
  <c r="HC907" i="1" s="1"/>
  <c r="GX907" i="1" s="1"/>
  <c r="C908" i="1"/>
  <c r="D908" i="1"/>
  <c r="I908" i="1"/>
  <c r="S908" i="1" s="1"/>
  <c r="K908" i="1"/>
  <c r="AC908" i="1"/>
  <c r="AE908" i="1"/>
  <c r="Q908" i="1" s="1"/>
  <c r="AF908" i="1"/>
  <c r="AG908" i="1"/>
  <c r="CU908" i="1" s="1"/>
  <c r="T908" i="1" s="1"/>
  <c r="AH908" i="1"/>
  <c r="AI908" i="1"/>
  <c r="CW908" i="1" s="1"/>
  <c r="V908" i="1" s="1"/>
  <c r="AJ908" i="1"/>
  <c r="CR908" i="1"/>
  <c r="CT908" i="1"/>
  <c r="CV908" i="1"/>
  <c r="U908" i="1" s="1"/>
  <c r="CX908" i="1"/>
  <c r="W908" i="1" s="1"/>
  <c r="FR908" i="1"/>
  <c r="GL908" i="1"/>
  <c r="GO908" i="1"/>
  <c r="GP908" i="1"/>
  <c r="GV908" i="1"/>
  <c r="HC908" i="1" s="1"/>
  <c r="GX908" i="1" s="1"/>
  <c r="AC909" i="1"/>
  <c r="AE909" i="1"/>
  <c r="AD909" i="1" s="1"/>
  <c r="AF909" i="1"/>
  <c r="AG909" i="1"/>
  <c r="CU909" i="1" s="1"/>
  <c r="AH909" i="1"/>
  <c r="AI909" i="1"/>
  <c r="CW909" i="1" s="1"/>
  <c r="AJ909" i="1"/>
  <c r="CR909" i="1"/>
  <c r="CT909" i="1"/>
  <c r="CV909" i="1"/>
  <c r="CX909" i="1"/>
  <c r="FR909" i="1"/>
  <c r="GL909" i="1"/>
  <c r="GO909" i="1"/>
  <c r="GP909" i="1"/>
  <c r="GV909" i="1"/>
  <c r="HC909" i="1"/>
  <c r="C910" i="1"/>
  <c r="D910" i="1"/>
  <c r="P910" i="1"/>
  <c r="R910" i="1"/>
  <c r="GK910" i="1" s="1"/>
  <c r="AC910" i="1"/>
  <c r="AD910" i="1"/>
  <c r="AB910" i="1" s="1"/>
  <c r="AE910" i="1"/>
  <c r="Q910" i="1" s="1"/>
  <c r="AF910" i="1"/>
  <c r="S910" i="1" s="1"/>
  <c r="AG910" i="1"/>
  <c r="AH910" i="1"/>
  <c r="CV910" i="1" s="1"/>
  <c r="U910" i="1" s="1"/>
  <c r="AI910" i="1"/>
  <c r="AJ910" i="1"/>
  <c r="CX910" i="1" s="1"/>
  <c r="W910" i="1" s="1"/>
  <c r="CQ910" i="1"/>
  <c r="CR910" i="1"/>
  <c r="CS910" i="1"/>
  <c r="CU910" i="1"/>
  <c r="T910" i="1" s="1"/>
  <c r="CW910" i="1"/>
  <c r="V910" i="1" s="1"/>
  <c r="FR910" i="1"/>
  <c r="GL910" i="1"/>
  <c r="GO910" i="1"/>
  <c r="GP910" i="1"/>
  <c r="GV910" i="1"/>
  <c r="HC910" i="1" s="1"/>
  <c r="GX910" i="1" s="1"/>
  <c r="I911" i="1"/>
  <c r="P911" i="1" s="1"/>
  <c r="R911" i="1"/>
  <c r="GK911" i="1" s="1"/>
  <c r="AC911" i="1"/>
  <c r="AD911" i="1"/>
  <c r="AE911" i="1"/>
  <c r="AF911" i="1"/>
  <c r="AB911" i="1" s="1"/>
  <c r="AG911" i="1"/>
  <c r="AH911" i="1"/>
  <c r="CV911" i="1" s="1"/>
  <c r="U911" i="1" s="1"/>
  <c r="AI911" i="1"/>
  <c r="AJ911" i="1"/>
  <c r="CX911" i="1" s="1"/>
  <c r="W911" i="1" s="1"/>
  <c r="CQ911" i="1"/>
  <c r="CR911" i="1"/>
  <c r="CS911" i="1"/>
  <c r="CU911" i="1"/>
  <c r="T911" i="1" s="1"/>
  <c r="CW911" i="1"/>
  <c r="V911" i="1" s="1"/>
  <c r="FR911" i="1"/>
  <c r="GL911" i="1"/>
  <c r="GO911" i="1"/>
  <c r="GP911" i="1"/>
  <c r="GV911" i="1"/>
  <c r="GX911" i="1"/>
  <c r="HC911" i="1"/>
  <c r="I912" i="1"/>
  <c r="Q912" i="1" s="1"/>
  <c r="P912" i="1"/>
  <c r="R912" i="1"/>
  <c r="GK912" i="1" s="1"/>
  <c r="AC912" i="1"/>
  <c r="AD912" i="1"/>
  <c r="AB912" i="1" s="1"/>
  <c r="AE912" i="1"/>
  <c r="AF912" i="1"/>
  <c r="S912" i="1" s="1"/>
  <c r="CZ912" i="1" s="1"/>
  <c r="Y912" i="1" s="1"/>
  <c r="AG912" i="1"/>
  <c r="AH912" i="1"/>
  <c r="CV912" i="1" s="1"/>
  <c r="U912" i="1" s="1"/>
  <c r="AI912" i="1"/>
  <c r="AJ912" i="1"/>
  <c r="CX912" i="1" s="1"/>
  <c r="W912" i="1" s="1"/>
  <c r="CQ912" i="1"/>
  <c r="CR912" i="1"/>
  <c r="CS912" i="1"/>
  <c r="CU912" i="1"/>
  <c r="T912" i="1" s="1"/>
  <c r="CW912" i="1"/>
  <c r="V912" i="1" s="1"/>
  <c r="CY912" i="1"/>
  <c r="X912" i="1" s="1"/>
  <c r="FR912" i="1"/>
  <c r="GL912" i="1"/>
  <c r="GO912" i="1"/>
  <c r="GP912" i="1"/>
  <c r="GV912" i="1"/>
  <c r="HC912" i="1" s="1"/>
  <c r="GX912" i="1" s="1"/>
  <c r="C913" i="1"/>
  <c r="D913" i="1"/>
  <c r="I913" i="1"/>
  <c r="I915" i="1" s="1"/>
  <c r="Q915" i="1" s="1"/>
  <c r="K913" i="1"/>
  <c r="S913" i="1"/>
  <c r="AC913" i="1"/>
  <c r="AE913" i="1"/>
  <c r="AD913" i="1" s="1"/>
  <c r="AF913" i="1"/>
  <c r="AG913" i="1"/>
  <c r="CU913" i="1" s="1"/>
  <c r="T913" i="1" s="1"/>
  <c r="AH913" i="1"/>
  <c r="AI913" i="1"/>
  <c r="CW913" i="1" s="1"/>
  <c r="V913" i="1" s="1"/>
  <c r="AJ913" i="1"/>
  <c r="CR913" i="1"/>
  <c r="CT913" i="1"/>
  <c r="CV913" i="1"/>
  <c r="U913" i="1" s="1"/>
  <c r="CX913" i="1"/>
  <c r="W913" i="1" s="1"/>
  <c r="FR913" i="1"/>
  <c r="GL913" i="1"/>
  <c r="GN913" i="1"/>
  <c r="GP913" i="1"/>
  <c r="GV913" i="1"/>
  <c r="HC913" i="1"/>
  <c r="GX913" i="1" s="1"/>
  <c r="AC914" i="1"/>
  <c r="AE914" i="1"/>
  <c r="AF914" i="1"/>
  <c r="AG914" i="1"/>
  <c r="CU914" i="1" s="1"/>
  <c r="AH914" i="1"/>
  <c r="AI914" i="1"/>
  <c r="CW914" i="1" s="1"/>
  <c r="AJ914" i="1"/>
  <c r="CR914" i="1"/>
  <c r="CT914" i="1"/>
  <c r="CV914" i="1"/>
  <c r="CX914" i="1"/>
  <c r="FR914" i="1"/>
  <c r="GL914" i="1"/>
  <c r="GN914" i="1"/>
  <c r="GP914" i="1"/>
  <c r="GV914" i="1"/>
  <c r="HC914" i="1" s="1"/>
  <c r="S915" i="1"/>
  <c r="CY915" i="1" s="1"/>
  <c r="X915" i="1" s="1"/>
  <c r="W915" i="1"/>
  <c r="AC915" i="1"/>
  <c r="AE915" i="1"/>
  <c r="AF915" i="1"/>
  <c r="AG915" i="1"/>
  <c r="CU915" i="1" s="1"/>
  <c r="AH915" i="1"/>
  <c r="AI915" i="1"/>
  <c r="CW915" i="1" s="1"/>
  <c r="V915" i="1" s="1"/>
  <c r="AJ915" i="1"/>
  <c r="CR915" i="1"/>
  <c r="CT915" i="1"/>
  <c r="CV915" i="1"/>
  <c r="U915" i="1" s="1"/>
  <c r="CX915" i="1"/>
  <c r="CZ915" i="1"/>
  <c r="Y915" i="1" s="1"/>
  <c r="FR915" i="1"/>
  <c r="GL915" i="1"/>
  <c r="GN915" i="1"/>
  <c r="GP915" i="1"/>
  <c r="GV915" i="1"/>
  <c r="HC915" i="1" s="1"/>
  <c r="GX915" i="1" s="1"/>
  <c r="C916" i="1"/>
  <c r="D916" i="1"/>
  <c r="P916" i="1"/>
  <c r="R916" i="1"/>
  <c r="GK916" i="1" s="1"/>
  <c r="AC916" i="1"/>
  <c r="AD916" i="1"/>
  <c r="AE916" i="1"/>
  <c r="Q916" i="1" s="1"/>
  <c r="AF916" i="1"/>
  <c r="AG916" i="1"/>
  <c r="AH916" i="1"/>
  <c r="CV916" i="1" s="1"/>
  <c r="U916" i="1" s="1"/>
  <c r="AI916" i="1"/>
  <c r="AJ916" i="1"/>
  <c r="CX916" i="1" s="1"/>
  <c r="W916" i="1" s="1"/>
  <c r="CQ916" i="1"/>
  <c r="CR916" i="1"/>
  <c r="CS916" i="1"/>
  <c r="CU916" i="1"/>
  <c r="T916" i="1" s="1"/>
  <c r="CW916" i="1"/>
  <c r="V916" i="1" s="1"/>
  <c r="FR916" i="1"/>
  <c r="GL916" i="1"/>
  <c r="GN916" i="1"/>
  <c r="GP916" i="1"/>
  <c r="GV916" i="1"/>
  <c r="GX916" i="1"/>
  <c r="HC916" i="1"/>
  <c r="Q917" i="1"/>
  <c r="S917" i="1"/>
  <c r="CY917" i="1" s="1"/>
  <c r="X917" i="1" s="1"/>
  <c r="U917" i="1"/>
  <c r="Y917" i="1"/>
  <c r="AC917" i="1"/>
  <c r="AE917" i="1"/>
  <c r="AF917" i="1"/>
  <c r="AG917" i="1"/>
  <c r="CU917" i="1" s="1"/>
  <c r="T917" i="1" s="1"/>
  <c r="AH917" i="1"/>
  <c r="AI917" i="1"/>
  <c r="CW917" i="1" s="1"/>
  <c r="V917" i="1" s="1"/>
  <c r="AJ917" i="1"/>
  <c r="CR917" i="1"/>
  <c r="CT917" i="1"/>
  <c r="CV917" i="1"/>
  <c r="CX917" i="1"/>
  <c r="W917" i="1" s="1"/>
  <c r="CZ917" i="1"/>
  <c r="FR917" i="1"/>
  <c r="GL917" i="1"/>
  <c r="GO917" i="1"/>
  <c r="GP917" i="1"/>
  <c r="GV917" i="1"/>
  <c r="HC917" i="1" s="1"/>
  <c r="GX917" i="1" s="1"/>
  <c r="C918" i="1"/>
  <c r="D918" i="1"/>
  <c r="I918" i="1"/>
  <c r="CX464" i="3" s="1"/>
  <c r="K918" i="1"/>
  <c r="R918" i="1"/>
  <c r="GK918" i="1" s="1"/>
  <c r="S918" i="1"/>
  <c r="AC918" i="1"/>
  <c r="P918" i="1" s="1"/>
  <c r="CP918" i="1" s="1"/>
  <c r="O918" i="1" s="1"/>
  <c r="AD918" i="1"/>
  <c r="AB918" i="1" s="1"/>
  <c r="AE918" i="1"/>
  <c r="Q918" i="1" s="1"/>
  <c r="AF918" i="1"/>
  <c r="CT918" i="1" s="1"/>
  <c r="AG918" i="1"/>
  <c r="AH918" i="1"/>
  <c r="CV918" i="1" s="1"/>
  <c r="U918" i="1" s="1"/>
  <c r="AI918" i="1"/>
  <c r="CW918" i="1" s="1"/>
  <c r="V918" i="1" s="1"/>
  <c r="AJ918" i="1"/>
  <c r="CX918" i="1" s="1"/>
  <c r="W918" i="1" s="1"/>
  <c r="CQ918" i="1"/>
  <c r="CR918" i="1"/>
  <c r="CS918" i="1"/>
  <c r="CU918" i="1"/>
  <c r="T918" i="1" s="1"/>
  <c r="CY918" i="1"/>
  <c r="X918" i="1" s="1"/>
  <c r="CZ918" i="1"/>
  <c r="Y918" i="1" s="1"/>
  <c r="FR918" i="1"/>
  <c r="GL918" i="1"/>
  <c r="GO918" i="1"/>
  <c r="GP918" i="1"/>
  <c r="GV918" i="1"/>
  <c r="HC918" i="1" s="1"/>
  <c r="GX918" i="1" s="1"/>
  <c r="C919" i="1"/>
  <c r="D919" i="1"/>
  <c r="I919" i="1"/>
  <c r="CX465" i="3" s="1"/>
  <c r="K919" i="1"/>
  <c r="S919" i="1"/>
  <c r="CY919" i="1" s="1"/>
  <c r="X919" i="1" s="1"/>
  <c r="AC919" i="1"/>
  <c r="P919" i="1" s="1"/>
  <c r="AD919" i="1"/>
  <c r="AE919" i="1"/>
  <c r="Q919" i="1" s="1"/>
  <c r="AF919" i="1"/>
  <c r="AG919" i="1"/>
  <c r="CU919" i="1" s="1"/>
  <c r="T919" i="1" s="1"/>
  <c r="AH919" i="1"/>
  <c r="CV919" i="1" s="1"/>
  <c r="U919" i="1" s="1"/>
  <c r="AI919" i="1"/>
  <c r="CW919" i="1" s="1"/>
  <c r="V919" i="1" s="1"/>
  <c r="AJ919" i="1"/>
  <c r="CR919" i="1"/>
  <c r="CT919" i="1"/>
  <c r="CX919" i="1"/>
  <c r="W919" i="1" s="1"/>
  <c r="FR919" i="1"/>
  <c r="GL919" i="1"/>
  <c r="GO919" i="1"/>
  <c r="GP919" i="1"/>
  <c r="GV919" i="1"/>
  <c r="HC919" i="1"/>
  <c r="GX919" i="1" s="1"/>
  <c r="C920" i="1"/>
  <c r="D920" i="1"/>
  <c r="I920" i="1"/>
  <c r="K920" i="1"/>
  <c r="R920" i="1"/>
  <c r="GK920" i="1" s="1"/>
  <c r="AC920" i="1"/>
  <c r="P920" i="1" s="1"/>
  <c r="AD920" i="1"/>
  <c r="AE920" i="1"/>
  <c r="Q920" i="1" s="1"/>
  <c r="AF920" i="1"/>
  <c r="AB920" i="1" s="1"/>
  <c r="AG920" i="1"/>
  <c r="CU920" i="1" s="1"/>
  <c r="T920" i="1" s="1"/>
  <c r="AH920" i="1"/>
  <c r="CV920" i="1" s="1"/>
  <c r="U920" i="1" s="1"/>
  <c r="AI920" i="1"/>
  <c r="AJ920" i="1"/>
  <c r="CX920" i="1" s="1"/>
  <c r="W920" i="1" s="1"/>
  <c r="CR920" i="1"/>
  <c r="CS920" i="1"/>
  <c r="CW920" i="1"/>
  <c r="V920" i="1" s="1"/>
  <c r="FR920" i="1"/>
  <c r="GL920" i="1"/>
  <c r="GO920" i="1"/>
  <c r="GP920" i="1"/>
  <c r="GV920" i="1"/>
  <c r="GX920" i="1"/>
  <c r="HC920" i="1"/>
  <c r="C921" i="1"/>
  <c r="D921" i="1"/>
  <c r="S921" i="1"/>
  <c r="CY921" i="1" s="1"/>
  <c r="X921" i="1" s="1"/>
  <c r="AC921" i="1"/>
  <c r="P921" i="1" s="1"/>
  <c r="AD921" i="1"/>
  <c r="AE921" i="1"/>
  <c r="Q921" i="1" s="1"/>
  <c r="AF921" i="1"/>
  <c r="AG921" i="1"/>
  <c r="CU921" i="1" s="1"/>
  <c r="T921" i="1" s="1"/>
  <c r="AH921" i="1"/>
  <c r="AI921" i="1"/>
  <c r="CW921" i="1" s="1"/>
  <c r="V921" i="1" s="1"/>
  <c r="AJ921" i="1"/>
  <c r="CR921" i="1"/>
  <c r="CT921" i="1"/>
  <c r="CV921" i="1"/>
  <c r="U921" i="1" s="1"/>
  <c r="CX921" i="1"/>
  <c r="W921" i="1" s="1"/>
  <c r="FR921" i="1"/>
  <c r="GL921" i="1"/>
  <c r="GO921" i="1"/>
  <c r="GP921" i="1"/>
  <c r="GV921" i="1"/>
  <c r="HC921" i="1"/>
  <c r="GX921" i="1" s="1"/>
  <c r="I922" i="1"/>
  <c r="AC922" i="1"/>
  <c r="P922" i="1" s="1"/>
  <c r="CP922" i="1" s="1"/>
  <c r="O922" i="1" s="1"/>
  <c r="AE922" i="1"/>
  <c r="Q922" i="1" s="1"/>
  <c r="AF922" i="1"/>
  <c r="S922" i="1" s="1"/>
  <c r="AG922" i="1"/>
  <c r="CU922" i="1" s="1"/>
  <c r="T922" i="1" s="1"/>
  <c r="AH922" i="1"/>
  <c r="AI922" i="1"/>
  <c r="CW922" i="1" s="1"/>
  <c r="V922" i="1" s="1"/>
  <c r="AJ922" i="1"/>
  <c r="CX922" i="1" s="1"/>
  <c r="W922" i="1" s="1"/>
  <c r="CR922" i="1"/>
  <c r="CV922" i="1"/>
  <c r="U922" i="1" s="1"/>
  <c r="FR922" i="1"/>
  <c r="GL922" i="1"/>
  <c r="GO922" i="1"/>
  <c r="GP922" i="1"/>
  <c r="GV922" i="1"/>
  <c r="HC922" i="1" s="1"/>
  <c r="GX922" i="1" s="1"/>
  <c r="C923" i="1"/>
  <c r="D923" i="1"/>
  <c r="R923" i="1"/>
  <c r="GK923" i="1" s="1"/>
  <c r="AC923" i="1"/>
  <c r="P923" i="1" s="1"/>
  <c r="AD923" i="1"/>
  <c r="AE923" i="1"/>
  <c r="Q923" i="1" s="1"/>
  <c r="AF923" i="1"/>
  <c r="AB923" i="1" s="1"/>
  <c r="AG923" i="1"/>
  <c r="CU923" i="1" s="1"/>
  <c r="T923" i="1" s="1"/>
  <c r="AH923" i="1"/>
  <c r="CV923" i="1" s="1"/>
  <c r="U923" i="1" s="1"/>
  <c r="AI923" i="1"/>
  <c r="AJ923" i="1"/>
  <c r="CX923" i="1" s="1"/>
  <c r="W923" i="1" s="1"/>
  <c r="CR923" i="1"/>
  <c r="CS923" i="1"/>
  <c r="CW923" i="1"/>
  <c r="V923" i="1" s="1"/>
  <c r="FR923" i="1"/>
  <c r="GL923" i="1"/>
  <c r="GO923" i="1"/>
  <c r="GP923" i="1"/>
  <c r="GV923" i="1"/>
  <c r="GX923" i="1"/>
  <c r="HC923" i="1"/>
  <c r="I924" i="1"/>
  <c r="P924" i="1"/>
  <c r="AC924" i="1"/>
  <c r="AD924" i="1"/>
  <c r="AB924" i="1" s="1"/>
  <c r="AE924" i="1"/>
  <c r="Q924" i="1" s="1"/>
  <c r="AF924" i="1"/>
  <c r="S924" i="1" s="1"/>
  <c r="AG924" i="1"/>
  <c r="AH924" i="1"/>
  <c r="CV924" i="1" s="1"/>
  <c r="U924" i="1" s="1"/>
  <c r="AI924" i="1"/>
  <c r="CW924" i="1" s="1"/>
  <c r="V924" i="1" s="1"/>
  <c r="AJ924" i="1"/>
  <c r="CX924" i="1" s="1"/>
  <c r="W924" i="1" s="1"/>
  <c r="CQ924" i="1"/>
  <c r="CR924" i="1"/>
  <c r="CU924" i="1"/>
  <c r="T924" i="1" s="1"/>
  <c r="FR924" i="1"/>
  <c r="GL924" i="1"/>
  <c r="BZ936" i="1" s="1"/>
  <c r="GO924" i="1"/>
  <c r="GP924" i="1"/>
  <c r="GV924" i="1"/>
  <c r="HC924" i="1" s="1"/>
  <c r="GX924" i="1" s="1"/>
  <c r="I925" i="1"/>
  <c r="Q925" i="1" s="1"/>
  <c r="R925" i="1"/>
  <c r="GK925" i="1" s="1"/>
  <c r="AC925" i="1"/>
  <c r="P925" i="1" s="1"/>
  <c r="AD925" i="1"/>
  <c r="AE925" i="1"/>
  <c r="AF925" i="1"/>
  <c r="AB925" i="1" s="1"/>
  <c r="AG925" i="1"/>
  <c r="CU925" i="1" s="1"/>
  <c r="T925" i="1" s="1"/>
  <c r="AH925" i="1"/>
  <c r="CV925" i="1" s="1"/>
  <c r="U925" i="1" s="1"/>
  <c r="AI925" i="1"/>
  <c r="AJ925" i="1"/>
  <c r="CX925" i="1" s="1"/>
  <c r="W925" i="1" s="1"/>
  <c r="CR925" i="1"/>
  <c r="CS925" i="1"/>
  <c r="CW925" i="1"/>
  <c r="V925" i="1" s="1"/>
  <c r="FR925" i="1"/>
  <c r="GL925" i="1"/>
  <c r="GO925" i="1"/>
  <c r="GP925" i="1"/>
  <c r="GV925" i="1"/>
  <c r="GX925" i="1"/>
  <c r="HC925" i="1"/>
  <c r="C926" i="1"/>
  <c r="D926" i="1"/>
  <c r="I926" i="1"/>
  <c r="I927" i="1" s="1"/>
  <c r="K926" i="1"/>
  <c r="AC926" i="1"/>
  <c r="AE926" i="1"/>
  <c r="Q926" i="1" s="1"/>
  <c r="AF926" i="1"/>
  <c r="S926" i="1" s="1"/>
  <c r="AG926" i="1"/>
  <c r="CU926" i="1" s="1"/>
  <c r="T926" i="1" s="1"/>
  <c r="AH926" i="1"/>
  <c r="AI926" i="1"/>
  <c r="CW926" i="1" s="1"/>
  <c r="V926" i="1" s="1"/>
  <c r="AJ926" i="1"/>
  <c r="CX926" i="1" s="1"/>
  <c r="W926" i="1" s="1"/>
  <c r="CR926" i="1"/>
  <c r="CV926" i="1"/>
  <c r="U926" i="1" s="1"/>
  <c r="FR926" i="1"/>
  <c r="GL926" i="1"/>
  <c r="GO926" i="1"/>
  <c r="GP926" i="1"/>
  <c r="GV926" i="1"/>
  <c r="HC926" i="1" s="1"/>
  <c r="GX926" i="1" s="1"/>
  <c r="AC927" i="1"/>
  <c r="P927" i="1" s="1"/>
  <c r="AD927" i="1"/>
  <c r="AE927" i="1"/>
  <c r="AF927" i="1"/>
  <c r="AG927" i="1"/>
  <c r="CU927" i="1" s="1"/>
  <c r="T927" i="1" s="1"/>
  <c r="AH927" i="1"/>
  <c r="AI927" i="1"/>
  <c r="CW927" i="1" s="1"/>
  <c r="AJ927" i="1"/>
  <c r="CR927" i="1"/>
  <c r="CT927" i="1"/>
  <c r="CV927" i="1"/>
  <c r="CX927" i="1"/>
  <c r="FR927" i="1"/>
  <c r="GL927" i="1"/>
  <c r="GO927" i="1"/>
  <c r="GP927" i="1"/>
  <c r="GV927" i="1"/>
  <c r="HC927" i="1"/>
  <c r="GX927" i="1" s="1"/>
  <c r="C928" i="1"/>
  <c r="D928" i="1"/>
  <c r="I928" i="1"/>
  <c r="CX485" i="3" s="1"/>
  <c r="K928" i="1"/>
  <c r="R928" i="1"/>
  <c r="GK928" i="1" s="1"/>
  <c r="AC928" i="1"/>
  <c r="P928" i="1" s="1"/>
  <c r="AD928" i="1"/>
  <c r="AE928" i="1"/>
  <c r="Q928" i="1" s="1"/>
  <c r="AF928" i="1"/>
  <c r="AB928" i="1" s="1"/>
  <c r="AG928" i="1"/>
  <c r="CU928" i="1" s="1"/>
  <c r="T928" i="1" s="1"/>
  <c r="AH928" i="1"/>
  <c r="CV928" i="1" s="1"/>
  <c r="U928" i="1" s="1"/>
  <c r="AI928" i="1"/>
  <c r="AJ928" i="1"/>
  <c r="CX928" i="1" s="1"/>
  <c r="W928" i="1" s="1"/>
  <c r="CR928" i="1"/>
  <c r="CS928" i="1"/>
  <c r="CW928" i="1"/>
  <c r="V928" i="1" s="1"/>
  <c r="FR928" i="1"/>
  <c r="GL928" i="1"/>
  <c r="GN928" i="1"/>
  <c r="GP928" i="1"/>
  <c r="GV928" i="1"/>
  <c r="GX928" i="1"/>
  <c r="HC928" i="1"/>
  <c r="AC929" i="1"/>
  <c r="AE929" i="1"/>
  <c r="Q929" i="1" s="1"/>
  <c r="AF929" i="1"/>
  <c r="S929" i="1" s="1"/>
  <c r="AG929" i="1"/>
  <c r="CU929" i="1" s="1"/>
  <c r="T929" i="1" s="1"/>
  <c r="AH929" i="1"/>
  <c r="AI929" i="1"/>
  <c r="CW929" i="1" s="1"/>
  <c r="V929" i="1" s="1"/>
  <c r="AJ929" i="1"/>
  <c r="CR929" i="1"/>
  <c r="CT929" i="1"/>
  <c r="CV929" i="1"/>
  <c r="U929" i="1" s="1"/>
  <c r="CX929" i="1"/>
  <c r="W929" i="1" s="1"/>
  <c r="FR929" i="1"/>
  <c r="GL929" i="1"/>
  <c r="GN929" i="1"/>
  <c r="GP929" i="1"/>
  <c r="GV929" i="1"/>
  <c r="HC929" i="1" s="1"/>
  <c r="GX929" i="1" s="1"/>
  <c r="C930" i="1"/>
  <c r="D930" i="1"/>
  <c r="R930" i="1"/>
  <c r="GK930" i="1" s="1"/>
  <c r="AC930" i="1"/>
  <c r="P930" i="1" s="1"/>
  <c r="AD930" i="1"/>
  <c r="AE930" i="1"/>
  <c r="Q930" i="1" s="1"/>
  <c r="AF930" i="1"/>
  <c r="AB930" i="1" s="1"/>
  <c r="AG930" i="1"/>
  <c r="AH930" i="1"/>
  <c r="CV930" i="1" s="1"/>
  <c r="U930" i="1" s="1"/>
  <c r="AI930" i="1"/>
  <c r="AJ930" i="1"/>
  <c r="CX930" i="1" s="1"/>
  <c r="W930" i="1" s="1"/>
  <c r="CQ930" i="1"/>
  <c r="CR930" i="1"/>
  <c r="CS930" i="1"/>
  <c r="CU930" i="1"/>
  <c r="T930" i="1" s="1"/>
  <c r="CW930" i="1"/>
  <c r="V930" i="1" s="1"/>
  <c r="FR930" i="1"/>
  <c r="GL930" i="1"/>
  <c r="GN930" i="1"/>
  <c r="GP930" i="1"/>
  <c r="GV930" i="1"/>
  <c r="GX930" i="1"/>
  <c r="HC930" i="1"/>
  <c r="S931" i="1"/>
  <c r="CY931" i="1" s="1"/>
  <c r="X931" i="1" s="1"/>
  <c r="AC931" i="1"/>
  <c r="AE931" i="1"/>
  <c r="Q931" i="1" s="1"/>
  <c r="AF931" i="1"/>
  <c r="AG931" i="1"/>
  <c r="CU931" i="1" s="1"/>
  <c r="T931" i="1" s="1"/>
  <c r="AH931" i="1"/>
  <c r="AI931" i="1"/>
  <c r="CW931" i="1" s="1"/>
  <c r="V931" i="1" s="1"/>
  <c r="AJ931" i="1"/>
  <c r="CR931" i="1"/>
  <c r="CT931" i="1"/>
  <c r="CV931" i="1"/>
  <c r="U931" i="1" s="1"/>
  <c r="CX931" i="1"/>
  <c r="W931" i="1" s="1"/>
  <c r="CZ931" i="1"/>
  <c r="Y931" i="1" s="1"/>
  <c r="GL931" i="1"/>
  <c r="GN931" i="1"/>
  <c r="GO931" i="1"/>
  <c r="GP931" i="1"/>
  <c r="GV931" i="1"/>
  <c r="HC931" i="1" s="1"/>
  <c r="GX931" i="1" s="1"/>
  <c r="C932" i="1"/>
  <c r="D932" i="1"/>
  <c r="P932" i="1"/>
  <c r="R932" i="1"/>
  <c r="GK932" i="1" s="1"/>
  <c r="AC932" i="1"/>
  <c r="AD932" i="1"/>
  <c r="AE932" i="1"/>
  <c r="Q932" i="1" s="1"/>
  <c r="AF932" i="1"/>
  <c r="AB932" i="1" s="1"/>
  <c r="AG932" i="1"/>
  <c r="AH932" i="1"/>
  <c r="CV932" i="1" s="1"/>
  <c r="U932" i="1" s="1"/>
  <c r="AI932" i="1"/>
  <c r="AJ932" i="1"/>
  <c r="CX932" i="1" s="1"/>
  <c r="W932" i="1" s="1"/>
  <c r="CQ932" i="1"/>
  <c r="CR932" i="1"/>
  <c r="CS932" i="1"/>
  <c r="CU932" i="1"/>
  <c r="T932" i="1" s="1"/>
  <c r="CW932" i="1"/>
  <c r="V932" i="1" s="1"/>
  <c r="FR932" i="1"/>
  <c r="GL932" i="1"/>
  <c r="GN932" i="1"/>
  <c r="GO932" i="1"/>
  <c r="GV932" i="1"/>
  <c r="GX932" i="1"/>
  <c r="HC932" i="1"/>
  <c r="C933" i="1"/>
  <c r="D933" i="1"/>
  <c r="S933" i="1"/>
  <c r="CY933" i="1" s="1"/>
  <c r="X933" i="1" s="1"/>
  <c r="AC933" i="1"/>
  <c r="P933" i="1" s="1"/>
  <c r="AE933" i="1"/>
  <c r="AD933" i="1" s="1"/>
  <c r="AF933" i="1"/>
  <c r="AG933" i="1"/>
  <c r="CU933" i="1" s="1"/>
  <c r="T933" i="1" s="1"/>
  <c r="AH933" i="1"/>
  <c r="AI933" i="1"/>
  <c r="CW933" i="1" s="1"/>
  <c r="V933" i="1" s="1"/>
  <c r="AJ933" i="1"/>
  <c r="CR933" i="1"/>
  <c r="CT933" i="1"/>
  <c r="CV933" i="1"/>
  <c r="U933" i="1" s="1"/>
  <c r="CX933" i="1"/>
  <c r="W933" i="1" s="1"/>
  <c r="FR933" i="1"/>
  <c r="GL933" i="1"/>
  <c r="GN933" i="1"/>
  <c r="GO933" i="1"/>
  <c r="GV933" i="1"/>
  <c r="HC933" i="1"/>
  <c r="GX933" i="1" s="1"/>
  <c r="C934" i="1"/>
  <c r="D934" i="1"/>
  <c r="P934" i="1"/>
  <c r="R934" i="1"/>
  <c r="GK934" i="1" s="1"/>
  <c r="AC934" i="1"/>
  <c r="AD934" i="1"/>
  <c r="AB934" i="1" s="1"/>
  <c r="AE934" i="1"/>
  <c r="Q934" i="1" s="1"/>
  <c r="AF934" i="1"/>
  <c r="S934" i="1" s="1"/>
  <c r="AG934" i="1"/>
  <c r="AH934" i="1"/>
  <c r="CV934" i="1" s="1"/>
  <c r="U934" i="1" s="1"/>
  <c r="AI934" i="1"/>
  <c r="AJ934" i="1"/>
  <c r="CX934" i="1" s="1"/>
  <c r="W934" i="1" s="1"/>
  <c r="CQ934" i="1"/>
  <c r="CR934" i="1"/>
  <c r="CS934" i="1"/>
  <c r="CU934" i="1"/>
  <c r="T934" i="1" s="1"/>
  <c r="CW934" i="1"/>
  <c r="V934" i="1" s="1"/>
  <c r="FR934" i="1"/>
  <c r="GL934" i="1"/>
  <c r="GN934" i="1"/>
  <c r="GO934" i="1"/>
  <c r="GV934" i="1"/>
  <c r="HC934" i="1" s="1"/>
  <c r="GX934" i="1" s="1"/>
  <c r="B936" i="1"/>
  <c r="B904" i="1" s="1"/>
  <c r="C936" i="1"/>
  <c r="C904" i="1" s="1"/>
  <c r="D936" i="1"/>
  <c r="D904" i="1" s="1"/>
  <c r="F936" i="1"/>
  <c r="F904" i="1" s="1"/>
  <c r="G936" i="1"/>
  <c r="G904" i="1" s="1"/>
  <c r="BX936" i="1"/>
  <c r="BX904" i="1" s="1"/>
  <c r="CK936" i="1"/>
  <c r="CK904" i="1" s="1"/>
  <c r="CL936" i="1"/>
  <c r="CL904" i="1" s="1"/>
  <c r="CM936" i="1"/>
  <c r="CM904" i="1" s="1"/>
  <c r="D966" i="1"/>
  <c r="E968" i="1"/>
  <c r="G968" i="1"/>
  <c r="Z968" i="1"/>
  <c r="AA968" i="1"/>
  <c r="AM968" i="1"/>
  <c r="AN968" i="1"/>
  <c r="BE968" i="1"/>
  <c r="BF968" i="1"/>
  <c r="BG968" i="1"/>
  <c r="BH968" i="1"/>
  <c r="BI968" i="1"/>
  <c r="BJ968" i="1"/>
  <c r="BK968" i="1"/>
  <c r="BL968" i="1"/>
  <c r="BM968" i="1"/>
  <c r="BN968" i="1"/>
  <c r="BO968" i="1"/>
  <c r="BP968" i="1"/>
  <c r="BQ968" i="1"/>
  <c r="BR968" i="1"/>
  <c r="BS968" i="1"/>
  <c r="BT968" i="1"/>
  <c r="BU968" i="1"/>
  <c r="BV968" i="1"/>
  <c r="BW968" i="1"/>
  <c r="CN968" i="1"/>
  <c r="CO968" i="1"/>
  <c r="CP968" i="1"/>
  <c r="CQ968" i="1"/>
  <c r="CR968" i="1"/>
  <c r="CS968" i="1"/>
  <c r="CT968" i="1"/>
  <c r="CU968" i="1"/>
  <c r="CV968" i="1"/>
  <c r="CW968" i="1"/>
  <c r="CX968" i="1"/>
  <c r="CY968" i="1"/>
  <c r="CZ968" i="1"/>
  <c r="DA968" i="1"/>
  <c r="DB968" i="1"/>
  <c r="DC968" i="1"/>
  <c r="DD968" i="1"/>
  <c r="DE968" i="1"/>
  <c r="DF968" i="1"/>
  <c r="DG968" i="1"/>
  <c r="DH968" i="1"/>
  <c r="DI968" i="1"/>
  <c r="DJ968" i="1"/>
  <c r="DK968" i="1"/>
  <c r="DL968" i="1"/>
  <c r="DM968" i="1"/>
  <c r="DN968" i="1"/>
  <c r="DO968" i="1"/>
  <c r="DP968" i="1"/>
  <c r="DQ968" i="1"/>
  <c r="DR968" i="1"/>
  <c r="DS968" i="1"/>
  <c r="DT968" i="1"/>
  <c r="DU968" i="1"/>
  <c r="DV968" i="1"/>
  <c r="DW968" i="1"/>
  <c r="DX968" i="1"/>
  <c r="DY968" i="1"/>
  <c r="DZ968" i="1"/>
  <c r="EA968" i="1"/>
  <c r="EB968" i="1"/>
  <c r="EC968" i="1"/>
  <c r="ED968" i="1"/>
  <c r="EE968" i="1"/>
  <c r="EF968" i="1"/>
  <c r="EG968" i="1"/>
  <c r="EH968" i="1"/>
  <c r="EI968" i="1"/>
  <c r="EJ968" i="1"/>
  <c r="EK968" i="1"/>
  <c r="EL968" i="1"/>
  <c r="EM968" i="1"/>
  <c r="EN968" i="1"/>
  <c r="EO968" i="1"/>
  <c r="EP968" i="1"/>
  <c r="EQ968" i="1"/>
  <c r="ER968" i="1"/>
  <c r="ES968" i="1"/>
  <c r="ET968" i="1"/>
  <c r="EU968" i="1"/>
  <c r="EV968" i="1"/>
  <c r="EW968" i="1"/>
  <c r="EX968" i="1"/>
  <c r="EY968" i="1"/>
  <c r="EZ968" i="1"/>
  <c r="FA968" i="1"/>
  <c r="FB968" i="1"/>
  <c r="FC968" i="1"/>
  <c r="FD968" i="1"/>
  <c r="FE968" i="1"/>
  <c r="FF968" i="1"/>
  <c r="FG968" i="1"/>
  <c r="FH968" i="1"/>
  <c r="FI968" i="1"/>
  <c r="FJ968" i="1"/>
  <c r="FK968" i="1"/>
  <c r="FL968" i="1"/>
  <c r="FM968" i="1"/>
  <c r="FN968" i="1"/>
  <c r="FO968" i="1"/>
  <c r="FP968" i="1"/>
  <c r="FQ968" i="1"/>
  <c r="FR968" i="1"/>
  <c r="FS968" i="1"/>
  <c r="FT968" i="1"/>
  <c r="FU968" i="1"/>
  <c r="FV968" i="1"/>
  <c r="FW968" i="1"/>
  <c r="FX968" i="1"/>
  <c r="FY968" i="1"/>
  <c r="FZ968" i="1"/>
  <c r="GA968" i="1"/>
  <c r="GB968" i="1"/>
  <c r="GC968" i="1"/>
  <c r="GD968" i="1"/>
  <c r="GE968" i="1"/>
  <c r="GF968" i="1"/>
  <c r="GG968" i="1"/>
  <c r="GH968" i="1"/>
  <c r="GI968" i="1"/>
  <c r="GJ968" i="1"/>
  <c r="GK968" i="1"/>
  <c r="GL968" i="1"/>
  <c r="GM968" i="1"/>
  <c r="GN968" i="1"/>
  <c r="GO968" i="1"/>
  <c r="GP968" i="1"/>
  <c r="GQ968" i="1"/>
  <c r="GR968" i="1"/>
  <c r="GS968" i="1"/>
  <c r="GT968" i="1"/>
  <c r="GU968" i="1"/>
  <c r="GV968" i="1"/>
  <c r="GW968" i="1"/>
  <c r="GX968" i="1"/>
  <c r="C970" i="1"/>
  <c r="D970" i="1"/>
  <c r="P970" i="1"/>
  <c r="AC970" i="1"/>
  <c r="AD970" i="1"/>
  <c r="AB970" i="1" s="1"/>
  <c r="AE970" i="1"/>
  <c r="Q970" i="1" s="1"/>
  <c r="AF970" i="1"/>
  <c r="S970" i="1" s="1"/>
  <c r="AG970" i="1"/>
  <c r="AH970" i="1"/>
  <c r="CV970" i="1" s="1"/>
  <c r="U970" i="1" s="1"/>
  <c r="AI970" i="1"/>
  <c r="AJ970" i="1"/>
  <c r="CX970" i="1" s="1"/>
  <c r="W970" i="1" s="1"/>
  <c r="CQ970" i="1"/>
  <c r="CR970" i="1"/>
  <c r="CS970" i="1"/>
  <c r="CU970" i="1"/>
  <c r="T970" i="1" s="1"/>
  <c r="CW970" i="1"/>
  <c r="V970" i="1" s="1"/>
  <c r="FR970" i="1"/>
  <c r="GL970" i="1"/>
  <c r="GO970" i="1"/>
  <c r="GP970" i="1"/>
  <c r="GV970" i="1"/>
  <c r="HC970" i="1" s="1"/>
  <c r="GX970" i="1" s="1"/>
  <c r="I971" i="1"/>
  <c r="Q971" i="1" s="1"/>
  <c r="R971" i="1"/>
  <c r="GK971" i="1" s="1"/>
  <c r="AC971" i="1"/>
  <c r="P971" i="1" s="1"/>
  <c r="AD971" i="1"/>
  <c r="AE971" i="1"/>
  <c r="AF971" i="1"/>
  <c r="AB971" i="1" s="1"/>
  <c r="AG971" i="1"/>
  <c r="AH971" i="1"/>
  <c r="CV971" i="1" s="1"/>
  <c r="U971" i="1" s="1"/>
  <c r="AI971" i="1"/>
  <c r="AJ971" i="1"/>
  <c r="CX971" i="1" s="1"/>
  <c r="W971" i="1" s="1"/>
  <c r="CQ971" i="1"/>
  <c r="CR971" i="1"/>
  <c r="CS971" i="1"/>
  <c r="CU971" i="1"/>
  <c r="T971" i="1" s="1"/>
  <c r="CW971" i="1"/>
  <c r="V971" i="1" s="1"/>
  <c r="FR971" i="1"/>
  <c r="BY975" i="1" s="1"/>
  <c r="GL971" i="1"/>
  <c r="GO971" i="1"/>
  <c r="CC975" i="1" s="1"/>
  <c r="GP971" i="1"/>
  <c r="GV971" i="1"/>
  <c r="GX971" i="1"/>
  <c r="HC971" i="1"/>
  <c r="C972" i="1"/>
  <c r="D972" i="1"/>
  <c r="S972" i="1"/>
  <c r="CY972" i="1" s="1"/>
  <c r="X972" i="1" s="1"/>
  <c r="AC972" i="1"/>
  <c r="P972" i="1" s="1"/>
  <c r="AE972" i="1"/>
  <c r="AD972" i="1" s="1"/>
  <c r="AF972" i="1"/>
  <c r="AG972" i="1"/>
  <c r="CU972" i="1" s="1"/>
  <c r="T972" i="1" s="1"/>
  <c r="AH972" i="1"/>
  <c r="AI972" i="1"/>
  <c r="CW972" i="1" s="1"/>
  <c r="V972" i="1" s="1"/>
  <c r="AJ972" i="1"/>
  <c r="CR972" i="1"/>
  <c r="CT972" i="1"/>
  <c r="CV972" i="1"/>
  <c r="U972" i="1" s="1"/>
  <c r="CX972" i="1"/>
  <c r="W972" i="1" s="1"/>
  <c r="FR972" i="1"/>
  <c r="GL972" i="1"/>
  <c r="GO972" i="1"/>
  <c r="GP972" i="1"/>
  <c r="GV972" i="1"/>
  <c r="HC972" i="1"/>
  <c r="GX972" i="1" s="1"/>
  <c r="I973" i="1"/>
  <c r="S973" i="1"/>
  <c r="CY973" i="1" s="1"/>
  <c r="X973" i="1" s="1"/>
  <c r="AC973" i="1"/>
  <c r="AE973" i="1"/>
  <c r="Q973" i="1" s="1"/>
  <c r="AF973" i="1"/>
  <c r="AG973" i="1"/>
  <c r="CU973" i="1" s="1"/>
  <c r="T973" i="1" s="1"/>
  <c r="AH973" i="1"/>
  <c r="AI973" i="1"/>
  <c r="CW973" i="1" s="1"/>
  <c r="V973" i="1" s="1"/>
  <c r="AJ973" i="1"/>
  <c r="CR973" i="1"/>
  <c r="CT973" i="1"/>
  <c r="CV973" i="1"/>
  <c r="U973" i="1" s="1"/>
  <c r="CX973" i="1"/>
  <c r="W973" i="1" s="1"/>
  <c r="CZ973" i="1"/>
  <c r="Y973" i="1" s="1"/>
  <c r="FR973" i="1"/>
  <c r="GL973" i="1"/>
  <c r="GO973" i="1"/>
  <c r="GP973" i="1"/>
  <c r="GV973" i="1"/>
  <c r="HC973" i="1" s="1"/>
  <c r="GX973" i="1" s="1"/>
  <c r="B975" i="1"/>
  <c r="B968" i="1" s="1"/>
  <c r="C975" i="1"/>
  <c r="C968" i="1" s="1"/>
  <c r="D975" i="1"/>
  <c r="D968" i="1" s="1"/>
  <c r="F975" i="1"/>
  <c r="F968" i="1" s="1"/>
  <c r="G975" i="1"/>
  <c r="BX975" i="1"/>
  <c r="BX968" i="1" s="1"/>
  <c r="BZ975" i="1"/>
  <c r="BZ968" i="1" s="1"/>
  <c r="CD975" i="1"/>
  <c r="CD968" i="1" s="1"/>
  <c r="CK975" i="1"/>
  <c r="CK968" i="1" s="1"/>
  <c r="CL975" i="1"/>
  <c r="CL968" i="1" s="1"/>
  <c r="CM975" i="1"/>
  <c r="CM968" i="1" s="1"/>
  <c r="D1005" i="1"/>
  <c r="E1007" i="1"/>
  <c r="Z1007" i="1"/>
  <c r="AA1007" i="1"/>
  <c r="AB1007" i="1"/>
  <c r="AC1007" i="1"/>
  <c r="AD1007" i="1"/>
  <c r="AE1007" i="1"/>
  <c r="AF1007" i="1"/>
  <c r="AG1007" i="1"/>
  <c r="AH1007" i="1"/>
  <c r="AI1007" i="1"/>
  <c r="AJ1007" i="1"/>
  <c r="AK1007" i="1"/>
  <c r="AL1007" i="1"/>
  <c r="AM1007" i="1"/>
  <c r="AN1007" i="1"/>
  <c r="BE1007" i="1"/>
  <c r="BF1007" i="1"/>
  <c r="BG1007" i="1"/>
  <c r="BH1007" i="1"/>
  <c r="BI1007" i="1"/>
  <c r="BJ1007" i="1"/>
  <c r="BK1007" i="1"/>
  <c r="BL1007" i="1"/>
  <c r="BM1007" i="1"/>
  <c r="BN1007" i="1"/>
  <c r="BO1007" i="1"/>
  <c r="BP1007" i="1"/>
  <c r="BQ1007" i="1"/>
  <c r="BR1007" i="1"/>
  <c r="BS1007" i="1"/>
  <c r="BT1007" i="1"/>
  <c r="BU1007" i="1"/>
  <c r="BV1007" i="1"/>
  <c r="BW1007" i="1"/>
  <c r="BX1007" i="1"/>
  <c r="BY1007" i="1"/>
  <c r="BZ1007" i="1"/>
  <c r="CA1007" i="1"/>
  <c r="CB1007" i="1"/>
  <c r="CC1007" i="1"/>
  <c r="CD1007" i="1"/>
  <c r="CE1007" i="1"/>
  <c r="CF1007" i="1"/>
  <c r="CG1007" i="1"/>
  <c r="CH1007" i="1"/>
  <c r="CI1007" i="1"/>
  <c r="CJ1007" i="1"/>
  <c r="CK1007" i="1"/>
  <c r="CL1007" i="1"/>
  <c r="CM1007" i="1"/>
  <c r="CN1007" i="1"/>
  <c r="CO1007" i="1"/>
  <c r="CP1007" i="1"/>
  <c r="CQ1007" i="1"/>
  <c r="CR1007" i="1"/>
  <c r="CS1007" i="1"/>
  <c r="CT1007" i="1"/>
  <c r="CU1007" i="1"/>
  <c r="CV1007" i="1"/>
  <c r="CW1007" i="1"/>
  <c r="CX1007" i="1"/>
  <c r="CY1007" i="1"/>
  <c r="CZ1007" i="1"/>
  <c r="DA1007" i="1"/>
  <c r="DB1007" i="1"/>
  <c r="DC1007" i="1"/>
  <c r="DD1007" i="1"/>
  <c r="DE1007" i="1"/>
  <c r="DF1007" i="1"/>
  <c r="DG1007" i="1"/>
  <c r="DH1007" i="1"/>
  <c r="DI1007" i="1"/>
  <c r="DJ1007" i="1"/>
  <c r="DK1007" i="1"/>
  <c r="DL1007" i="1"/>
  <c r="DM1007" i="1"/>
  <c r="DN1007" i="1"/>
  <c r="DO1007" i="1"/>
  <c r="DP1007" i="1"/>
  <c r="DQ1007" i="1"/>
  <c r="DR1007" i="1"/>
  <c r="DS1007" i="1"/>
  <c r="DT1007" i="1"/>
  <c r="DU1007" i="1"/>
  <c r="DV1007" i="1"/>
  <c r="DW1007" i="1"/>
  <c r="DX1007" i="1"/>
  <c r="DY1007" i="1"/>
  <c r="DZ1007" i="1"/>
  <c r="EA1007" i="1"/>
  <c r="EB1007" i="1"/>
  <c r="EC1007" i="1"/>
  <c r="ED1007" i="1"/>
  <c r="EE1007" i="1"/>
  <c r="EF1007" i="1"/>
  <c r="EG1007" i="1"/>
  <c r="EH1007" i="1"/>
  <c r="EI1007" i="1"/>
  <c r="EJ1007" i="1"/>
  <c r="EK1007" i="1"/>
  <c r="EL1007" i="1"/>
  <c r="EM1007" i="1"/>
  <c r="EN1007" i="1"/>
  <c r="EO1007" i="1"/>
  <c r="EP1007" i="1"/>
  <c r="EQ1007" i="1"/>
  <c r="ER1007" i="1"/>
  <c r="ES1007" i="1"/>
  <c r="ET1007" i="1"/>
  <c r="EU1007" i="1"/>
  <c r="EV1007" i="1"/>
  <c r="EW1007" i="1"/>
  <c r="EX1007" i="1"/>
  <c r="EY1007" i="1"/>
  <c r="EZ1007" i="1"/>
  <c r="FA1007" i="1"/>
  <c r="FB1007" i="1"/>
  <c r="FC1007" i="1"/>
  <c r="FD1007" i="1"/>
  <c r="FE1007" i="1"/>
  <c r="FF1007" i="1"/>
  <c r="FG1007" i="1"/>
  <c r="FH1007" i="1"/>
  <c r="FI1007" i="1"/>
  <c r="FJ1007" i="1"/>
  <c r="FK1007" i="1"/>
  <c r="FL1007" i="1"/>
  <c r="FM1007" i="1"/>
  <c r="FN1007" i="1"/>
  <c r="FO1007" i="1"/>
  <c r="FP1007" i="1"/>
  <c r="FQ1007" i="1"/>
  <c r="FR1007" i="1"/>
  <c r="FS1007" i="1"/>
  <c r="FT1007" i="1"/>
  <c r="FU1007" i="1"/>
  <c r="FV1007" i="1"/>
  <c r="FW1007" i="1"/>
  <c r="FX1007" i="1"/>
  <c r="FY1007" i="1"/>
  <c r="FZ1007" i="1"/>
  <c r="GA1007" i="1"/>
  <c r="GB1007" i="1"/>
  <c r="GC1007" i="1"/>
  <c r="GD1007" i="1"/>
  <c r="GE1007" i="1"/>
  <c r="GF1007" i="1"/>
  <c r="GG1007" i="1"/>
  <c r="GH1007" i="1"/>
  <c r="GI1007" i="1"/>
  <c r="GJ1007" i="1"/>
  <c r="GK1007" i="1"/>
  <c r="GL1007" i="1"/>
  <c r="GM1007" i="1"/>
  <c r="GN1007" i="1"/>
  <c r="GO1007" i="1"/>
  <c r="GP1007" i="1"/>
  <c r="GQ1007" i="1"/>
  <c r="GR1007" i="1"/>
  <c r="GS1007" i="1"/>
  <c r="GT1007" i="1"/>
  <c r="GU1007" i="1"/>
  <c r="GV1007" i="1"/>
  <c r="GW1007" i="1"/>
  <c r="GX1007" i="1"/>
  <c r="D1009" i="1"/>
  <c r="E1011" i="1"/>
  <c r="Z1011" i="1"/>
  <c r="AA1011" i="1"/>
  <c r="AM1011" i="1"/>
  <c r="AN1011" i="1"/>
  <c r="BE1011" i="1"/>
  <c r="BF1011" i="1"/>
  <c r="BG1011" i="1"/>
  <c r="BH1011" i="1"/>
  <c r="BI1011" i="1"/>
  <c r="BJ1011" i="1"/>
  <c r="BK1011" i="1"/>
  <c r="BL1011" i="1"/>
  <c r="BM1011" i="1"/>
  <c r="BN1011" i="1"/>
  <c r="BO1011" i="1"/>
  <c r="BP1011" i="1"/>
  <c r="BQ1011" i="1"/>
  <c r="BR1011" i="1"/>
  <c r="BS1011" i="1"/>
  <c r="BT1011" i="1"/>
  <c r="BU1011" i="1"/>
  <c r="BV1011" i="1"/>
  <c r="BW1011" i="1"/>
  <c r="CN1011" i="1"/>
  <c r="CO1011" i="1"/>
  <c r="CP1011" i="1"/>
  <c r="CQ1011" i="1"/>
  <c r="CR1011" i="1"/>
  <c r="CS1011" i="1"/>
  <c r="CT1011" i="1"/>
  <c r="CU1011" i="1"/>
  <c r="CV1011" i="1"/>
  <c r="CW1011" i="1"/>
  <c r="CX1011" i="1"/>
  <c r="CY1011" i="1"/>
  <c r="CZ1011" i="1"/>
  <c r="DA1011" i="1"/>
  <c r="DB1011" i="1"/>
  <c r="DC1011" i="1"/>
  <c r="DD1011" i="1"/>
  <c r="DE1011" i="1"/>
  <c r="DF1011" i="1"/>
  <c r="DG1011" i="1"/>
  <c r="DH1011" i="1"/>
  <c r="DI1011" i="1"/>
  <c r="DJ1011" i="1"/>
  <c r="DK1011" i="1"/>
  <c r="DL1011" i="1"/>
  <c r="DM1011" i="1"/>
  <c r="DN1011" i="1"/>
  <c r="DO1011" i="1"/>
  <c r="DP1011" i="1"/>
  <c r="DQ1011" i="1"/>
  <c r="DR1011" i="1"/>
  <c r="DS1011" i="1"/>
  <c r="DT1011" i="1"/>
  <c r="DU1011" i="1"/>
  <c r="DV1011" i="1"/>
  <c r="DW1011" i="1"/>
  <c r="DX1011" i="1"/>
  <c r="DY1011" i="1"/>
  <c r="DZ1011" i="1"/>
  <c r="EA1011" i="1"/>
  <c r="EB1011" i="1"/>
  <c r="EC1011" i="1"/>
  <c r="ED1011" i="1"/>
  <c r="EE1011" i="1"/>
  <c r="EF1011" i="1"/>
  <c r="EG1011" i="1"/>
  <c r="EH1011" i="1"/>
  <c r="EI1011" i="1"/>
  <c r="EJ1011" i="1"/>
  <c r="EK1011" i="1"/>
  <c r="EL1011" i="1"/>
  <c r="EM1011" i="1"/>
  <c r="EN1011" i="1"/>
  <c r="EO1011" i="1"/>
  <c r="EP1011" i="1"/>
  <c r="EQ1011" i="1"/>
  <c r="ER1011" i="1"/>
  <c r="ES1011" i="1"/>
  <c r="ET1011" i="1"/>
  <c r="EU1011" i="1"/>
  <c r="EV1011" i="1"/>
  <c r="EW1011" i="1"/>
  <c r="EX1011" i="1"/>
  <c r="EY1011" i="1"/>
  <c r="EZ1011" i="1"/>
  <c r="FA1011" i="1"/>
  <c r="FB1011" i="1"/>
  <c r="FC1011" i="1"/>
  <c r="FD1011" i="1"/>
  <c r="FE1011" i="1"/>
  <c r="FF1011" i="1"/>
  <c r="FG1011" i="1"/>
  <c r="FH1011" i="1"/>
  <c r="FI1011" i="1"/>
  <c r="FJ1011" i="1"/>
  <c r="FK1011" i="1"/>
  <c r="FL1011" i="1"/>
  <c r="FM1011" i="1"/>
  <c r="FN1011" i="1"/>
  <c r="FO1011" i="1"/>
  <c r="FP1011" i="1"/>
  <c r="FQ1011" i="1"/>
  <c r="FR1011" i="1"/>
  <c r="FS1011" i="1"/>
  <c r="FT1011" i="1"/>
  <c r="FU1011" i="1"/>
  <c r="FV1011" i="1"/>
  <c r="FW1011" i="1"/>
  <c r="FX1011" i="1"/>
  <c r="FY1011" i="1"/>
  <c r="FZ1011" i="1"/>
  <c r="GA1011" i="1"/>
  <c r="GB1011" i="1"/>
  <c r="GC1011" i="1"/>
  <c r="GD1011" i="1"/>
  <c r="GE1011" i="1"/>
  <c r="GF1011" i="1"/>
  <c r="GG1011" i="1"/>
  <c r="GH1011" i="1"/>
  <c r="GI1011" i="1"/>
  <c r="GJ1011" i="1"/>
  <c r="GK1011" i="1"/>
  <c r="GL1011" i="1"/>
  <c r="GM1011" i="1"/>
  <c r="GN1011" i="1"/>
  <c r="GO1011" i="1"/>
  <c r="GP1011" i="1"/>
  <c r="GQ1011" i="1"/>
  <c r="GR1011" i="1"/>
  <c r="GS1011" i="1"/>
  <c r="GT1011" i="1"/>
  <c r="GU1011" i="1"/>
  <c r="GV1011" i="1"/>
  <c r="GW1011" i="1"/>
  <c r="GX1011" i="1"/>
  <c r="C1013" i="1"/>
  <c r="D1013" i="1"/>
  <c r="I1013" i="1"/>
  <c r="K1013" i="1"/>
  <c r="P1013" i="1"/>
  <c r="R1013" i="1"/>
  <c r="GK1013" i="1" s="1"/>
  <c r="AC1013" i="1"/>
  <c r="AD1013" i="1"/>
  <c r="AB1013" i="1" s="1"/>
  <c r="AE1013" i="1"/>
  <c r="Q1013" i="1" s="1"/>
  <c r="AF1013" i="1"/>
  <c r="S1013" i="1" s="1"/>
  <c r="AG1013" i="1"/>
  <c r="AH1013" i="1"/>
  <c r="CV1013" i="1" s="1"/>
  <c r="U1013" i="1" s="1"/>
  <c r="AI1013" i="1"/>
  <c r="AJ1013" i="1"/>
  <c r="CX1013" i="1" s="1"/>
  <c r="W1013" i="1" s="1"/>
  <c r="CQ1013" i="1"/>
  <c r="CR1013" i="1"/>
  <c r="CS1013" i="1"/>
  <c r="CU1013" i="1"/>
  <c r="T1013" i="1" s="1"/>
  <c r="CW1013" i="1"/>
  <c r="V1013" i="1" s="1"/>
  <c r="FR1013" i="1"/>
  <c r="GL1013" i="1"/>
  <c r="GO1013" i="1"/>
  <c r="GP1013" i="1"/>
  <c r="GV1013" i="1"/>
  <c r="HC1013" i="1" s="1"/>
  <c r="GX1013" i="1" s="1"/>
  <c r="C1014" i="1"/>
  <c r="D1014" i="1"/>
  <c r="S1014" i="1"/>
  <c r="CY1014" i="1" s="1"/>
  <c r="X1014" i="1" s="1"/>
  <c r="AC1014" i="1"/>
  <c r="AE1014" i="1"/>
  <c r="Q1014" i="1" s="1"/>
  <c r="AF1014" i="1"/>
  <c r="AG1014" i="1"/>
  <c r="CU1014" i="1" s="1"/>
  <c r="T1014" i="1" s="1"/>
  <c r="AH1014" i="1"/>
  <c r="AI1014" i="1"/>
  <c r="CW1014" i="1" s="1"/>
  <c r="V1014" i="1" s="1"/>
  <c r="AJ1014" i="1"/>
  <c r="CR1014" i="1"/>
  <c r="CT1014" i="1"/>
  <c r="CV1014" i="1"/>
  <c r="U1014" i="1" s="1"/>
  <c r="CX1014" i="1"/>
  <c r="W1014" i="1" s="1"/>
  <c r="CZ1014" i="1"/>
  <c r="Y1014" i="1" s="1"/>
  <c r="FR1014" i="1"/>
  <c r="GL1014" i="1"/>
  <c r="GN1014" i="1"/>
  <c r="GO1014" i="1"/>
  <c r="GV1014" i="1"/>
  <c r="HC1014" i="1" s="1"/>
  <c r="GX1014" i="1" s="1"/>
  <c r="C1015" i="1"/>
  <c r="D1015" i="1"/>
  <c r="P1015" i="1"/>
  <c r="R1015" i="1"/>
  <c r="GK1015" i="1" s="1"/>
  <c r="AC1015" i="1"/>
  <c r="AD1015" i="1"/>
  <c r="AE1015" i="1"/>
  <c r="Q1015" i="1" s="1"/>
  <c r="AF1015" i="1"/>
  <c r="AB1015" i="1" s="1"/>
  <c r="AG1015" i="1"/>
  <c r="AH1015" i="1"/>
  <c r="CV1015" i="1" s="1"/>
  <c r="U1015" i="1" s="1"/>
  <c r="AI1015" i="1"/>
  <c r="AJ1015" i="1"/>
  <c r="CX1015" i="1" s="1"/>
  <c r="W1015" i="1" s="1"/>
  <c r="CQ1015" i="1"/>
  <c r="CR1015" i="1"/>
  <c r="CS1015" i="1"/>
  <c r="CU1015" i="1"/>
  <c r="T1015" i="1" s="1"/>
  <c r="CW1015" i="1"/>
  <c r="V1015" i="1" s="1"/>
  <c r="FR1015" i="1"/>
  <c r="GL1015" i="1"/>
  <c r="GN1015" i="1"/>
  <c r="GO1015" i="1"/>
  <c r="GV1015" i="1"/>
  <c r="GX1015" i="1"/>
  <c r="HC1015" i="1"/>
  <c r="C1016" i="1"/>
  <c r="D1016" i="1"/>
  <c r="I1016" i="1"/>
  <c r="S1016" i="1" s="1"/>
  <c r="K1016" i="1"/>
  <c r="AC1016" i="1"/>
  <c r="AE1016" i="1"/>
  <c r="Q1016" i="1" s="1"/>
  <c r="AF1016" i="1"/>
  <c r="AG1016" i="1"/>
  <c r="CU1016" i="1" s="1"/>
  <c r="T1016" i="1" s="1"/>
  <c r="AH1016" i="1"/>
  <c r="AI1016" i="1"/>
  <c r="CW1016" i="1" s="1"/>
  <c r="V1016" i="1" s="1"/>
  <c r="AJ1016" i="1"/>
  <c r="CR1016" i="1"/>
  <c r="CT1016" i="1"/>
  <c r="CV1016" i="1"/>
  <c r="U1016" i="1" s="1"/>
  <c r="CX1016" i="1"/>
  <c r="W1016" i="1" s="1"/>
  <c r="FR1016" i="1"/>
  <c r="GL1016" i="1"/>
  <c r="GO1016" i="1"/>
  <c r="GP1016" i="1"/>
  <c r="GV1016" i="1"/>
  <c r="HC1016" i="1" s="1"/>
  <c r="GX1016" i="1" s="1"/>
  <c r="AC1017" i="1"/>
  <c r="AE1017" i="1"/>
  <c r="AD1017" i="1" s="1"/>
  <c r="AF1017" i="1"/>
  <c r="AG1017" i="1"/>
  <c r="CU1017" i="1" s="1"/>
  <c r="AH1017" i="1"/>
  <c r="AI1017" i="1"/>
  <c r="CW1017" i="1" s="1"/>
  <c r="AJ1017" i="1"/>
  <c r="CR1017" i="1"/>
  <c r="CT1017" i="1"/>
  <c r="CV1017" i="1"/>
  <c r="CX1017" i="1"/>
  <c r="FR1017" i="1"/>
  <c r="GL1017" i="1"/>
  <c r="GO1017" i="1"/>
  <c r="GP1017" i="1"/>
  <c r="GV1017" i="1"/>
  <c r="HC1017" i="1"/>
  <c r="C1018" i="1"/>
  <c r="D1018" i="1"/>
  <c r="P1018" i="1"/>
  <c r="R1018" i="1"/>
  <c r="GK1018" i="1" s="1"/>
  <c r="AC1018" i="1"/>
  <c r="AD1018" i="1"/>
  <c r="AB1018" i="1" s="1"/>
  <c r="AE1018" i="1"/>
  <c r="Q1018" i="1" s="1"/>
  <c r="AF1018" i="1"/>
  <c r="S1018" i="1" s="1"/>
  <c r="AG1018" i="1"/>
  <c r="AH1018" i="1"/>
  <c r="CV1018" i="1" s="1"/>
  <c r="U1018" i="1" s="1"/>
  <c r="AI1018" i="1"/>
  <c r="AJ1018" i="1"/>
  <c r="CX1018" i="1" s="1"/>
  <c r="W1018" i="1" s="1"/>
  <c r="CQ1018" i="1"/>
  <c r="CR1018" i="1"/>
  <c r="CS1018" i="1"/>
  <c r="CU1018" i="1"/>
  <c r="T1018" i="1" s="1"/>
  <c r="CW1018" i="1"/>
  <c r="V1018" i="1" s="1"/>
  <c r="FR1018" i="1"/>
  <c r="GL1018" i="1"/>
  <c r="GO1018" i="1"/>
  <c r="GP1018" i="1"/>
  <c r="GV1018" i="1"/>
  <c r="HC1018" i="1" s="1"/>
  <c r="GX1018" i="1" s="1"/>
  <c r="I1019" i="1"/>
  <c r="P1019" i="1" s="1"/>
  <c r="R1019" i="1"/>
  <c r="GK1019" i="1" s="1"/>
  <c r="AC1019" i="1"/>
  <c r="AD1019" i="1"/>
  <c r="AE1019" i="1"/>
  <c r="AF1019" i="1"/>
  <c r="AB1019" i="1" s="1"/>
  <c r="AG1019" i="1"/>
  <c r="AH1019" i="1"/>
  <c r="CV1019" i="1" s="1"/>
  <c r="U1019" i="1" s="1"/>
  <c r="AI1019" i="1"/>
  <c r="AJ1019" i="1"/>
  <c r="CX1019" i="1" s="1"/>
  <c r="W1019" i="1" s="1"/>
  <c r="CQ1019" i="1"/>
  <c r="CR1019" i="1"/>
  <c r="CS1019" i="1"/>
  <c r="CU1019" i="1"/>
  <c r="T1019" i="1" s="1"/>
  <c r="CW1019" i="1"/>
  <c r="V1019" i="1" s="1"/>
  <c r="FR1019" i="1"/>
  <c r="GL1019" i="1"/>
  <c r="GO1019" i="1"/>
  <c r="GP1019" i="1"/>
  <c r="GV1019" i="1"/>
  <c r="GX1019" i="1"/>
  <c r="HC1019" i="1"/>
  <c r="I1020" i="1"/>
  <c r="Q1020" i="1" s="1"/>
  <c r="P1020" i="1"/>
  <c r="R1020" i="1"/>
  <c r="GK1020" i="1" s="1"/>
  <c r="AC1020" i="1"/>
  <c r="AD1020" i="1"/>
  <c r="AB1020" i="1" s="1"/>
  <c r="AE1020" i="1"/>
  <c r="AF1020" i="1"/>
  <c r="S1020" i="1" s="1"/>
  <c r="AG1020" i="1"/>
  <c r="AH1020" i="1"/>
  <c r="CV1020" i="1" s="1"/>
  <c r="U1020" i="1" s="1"/>
  <c r="AI1020" i="1"/>
  <c r="AJ1020" i="1"/>
  <c r="CX1020" i="1" s="1"/>
  <c r="W1020" i="1" s="1"/>
  <c r="CQ1020" i="1"/>
  <c r="CR1020" i="1"/>
  <c r="CS1020" i="1"/>
  <c r="CU1020" i="1"/>
  <c r="T1020" i="1" s="1"/>
  <c r="CW1020" i="1"/>
  <c r="V1020" i="1" s="1"/>
  <c r="FR1020" i="1"/>
  <c r="GL1020" i="1"/>
  <c r="GO1020" i="1"/>
  <c r="GP1020" i="1"/>
  <c r="GV1020" i="1"/>
  <c r="HC1020" i="1" s="1"/>
  <c r="GX1020" i="1" s="1"/>
  <c r="C1021" i="1"/>
  <c r="D1021" i="1"/>
  <c r="I1021" i="1"/>
  <c r="K1021" i="1"/>
  <c r="S1021" i="1"/>
  <c r="CY1021" i="1" s="1"/>
  <c r="X1021" i="1" s="1"/>
  <c r="AC1021" i="1"/>
  <c r="P1021" i="1" s="1"/>
  <c r="AE1021" i="1"/>
  <c r="AD1021" i="1" s="1"/>
  <c r="AF1021" i="1"/>
  <c r="AG1021" i="1"/>
  <c r="CU1021" i="1" s="1"/>
  <c r="T1021" i="1" s="1"/>
  <c r="AH1021" i="1"/>
  <c r="AI1021" i="1"/>
  <c r="CW1021" i="1" s="1"/>
  <c r="V1021" i="1" s="1"/>
  <c r="AJ1021" i="1"/>
  <c r="CR1021" i="1"/>
  <c r="CT1021" i="1"/>
  <c r="CV1021" i="1"/>
  <c r="U1021" i="1" s="1"/>
  <c r="CX1021" i="1"/>
  <c r="W1021" i="1" s="1"/>
  <c r="FR1021" i="1"/>
  <c r="GL1021" i="1"/>
  <c r="GN1021" i="1"/>
  <c r="GP1021" i="1"/>
  <c r="GV1021" i="1"/>
  <c r="HC1021" i="1"/>
  <c r="GX1021" i="1" s="1"/>
  <c r="AC1022" i="1"/>
  <c r="AE1022" i="1"/>
  <c r="AF1022" i="1"/>
  <c r="AG1022" i="1"/>
  <c r="CU1022" i="1" s="1"/>
  <c r="AH1022" i="1"/>
  <c r="AI1022" i="1"/>
  <c r="CW1022" i="1" s="1"/>
  <c r="AJ1022" i="1"/>
  <c r="CR1022" i="1"/>
  <c r="CT1022" i="1"/>
  <c r="CV1022" i="1"/>
  <c r="CX1022" i="1"/>
  <c r="FR1022" i="1"/>
  <c r="GL1022" i="1"/>
  <c r="GN1022" i="1"/>
  <c r="GP1022" i="1"/>
  <c r="GV1022" i="1"/>
  <c r="HC1022" i="1" s="1"/>
  <c r="C1023" i="1"/>
  <c r="D1023" i="1"/>
  <c r="I1023" i="1"/>
  <c r="K1023" i="1"/>
  <c r="P1023" i="1"/>
  <c r="R1023" i="1"/>
  <c r="GK1023" i="1" s="1"/>
  <c r="AC1023" i="1"/>
  <c r="AD1023" i="1"/>
  <c r="AB1023" i="1" s="1"/>
  <c r="AE1023" i="1"/>
  <c r="Q1023" i="1" s="1"/>
  <c r="AF1023" i="1"/>
  <c r="S1023" i="1" s="1"/>
  <c r="AG1023" i="1"/>
  <c r="AH1023" i="1"/>
  <c r="CV1023" i="1" s="1"/>
  <c r="U1023" i="1" s="1"/>
  <c r="AI1023" i="1"/>
  <c r="AJ1023" i="1"/>
  <c r="CX1023" i="1" s="1"/>
  <c r="W1023" i="1" s="1"/>
  <c r="CQ1023" i="1"/>
  <c r="CR1023" i="1"/>
  <c r="CS1023" i="1"/>
  <c r="CU1023" i="1"/>
  <c r="T1023" i="1" s="1"/>
  <c r="CW1023" i="1"/>
  <c r="V1023" i="1" s="1"/>
  <c r="FR1023" i="1"/>
  <c r="GL1023" i="1"/>
  <c r="GN1023" i="1"/>
  <c r="GP1023" i="1"/>
  <c r="GV1023" i="1"/>
  <c r="HC1023" i="1" s="1"/>
  <c r="GX1023" i="1" s="1"/>
  <c r="I1024" i="1"/>
  <c r="P1024" i="1" s="1"/>
  <c r="R1024" i="1"/>
  <c r="GK1024" i="1" s="1"/>
  <c r="AC1024" i="1"/>
  <c r="AD1024" i="1"/>
  <c r="AE1024" i="1"/>
  <c r="AF1024" i="1"/>
  <c r="AB1024" i="1" s="1"/>
  <c r="AG1024" i="1"/>
  <c r="AH1024" i="1"/>
  <c r="CV1024" i="1" s="1"/>
  <c r="U1024" i="1" s="1"/>
  <c r="AI1024" i="1"/>
  <c r="AJ1024" i="1"/>
  <c r="CX1024" i="1" s="1"/>
  <c r="W1024" i="1" s="1"/>
  <c r="CQ1024" i="1"/>
  <c r="CR1024" i="1"/>
  <c r="CS1024" i="1"/>
  <c r="CU1024" i="1"/>
  <c r="T1024" i="1" s="1"/>
  <c r="CW1024" i="1"/>
  <c r="V1024" i="1" s="1"/>
  <c r="FR1024" i="1"/>
  <c r="GL1024" i="1"/>
  <c r="GN1024" i="1"/>
  <c r="GP1024" i="1"/>
  <c r="GV1024" i="1"/>
  <c r="GX1024" i="1"/>
  <c r="HC1024" i="1"/>
  <c r="C1025" i="1"/>
  <c r="D1025" i="1"/>
  <c r="I1025" i="1"/>
  <c r="S1025" i="1" s="1"/>
  <c r="K1025" i="1"/>
  <c r="AC1025" i="1"/>
  <c r="AE1025" i="1"/>
  <c r="Q1025" i="1" s="1"/>
  <c r="AF1025" i="1"/>
  <c r="AG1025" i="1"/>
  <c r="CU1025" i="1" s="1"/>
  <c r="T1025" i="1" s="1"/>
  <c r="AH1025" i="1"/>
  <c r="AI1025" i="1"/>
  <c r="CW1025" i="1" s="1"/>
  <c r="V1025" i="1" s="1"/>
  <c r="AJ1025" i="1"/>
  <c r="CR1025" i="1"/>
  <c r="CT1025" i="1"/>
  <c r="CV1025" i="1"/>
  <c r="U1025" i="1" s="1"/>
  <c r="CX1025" i="1"/>
  <c r="W1025" i="1" s="1"/>
  <c r="FR1025" i="1"/>
  <c r="GL1025" i="1"/>
  <c r="GO1025" i="1"/>
  <c r="GP1025" i="1"/>
  <c r="GV1025" i="1"/>
  <c r="HC1025" i="1" s="1"/>
  <c r="GX1025" i="1" s="1"/>
  <c r="C1026" i="1"/>
  <c r="D1026" i="1"/>
  <c r="P1026" i="1"/>
  <c r="R1026" i="1"/>
  <c r="GK1026" i="1" s="1"/>
  <c r="AC1026" i="1"/>
  <c r="AD1026" i="1"/>
  <c r="AE1026" i="1"/>
  <c r="Q1026" i="1" s="1"/>
  <c r="AF1026" i="1"/>
  <c r="AB1026" i="1" s="1"/>
  <c r="AG1026" i="1"/>
  <c r="AH1026" i="1"/>
  <c r="CV1026" i="1" s="1"/>
  <c r="U1026" i="1" s="1"/>
  <c r="AI1026" i="1"/>
  <c r="AJ1026" i="1"/>
  <c r="CX1026" i="1" s="1"/>
  <c r="W1026" i="1" s="1"/>
  <c r="CQ1026" i="1"/>
  <c r="CR1026" i="1"/>
  <c r="CS1026" i="1"/>
  <c r="CU1026" i="1"/>
  <c r="T1026" i="1" s="1"/>
  <c r="CW1026" i="1"/>
  <c r="V1026" i="1" s="1"/>
  <c r="FR1026" i="1"/>
  <c r="GL1026" i="1"/>
  <c r="GO1026" i="1"/>
  <c r="GP1026" i="1"/>
  <c r="GV1026" i="1"/>
  <c r="GX1026" i="1"/>
  <c r="HC1026" i="1"/>
  <c r="I1027" i="1"/>
  <c r="Q1027" i="1" s="1"/>
  <c r="P1027" i="1"/>
  <c r="CP1027" i="1" s="1"/>
  <c r="O1027" i="1" s="1"/>
  <c r="R1027" i="1"/>
  <c r="GK1027" i="1" s="1"/>
  <c r="AC1027" i="1"/>
  <c r="AD1027" i="1"/>
  <c r="AB1027" i="1" s="1"/>
  <c r="AE1027" i="1"/>
  <c r="AF1027" i="1"/>
  <c r="S1027" i="1" s="1"/>
  <c r="AG1027" i="1"/>
  <c r="AH1027" i="1"/>
  <c r="CV1027" i="1" s="1"/>
  <c r="U1027" i="1" s="1"/>
  <c r="AI1027" i="1"/>
  <c r="AJ1027" i="1"/>
  <c r="CX1027" i="1" s="1"/>
  <c r="W1027" i="1" s="1"/>
  <c r="CQ1027" i="1"/>
  <c r="CR1027" i="1"/>
  <c r="CS1027" i="1"/>
  <c r="CU1027" i="1"/>
  <c r="T1027" i="1" s="1"/>
  <c r="CW1027" i="1"/>
  <c r="V1027" i="1" s="1"/>
  <c r="FR1027" i="1"/>
  <c r="GL1027" i="1"/>
  <c r="BZ1047" i="1" s="1"/>
  <c r="GO1027" i="1"/>
  <c r="GP1027" i="1"/>
  <c r="GV1027" i="1"/>
  <c r="HC1027" i="1" s="1"/>
  <c r="GX1027" i="1" s="1"/>
  <c r="C1028" i="1"/>
  <c r="D1028" i="1"/>
  <c r="S1028" i="1"/>
  <c r="CY1028" i="1" s="1"/>
  <c r="X1028" i="1" s="1"/>
  <c r="AC1028" i="1"/>
  <c r="AE1028" i="1"/>
  <c r="Q1028" i="1" s="1"/>
  <c r="AF1028" i="1"/>
  <c r="AG1028" i="1"/>
  <c r="CU1028" i="1" s="1"/>
  <c r="T1028" i="1" s="1"/>
  <c r="AH1028" i="1"/>
  <c r="AI1028" i="1"/>
  <c r="CW1028" i="1" s="1"/>
  <c r="V1028" i="1" s="1"/>
  <c r="AJ1028" i="1"/>
  <c r="CR1028" i="1"/>
  <c r="CT1028" i="1"/>
  <c r="CV1028" i="1"/>
  <c r="U1028" i="1" s="1"/>
  <c r="CX1028" i="1"/>
  <c r="W1028" i="1" s="1"/>
  <c r="CZ1028" i="1"/>
  <c r="Y1028" i="1" s="1"/>
  <c r="FR1028" i="1"/>
  <c r="GL1028" i="1"/>
  <c r="GO1028" i="1"/>
  <c r="GP1028" i="1"/>
  <c r="GV1028" i="1"/>
  <c r="HC1028" i="1" s="1"/>
  <c r="GX1028" i="1" s="1"/>
  <c r="I1029" i="1"/>
  <c r="S1029" i="1"/>
  <c r="CY1029" i="1" s="1"/>
  <c r="X1029" i="1" s="1"/>
  <c r="AC1029" i="1"/>
  <c r="P1029" i="1" s="1"/>
  <c r="AE1029" i="1"/>
  <c r="AD1029" i="1" s="1"/>
  <c r="AF1029" i="1"/>
  <c r="AG1029" i="1"/>
  <c r="CU1029" i="1" s="1"/>
  <c r="T1029" i="1" s="1"/>
  <c r="AH1029" i="1"/>
  <c r="AI1029" i="1"/>
  <c r="CW1029" i="1" s="1"/>
  <c r="V1029" i="1" s="1"/>
  <c r="AJ1029" i="1"/>
  <c r="CR1029" i="1"/>
  <c r="CT1029" i="1"/>
  <c r="CV1029" i="1"/>
  <c r="U1029" i="1" s="1"/>
  <c r="CX1029" i="1"/>
  <c r="W1029" i="1" s="1"/>
  <c r="FR1029" i="1"/>
  <c r="GL1029" i="1"/>
  <c r="GO1029" i="1"/>
  <c r="GP1029" i="1"/>
  <c r="GV1029" i="1"/>
  <c r="HC1029" i="1"/>
  <c r="GX1029" i="1" s="1"/>
  <c r="C1030" i="1"/>
  <c r="D1030" i="1"/>
  <c r="P1030" i="1"/>
  <c r="R1030" i="1"/>
  <c r="GK1030" i="1" s="1"/>
  <c r="AC1030" i="1"/>
  <c r="AD1030" i="1"/>
  <c r="AB1030" i="1" s="1"/>
  <c r="AE1030" i="1"/>
  <c r="Q1030" i="1" s="1"/>
  <c r="AF1030" i="1"/>
  <c r="S1030" i="1" s="1"/>
  <c r="AG1030" i="1"/>
  <c r="AH1030" i="1"/>
  <c r="CV1030" i="1" s="1"/>
  <c r="U1030" i="1" s="1"/>
  <c r="AI1030" i="1"/>
  <c r="AJ1030" i="1"/>
  <c r="CX1030" i="1" s="1"/>
  <c r="W1030" i="1" s="1"/>
  <c r="CQ1030" i="1"/>
  <c r="CR1030" i="1"/>
  <c r="CS1030" i="1"/>
  <c r="CU1030" i="1"/>
  <c r="T1030" i="1" s="1"/>
  <c r="CW1030" i="1"/>
  <c r="V1030" i="1" s="1"/>
  <c r="FR1030" i="1"/>
  <c r="GL1030" i="1"/>
  <c r="GO1030" i="1"/>
  <c r="GP1030" i="1"/>
  <c r="GV1030" i="1"/>
  <c r="HC1030" i="1" s="1"/>
  <c r="GX1030" i="1" s="1"/>
  <c r="I1031" i="1"/>
  <c r="P1031" i="1" s="1"/>
  <c r="R1031" i="1"/>
  <c r="GK1031" i="1" s="1"/>
  <c r="AC1031" i="1"/>
  <c r="AD1031" i="1"/>
  <c r="AE1031" i="1"/>
  <c r="AF1031" i="1"/>
  <c r="AB1031" i="1" s="1"/>
  <c r="AG1031" i="1"/>
  <c r="AH1031" i="1"/>
  <c r="CV1031" i="1" s="1"/>
  <c r="U1031" i="1" s="1"/>
  <c r="AI1031" i="1"/>
  <c r="AJ1031" i="1"/>
  <c r="CX1031" i="1" s="1"/>
  <c r="W1031" i="1" s="1"/>
  <c r="CQ1031" i="1"/>
  <c r="CR1031" i="1"/>
  <c r="CS1031" i="1"/>
  <c r="CU1031" i="1"/>
  <c r="T1031" i="1" s="1"/>
  <c r="CW1031" i="1"/>
  <c r="V1031" i="1" s="1"/>
  <c r="FR1031" i="1"/>
  <c r="BY1047" i="1" s="1"/>
  <c r="GL1031" i="1"/>
  <c r="GO1031" i="1"/>
  <c r="GP1031" i="1"/>
  <c r="GV1031" i="1"/>
  <c r="GX1031" i="1"/>
  <c r="HC1031" i="1"/>
  <c r="C1032" i="1"/>
  <c r="D1032" i="1"/>
  <c r="S1032" i="1"/>
  <c r="CY1032" i="1" s="1"/>
  <c r="X1032" i="1" s="1"/>
  <c r="AC1032" i="1"/>
  <c r="P1032" i="1" s="1"/>
  <c r="AE1032" i="1"/>
  <c r="AD1032" i="1" s="1"/>
  <c r="AF1032" i="1"/>
  <c r="AG1032" i="1"/>
  <c r="CU1032" i="1" s="1"/>
  <c r="T1032" i="1" s="1"/>
  <c r="AH1032" i="1"/>
  <c r="AI1032" i="1"/>
  <c r="CW1032" i="1" s="1"/>
  <c r="V1032" i="1" s="1"/>
  <c r="AJ1032" i="1"/>
  <c r="CR1032" i="1"/>
  <c r="CT1032" i="1"/>
  <c r="CV1032" i="1"/>
  <c r="U1032" i="1" s="1"/>
  <c r="CX1032" i="1"/>
  <c r="W1032" i="1" s="1"/>
  <c r="FR1032" i="1"/>
  <c r="GL1032" i="1"/>
  <c r="GO1032" i="1"/>
  <c r="GP1032" i="1"/>
  <c r="GV1032" i="1"/>
  <c r="HC1032" i="1"/>
  <c r="GX1032" i="1" s="1"/>
  <c r="C1033" i="1"/>
  <c r="D1033" i="1"/>
  <c r="P1033" i="1"/>
  <c r="R1033" i="1"/>
  <c r="GK1033" i="1" s="1"/>
  <c r="AC1033" i="1"/>
  <c r="AD1033" i="1"/>
  <c r="AB1033" i="1" s="1"/>
  <c r="AE1033" i="1"/>
  <c r="Q1033" i="1" s="1"/>
  <c r="AF1033" i="1"/>
  <c r="S1033" i="1" s="1"/>
  <c r="AG1033" i="1"/>
  <c r="AH1033" i="1"/>
  <c r="CV1033" i="1" s="1"/>
  <c r="U1033" i="1" s="1"/>
  <c r="AI1033" i="1"/>
  <c r="AJ1033" i="1"/>
  <c r="CX1033" i="1" s="1"/>
  <c r="W1033" i="1" s="1"/>
  <c r="CQ1033" i="1"/>
  <c r="CR1033" i="1"/>
  <c r="CS1033" i="1"/>
  <c r="CU1033" i="1"/>
  <c r="T1033" i="1" s="1"/>
  <c r="CW1033" i="1"/>
  <c r="V1033" i="1" s="1"/>
  <c r="FR1033" i="1"/>
  <c r="GL1033" i="1"/>
  <c r="GO1033" i="1"/>
  <c r="GP1033" i="1"/>
  <c r="GV1033" i="1"/>
  <c r="HC1033" i="1" s="1"/>
  <c r="GX1033" i="1" s="1"/>
  <c r="I1034" i="1"/>
  <c r="P1034" i="1" s="1"/>
  <c r="R1034" i="1"/>
  <c r="GK1034" i="1" s="1"/>
  <c r="AC1034" i="1"/>
  <c r="AD1034" i="1"/>
  <c r="AE1034" i="1"/>
  <c r="AF1034" i="1"/>
  <c r="AB1034" i="1" s="1"/>
  <c r="AG1034" i="1"/>
  <c r="AH1034" i="1"/>
  <c r="CV1034" i="1" s="1"/>
  <c r="U1034" i="1" s="1"/>
  <c r="AI1034" i="1"/>
  <c r="AJ1034" i="1"/>
  <c r="CX1034" i="1" s="1"/>
  <c r="W1034" i="1" s="1"/>
  <c r="CQ1034" i="1"/>
  <c r="CR1034" i="1"/>
  <c r="CS1034" i="1"/>
  <c r="CU1034" i="1"/>
  <c r="T1034" i="1" s="1"/>
  <c r="CW1034" i="1"/>
  <c r="V1034" i="1" s="1"/>
  <c r="FR1034" i="1"/>
  <c r="GL1034" i="1"/>
  <c r="GO1034" i="1"/>
  <c r="GP1034" i="1"/>
  <c r="GV1034" i="1"/>
  <c r="GX1034" i="1"/>
  <c r="HC1034" i="1"/>
  <c r="C1035" i="1"/>
  <c r="D1035" i="1"/>
  <c r="S1035" i="1"/>
  <c r="CY1035" i="1" s="1"/>
  <c r="X1035" i="1" s="1"/>
  <c r="AC1035" i="1"/>
  <c r="P1035" i="1" s="1"/>
  <c r="AE1035" i="1"/>
  <c r="AD1035" i="1" s="1"/>
  <c r="AF1035" i="1"/>
  <c r="AG1035" i="1"/>
  <c r="CU1035" i="1" s="1"/>
  <c r="T1035" i="1" s="1"/>
  <c r="AH1035" i="1"/>
  <c r="AI1035" i="1"/>
  <c r="CW1035" i="1" s="1"/>
  <c r="V1035" i="1" s="1"/>
  <c r="AJ1035" i="1"/>
  <c r="CR1035" i="1"/>
  <c r="CT1035" i="1"/>
  <c r="CV1035" i="1"/>
  <c r="U1035" i="1" s="1"/>
  <c r="CX1035" i="1"/>
  <c r="W1035" i="1" s="1"/>
  <c r="FR1035" i="1"/>
  <c r="GL1035" i="1"/>
  <c r="GN1035" i="1"/>
  <c r="GP1035" i="1"/>
  <c r="GV1035" i="1"/>
  <c r="HC1035" i="1"/>
  <c r="GX1035" i="1" s="1"/>
  <c r="I1036" i="1"/>
  <c r="S1036" i="1"/>
  <c r="CY1036" i="1" s="1"/>
  <c r="X1036" i="1" s="1"/>
  <c r="AC1036" i="1"/>
  <c r="AE1036" i="1"/>
  <c r="Q1036" i="1" s="1"/>
  <c r="AF1036" i="1"/>
  <c r="AG1036" i="1"/>
  <c r="CU1036" i="1" s="1"/>
  <c r="T1036" i="1" s="1"/>
  <c r="AH1036" i="1"/>
  <c r="AI1036" i="1"/>
  <c r="CW1036" i="1" s="1"/>
  <c r="V1036" i="1" s="1"/>
  <c r="AJ1036" i="1"/>
  <c r="CR1036" i="1"/>
  <c r="CT1036" i="1"/>
  <c r="CV1036" i="1"/>
  <c r="U1036" i="1" s="1"/>
  <c r="CX1036" i="1"/>
  <c r="W1036" i="1" s="1"/>
  <c r="CZ1036" i="1"/>
  <c r="Y1036" i="1" s="1"/>
  <c r="FR1036" i="1"/>
  <c r="GL1036" i="1"/>
  <c r="GN1036" i="1"/>
  <c r="GP1036" i="1"/>
  <c r="GV1036" i="1"/>
  <c r="HC1036" i="1" s="1"/>
  <c r="GX1036" i="1" s="1"/>
  <c r="C1037" i="1"/>
  <c r="D1037" i="1"/>
  <c r="P1037" i="1"/>
  <c r="R1037" i="1"/>
  <c r="GK1037" i="1" s="1"/>
  <c r="AC1037" i="1"/>
  <c r="AD1037" i="1"/>
  <c r="AE1037" i="1"/>
  <c r="Q1037" i="1" s="1"/>
  <c r="AF1037" i="1"/>
  <c r="AB1037" i="1" s="1"/>
  <c r="AG1037" i="1"/>
  <c r="AH1037" i="1"/>
  <c r="CV1037" i="1" s="1"/>
  <c r="U1037" i="1" s="1"/>
  <c r="AI1037" i="1"/>
  <c r="AJ1037" i="1"/>
  <c r="CX1037" i="1" s="1"/>
  <c r="W1037" i="1" s="1"/>
  <c r="CQ1037" i="1"/>
  <c r="CR1037" i="1"/>
  <c r="CS1037" i="1"/>
  <c r="CU1037" i="1"/>
  <c r="T1037" i="1" s="1"/>
  <c r="CW1037" i="1"/>
  <c r="V1037" i="1" s="1"/>
  <c r="FR1037" i="1"/>
  <c r="GL1037" i="1"/>
  <c r="GN1037" i="1"/>
  <c r="GP1037" i="1"/>
  <c r="GV1037" i="1"/>
  <c r="GX1037" i="1"/>
  <c r="HC1037" i="1"/>
  <c r="I1038" i="1"/>
  <c r="Q1038" i="1" s="1"/>
  <c r="P1038" i="1"/>
  <c r="R1038" i="1"/>
  <c r="GK1038" i="1" s="1"/>
  <c r="AC1038" i="1"/>
  <c r="AD1038" i="1"/>
  <c r="AB1038" i="1" s="1"/>
  <c r="AE1038" i="1"/>
  <c r="AF1038" i="1"/>
  <c r="S1038" i="1" s="1"/>
  <c r="AG1038" i="1"/>
  <c r="AH1038" i="1"/>
  <c r="CV1038" i="1" s="1"/>
  <c r="U1038" i="1" s="1"/>
  <c r="AI1038" i="1"/>
  <c r="AJ1038" i="1"/>
  <c r="CX1038" i="1" s="1"/>
  <c r="W1038" i="1" s="1"/>
  <c r="CQ1038" i="1"/>
  <c r="CR1038" i="1"/>
  <c r="CS1038" i="1"/>
  <c r="CU1038" i="1"/>
  <c r="T1038" i="1" s="1"/>
  <c r="CW1038" i="1"/>
  <c r="V1038" i="1" s="1"/>
  <c r="FR1038" i="1"/>
  <c r="GL1038" i="1"/>
  <c r="GN1038" i="1"/>
  <c r="GP1038" i="1"/>
  <c r="GV1038" i="1"/>
  <c r="HC1038" i="1" s="1"/>
  <c r="GX1038" i="1" s="1"/>
  <c r="I1039" i="1"/>
  <c r="R1039" i="1" s="1"/>
  <c r="GK1039" i="1" s="1"/>
  <c r="AB1039" i="1"/>
  <c r="AC1039" i="1"/>
  <c r="AD1039" i="1"/>
  <c r="AE1039" i="1"/>
  <c r="AF1039" i="1"/>
  <c r="S1039" i="1" s="1"/>
  <c r="AG1039" i="1"/>
  <c r="AH1039" i="1"/>
  <c r="CV1039" i="1" s="1"/>
  <c r="U1039" i="1" s="1"/>
  <c r="AI1039" i="1"/>
  <c r="AJ1039" i="1"/>
  <c r="CX1039" i="1" s="1"/>
  <c r="W1039" i="1" s="1"/>
  <c r="CQ1039" i="1"/>
  <c r="CR1039" i="1"/>
  <c r="CS1039" i="1"/>
  <c r="CU1039" i="1"/>
  <c r="T1039" i="1" s="1"/>
  <c r="CW1039" i="1"/>
  <c r="V1039" i="1" s="1"/>
  <c r="FR1039" i="1"/>
  <c r="GL1039" i="1"/>
  <c r="GN1039" i="1"/>
  <c r="GP1039" i="1"/>
  <c r="GV1039" i="1"/>
  <c r="GX1039" i="1"/>
  <c r="HC1039" i="1"/>
  <c r="I1040" i="1"/>
  <c r="Q1040" i="1" s="1"/>
  <c r="P1040" i="1"/>
  <c r="CP1040" i="1" s="1"/>
  <c r="O1040" i="1" s="1"/>
  <c r="R1040" i="1"/>
  <c r="GK1040" i="1" s="1"/>
  <c r="AC1040" i="1"/>
  <c r="AD1040" i="1"/>
  <c r="AB1040" i="1" s="1"/>
  <c r="AE1040" i="1"/>
  <c r="AF1040" i="1"/>
  <c r="S1040" i="1" s="1"/>
  <c r="AG1040" i="1"/>
  <c r="AH1040" i="1"/>
  <c r="CV1040" i="1" s="1"/>
  <c r="U1040" i="1" s="1"/>
  <c r="AI1040" i="1"/>
  <c r="AJ1040" i="1"/>
  <c r="CX1040" i="1" s="1"/>
  <c r="W1040" i="1" s="1"/>
  <c r="CQ1040" i="1"/>
  <c r="CR1040" i="1"/>
  <c r="CS1040" i="1"/>
  <c r="CU1040" i="1"/>
  <c r="T1040" i="1" s="1"/>
  <c r="CW1040" i="1"/>
  <c r="V1040" i="1" s="1"/>
  <c r="FR1040" i="1"/>
  <c r="GL1040" i="1"/>
  <c r="GN1040" i="1"/>
  <c r="GP1040" i="1"/>
  <c r="GV1040" i="1"/>
  <c r="HC1040" i="1" s="1"/>
  <c r="GX1040" i="1" s="1"/>
  <c r="I1041" i="1"/>
  <c r="P1041" i="1" s="1"/>
  <c r="R1041" i="1"/>
  <c r="GK1041" i="1" s="1"/>
  <c r="AC1041" i="1"/>
  <c r="AD1041" i="1"/>
  <c r="AE1041" i="1"/>
  <c r="AF1041" i="1"/>
  <c r="S1041" i="1" s="1"/>
  <c r="AG1041" i="1"/>
  <c r="AH1041" i="1"/>
  <c r="CV1041" i="1" s="1"/>
  <c r="U1041" i="1" s="1"/>
  <c r="AI1041" i="1"/>
  <c r="AJ1041" i="1"/>
  <c r="CX1041" i="1" s="1"/>
  <c r="W1041" i="1" s="1"/>
  <c r="CQ1041" i="1"/>
  <c r="CR1041" i="1"/>
  <c r="CS1041" i="1"/>
  <c r="CU1041" i="1"/>
  <c r="T1041" i="1" s="1"/>
  <c r="CW1041" i="1"/>
  <c r="V1041" i="1" s="1"/>
  <c r="FR1041" i="1"/>
  <c r="GL1041" i="1"/>
  <c r="GN1041" i="1"/>
  <c r="GP1041" i="1"/>
  <c r="GV1041" i="1"/>
  <c r="GX1041" i="1"/>
  <c r="HC1041" i="1"/>
  <c r="C1042" i="1"/>
  <c r="D1042" i="1"/>
  <c r="S1042" i="1"/>
  <c r="CY1042" i="1" s="1"/>
  <c r="X1042" i="1" s="1"/>
  <c r="AC1042" i="1"/>
  <c r="P1042" i="1" s="1"/>
  <c r="AE1042" i="1"/>
  <c r="AD1042" i="1" s="1"/>
  <c r="AF1042" i="1"/>
  <c r="AG1042" i="1"/>
  <c r="CU1042" i="1" s="1"/>
  <c r="T1042" i="1" s="1"/>
  <c r="AH1042" i="1"/>
  <c r="AI1042" i="1"/>
  <c r="CW1042" i="1" s="1"/>
  <c r="V1042" i="1" s="1"/>
  <c r="AJ1042" i="1"/>
  <c r="CR1042" i="1"/>
  <c r="CT1042" i="1"/>
  <c r="CV1042" i="1"/>
  <c r="U1042" i="1" s="1"/>
  <c r="CX1042" i="1"/>
  <c r="W1042" i="1" s="1"/>
  <c r="FR1042" i="1"/>
  <c r="GL1042" i="1"/>
  <c r="GN1042" i="1"/>
  <c r="GO1042" i="1"/>
  <c r="GV1042" i="1"/>
  <c r="HC1042" i="1"/>
  <c r="GX1042" i="1" s="1"/>
  <c r="C1043" i="1"/>
  <c r="D1043" i="1"/>
  <c r="P1043" i="1"/>
  <c r="R1043" i="1"/>
  <c r="GK1043" i="1" s="1"/>
  <c r="AC1043" i="1"/>
  <c r="AD1043" i="1"/>
  <c r="AB1043" i="1" s="1"/>
  <c r="AE1043" i="1"/>
  <c r="Q1043" i="1" s="1"/>
  <c r="AF1043" i="1"/>
  <c r="S1043" i="1" s="1"/>
  <c r="AG1043" i="1"/>
  <c r="AH1043" i="1"/>
  <c r="CV1043" i="1" s="1"/>
  <c r="U1043" i="1" s="1"/>
  <c r="AI1043" i="1"/>
  <c r="AJ1043" i="1"/>
  <c r="CX1043" i="1" s="1"/>
  <c r="W1043" i="1" s="1"/>
  <c r="CQ1043" i="1"/>
  <c r="CR1043" i="1"/>
  <c r="CS1043" i="1"/>
  <c r="CU1043" i="1"/>
  <c r="T1043" i="1" s="1"/>
  <c r="CW1043" i="1"/>
  <c r="V1043" i="1" s="1"/>
  <c r="FR1043" i="1"/>
  <c r="GL1043" i="1"/>
  <c r="GN1043" i="1"/>
  <c r="GO1043" i="1"/>
  <c r="GV1043" i="1"/>
  <c r="HC1043" i="1" s="1"/>
  <c r="GX1043" i="1" s="1"/>
  <c r="C1044" i="1"/>
  <c r="D1044" i="1"/>
  <c r="S1044" i="1"/>
  <c r="CY1044" i="1" s="1"/>
  <c r="X1044" i="1" s="1"/>
  <c r="AC1044" i="1"/>
  <c r="AE1044" i="1"/>
  <c r="R1044" i="1" s="1"/>
  <c r="GK1044" i="1" s="1"/>
  <c r="AF1044" i="1"/>
  <c r="AG1044" i="1"/>
  <c r="CU1044" i="1" s="1"/>
  <c r="T1044" i="1" s="1"/>
  <c r="AH1044" i="1"/>
  <c r="AI1044" i="1"/>
  <c r="CW1044" i="1" s="1"/>
  <c r="V1044" i="1" s="1"/>
  <c r="AJ1044" i="1"/>
  <c r="CR1044" i="1"/>
  <c r="CT1044" i="1"/>
  <c r="CV1044" i="1"/>
  <c r="U1044" i="1" s="1"/>
  <c r="CX1044" i="1"/>
  <c r="W1044" i="1" s="1"/>
  <c r="CZ1044" i="1"/>
  <c r="Y1044" i="1" s="1"/>
  <c r="FR1044" i="1"/>
  <c r="GL1044" i="1"/>
  <c r="GN1044" i="1"/>
  <c r="GO1044" i="1"/>
  <c r="GV1044" i="1"/>
  <c r="HC1044" i="1" s="1"/>
  <c r="GX1044" i="1" s="1"/>
  <c r="C1045" i="1"/>
  <c r="D1045" i="1"/>
  <c r="P1045" i="1"/>
  <c r="R1045" i="1"/>
  <c r="GK1045" i="1" s="1"/>
  <c r="AC1045" i="1"/>
  <c r="AD1045" i="1"/>
  <c r="AE1045" i="1"/>
  <c r="Q1045" i="1" s="1"/>
  <c r="AF1045" i="1"/>
  <c r="S1045" i="1" s="1"/>
  <c r="AG1045" i="1"/>
  <c r="AH1045" i="1"/>
  <c r="CV1045" i="1" s="1"/>
  <c r="U1045" i="1" s="1"/>
  <c r="AI1045" i="1"/>
  <c r="AJ1045" i="1"/>
  <c r="CX1045" i="1" s="1"/>
  <c r="W1045" i="1" s="1"/>
  <c r="CQ1045" i="1"/>
  <c r="CR1045" i="1"/>
  <c r="CS1045" i="1"/>
  <c r="CU1045" i="1"/>
  <c r="T1045" i="1" s="1"/>
  <c r="CW1045" i="1"/>
  <c r="V1045" i="1" s="1"/>
  <c r="FR1045" i="1"/>
  <c r="GL1045" i="1"/>
  <c r="GN1045" i="1"/>
  <c r="GO1045" i="1"/>
  <c r="GV1045" i="1"/>
  <c r="GX1045" i="1"/>
  <c r="HC1045" i="1"/>
  <c r="B1047" i="1"/>
  <c r="B1011" i="1" s="1"/>
  <c r="C1047" i="1"/>
  <c r="C1011" i="1" s="1"/>
  <c r="D1047" i="1"/>
  <c r="D1011" i="1" s="1"/>
  <c r="F1047" i="1"/>
  <c r="F1011" i="1" s="1"/>
  <c r="G1047" i="1"/>
  <c r="G1011" i="1" s="1"/>
  <c r="BX1047" i="1"/>
  <c r="BX1011" i="1" s="1"/>
  <c r="CK1047" i="1"/>
  <c r="CK1011" i="1" s="1"/>
  <c r="CL1047" i="1"/>
  <c r="CL1011" i="1" s="1"/>
  <c r="CM1047" i="1"/>
  <c r="CM1011" i="1" s="1"/>
  <c r="B1077" i="1"/>
  <c r="B1007" i="1" s="1"/>
  <c r="C1077" i="1"/>
  <c r="C1007" i="1" s="1"/>
  <c r="D1077" i="1"/>
  <c r="D1007" i="1" s="1"/>
  <c r="F1077" i="1"/>
  <c r="F1007" i="1" s="1"/>
  <c r="G1077" i="1"/>
  <c r="G1007" i="1" s="1"/>
  <c r="B1107" i="1"/>
  <c r="B22" i="1" s="1"/>
  <c r="C1107" i="1"/>
  <c r="C22" i="1" s="1"/>
  <c r="D1107" i="1"/>
  <c r="D22" i="1" s="1"/>
  <c r="F1107" i="1"/>
  <c r="F22" i="1" s="1"/>
  <c r="G1107" i="1"/>
  <c r="G22" i="1" s="1"/>
  <c r="B1137" i="1"/>
  <c r="B18" i="1" s="1"/>
  <c r="C1137" i="1"/>
  <c r="C18" i="1" s="1"/>
  <c r="D1137" i="1"/>
  <c r="D18" i="1" s="1"/>
  <c r="F1137" i="1"/>
  <c r="F18" i="1" s="1"/>
  <c r="G1137" i="1"/>
  <c r="G18" i="1" s="1"/>
  <c r="J771" i="5" l="1"/>
  <c r="I18" i="5"/>
  <c r="O1590" i="5"/>
  <c r="H1590" i="5"/>
  <c r="J1248" i="5"/>
  <c r="J1084" i="5"/>
  <c r="H913" i="5"/>
  <c r="Y1590" i="5"/>
  <c r="J586" i="5"/>
  <c r="J873" i="5"/>
  <c r="H153" i="5"/>
  <c r="H962" i="5"/>
  <c r="J913" i="5"/>
  <c r="J204" i="5"/>
  <c r="J400" i="5"/>
  <c r="J1472" i="5"/>
  <c r="J1207" i="5"/>
  <c r="O1436" i="5"/>
  <c r="H1622" i="5" s="1"/>
  <c r="J1411" i="5"/>
  <c r="J860" i="5"/>
  <c r="J570" i="5"/>
  <c r="H400" i="5"/>
  <c r="H503" i="5"/>
  <c r="O153" i="5"/>
  <c r="I16" i="5"/>
  <c r="H204" i="5"/>
  <c r="H1610" i="5"/>
  <c r="H1614" i="5"/>
  <c r="H1526" i="5"/>
  <c r="X1526" i="5"/>
  <c r="H1411" i="5"/>
  <c r="J1352" i="5"/>
  <c r="O1126" i="5"/>
  <c r="H1163" i="5" s="1"/>
  <c r="X1126" i="5"/>
  <c r="J1163" i="5"/>
  <c r="H1014" i="5"/>
  <c r="X936" i="5"/>
  <c r="I17" i="5" s="1"/>
  <c r="J1090" i="5"/>
  <c r="J1029" i="5"/>
  <c r="H771" i="5"/>
  <c r="J759" i="5"/>
  <c r="H1029" i="5"/>
  <c r="J503" i="5"/>
  <c r="H311" i="5"/>
  <c r="H364" i="5"/>
  <c r="P1481" i="5"/>
  <c r="J1610" i="5" s="1"/>
  <c r="J1481" i="5"/>
  <c r="J1284" i="5"/>
  <c r="X996" i="5"/>
  <c r="O996" i="5"/>
  <c r="H1618" i="5" s="1"/>
  <c r="H996" i="5"/>
  <c r="J431" i="5"/>
  <c r="J364" i="5"/>
  <c r="J546" i="5"/>
  <c r="H431" i="5"/>
  <c r="CZ1038" i="1"/>
  <c r="Y1038" i="1" s="1"/>
  <c r="CY1038" i="1"/>
  <c r="X1038" i="1" s="1"/>
  <c r="CZ1043" i="1"/>
  <c r="Y1043" i="1" s="1"/>
  <c r="CY1043" i="1"/>
  <c r="X1043" i="1" s="1"/>
  <c r="CY1041" i="1"/>
  <c r="X1041" i="1" s="1"/>
  <c r="CZ1041" i="1"/>
  <c r="Y1041" i="1" s="1"/>
  <c r="CZ1040" i="1"/>
  <c r="Y1040" i="1" s="1"/>
  <c r="CY1040" i="1"/>
  <c r="X1040" i="1" s="1"/>
  <c r="CP1038" i="1"/>
  <c r="O1038" i="1" s="1"/>
  <c r="CP1020" i="1"/>
  <c r="O1020" i="1" s="1"/>
  <c r="CZ1016" i="1"/>
  <c r="Y1016" i="1" s="1"/>
  <c r="CY1016" i="1"/>
  <c r="X1016" i="1" s="1"/>
  <c r="CC968" i="1"/>
  <c r="AT975" i="1"/>
  <c r="AG975" i="1"/>
  <c r="AJ975" i="1"/>
  <c r="CY970" i="1"/>
  <c r="X970" i="1" s="1"/>
  <c r="CZ970" i="1"/>
  <c r="Y970" i="1" s="1"/>
  <c r="CP970" i="1"/>
  <c r="O970" i="1" s="1"/>
  <c r="CP934" i="1"/>
  <c r="O934" i="1" s="1"/>
  <c r="CZ926" i="1"/>
  <c r="Y926" i="1" s="1"/>
  <c r="CY926" i="1"/>
  <c r="X926" i="1" s="1"/>
  <c r="S927" i="1"/>
  <c r="Q927" i="1"/>
  <c r="CP927" i="1" s="1"/>
  <c r="O927" i="1" s="1"/>
  <c r="CP1045" i="1"/>
  <c r="O1045" i="1" s="1"/>
  <c r="CY1039" i="1"/>
  <c r="X1039" i="1" s="1"/>
  <c r="CZ1039" i="1"/>
  <c r="Y1039" i="1" s="1"/>
  <c r="CP1043" i="1"/>
  <c r="O1043" i="1" s="1"/>
  <c r="GM1040" i="1"/>
  <c r="GO1040" i="1"/>
  <c r="CY1033" i="1"/>
  <c r="X1033" i="1" s="1"/>
  <c r="CZ1033" i="1"/>
  <c r="Y1033" i="1" s="1"/>
  <c r="CY1030" i="1"/>
  <c r="X1030" i="1" s="1"/>
  <c r="CZ1030" i="1"/>
  <c r="Y1030" i="1" s="1"/>
  <c r="CY1023" i="1"/>
  <c r="X1023" i="1" s="1"/>
  <c r="CZ1023" i="1"/>
  <c r="Y1023" i="1" s="1"/>
  <c r="CY1013" i="1"/>
  <c r="X1013" i="1" s="1"/>
  <c r="CZ1013" i="1"/>
  <c r="Y1013" i="1" s="1"/>
  <c r="CZ929" i="1"/>
  <c r="Y929" i="1" s="1"/>
  <c r="CY929" i="1"/>
  <c r="X929" i="1" s="1"/>
  <c r="W927" i="1"/>
  <c r="CZ922" i="1"/>
  <c r="Y922" i="1" s="1"/>
  <c r="CY922" i="1"/>
  <c r="X922" i="1" s="1"/>
  <c r="CP919" i="1"/>
  <c r="O919" i="1" s="1"/>
  <c r="GM918" i="1"/>
  <c r="GN918" i="1"/>
  <c r="CY1045" i="1"/>
  <c r="X1045" i="1" s="1"/>
  <c r="CZ1045" i="1"/>
  <c r="Y1045" i="1" s="1"/>
  <c r="CP1033" i="1"/>
  <c r="O1033" i="1" s="1"/>
  <c r="CP1030" i="1"/>
  <c r="O1030" i="1" s="1"/>
  <c r="CY1027" i="1"/>
  <c r="X1027" i="1" s="1"/>
  <c r="CZ1027" i="1"/>
  <c r="Y1027" i="1" s="1"/>
  <c r="CZ1025" i="1"/>
  <c r="Y1025" i="1" s="1"/>
  <c r="CY1025" i="1"/>
  <c r="X1025" i="1" s="1"/>
  <c r="CP1023" i="1"/>
  <c r="O1023" i="1" s="1"/>
  <c r="CY1018" i="1"/>
  <c r="X1018" i="1" s="1"/>
  <c r="CZ1018" i="1"/>
  <c r="Y1018" i="1" s="1"/>
  <c r="CP1013" i="1"/>
  <c r="O1013" i="1" s="1"/>
  <c r="CI975" i="1"/>
  <c r="BY968" i="1"/>
  <c r="AP975" i="1"/>
  <c r="CJ975" i="1"/>
  <c r="AH975" i="1"/>
  <c r="U927" i="1"/>
  <c r="V927" i="1"/>
  <c r="R927" i="1"/>
  <c r="GK927" i="1" s="1"/>
  <c r="BZ904" i="1"/>
  <c r="CG936" i="1"/>
  <c r="AQ936" i="1"/>
  <c r="CP921" i="1"/>
  <c r="O921" i="1" s="1"/>
  <c r="BY1011" i="1"/>
  <c r="AP1047" i="1"/>
  <c r="CI1047" i="1"/>
  <c r="BZ1011" i="1"/>
  <c r="CG1047" i="1"/>
  <c r="AQ1047" i="1"/>
  <c r="GM1027" i="1"/>
  <c r="GN1027" i="1"/>
  <c r="CY1020" i="1"/>
  <c r="X1020" i="1" s="1"/>
  <c r="CZ1020" i="1"/>
  <c r="Y1020" i="1" s="1"/>
  <c r="CP1018" i="1"/>
  <c r="O1018" i="1" s="1"/>
  <c r="AI975" i="1"/>
  <c r="CY934" i="1"/>
  <c r="X934" i="1" s="1"/>
  <c r="CZ934" i="1"/>
  <c r="Y934" i="1" s="1"/>
  <c r="CY924" i="1"/>
  <c r="X924" i="1" s="1"/>
  <c r="CZ924" i="1"/>
  <c r="Y924" i="1" s="1"/>
  <c r="CP924" i="1"/>
  <c r="O924" i="1" s="1"/>
  <c r="BD1047" i="1"/>
  <c r="AB1041" i="1"/>
  <c r="BC1047" i="1"/>
  <c r="CQ1044" i="1"/>
  <c r="AD1044" i="1"/>
  <c r="AB1044" i="1" s="1"/>
  <c r="P1044" i="1"/>
  <c r="CT1043" i="1"/>
  <c r="CS1042" i="1"/>
  <c r="AB1042" i="1"/>
  <c r="R1042" i="1"/>
  <c r="GK1042" i="1" s="1"/>
  <c r="Q1041" i="1"/>
  <c r="CP1041" i="1" s="1"/>
  <c r="O1041" i="1" s="1"/>
  <c r="CT1040" i="1"/>
  <c r="Q1039" i="1"/>
  <c r="CT1038" i="1"/>
  <c r="CQ1036" i="1"/>
  <c r="AD1036" i="1"/>
  <c r="AB1036" i="1" s="1"/>
  <c r="P1036" i="1"/>
  <c r="CP1036" i="1" s="1"/>
  <c r="O1036" i="1" s="1"/>
  <c r="CS1035" i="1"/>
  <c r="AB1035" i="1"/>
  <c r="R1035" i="1"/>
  <c r="GK1035" i="1" s="1"/>
  <c r="Q1034" i="1"/>
  <c r="CP1034" i="1" s="1"/>
  <c r="O1034" i="1" s="1"/>
  <c r="CT1033" i="1"/>
  <c r="CS1032" i="1"/>
  <c r="AB1032" i="1"/>
  <c r="R1032" i="1"/>
  <c r="GK1032" i="1" s="1"/>
  <c r="Q1031" i="1"/>
  <c r="CP1031" i="1" s="1"/>
  <c r="O1031" i="1" s="1"/>
  <c r="CT1030" i="1"/>
  <c r="CS1029" i="1"/>
  <c r="AB1029" i="1"/>
  <c r="R1029" i="1"/>
  <c r="GK1029" i="1" s="1"/>
  <c r="CQ1028" i="1"/>
  <c r="AD1028" i="1"/>
  <c r="AB1028" i="1" s="1"/>
  <c r="P1028" i="1"/>
  <c r="CP1028" i="1" s="1"/>
  <c r="O1028" i="1" s="1"/>
  <c r="CT1027" i="1"/>
  <c r="CQ1025" i="1"/>
  <c r="AD1025" i="1"/>
  <c r="AB1025" i="1" s="1"/>
  <c r="P1025" i="1"/>
  <c r="CP1025" i="1" s="1"/>
  <c r="O1025" i="1" s="1"/>
  <c r="Q1024" i="1"/>
  <c r="CP1024" i="1" s="1"/>
  <c r="O1024" i="1" s="1"/>
  <c r="CT1023" i="1"/>
  <c r="CQ1022" i="1"/>
  <c r="AD1022" i="1"/>
  <c r="AB1022" i="1" s="1"/>
  <c r="CS1021" i="1"/>
  <c r="AB1021" i="1"/>
  <c r="R1021" i="1"/>
  <c r="GK1021" i="1" s="1"/>
  <c r="CT1020" i="1"/>
  <c r="Q1019" i="1"/>
  <c r="CP1019" i="1" s="1"/>
  <c r="O1019" i="1" s="1"/>
  <c r="CT1018" i="1"/>
  <c r="CS1017" i="1"/>
  <c r="AB1017" i="1"/>
  <c r="R1017" i="1"/>
  <c r="GK1017" i="1" s="1"/>
  <c r="I1017" i="1"/>
  <c r="CQ1016" i="1"/>
  <c r="AD1016" i="1"/>
  <c r="AB1016" i="1" s="1"/>
  <c r="P1016" i="1"/>
  <c r="CP1016" i="1" s="1"/>
  <c r="O1016" i="1" s="1"/>
  <c r="CQ1014" i="1"/>
  <c r="AD1014" i="1"/>
  <c r="AB1014" i="1" s="1"/>
  <c r="P1014" i="1"/>
  <c r="CT1013" i="1"/>
  <c r="CG975" i="1"/>
  <c r="BB975" i="1"/>
  <c r="CQ973" i="1"/>
  <c r="AD973" i="1"/>
  <c r="AB973" i="1" s="1"/>
  <c r="P973" i="1"/>
  <c r="CP973" i="1" s="1"/>
  <c r="O973" i="1" s="1"/>
  <c r="CS972" i="1"/>
  <c r="AB972" i="1"/>
  <c r="R972" i="1"/>
  <c r="GK972" i="1" s="1"/>
  <c r="CT970" i="1"/>
  <c r="AO936" i="1"/>
  <c r="CT934" i="1"/>
  <c r="CS933" i="1"/>
  <c r="AB933" i="1"/>
  <c r="R933" i="1"/>
  <c r="GK933" i="1" s="1"/>
  <c r="CQ931" i="1"/>
  <c r="AD931" i="1"/>
  <c r="AB931" i="1" s="1"/>
  <c r="P931" i="1"/>
  <c r="CQ929" i="1"/>
  <c r="AD929" i="1"/>
  <c r="AB929" i="1" s="1"/>
  <c r="P929" i="1"/>
  <c r="CP929" i="1" s="1"/>
  <c r="O929" i="1" s="1"/>
  <c r="CS927" i="1"/>
  <c r="AB927" i="1"/>
  <c r="CQ926" i="1"/>
  <c r="AD926" i="1"/>
  <c r="AB926" i="1" s="1"/>
  <c r="P926" i="1"/>
  <c r="CP926" i="1" s="1"/>
  <c r="O926" i="1" s="1"/>
  <c r="CT924" i="1"/>
  <c r="CQ922" i="1"/>
  <c r="AD922" i="1"/>
  <c r="AB922" i="1" s="1"/>
  <c r="CS921" i="1"/>
  <c r="AB921" i="1"/>
  <c r="R921" i="1"/>
  <c r="GK921" i="1" s="1"/>
  <c r="CX468" i="3"/>
  <c r="CX467" i="3"/>
  <c r="CX466" i="3"/>
  <c r="CS919" i="1"/>
  <c r="AB919" i="1"/>
  <c r="R919" i="1"/>
  <c r="GK919" i="1" s="1"/>
  <c r="T915" i="1"/>
  <c r="CY910" i="1"/>
  <c r="X910" i="1" s="1"/>
  <c r="CZ910" i="1"/>
  <c r="Y910" i="1" s="1"/>
  <c r="CC828" i="1"/>
  <c r="AT842" i="1"/>
  <c r="AG842" i="1"/>
  <c r="CP823" i="1"/>
  <c r="O823" i="1" s="1"/>
  <c r="CP821" i="1"/>
  <c r="O821" i="1" s="1"/>
  <c r="CZ815" i="1"/>
  <c r="Y815" i="1" s="1"/>
  <c r="CY815" i="1"/>
  <c r="X815" i="1" s="1"/>
  <c r="CY775" i="1"/>
  <c r="X775" i="1" s="1"/>
  <c r="CZ775" i="1"/>
  <c r="Y775" i="1" s="1"/>
  <c r="AP781" i="1"/>
  <c r="BY764" i="1"/>
  <c r="CI781" i="1"/>
  <c r="CY769" i="1"/>
  <c r="X769" i="1" s="1"/>
  <c r="CZ769" i="1"/>
  <c r="Y769" i="1" s="1"/>
  <c r="Q1044" i="1"/>
  <c r="BB1047" i="1"/>
  <c r="CZ1042" i="1"/>
  <c r="Y1042" i="1" s="1"/>
  <c r="Q1042" i="1"/>
  <c r="CP1042" i="1" s="1"/>
  <c r="O1042" i="1" s="1"/>
  <c r="P1039" i="1"/>
  <c r="CP1039" i="1" s="1"/>
  <c r="O1039" i="1" s="1"/>
  <c r="CZ1035" i="1"/>
  <c r="Y1035" i="1" s="1"/>
  <c r="Q1035" i="1"/>
  <c r="CP1035" i="1" s="1"/>
  <c r="O1035" i="1" s="1"/>
  <c r="CZ1032" i="1"/>
  <c r="Y1032" i="1" s="1"/>
  <c r="Q1032" i="1"/>
  <c r="CP1032" i="1" s="1"/>
  <c r="O1032" i="1" s="1"/>
  <c r="CZ1029" i="1"/>
  <c r="Y1029" i="1" s="1"/>
  <c r="Q1029" i="1"/>
  <c r="CP1029" i="1" s="1"/>
  <c r="O1029" i="1" s="1"/>
  <c r="CZ1021" i="1"/>
  <c r="Y1021" i="1" s="1"/>
  <c r="Q1021" i="1"/>
  <c r="CP1021" i="1" s="1"/>
  <c r="O1021" i="1" s="1"/>
  <c r="CX519" i="3"/>
  <c r="CX518" i="3"/>
  <c r="AO975" i="1"/>
  <c r="CZ972" i="1"/>
  <c r="Y972" i="1" s="1"/>
  <c r="Q972" i="1"/>
  <c r="CP972" i="1" s="1"/>
  <c r="O972" i="1" s="1"/>
  <c r="R970" i="1"/>
  <c r="BD936" i="1"/>
  <c r="CZ933" i="1"/>
  <c r="Y933" i="1" s="1"/>
  <c r="Q933" i="1"/>
  <c r="CP933" i="1" s="1"/>
  <c r="O933" i="1" s="1"/>
  <c r="CQ928" i="1"/>
  <c r="CT926" i="1"/>
  <c r="CQ925" i="1"/>
  <c r="CS924" i="1"/>
  <c r="R924" i="1"/>
  <c r="GK924" i="1" s="1"/>
  <c r="CQ923" i="1"/>
  <c r="CT922" i="1"/>
  <c r="CZ921" i="1"/>
  <c r="Y921" i="1" s="1"/>
  <c r="CQ920" i="1"/>
  <c r="CZ919" i="1"/>
  <c r="Y919" i="1" s="1"/>
  <c r="AD917" i="1"/>
  <c r="R917" i="1"/>
  <c r="GK917" i="1" s="1"/>
  <c r="CS917" i="1"/>
  <c r="CS914" i="1"/>
  <c r="AD914" i="1"/>
  <c r="P913" i="1"/>
  <c r="CQ913" i="1"/>
  <c r="AB913" i="1"/>
  <c r="CP910" i="1"/>
  <c r="O910" i="1" s="1"/>
  <c r="CY835" i="1"/>
  <c r="X835" i="1" s="1"/>
  <c r="CZ835" i="1"/>
  <c r="Y835" i="1" s="1"/>
  <c r="BY828" i="1"/>
  <c r="AP842" i="1"/>
  <c r="CI842" i="1"/>
  <c r="CY831" i="1"/>
  <c r="X831" i="1" s="1"/>
  <c r="CZ831" i="1"/>
  <c r="Y831" i="1" s="1"/>
  <c r="AJ842" i="1"/>
  <c r="CZ818" i="1"/>
  <c r="Y818" i="1" s="1"/>
  <c r="CY818" i="1"/>
  <c r="X818" i="1" s="1"/>
  <c r="BB764" i="1"/>
  <c r="F794" i="1"/>
  <c r="BZ764" i="1"/>
  <c r="AQ781" i="1"/>
  <c r="CP775" i="1"/>
  <c r="O775" i="1" s="1"/>
  <c r="GM769" i="1"/>
  <c r="GN769" i="1"/>
  <c r="AB1045" i="1"/>
  <c r="AO1047" i="1"/>
  <c r="CT1045" i="1"/>
  <c r="CS1044" i="1"/>
  <c r="CQ1042" i="1"/>
  <c r="CT1041" i="1"/>
  <c r="CT1039" i="1"/>
  <c r="CT1037" i="1"/>
  <c r="S1037" i="1"/>
  <c r="CS1036" i="1"/>
  <c r="R1036" i="1"/>
  <c r="GK1036" i="1" s="1"/>
  <c r="CQ1035" i="1"/>
  <c r="CT1034" i="1"/>
  <c r="S1034" i="1"/>
  <c r="CQ1032" i="1"/>
  <c r="CT1031" i="1"/>
  <c r="S1031" i="1"/>
  <c r="CQ1029" i="1"/>
  <c r="CS1028" i="1"/>
  <c r="R1028" i="1"/>
  <c r="GK1028" i="1" s="1"/>
  <c r="CT1026" i="1"/>
  <c r="S1026" i="1"/>
  <c r="CS1025" i="1"/>
  <c r="R1025" i="1"/>
  <c r="GK1025" i="1" s="1"/>
  <c r="CT1024" i="1"/>
  <c r="S1024" i="1"/>
  <c r="CX521" i="3"/>
  <c r="CX520" i="3"/>
  <c r="CS1022" i="1"/>
  <c r="I1022" i="1"/>
  <c r="CQ1021" i="1"/>
  <c r="CT1019" i="1"/>
  <c r="S1019" i="1"/>
  <c r="CQ1017" i="1"/>
  <c r="CS1016" i="1"/>
  <c r="R1016" i="1"/>
  <c r="GK1016" i="1" s="1"/>
  <c r="CT1015" i="1"/>
  <c r="S1015" i="1"/>
  <c r="CS1014" i="1"/>
  <c r="R1014" i="1"/>
  <c r="CX503" i="3"/>
  <c r="CX502" i="3"/>
  <c r="BD975" i="1"/>
  <c r="CS973" i="1"/>
  <c r="R973" i="1"/>
  <c r="GK973" i="1" s="1"/>
  <c r="CQ972" i="1"/>
  <c r="CT971" i="1"/>
  <c r="S971" i="1"/>
  <c r="AF975" i="1" s="1"/>
  <c r="BC936" i="1"/>
  <c r="CQ933" i="1"/>
  <c r="CT932" i="1"/>
  <c r="S932" i="1"/>
  <c r="CS931" i="1"/>
  <c r="R931" i="1"/>
  <c r="GK931" i="1" s="1"/>
  <c r="CT930" i="1"/>
  <c r="S930" i="1"/>
  <c r="CP930" i="1" s="1"/>
  <c r="O930" i="1" s="1"/>
  <c r="CS929" i="1"/>
  <c r="R929" i="1"/>
  <c r="GK929" i="1" s="1"/>
  <c r="CT928" i="1"/>
  <c r="S928" i="1"/>
  <c r="CP928" i="1" s="1"/>
  <c r="O928" i="1" s="1"/>
  <c r="CQ927" i="1"/>
  <c r="CS926" i="1"/>
  <c r="R926" i="1"/>
  <c r="GK926" i="1" s="1"/>
  <c r="CT925" i="1"/>
  <c r="S925" i="1"/>
  <c r="CT923" i="1"/>
  <c r="S923" i="1"/>
  <c r="CS922" i="1"/>
  <c r="R922" i="1"/>
  <c r="GK922" i="1" s="1"/>
  <c r="GM922" i="1" s="1"/>
  <c r="CQ921" i="1"/>
  <c r="CT920" i="1"/>
  <c r="S920" i="1"/>
  <c r="CP920" i="1" s="1"/>
  <c r="O920" i="1" s="1"/>
  <c r="CQ919" i="1"/>
  <c r="P917" i="1"/>
  <c r="CP917" i="1" s="1"/>
  <c r="O917" i="1" s="1"/>
  <c r="CQ917" i="1"/>
  <c r="AB917" i="1"/>
  <c r="S916" i="1"/>
  <c r="CT916" i="1"/>
  <c r="AB916" i="1"/>
  <c r="AD915" i="1"/>
  <c r="R915" i="1"/>
  <c r="GK915" i="1" s="1"/>
  <c r="CS915" i="1"/>
  <c r="AB914" i="1"/>
  <c r="CP912" i="1"/>
  <c r="O912" i="1" s="1"/>
  <c r="CZ908" i="1"/>
  <c r="Y908" i="1" s="1"/>
  <c r="CY908" i="1"/>
  <c r="X908" i="1" s="1"/>
  <c r="CP835" i="1"/>
  <c r="O835" i="1" s="1"/>
  <c r="CP831" i="1"/>
  <c r="O831" i="1" s="1"/>
  <c r="AH842" i="1"/>
  <c r="AI842" i="1"/>
  <c r="CY819" i="1"/>
  <c r="X819" i="1" s="1"/>
  <c r="CZ819" i="1"/>
  <c r="Y819" i="1" s="1"/>
  <c r="F785" i="1"/>
  <c r="AO764" i="1"/>
  <c r="CY772" i="1"/>
  <c r="X772" i="1" s="1"/>
  <c r="CZ772" i="1"/>
  <c r="Y772" i="1" s="1"/>
  <c r="CX523" i="3"/>
  <c r="CX522" i="3"/>
  <c r="CX509" i="3"/>
  <c r="CX513" i="3"/>
  <c r="CX508" i="3"/>
  <c r="CX512" i="3"/>
  <c r="CX507" i="3"/>
  <c r="CX511" i="3"/>
  <c r="CX506" i="3"/>
  <c r="CX510" i="3"/>
  <c r="BC975" i="1"/>
  <c r="AU975" i="1"/>
  <c r="AQ975" i="1"/>
  <c r="BB936" i="1"/>
  <c r="CX481" i="3"/>
  <c r="CX480" i="3"/>
  <c r="CX484" i="3"/>
  <c r="CX479" i="3"/>
  <c r="CX483" i="3"/>
  <c r="CX482" i="3"/>
  <c r="CP916" i="1"/>
  <c r="O916" i="1" s="1"/>
  <c r="P915" i="1"/>
  <c r="CP915" i="1" s="1"/>
  <c r="O915" i="1" s="1"/>
  <c r="CQ915" i="1"/>
  <c r="AB915" i="1"/>
  <c r="CY913" i="1"/>
  <c r="X913" i="1" s="1"/>
  <c r="CZ913" i="1"/>
  <c r="Y913" i="1" s="1"/>
  <c r="AO828" i="1"/>
  <c r="F846" i="1"/>
  <c r="AO872" i="1"/>
  <c r="AB838" i="1"/>
  <c r="CJ842" i="1"/>
  <c r="CY823" i="1"/>
  <c r="X823" i="1" s="1"/>
  <c r="CZ823" i="1"/>
  <c r="Y823" i="1" s="1"/>
  <c r="CY821" i="1"/>
  <c r="X821" i="1" s="1"/>
  <c r="CZ821" i="1"/>
  <c r="Y821" i="1" s="1"/>
  <c r="CP819" i="1"/>
  <c r="O819" i="1" s="1"/>
  <c r="CZ774" i="1"/>
  <c r="Y774" i="1" s="1"/>
  <c r="CY774" i="1"/>
  <c r="X774" i="1" s="1"/>
  <c r="CP772" i="1"/>
  <c r="O772" i="1" s="1"/>
  <c r="AT781" i="1"/>
  <c r="CC764" i="1"/>
  <c r="CQ914" i="1"/>
  <c r="CS913" i="1"/>
  <c r="R913" i="1"/>
  <c r="GK913" i="1" s="1"/>
  <c r="CT912" i="1"/>
  <c r="Q911" i="1"/>
  <c r="CP911" i="1" s="1"/>
  <c r="O911" i="1" s="1"/>
  <c r="CT910" i="1"/>
  <c r="CS909" i="1"/>
  <c r="AB909" i="1"/>
  <c r="I909" i="1"/>
  <c r="W909" i="1" s="1"/>
  <c r="CQ908" i="1"/>
  <c r="AD908" i="1"/>
  <c r="AB908" i="1" s="1"/>
  <c r="P908" i="1"/>
  <c r="CS906" i="1"/>
  <c r="AB906" i="1"/>
  <c r="R906" i="1"/>
  <c r="CG872" i="1"/>
  <c r="CG813" i="1" s="1"/>
  <c r="BD842" i="1"/>
  <c r="CS840" i="1"/>
  <c r="AB840" i="1"/>
  <c r="R840" i="1"/>
  <c r="GK840" i="1" s="1"/>
  <c r="CQ838" i="1"/>
  <c r="AD838" i="1"/>
  <c r="P838" i="1"/>
  <c r="CP838" i="1" s="1"/>
  <c r="O838" i="1" s="1"/>
  <c r="CS836" i="1"/>
  <c r="AB836" i="1"/>
  <c r="R836" i="1"/>
  <c r="GK836" i="1" s="1"/>
  <c r="CT835" i="1"/>
  <c r="CQ834" i="1"/>
  <c r="AD834" i="1"/>
  <c r="AB834" i="1" s="1"/>
  <c r="P834" i="1"/>
  <c r="CP834" i="1" s="1"/>
  <c r="O834" i="1" s="1"/>
  <c r="CS832" i="1"/>
  <c r="AB832" i="1"/>
  <c r="R832" i="1"/>
  <c r="GK832" i="1" s="1"/>
  <c r="CT831" i="1"/>
  <c r="CQ830" i="1"/>
  <c r="AD830" i="1"/>
  <c r="AB830" i="1" s="1"/>
  <c r="P830" i="1"/>
  <c r="BX828" i="1"/>
  <c r="CQ824" i="1"/>
  <c r="AD824" i="1"/>
  <c r="AB824" i="1" s="1"/>
  <c r="P824" i="1"/>
  <c r="CP824" i="1" s="1"/>
  <c r="O824" i="1" s="1"/>
  <c r="CT823" i="1"/>
  <c r="CS822" i="1"/>
  <c r="AB822" i="1"/>
  <c r="R822" i="1"/>
  <c r="GK822" i="1" s="1"/>
  <c r="CT821" i="1"/>
  <c r="Q820" i="1"/>
  <c r="CP820" i="1" s="1"/>
  <c r="O820" i="1" s="1"/>
  <c r="CT819" i="1"/>
  <c r="CQ818" i="1"/>
  <c r="AD818" i="1"/>
  <c r="AB818" i="1" s="1"/>
  <c r="P818" i="1"/>
  <c r="CP818" i="1" s="1"/>
  <c r="O818" i="1" s="1"/>
  <c r="CX433" i="3"/>
  <c r="CX432" i="3"/>
  <c r="CX436" i="3"/>
  <c r="CX435" i="3"/>
  <c r="CX434" i="3"/>
  <c r="CS816" i="1"/>
  <c r="AB816" i="1"/>
  <c r="R816" i="1"/>
  <c r="GK816" i="1" s="1"/>
  <c r="I816" i="1"/>
  <c r="U816" i="1" s="1"/>
  <c r="AH872" i="1" s="1"/>
  <c r="AH813" i="1" s="1"/>
  <c r="CQ815" i="1"/>
  <c r="AD815" i="1"/>
  <c r="AB815" i="1" s="1"/>
  <c r="P815" i="1"/>
  <c r="BD781" i="1"/>
  <c r="CS779" i="1"/>
  <c r="AB779" i="1"/>
  <c r="R779" i="1"/>
  <c r="GK779" i="1" s="1"/>
  <c r="CQ777" i="1"/>
  <c r="AD777" i="1"/>
  <c r="AB777" i="1" s="1"/>
  <c r="CS776" i="1"/>
  <c r="AB776" i="1"/>
  <c r="R776" i="1"/>
  <c r="GK776" i="1" s="1"/>
  <c r="CT775" i="1"/>
  <c r="CQ774" i="1"/>
  <c r="AD774" i="1"/>
  <c r="AB774" i="1" s="1"/>
  <c r="P774" i="1"/>
  <c r="CP774" i="1" s="1"/>
  <c r="O774" i="1" s="1"/>
  <c r="Q773" i="1"/>
  <c r="CP773" i="1" s="1"/>
  <c r="O773" i="1" s="1"/>
  <c r="CT772" i="1"/>
  <c r="CQ771" i="1"/>
  <c r="AD771" i="1"/>
  <c r="AB771" i="1" s="1"/>
  <c r="CS770" i="1"/>
  <c r="AB770" i="1"/>
  <c r="R770" i="1"/>
  <c r="GK770" i="1" s="1"/>
  <c r="CT769" i="1"/>
  <c r="CX413" i="3"/>
  <c r="CX416" i="3"/>
  <c r="CX415" i="3"/>
  <c r="CX414" i="3"/>
  <c r="CS767" i="1"/>
  <c r="AB767" i="1"/>
  <c r="R767" i="1"/>
  <c r="CK764" i="1"/>
  <c r="CI702" i="1"/>
  <c r="BD702" i="1"/>
  <c r="P696" i="1"/>
  <c r="CQ696" i="1"/>
  <c r="AB696" i="1"/>
  <c r="CS695" i="1"/>
  <c r="AD695" i="1"/>
  <c r="CP651" i="1"/>
  <c r="O651" i="1" s="1"/>
  <c r="CP647" i="1"/>
  <c r="O647" i="1" s="1"/>
  <c r="AI660" i="1"/>
  <c r="CD588" i="1"/>
  <c r="AU611" i="1"/>
  <c r="W600" i="1"/>
  <c r="CP597" i="1"/>
  <c r="O597" i="1" s="1"/>
  <c r="CZ590" i="1"/>
  <c r="Y590" i="1" s="1"/>
  <c r="CY590" i="1"/>
  <c r="X590" i="1" s="1"/>
  <c r="U547" i="1"/>
  <c r="V547" i="1"/>
  <c r="Q913" i="1"/>
  <c r="CX461" i="3"/>
  <c r="CX460" i="3"/>
  <c r="CX462" i="3"/>
  <c r="CZ906" i="1"/>
  <c r="Y906" i="1" s="1"/>
  <c r="Q906" i="1"/>
  <c r="CX451" i="3"/>
  <c r="CX450" i="3"/>
  <c r="BC842" i="1"/>
  <c r="AQ842" i="1"/>
  <c r="CZ840" i="1"/>
  <c r="Y840" i="1" s="1"/>
  <c r="Q840" i="1"/>
  <c r="CP840" i="1" s="1"/>
  <c r="O840" i="1" s="1"/>
  <c r="CZ836" i="1"/>
  <c r="Y836" i="1" s="1"/>
  <c r="Q836" i="1"/>
  <c r="CP836" i="1" s="1"/>
  <c r="O836" i="1" s="1"/>
  <c r="CZ832" i="1"/>
  <c r="Y832" i="1" s="1"/>
  <c r="Q832" i="1"/>
  <c r="CP832" i="1" s="1"/>
  <c r="O832" i="1" s="1"/>
  <c r="CZ822" i="1"/>
  <c r="Y822" i="1" s="1"/>
  <c r="Q822" i="1"/>
  <c r="CP822" i="1" s="1"/>
  <c r="O822" i="1" s="1"/>
  <c r="BC781" i="1"/>
  <c r="CZ779" i="1"/>
  <c r="Y779" i="1" s="1"/>
  <c r="Q779" i="1"/>
  <c r="CP779" i="1" s="1"/>
  <c r="O779" i="1" s="1"/>
  <c r="CZ776" i="1"/>
  <c r="Y776" i="1" s="1"/>
  <c r="Q776" i="1"/>
  <c r="CP776" i="1" s="1"/>
  <c r="O776" i="1" s="1"/>
  <c r="CX425" i="3"/>
  <c r="CX424" i="3"/>
  <c r="CX423" i="3"/>
  <c r="CX426" i="3"/>
  <c r="CZ770" i="1"/>
  <c r="Y770" i="1" s="1"/>
  <c r="Q770" i="1"/>
  <c r="CP770" i="1" s="1"/>
  <c r="O770" i="1" s="1"/>
  <c r="CX417" i="3"/>
  <c r="CX418" i="3"/>
  <c r="CZ767" i="1"/>
  <c r="Y767" i="1" s="1"/>
  <c r="Q767" i="1"/>
  <c r="BX764" i="1"/>
  <c r="BC702" i="1"/>
  <c r="AU702" i="1"/>
  <c r="AQ702" i="1"/>
  <c r="CS697" i="1"/>
  <c r="AD697" i="1"/>
  <c r="AB695" i="1"/>
  <c r="CY655" i="1"/>
  <c r="X655" i="1" s="1"/>
  <c r="CZ655" i="1"/>
  <c r="Y655" i="1" s="1"/>
  <c r="CI660" i="1"/>
  <c r="BY643" i="1"/>
  <c r="AP660" i="1"/>
  <c r="AG660" i="1"/>
  <c r="AJ660" i="1"/>
  <c r="CY607" i="1"/>
  <c r="X607" i="1" s="1"/>
  <c r="CZ607" i="1"/>
  <c r="Y607" i="1" s="1"/>
  <c r="CY593" i="1"/>
  <c r="X593" i="1" s="1"/>
  <c r="CZ593" i="1"/>
  <c r="Y593" i="1" s="1"/>
  <c r="BY539" i="1"/>
  <c r="CI552" i="1"/>
  <c r="AP552" i="1"/>
  <c r="CY548" i="1"/>
  <c r="X548" i="1" s="1"/>
  <c r="CZ548" i="1"/>
  <c r="Y548" i="1" s="1"/>
  <c r="CC539" i="1"/>
  <c r="AT552" i="1"/>
  <c r="S547" i="1"/>
  <c r="Q547" i="1"/>
  <c r="CY542" i="1"/>
  <c r="X542" i="1" s="1"/>
  <c r="CZ542" i="1"/>
  <c r="Y542" i="1" s="1"/>
  <c r="I914" i="1"/>
  <c r="CT911" i="1"/>
  <c r="S911" i="1"/>
  <c r="CQ909" i="1"/>
  <c r="CS908" i="1"/>
  <c r="R908" i="1"/>
  <c r="GK908" i="1" s="1"/>
  <c r="CT907" i="1"/>
  <c r="S907" i="1"/>
  <c r="CP907" i="1" s="1"/>
  <c r="O907" i="1" s="1"/>
  <c r="CQ906" i="1"/>
  <c r="CI872" i="1"/>
  <c r="CI813" i="1" s="1"/>
  <c r="CG842" i="1"/>
  <c r="BB842" i="1"/>
  <c r="CQ840" i="1"/>
  <c r="CT839" i="1"/>
  <c r="S839" i="1"/>
  <c r="CS838" i="1"/>
  <c r="R838" i="1"/>
  <c r="GK838" i="1" s="1"/>
  <c r="CT837" i="1"/>
  <c r="S837" i="1"/>
  <c r="CQ836" i="1"/>
  <c r="CS834" i="1"/>
  <c r="R834" i="1"/>
  <c r="GK834" i="1" s="1"/>
  <c r="CT833" i="1"/>
  <c r="S833" i="1"/>
  <c r="AF842" i="1" s="1"/>
  <c r="CQ832" i="1"/>
  <c r="CS830" i="1"/>
  <c r="R830" i="1"/>
  <c r="CS824" i="1"/>
  <c r="R824" i="1"/>
  <c r="GK824" i="1" s="1"/>
  <c r="CQ822" i="1"/>
  <c r="CT820" i="1"/>
  <c r="S820" i="1"/>
  <c r="CX444" i="3"/>
  <c r="CX443" i="3"/>
  <c r="CX442" i="3"/>
  <c r="CS818" i="1"/>
  <c r="R818" i="1"/>
  <c r="GK818" i="1" s="1"/>
  <c r="CT817" i="1"/>
  <c r="S817" i="1"/>
  <c r="CQ816" i="1"/>
  <c r="CS815" i="1"/>
  <c r="R815" i="1"/>
  <c r="CG781" i="1"/>
  <c r="CQ779" i="1"/>
  <c r="CT778" i="1"/>
  <c r="S778" i="1"/>
  <c r="CS777" i="1"/>
  <c r="I777" i="1"/>
  <c r="R777" i="1" s="1"/>
  <c r="GK777" i="1" s="1"/>
  <c r="CQ776" i="1"/>
  <c r="CS774" i="1"/>
  <c r="R774" i="1"/>
  <c r="GK774" i="1" s="1"/>
  <c r="CT773" i="1"/>
  <c r="S773" i="1"/>
  <c r="CX420" i="3"/>
  <c r="CX419" i="3"/>
  <c r="CS771" i="1"/>
  <c r="I771" i="1"/>
  <c r="CQ770" i="1"/>
  <c r="CT768" i="1"/>
  <c r="S768" i="1"/>
  <c r="CQ767" i="1"/>
  <c r="CT766" i="1"/>
  <c r="S766" i="1"/>
  <c r="CP766" i="1" s="1"/>
  <c r="O766" i="1" s="1"/>
  <c r="CG702" i="1"/>
  <c r="BB702" i="1"/>
  <c r="AT702" i="1"/>
  <c r="AP702" i="1"/>
  <c r="AD700" i="1"/>
  <c r="R700" i="1"/>
  <c r="GK700" i="1" s="1"/>
  <c r="CS700" i="1"/>
  <c r="R699" i="1"/>
  <c r="GK699" i="1" s="1"/>
  <c r="CS699" i="1"/>
  <c r="AD699" i="1"/>
  <c r="AB699" i="1" s="1"/>
  <c r="AD698" i="1"/>
  <c r="R698" i="1"/>
  <c r="GK698" i="1" s="1"/>
  <c r="CS698" i="1"/>
  <c r="AB697" i="1"/>
  <c r="GX696" i="1"/>
  <c r="U696" i="1"/>
  <c r="S696" i="1"/>
  <c r="CP655" i="1"/>
  <c r="O655" i="1" s="1"/>
  <c r="CY609" i="1"/>
  <c r="X609" i="1" s="1"/>
  <c r="GM609" i="1" s="1"/>
  <c r="CZ609" i="1"/>
  <c r="Y609" i="1" s="1"/>
  <c r="CG611" i="1"/>
  <c r="BZ588" i="1"/>
  <c r="AQ611" i="1"/>
  <c r="CP607" i="1"/>
  <c r="O607" i="1" s="1"/>
  <c r="AB605" i="1"/>
  <c r="AB599" i="1"/>
  <c r="S600" i="1"/>
  <c r="Q600" i="1"/>
  <c r="CP600" i="1" s="1"/>
  <c r="O600" i="1" s="1"/>
  <c r="CY595" i="1"/>
  <c r="X595" i="1" s="1"/>
  <c r="CZ595" i="1"/>
  <c r="Y595" i="1" s="1"/>
  <c r="GN595" i="1" s="1"/>
  <c r="CP593" i="1"/>
  <c r="O593" i="1" s="1"/>
  <c r="CP548" i="1"/>
  <c r="O548" i="1" s="1"/>
  <c r="CY544" i="1"/>
  <c r="X544" i="1" s="1"/>
  <c r="GM544" i="1" s="1"/>
  <c r="CZ544" i="1"/>
  <c r="Y544" i="1" s="1"/>
  <c r="BZ539" i="1"/>
  <c r="CG552" i="1"/>
  <c r="AQ552" i="1"/>
  <c r="CP542" i="1"/>
  <c r="O542" i="1" s="1"/>
  <c r="CX453" i="3"/>
  <c r="CX455" i="3"/>
  <c r="CX454" i="3"/>
  <c r="CX437" i="3"/>
  <c r="CX441" i="3"/>
  <c r="CX440" i="3"/>
  <c r="CX439" i="3"/>
  <c r="CX438" i="3"/>
  <c r="CX429" i="3"/>
  <c r="CX431" i="3"/>
  <c r="CX430" i="3"/>
  <c r="CX421" i="3"/>
  <c r="CX422" i="3"/>
  <c r="AO702" i="1"/>
  <c r="P700" i="1"/>
  <c r="CP700" i="1" s="1"/>
  <c r="O700" i="1" s="1"/>
  <c r="CQ700" i="1"/>
  <c r="AB700" i="1"/>
  <c r="P699" i="1"/>
  <c r="CP699" i="1" s="1"/>
  <c r="O699" i="1" s="1"/>
  <c r="CQ699" i="1"/>
  <c r="P698" i="1"/>
  <c r="CP698" i="1" s="1"/>
  <c r="O698" i="1" s="1"/>
  <c r="CQ698" i="1"/>
  <c r="AB698" i="1"/>
  <c r="AB658" i="1"/>
  <c r="CY651" i="1"/>
  <c r="X651" i="1" s="1"/>
  <c r="CZ651" i="1"/>
  <c r="Y651" i="1" s="1"/>
  <c r="CY647" i="1"/>
  <c r="X647" i="1" s="1"/>
  <c r="CZ647" i="1"/>
  <c r="Y647" i="1" s="1"/>
  <c r="CJ660" i="1"/>
  <c r="AH660" i="1"/>
  <c r="GN609" i="1"/>
  <c r="CY597" i="1"/>
  <c r="X597" i="1" s="1"/>
  <c r="CZ597" i="1"/>
  <c r="Y597" i="1" s="1"/>
  <c r="GM595" i="1"/>
  <c r="GN544" i="1"/>
  <c r="CQ697" i="1"/>
  <c r="CS696" i="1"/>
  <c r="R696" i="1"/>
  <c r="GK696" i="1" s="1"/>
  <c r="CQ695" i="1"/>
  <c r="CS694" i="1"/>
  <c r="AB694" i="1"/>
  <c r="R694" i="1"/>
  <c r="CG660" i="1"/>
  <c r="BB660" i="1"/>
  <c r="CQ658" i="1"/>
  <c r="AD658" i="1"/>
  <c r="P658" i="1"/>
  <c r="CP658" i="1" s="1"/>
  <c r="O658" i="1" s="1"/>
  <c r="CS656" i="1"/>
  <c r="AB656" i="1"/>
  <c r="R656" i="1"/>
  <c r="GK656" i="1" s="1"/>
  <c r="CT655" i="1"/>
  <c r="CQ654" i="1"/>
  <c r="AD654" i="1"/>
  <c r="AB654" i="1" s="1"/>
  <c r="P654" i="1"/>
  <c r="CP654" i="1" s="1"/>
  <c r="O654" i="1" s="1"/>
  <c r="CS652" i="1"/>
  <c r="AB652" i="1"/>
  <c r="R652" i="1"/>
  <c r="GK652" i="1" s="1"/>
  <c r="CT651" i="1"/>
  <c r="CQ650" i="1"/>
  <c r="AD650" i="1"/>
  <c r="AB650" i="1" s="1"/>
  <c r="P650" i="1"/>
  <c r="CP650" i="1" s="1"/>
  <c r="O650" i="1" s="1"/>
  <c r="CS648" i="1"/>
  <c r="AB648" i="1"/>
  <c r="R648" i="1"/>
  <c r="GK648" i="1" s="1"/>
  <c r="CT647" i="1"/>
  <c r="CQ646" i="1"/>
  <c r="AD646" i="1"/>
  <c r="AB646" i="1" s="1"/>
  <c r="P646" i="1"/>
  <c r="AO611" i="1"/>
  <c r="CT609" i="1"/>
  <c r="Q608" i="1"/>
  <c r="CP608" i="1" s="1"/>
  <c r="O608" i="1" s="1"/>
  <c r="CT607" i="1"/>
  <c r="CQ605" i="1"/>
  <c r="AD605" i="1"/>
  <c r="P605" i="1"/>
  <c r="CP605" i="1" s="1"/>
  <c r="O605" i="1" s="1"/>
  <c r="CS604" i="1"/>
  <c r="AB604" i="1"/>
  <c r="R604" i="1"/>
  <c r="GK604" i="1" s="1"/>
  <c r="CQ603" i="1"/>
  <c r="AD603" i="1"/>
  <c r="AB603" i="1" s="1"/>
  <c r="P603" i="1"/>
  <c r="CP603" i="1" s="1"/>
  <c r="O603" i="1" s="1"/>
  <c r="CS602" i="1"/>
  <c r="AB602" i="1"/>
  <c r="R602" i="1"/>
  <c r="GK602" i="1" s="1"/>
  <c r="CQ601" i="1"/>
  <c r="AD601" i="1"/>
  <c r="AB601" i="1" s="1"/>
  <c r="CS600" i="1"/>
  <c r="AB600" i="1"/>
  <c r="R600" i="1"/>
  <c r="GK600" i="1" s="1"/>
  <c r="CQ599" i="1"/>
  <c r="AD599" i="1"/>
  <c r="CS598" i="1"/>
  <c r="AB598" i="1"/>
  <c r="R598" i="1"/>
  <c r="GK598" i="1" s="1"/>
  <c r="CT597" i="1"/>
  <c r="Q596" i="1"/>
  <c r="CP596" i="1" s="1"/>
  <c r="O596" i="1" s="1"/>
  <c r="CT595" i="1"/>
  <c r="Q594" i="1"/>
  <c r="CP594" i="1" s="1"/>
  <c r="O594" i="1" s="1"/>
  <c r="CT593" i="1"/>
  <c r="CX370" i="3"/>
  <c r="CX369" i="3"/>
  <c r="CX373" i="3"/>
  <c r="CX372" i="3"/>
  <c r="CX376" i="3"/>
  <c r="CX371" i="3"/>
  <c r="CX375" i="3"/>
  <c r="CX374" i="3"/>
  <c r="CS591" i="1"/>
  <c r="AB591" i="1"/>
  <c r="I591" i="1"/>
  <c r="GX591" i="1" s="1"/>
  <c r="CQ590" i="1"/>
  <c r="AD590" i="1"/>
  <c r="AB590" i="1" s="1"/>
  <c r="P590" i="1"/>
  <c r="BC552" i="1"/>
  <c r="CQ549" i="1"/>
  <c r="AD549" i="1"/>
  <c r="AB549" i="1" s="1"/>
  <c r="P549" i="1"/>
  <c r="CP549" i="1" s="1"/>
  <c r="O549" i="1" s="1"/>
  <c r="CT548" i="1"/>
  <c r="CS547" i="1"/>
  <c r="AB547" i="1"/>
  <c r="R547" i="1"/>
  <c r="GK547" i="1" s="1"/>
  <c r="CQ546" i="1"/>
  <c r="AD546" i="1"/>
  <c r="AB546" i="1" s="1"/>
  <c r="CS545" i="1"/>
  <c r="AB545" i="1"/>
  <c r="R545" i="1"/>
  <c r="GK545" i="1" s="1"/>
  <c r="CT544" i="1"/>
  <c r="CT542" i="1"/>
  <c r="BD507" i="1"/>
  <c r="CM475" i="1"/>
  <c r="CY503" i="1"/>
  <c r="X503" i="1" s="1"/>
  <c r="CZ503" i="1"/>
  <c r="Y503" i="1" s="1"/>
  <c r="CZ496" i="1"/>
  <c r="Y496" i="1" s="1"/>
  <c r="CY496" i="1"/>
  <c r="X496" i="1" s="1"/>
  <c r="CZ494" i="1"/>
  <c r="Y494" i="1" s="1"/>
  <c r="CY494" i="1"/>
  <c r="X494" i="1" s="1"/>
  <c r="CZ489" i="1"/>
  <c r="Y489" i="1" s="1"/>
  <c r="CY489" i="1"/>
  <c r="X489" i="1" s="1"/>
  <c r="CP489" i="1"/>
  <c r="O489" i="1" s="1"/>
  <c r="CY488" i="1"/>
  <c r="X488" i="1" s="1"/>
  <c r="CZ488" i="1"/>
  <c r="Y488" i="1" s="1"/>
  <c r="CP483" i="1"/>
  <c r="O483" i="1" s="1"/>
  <c r="CY482" i="1"/>
  <c r="X482" i="1" s="1"/>
  <c r="CZ482" i="1"/>
  <c r="Y482" i="1" s="1"/>
  <c r="CP482" i="1"/>
  <c r="O482" i="1" s="1"/>
  <c r="CP481" i="1"/>
  <c r="O481" i="1" s="1"/>
  <c r="S408" i="1"/>
  <c r="F428" i="1"/>
  <c r="CJ413" i="1"/>
  <c r="AC413" i="1"/>
  <c r="CP410" i="1"/>
  <c r="O410" i="1" s="1"/>
  <c r="CZ694" i="1"/>
  <c r="Y694" i="1" s="1"/>
  <c r="Q694" i="1"/>
  <c r="CX405" i="3"/>
  <c r="CX409" i="3"/>
  <c r="CX404" i="3"/>
  <c r="CX408" i="3"/>
  <c r="CX403" i="3"/>
  <c r="CX407" i="3"/>
  <c r="CX402" i="3"/>
  <c r="CX406" i="3"/>
  <c r="CX410" i="3"/>
  <c r="AO660" i="1"/>
  <c r="CZ656" i="1"/>
  <c r="Y656" i="1" s="1"/>
  <c r="Q656" i="1"/>
  <c r="CP656" i="1" s="1"/>
  <c r="O656" i="1" s="1"/>
  <c r="CZ652" i="1"/>
  <c r="Y652" i="1" s="1"/>
  <c r="Q652" i="1"/>
  <c r="CP652" i="1" s="1"/>
  <c r="O652" i="1" s="1"/>
  <c r="CZ648" i="1"/>
  <c r="Y648" i="1" s="1"/>
  <c r="Q648" i="1"/>
  <c r="AD660" i="1" s="1"/>
  <c r="CI611" i="1"/>
  <c r="BD611" i="1"/>
  <c r="CZ604" i="1"/>
  <c r="Y604" i="1" s="1"/>
  <c r="Q604" i="1"/>
  <c r="CP604" i="1" s="1"/>
  <c r="O604" i="1" s="1"/>
  <c r="CZ602" i="1"/>
  <c r="Y602" i="1" s="1"/>
  <c r="Q602" i="1"/>
  <c r="CP602" i="1" s="1"/>
  <c r="O602" i="1" s="1"/>
  <c r="CZ598" i="1"/>
  <c r="Y598" i="1" s="1"/>
  <c r="Q598" i="1"/>
  <c r="CP598" i="1" s="1"/>
  <c r="O598" i="1" s="1"/>
  <c r="CX377" i="3"/>
  <c r="CX381" i="3"/>
  <c r="CX385" i="3"/>
  <c r="CX380" i="3"/>
  <c r="CX384" i="3"/>
  <c r="CX379" i="3"/>
  <c r="CX383" i="3"/>
  <c r="CX378" i="3"/>
  <c r="CX382" i="3"/>
  <c r="CX386" i="3"/>
  <c r="BB552" i="1"/>
  <c r="CZ545" i="1"/>
  <c r="Y545" i="1" s="1"/>
  <c r="Q545" i="1"/>
  <c r="CP545" i="1" s="1"/>
  <c r="O545" i="1" s="1"/>
  <c r="CX347" i="3"/>
  <c r="CX351" i="3"/>
  <c r="CX355" i="3"/>
  <c r="CX350" i="3"/>
  <c r="CX354" i="3"/>
  <c r="CX349" i="3"/>
  <c r="CX353" i="3"/>
  <c r="CX352" i="3"/>
  <c r="CX348" i="3"/>
  <c r="BZ475" i="1"/>
  <c r="CG507" i="1"/>
  <c r="AQ507" i="1"/>
  <c r="CP503" i="1"/>
  <c r="O503" i="1" s="1"/>
  <c r="CP486" i="1"/>
  <c r="O486" i="1" s="1"/>
  <c r="CP485" i="1"/>
  <c r="O485" i="1" s="1"/>
  <c r="CY480" i="1"/>
  <c r="X480" i="1" s="1"/>
  <c r="CZ480" i="1"/>
  <c r="Y480" i="1" s="1"/>
  <c r="CP480" i="1"/>
  <c r="O480" i="1" s="1"/>
  <c r="BZ408" i="1"/>
  <c r="CG413" i="1"/>
  <c r="AQ413" i="1"/>
  <c r="AL413" i="1"/>
  <c r="AG413" i="1"/>
  <c r="I697" i="1"/>
  <c r="W697" i="1" s="1"/>
  <c r="I695" i="1"/>
  <c r="V695" i="1" s="1"/>
  <c r="CQ694" i="1"/>
  <c r="BD660" i="1"/>
  <c r="CS658" i="1"/>
  <c r="R658" i="1"/>
  <c r="GK658" i="1" s="1"/>
  <c r="CT657" i="1"/>
  <c r="S657" i="1"/>
  <c r="CQ656" i="1"/>
  <c r="CS654" i="1"/>
  <c r="R654" i="1"/>
  <c r="GK654" i="1" s="1"/>
  <c r="CT653" i="1"/>
  <c r="S653" i="1"/>
  <c r="CP653" i="1" s="1"/>
  <c r="O653" i="1" s="1"/>
  <c r="CQ652" i="1"/>
  <c r="CS650" i="1"/>
  <c r="R650" i="1"/>
  <c r="GK650" i="1" s="1"/>
  <c r="CT649" i="1"/>
  <c r="S649" i="1"/>
  <c r="CP649" i="1" s="1"/>
  <c r="O649" i="1" s="1"/>
  <c r="CQ648" i="1"/>
  <c r="CS646" i="1"/>
  <c r="R646" i="1"/>
  <c r="CT645" i="1"/>
  <c r="S645" i="1"/>
  <c r="BC611" i="1"/>
  <c r="CT608" i="1"/>
  <c r="S608" i="1"/>
  <c r="CT606" i="1"/>
  <c r="S606" i="1"/>
  <c r="CS605" i="1"/>
  <c r="R605" i="1"/>
  <c r="GK605" i="1" s="1"/>
  <c r="CQ604" i="1"/>
  <c r="CS603" i="1"/>
  <c r="R603" i="1"/>
  <c r="GK603" i="1" s="1"/>
  <c r="CQ602" i="1"/>
  <c r="CS601" i="1"/>
  <c r="I601" i="1"/>
  <c r="CQ600" i="1"/>
  <c r="CS599" i="1"/>
  <c r="I599" i="1"/>
  <c r="W599" i="1" s="1"/>
  <c r="CQ598" i="1"/>
  <c r="CT596" i="1"/>
  <c r="S596" i="1"/>
  <c r="CT594" i="1"/>
  <c r="S594" i="1"/>
  <c r="CT592" i="1"/>
  <c r="S592" i="1"/>
  <c r="CP592" i="1" s="1"/>
  <c r="O592" i="1" s="1"/>
  <c r="CQ591" i="1"/>
  <c r="CS590" i="1"/>
  <c r="R590" i="1"/>
  <c r="AO552" i="1"/>
  <c r="CT550" i="1"/>
  <c r="S550" i="1"/>
  <c r="CP550" i="1" s="1"/>
  <c r="O550" i="1" s="1"/>
  <c r="CS549" i="1"/>
  <c r="R549" i="1"/>
  <c r="GK549" i="1" s="1"/>
  <c r="CQ547" i="1"/>
  <c r="CS546" i="1"/>
  <c r="I546" i="1"/>
  <c r="V546" i="1" s="1"/>
  <c r="AI552" i="1" s="1"/>
  <c r="CQ545" i="1"/>
  <c r="CT543" i="1"/>
  <c r="S543" i="1"/>
  <c r="S541" i="1"/>
  <c r="CT541" i="1"/>
  <c r="AB541" i="1"/>
  <c r="CI507" i="1"/>
  <c r="BY475" i="1"/>
  <c r="AP507" i="1"/>
  <c r="CP498" i="1"/>
  <c r="O498" i="1" s="1"/>
  <c r="GN488" i="1"/>
  <c r="GM488" i="1"/>
  <c r="CP487" i="1"/>
  <c r="O487" i="1" s="1"/>
  <c r="CY484" i="1"/>
  <c r="X484" i="1" s="1"/>
  <c r="CZ484" i="1"/>
  <c r="Y484" i="1" s="1"/>
  <c r="CZ481" i="1"/>
  <c r="Y481" i="1" s="1"/>
  <c r="CY481" i="1"/>
  <c r="X481" i="1" s="1"/>
  <c r="CP479" i="1"/>
  <c r="O479" i="1" s="1"/>
  <c r="CY477" i="1"/>
  <c r="X477" i="1" s="1"/>
  <c r="CZ477" i="1"/>
  <c r="Y477" i="1" s="1"/>
  <c r="AH408" i="1"/>
  <c r="U413" i="1"/>
  <c r="AJ413" i="1"/>
  <c r="AK413" i="1"/>
  <c r="BZ380" i="1"/>
  <c r="CI443" i="1"/>
  <c r="CI380" i="1" s="1"/>
  <c r="BC660" i="1"/>
  <c r="AU660" i="1"/>
  <c r="AQ660" i="1"/>
  <c r="BB611" i="1"/>
  <c r="AT611" i="1"/>
  <c r="AP611" i="1"/>
  <c r="CX359" i="3"/>
  <c r="CX363" i="3"/>
  <c r="CX362" i="3"/>
  <c r="CX366" i="3"/>
  <c r="CX361" i="3"/>
  <c r="CX365" i="3"/>
  <c r="CX364" i="3"/>
  <c r="CX368" i="3"/>
  <c r="CX360" i="3"/>
  <c r="CX367" i="3"/>
  <c r="BD552" i="1"/>
  <c r="CP541" i="1"/>
  <c r="O541" i="1" s="1"/>
  <c r="CY497" i="1"/>
  <c r="X497" i="1" s="1"/>
  <c r="CZ497" i="1"/>
  <c r="Y497" i="1" s="1"/>
  <c r="CY491" i="1"/>
  <c r="X491" i="1" s="1"/>
  <c r="CZ491" i="1"/>
  <c r="Y491" i="1" s="1"/>
  <c r="U490" i="1"/>
  <c r="CY486" i="1"/>
  <c r="X486" i="1" s="1"/>
  <c r="CZ486" i="1"/>
  <c r="Y486" i="1" s="1"/>
  <c r="CZ479" i="1"/>
  <c r="Y479" i="1" s="1"/>
  <c r="CY479" i="1"/>
  <c r="X479" i="1" s="1"/>
  <c r="BC408" i="1"/>
  <c r="F429" i="1"/>
  <c r="BC443" i="1"/>
  <c r="AU413" i="1"/>
  <c r="CD408" i="1"/>
  <c r="CP411" i="1"/>
  <c r="O411" i="1" s="1"/>
  <c r="AI413" i="1"/>
  <c r="AD413" i="1"/>
  <c r="BC507" i="1"/>
  <c r="CQ504" i="1"/>
  <c r="AD504" i="1"/>
  <c r="AB504" i="1" s="1"/>
  <c r="P504" i="1"/>
  <c r="CP504" i="1" s="1"/>
  <c r="O504" i="1" s="1"/>
  <c r="CT503" i="1"/>
  <c r="AB502" i="1"/>
  <c r="R502" i="1"/>
  <c r="GK502" i="1" s="1"/>
  <c r="CQ500" i="1"/>
  <c r="AD500" i="1"/>
  <c r="AB500" i="1" s="1"/>
  <c r="P500" i="1"/>
  <c r="CP500" i="1" s="1"/>
  <c r="O500" i="1" s="1"/>
  <c r="AB499" i="1"/>
  <c r="R499" i="1"/>
  <c r="GK499" i="1" s="1"/>
  <c r="Q497" i="1"/>
  <c r="CP497" i="1" s="1"/>
  <c r="O497" i="1" s="1"/>
  <c r="AD496" i="1"/>
  <c r="AB496" i="1" s="1"/>
  <c r="P496" i="1"/>
  <c r="CP496" i="1" s="1"/>
  <c r="O496" i="1" s="1"/>
  <c r="AB495" i="1"/>
  <c r="R495" i="1"/>
  <c r="GK495" i="1" s="1"/>
  <c r="AD494" i="1"/>
  <c r="AB494" i="1" s="1"/>
  <c r="P494" i="1"/>
  <c r="CP494" i="1" s="1"/>
  <c r="O494" i="1" s="1"/>
  <c r="AB493" i="1"/>
  <c r="R493" i="1"/>
  <c r="GK493" i="1" s="1"/>
  <c r="Q491" i="1"/>
  <c r="CP491" i="1" s="1"/>
  <c r="O491" i="1" s="1"/>
  <c r="CX315" i="3"/>
  <c r="CX314" i="3"/>
  <c r="CX318" i="3"/>
  <c r="CX317" i="3"/>
  <c r="CX316" i="3"/>
  <c r="AB490" i="1"/>
  <c r="I490" i="1"/>
  <c r="V490" i="1" s="1"/>
  <c r="AD489" i="1"/>
  <c r="AB489" i="1" s="1"/>
  <c r="Q484" i="1"/>
  <c r="CP484" i="1" s="1"/>
  <c r="O484" i="1" s="1"/>
  <c r="CX304" i="3"/>
  <c r="CX308" i="3"/>
  <c r="CX303" i="3"/>
  <c r="CX307" i="3"/>
  <c r="CX302" i="3"/>
  <c r="CX306" i="3"/>
  <c r="CX301" i="3"/>
  <c r="CX305" i="3"/>
  <c r="AB483" i="1"/>
  <c r="R483" i="1"/>
  <c r="GK483" i="1" s="1"/>
  <c r="AD481" i="1"/>
  <c r="AB481" i="1" s="1"/>
  <c r="AD479" i="1"/>
  <c r="AB479" i="1" s="1"/>
  <c r="AB478" i="1"/>
  <c r="Q477" i="1"/>
  <c r="CP477" i="1" s="1"/>
  <c r="O477" i="1" s="1"/>
  <c r="AO413" i="1"/>
  <c r="AD410" i="1"/>
  <c r="AB410" i="1" s="1"/>
  <c r="R410" i="1"/>
  <c r="W404" i="1"/>
  <c r="S404" i="1"/>
  <c r="CT404" i="1"/>
  <c r="R404" i="1"/>
  <c r="GK404" i="1" s="1"/>
  <c r="GX403" i="1"/>
  <c r="CR401" i="1"/>
  <c r="P401" i="1"/>
  <c r="CP401" i="1" s="1"/>
  <c r="O401" i="1" s="1"/>
  <c r="CQ401" i="1"/>
  <c r="CX267" i="3"/>
  <c r="S399" i="1"/>
  <c r="GX397" i="1"/>
  <c r="V397" i="1"/>
  <c r="R397" i="1"/>
  <c r="GK397" i="1" s="1"/>
  <c r="CS397" i="1"/>
  <c r="AD397" i="1"/>
  <c r="CP396" i="1"/>
  <c r="O396" i="1" s="1"/>
  <c r="CP382" i="1"/>
  <c r="O382" i="1" s="1"/>
  <c r="AO337" i="1"/>
  <c r="F352" i="1"/>
  <c r="CD337" i="1"/>
  <c r="AU348" i="1"/>
  <c r="AO296" i="1"/>
  <c r="F309" i="1"/>
  <c r="BY296" i="1"/>
  <c r="CI305" i="1"/>
  <c r="AP305" i="1"/>
  <c r="CY301" i="1"/>
  <c r="X301" i="1" s="1"/>
  <c r="CZ301" i="1"/>
  <c r="Y301" i="1" s="1"/>
  <c r="AG305" i="1"/>
  <c r="AI305" i="1"/>
  <c r="BB507" i="1"/>
  <c r="AT507" i="1"/>
  <c r="CZ502" i="1"/>
  <c r="Y502" i="1" s="1"/>
  <c r="Q502" i="1"/>
  <c r="CP502" i="1" s="1"/>
  <c r="O502" i="1" s="1"/>
  <c r="CZ499" i="1"/>
  <c r="Y499" i="1" s="1"/>
  <c r="Q499" i="1"/>
  <c r="CP499" i="1" s="1"/>
  <c r="O499" i="1" s="1"/>
  <c r="CX330" i="3"/>
  <c r="CX329" i="3"/>
  <c r="CX328" i="3"/>
  <c r="CZ495" i="1"/>
  <c r="Y495" i="1" s="1"/>
  <c r="GM495" i="1" s="1"/>
  <c r="CZ493" i="1"/>
  <c r="Y493" i="1" s="1"/>
  <c r="GM493" i="1" s="1"/>
  <c r="CX319" i="3"/>
  <c r="CX323" i="3"/>
  <c r="CX322" i="3"/>
  <c r="CX321" i="3"/>
  <c r="CX324" i="3"/>
  <c r="CX320" i="3"/>
  <c r="I492" i="1"/>
  <c r="U492" i="1" s="1"/>
  <c r="CQ491" i="1"/>
  <c r="CT489" i="1"/>
  <c r="CQ488" i="1"/>
  <c r="CS487" i="1"/>
  <c r="R487" i="1"/>
  <c r="GK487" i="1" s="1"/>
  <c r="CQ486" i="1"/>
  <c r="CS485" i="1"/>
  <c r="R485" i="1"/>
  <c r="GK485" i="1" s="1"/>
  <c r="CQ484" i="1"/>
  <c r="CZ483" i="1"/>
  <c r="Y483" i="1" s="1"/>
  <c r="CS482" i="1"/>
  <c r="R482" i="1"/>
  <c r="GK482" i="1" s="1"/>
  <c r="CT481" i="1"/>
  <c r="CS480" i="1"/>
  <c r="R480" i="1"/>
  <c r="GK480" i="1" s="1"/>
  <c r="CT479" i="1"/>
  <c r="CZ478" i="1"/>
  <c r="Y478" i="1" s="1"/>
  <c r="GP478" i="1" s="1"/>
  <c r="CQ477" i="1"/>
  <c r="CG443" i="1"/>
  <c r="CG380" i="1" s="1"/>
  <c r="CI413" i="1"/>
  <c r="BD413" i="1"/>
  <c r="CS411" i="1"/>
  <c r="R411" i="1"/>
  <c r="GK411" i="1" s="1"/>
  <c r="CT410" i="1"/>
  <c r="CL408" i="1"/>
  <c r="AF408" i="1"/>
  <c r="P404" i="1"/>
  <c r="CP404" i="1" s="1"/>
  <c r="O404" i="1" s="1"/>
  <c r="W403" i="1"/>
  <c r="S403" i="1"/>
  <c r="CT403" i="1"/>
  <c r="R403" i="1"/>
  <c r="GK403" i="1" s="1"/>
  <c r="S402" i="1"/>
  <c r="CT402" i="1"/>
  <c r="AB397" i="1"/>
  <c r="S396" i="1"/>
  <c r="CT396" i="1"/>
  <c r="AB396" i="1"/>
  <c r="CY385" i="1"/>
  <c r="X385" i="1" s="1"/>
  <c r="CZ385" i="1"/>
  <c r="Y385" i="1" s="1"/>
  <c r="BD337" i="1"/>
  <c r="F373" i="1"/>
  <c r="CY343" i="1"/>
  <c r="X343" i="1" s="1"/>
  <c r="CZ343" i="1"/>
  <c r="Y343" i="1" s="1"/>
  <c r="Q342" i="1"/>
  <c r="S342" i="1"/>
  <c r="BZ296" i="1"/>
  <c r="CG305" i="1"/>
  <c r="AQ305" i="1"/>
  <c r="CP301" i="1"/>
  <c r="O301" i="1" s="1"/>
  <c r="AJ305" i="1"/>
  <c r="CX339" i="3"/>
  <c r="CX338" i="3"/>
  <c r="CX337" i="3"/>
  <c r="CX340" i="3"/>
  <c r="CX336" i="3"/>
  <c r="AO507" i="1"/>
  <c r="CT505" i="1"/>
  <c r="S505" i="1"/>
  <c r="CP505" i="1" s="1"/>
  <c r="O505" i="1" s="1"/>
  <c r="CS504" i="1"/>
  <c r="R504" i="1"/>
  <c r="GK504" i="1" s="1"/>
  <c r="CQ502" i="1"/>
  <c r="CT501" i="1"/>
  <c r="S501" i="1"/>
  <c r="CS500" i="1"/>
  <c r="R500" i="1"/>
  <c r="GK500" i="1" s="1"/>
  <c r="CQ499" i="1"/>
  <c r="CT497" i="1"/>
  <c r="CS496" i="1"/>
  <c r="R496" i="1"/>
  <c r="GK496" i="1" s="1"/>
  <c r="CQ495" i="1"/>
  <c r="CS494" i="1"/>
  <c r="R494" i="1"/>
  <c r="GK494" i="1" s="1"/>
  <c r="CQ493" i="1"/>
  <c r="CT491" i="1"/>
  <c r="CQ490" i="1"/>
  <c r="CS489" i="1"/>
  <c r="R489" i="1"/>
  <c r="GK489" i="1" s="1"/>
  <c r="CT488" i="1"/>
  <c r="CT486" i="1"/>
  <c r="CT484" i="1"/>
  <c r="CQ483" i="1"/>
  <c r="CX299" i="3"/>
  <c r="CX298" i="3"/>
  <c r="CX297" i="3"/>
  <c r="CS481" i="1"/>
  <c r="R481" i="1"/>
  <c r="GK481" i="1" s="1"/>
  <c r="CX292" i="3"/>
  <c r="CX291" i="3"/>
  <c r="CX290" i="3"/>
  <c r="CX289" i="3"/>
  <c r="CX293" i="3"/>
  <c r="CS479" i="1"/>
  <c r="R479" i="1"/>
  <c r="CQ478" i="1"/>
  <c r="CT477" i="1"/>
  <c r="CS410" i="1"/>
  <c r="P403" i="1"/>
  <c r="CP402" i="1"/>
  <c r="O402" i="1" s="1"/>
  <c r="R399" i="1"/>
  <c r="GK399" i="1" s="1"/>
  <c r="CS399" i="1"/>
  <c r="AD399" i="1"/>
  <c r="Q399" i="1"/>
  <c r="S398" i="1"/>
  <c r="CT398" i="1"/>
  <c r="AB398" i="1"/>
  <c r="CX265" i="3"/>
  <c r="S397" i="1"/>
  <c r="CY394" i="1"/>
  <c r="X394" i="1" s="1"/>
  <c r="CZ394" i="1"/>
  <c r="Y394" i="1" s="1"/>
  <c r="CY391" i="1"/>
  <c r="X391" i="1" s="1"/>
  <c r="CZ391" i="1"/>
  <c r="Y391" i="1" s="1"/>
  <c r="GM391" i="1" s="1"/>
  <c r="CZ387" i="1"/>
  <c r="Y387" i="1" s="1"/>
  <c r="CY387" i="1"/>
  <c r="X387" i="1" s="1"/>
  <c r="CP385" i="1"/>
  <c r="O385" i="1" s="1"/>
  <c r="CY345" i="1"/>
  <c r="X345" i="1" s="1"/>
  <c r="CZ345" i="1"/>
  <c r="Y345" i="1" s="1"/>
  <c r="GM345" i="1" s="1"/>
  <c r="BZ337" i="1"/>
  <c r="CG348" i="1"/>
  <c r="AQ348" i="1"/>
  <c r="CP343" i="1"/>
  <c r="O343" i="1" s="1"/>
  <c r="CC337" i="1"/>
  <c r="AT348" i="1"/>
  <c r="CI348" i="1"/>
  <c r="BY337" i="1"/>
  <c r="AP348" i="1"/>
  <c r="CJ305" i="1"/>
  <c r="CX311" i="3"/>
  <c r="CX310" i="3"/>
  <c r="CX309" i="3"/>
  <c r="CX313" i="3"/>
  <c r="CX312" i="3"/>
  <c r="BB413" i="1"/>
  <c r="AT413" i="1"/>
  <c r="AP413" i="1"/>
  <c r="AD401" i="1"/>
  <c r="AB401" i="1" s="1"/>
  <c r="R401" i="1"/>
  <c r="GK401" i="1" s="1"/>
  <c r="CS401" i="1"/>
  <c r="S400" i="1"/>
  <c r="CT400" i="1"/>
  <c r="AB400" i="1"/>
  <c r="AB399" i="1"/>
  <c r="CP394" i="1"/>
  <c r="O394" i="1" s="1"/>
  <c r="CY382" i="1"/>
  <c r="X382" i="1" s="1"/>
  <c r="CZ382" i="1"/>
  <c r="Y382" i="1" s="1"/>
  <c r="CC296" i="1"/>
  <c r="AT305" i="1"/>
  <c r="AH296" i="1"/>
  <c r="U305" i="1"/>
  <c r="CX272" i="3"/>
  <c r="CX276" i="3"/>
  <c r="CX280" i="3"/>
  <c r="CX284" i="3"/>
  <c r="CX271" i="3"/>
  <c r="CX275" i="3"/>
  <c r="CX279" i="3"/>
  <c r="CX283" i="3"/>
  <c r="CX270" i="3"/>
  <c r="CX274" i="3"/>
  <c r="CX278" i="3"/>
  <c r="CX282" i="3"/>
  <c r="CX273" i="3"/>
  <c r="CX277" i="3"/>
  <c r="CX281" i="3"/>
  <c r="CX285" i="3"/>
  <c r="CQ399" i="1"/>
  <c r="P399" i="1"/>
  <c r="CP399" i="1" s="1"/>
  <c r="O399" i="1" s="1"/>
  <c r="CQ397" i="1"/>
  <c r="P397" i="1"/>
  <c r="CP397" i="1" s="1"/>
  <c r="O397" i="1" s="1"/>
  <c r="CQ395" i="1"/>
  <c r="AD395" i="1"/>
  <c r="AB395" i="1" s="1"/>
  <c r="P395" i="1"/>
  <c r="CP395" i="1" s="1"/>
  <c r="O395" i="1" s="1"/>
  <c r="CT394" i="1"/>
  <c r="CS393" i="1"/>
  <c r="AB393" i="1"/>
  <c r="R393" i="1"/>
  <c r="GK393" i="1" s="1"/>
  <c r="Q392" i="1"/>
  <c r="CP392" i="1" s="1"/>
  <c r="O392" i="1" s="1"/>
  <c r="CT391" i="1"/>
  <c r="CX244" i="3"/>
  <c r="CX243" i="3"/>
  <c r="CX242" i="3"/>
  <c r="CX245" i="3"/>
  <c r="CS389" i="1"/>
  <c r="AB389" i="1"/>
  <c r="R389" i="1"/>
  <c r="GK389" i="1" s="1"/>
  <c r="CQ387" i="1"/>
  <c r="AD387" i="1"/>
  <c r="AB387" i="1" s="1"/>
  <c r="P387" i="1"/>
  <c r="CP387" i="1" s="1"/>
  <c r="O387" i="1" s="1"/>
  <c r="Q386" i="1"/>
  <c r="CP386" i="1" s="1"/>
  <c r="O386" i="1" s="1"/>
  <c r="CT385" i="1"/>
  <c r="CQ384" i="1"/>
  <c r="AD384" i="1"/>
  <c r="AB384" i="1" s="1"/>
  <c r="CS383" i="1"/>
  <c r="AB383" i="1"/>
  <c r="R383" i="1"/>
  <c r="CT382" i="1"/>
  <c r="BC348" i="1"/>
  <c r="Q346" i="1"/>
  <c r="CP346" i="1" s="1"/>
  <c r="O346" i="1" s="1"/>
  <c r="CT345" i="1"/>
  <c r="Q344" i="1"/>
  <c r="CP344" i="1" s="1"/>
  <c r="O344" i="1" s="1"/>
  <c r="CT343" i="1"/>
  <c r="CQ342" i="1"/>
  <c r="AD342" i="1"/>
  <c r="AB342" i="1" s="1"/>
  <c r="P342" i="1"/>
  <c r="CP342" i="1" s="1"/>
  <c r="O342" i="1" s="1"/>
  <c r="CS341" i="1"/>
  <c r="AB341" i="1"/>
  <c r="I341" i="1"/>
  <c r="W341" i="1" s="1"/>
  <c r="AJ348" i="1" s="1"/>
  <c r="CQ340" i="1"/>
  <c r="AD340" i="1"/>
  <c r="AB340" i="1" s="1"/>
  <c r="P340" i="1"/>
  <c r="CM337" i="1"/>
  <c r="BC305" i="1"/>
  <c r="CQ302" i="1"/>
  <c r="AD302" i="1"/>
  <c r="AB302" i="1" s="1"/>
  <c r="P302" i="1"/>
  <c r="CP302" i="1" s="1"/>
  <c r="O302" i="1" s="1"/>
  <c r="CT301" i="1"/>
  <c r="CS300" i="1"/>
  <c r="R300" i="1"/>
  <c r="GK300" i="1" s="1"/>
  <c r="AP264" i="1"/>
  <c r="BY247" i="1"/>
  <c r="CI264" i="1"/>
  <c r="CY260" i="1"/>
  <c r="X260" i="1" s="1"/>
  <c r="CZ260" i="1"/>
  <c r="Y260" i="1" s="1"/>
  <c r="AJ264" i="1"/>
  <c r="CY251" i="1"/>
  <c r="X251" i="1" s="1"/>
  <c r="CZ251" i="1"/>
  <c r="Y251" i="1" s="1"/>
  <c r="CP251" i="1"/>
  <c r="O251" i="1" s="1"/>
  <c r="CZ393" i="1"/>
  <c r="Y393" i="1" s="1"/>
  <c r="Q393" i="1"/>
  <c r="CP393" i="1" s="1"/>
  <c r="O393" i="1" s="1"/>
  <c r="CZ389" i="1"/>
  <c r="Y389" i="1" s="1"/>
  <c r="Q389" i="1"/>
  <c r="CP389" i="1" s="1"/>
  <c r="O389" i="1" s="1"/>
  <c r="CZ383" i="1"/>
  <c r="Y383" i="1" s="1"/>
  <c r="Q383" i="1"/>
  <c r="CP383" i="1" s="1"/>
  <c r="O383" i="1" s="1"/>
  <c r="CX232" i="3"/>
  <c r="CX231" i="3"/>
  <c r="CX230" i="3"/>
  <c r="BB348" i="1"/>
  <c r="S340" i="1"/>
  <c r="BB305" i="1"/>
  <c r="AF305" i="1"/>
  <c r="CZ300" i="1"/>
  <c r="Y300" i="1" s="1"/>
  <c r="P300" i="1"/>
  <c r="CP300" i="1" s="1"/>
  <c r="O300" i="1" s="1"/>
  <c r="AB299" i="1"/>
  <c r="P299" i="1"/>
  <c r="CM247" i="1"/>
  <c r="BD264" i="1"/>
  <c r="CY254" i="1"/>
  <c r="X254" i="1" s="1"/>
  <c r="CZ254" i="1"/>
  <c r="Y254" i="1" s="1"/>
  <c r="CJ264" i="1"/>
  <c r="CS395" i="1"/>
  <c r="R395" i="1"/>
  <c r="GK395" i="1" s="1"/>
  <c r="CQ393" i="1"/>
  <c r="CT392" i="1"/>
  <c r="S392" i="1"/>
  <c r="CT390" i="1"/>
  <c r="S390" i="1"/>
  <c r="CQ389" i="1"/>
  <c r="CT388" i="1"/>
  <c r="S388" i="1"/>
  <c r="CS387" i="1"/>
  <c r="R387" i="1"/>
  <c r="GK387" i="1" s="1"/>
  <c r="CT386" i="1"/>
  <c r="S386" i="1"/>
  <c r="CX235" i="3"/>
  <c r="CX234" i="3"/>
  <c r="CX233" i="3"/>
  <c r="CS384" i="1"/>
  <c r="I384" i="1"/>
  <c r="W384" i="1" s="1"/>
  <c r="AJ443" i="1" s="1"/>
  <c r="AJ380" i="1" s="1"/>
  <c r="CQ383" i="1"/>
  <c r="CX228" i="3"/>
  <c r="CX227" i="3"/>
  <c r="CX229" i="3"/>
  <c r="CT346" i="1"/>
  <c r="S346" i="1"/>
  <c r="CT344" i="1"/>
  <c r="S344" i="1"/>
  <c r="CX224" i="3"/>
  <c r="CX223" i="3"/>
  <c r="CX222" i="3"/>
  <c r="CX226" i="3"/>
  <c r="CX221" i="3"/>
  <c r="CX225" i="3"/>
  <c r="CS342" i="1"/>
  <c r="CQ341" i="1"/>
  <c r="CS340" i="1"/>
  <c r="R340" i="1"/>
  <c r="GK340" i="1" s="1"/>
  <c r="CT339" i="1"/>
  <c r="S339" i="1"/>
  <c r="CT303" i="1"/>
  <c r="S303" i="1"/>
  <c r="CP303" i="1" s="1"/>
  <c r="O303" i="1" s="1"/>
  <c r="CS302" i="1"/>
  <c r="R302" i="1"/>
  <c r="GK302" i="1" s="1"/>
  <c r="AD300" i="1"/>
  <c r="AB300" i="1" s="1"/>
  <c r="AT264" i="1"/>
  <c r="CC247" i="1"/>
  <c r="CX236" i="3"/>
  <c r="CX239" i="3"/>
  <c r="CX238" i="3"/>
  <c r="CX237" i="3"/>
  <c r="CX216" i="3"/>
  <c r="CX220" i="3"/>
  <c r="CX215" i="3"/>
  <c r="CX219" i="3"/>
  <c r="CX214" i="3"/>
  <c r="CX218" i="3"/>
  <c r="CX213" i="3"/>
  <c r="CX217" i="3"/>
  <c r="BD305" i="1"/>
  <c r="CY261" i="1"/>
  <c r="X261" i="1" s="1"/>
  <c r="CZ261" i="1"/>
  <c r="Y261" i="1" s="1"/>
  <c r="BZ247" i="1"/>
  <c r="AQ264" i="1"/>
  <c r="CY257" i="1"/>
  <c r="X257" i="1" s="1"/>
  <c r="CZ257" i="1"/>
  <c r="Y257" i="1" s="1"/>
  <c r="CY256" i="1"/>
  <c r="X256" i="1" s="1"/>
  <c r="CZ256" i="1"/>
  <c r="Y256" i="1" s="1"/>
  <c r="CY252" i="1"/>
  <c r="X252" i="1" s="1"/>
  <c r="CZ252" i="1"/>
  <c r="Y252" i="1" s="1"/>
  <c r="AH264" i="1"/>
  <c r="AI264" i="1"/>
  <c r="Q298" i="1"/>
  <c r="AD305" i="1" s="1"/>
  <c r="CX200" i="3"/>
  <c r="CX204" i="3"/>
  <c r="CX203" i="3"/>
  <c r="CX202" i="3"/>
  <c r="CX201" i="3"/>
  <c r="AO264" i="1"/>
  <c r="CT262" i="1"/>
  <c r="S262" i="1"/>
  <c r="CP262" i="1" s="1"/>
  <c r="O262" i="1" s="1"/>
  <c r="CS261" i="1"/>
  <c r="R261" i="1"/>
  <c r="GK261" i="1" s="1"/>
  <c r="Q260" i="1"/>
  <c r="CP260" i="1" s="1"/>
  <c r="O260" i="1" s="1"/>
  <c r="CY259" i="1"/>
  <c r="X259" i="1" s="1"/>
  <c r="CQ259" i="1"/>
  <c r="P259" i="1"/>
  <c r="CP259" i="1" s="1"/>
  <c r="O259" i="1" s="1"/>
  <c r="CT258" i="1"/>
  <c r="S258" i="1"/>
  <c r="CP258" i="1" s="1"/>
  <c r="O258" i="1" s="1"/>
  <c r="Q257" i="1"/>
  <c r="CP257" i="1" s="1"/>
  <c r="O257" i="1" s="1"/>
  <c r="CX192" i="3"/>
  <c r="CX195" i="3"/>
  <c r="CX194" i="3"/>
  <c r="CX193" i="3"/>
  <c r="CS256" i="1"/>
  <c r="R256" i="1"/>
  <c r="GK256" i="1" s="1"/>
  <c r="CY255" i="1"/>
  <c r="X255" i="1" s="1"/>
  <c r="CQ255" i="1"/>
  <c r="P255" i="1"/>
  <c r="CP255" i="1" s="1"/>
  <c r="O255" i="1" s="1"/>
  <c r="CS254" i="1"/>
  <c r="R254" i="1"/>
  <c r="GK254" i="1" s="1"/>
  <c r="CY253" i="1"/>
  <c r="X253" i="1" s="1"/>
  <c r="CQ253" i="1"/>
  <c r="P253" i="1"/>
  <c r="CP253" i="1" s="1"/>
  <c r="O253" i="1" s="1"/>
  <c r="Q252" i="1"/>
  <c r="CP252" i="1" s="1"/>
  <c r="O252" i="1" s="1"/>
  <c r="CT251" i="1"/>
  <c r="AB251" i="1"/>
  <c r="S249" i="1"/>
  <c r="BC197" i="1"/>
  <c r="F231" i="1"/>
  <c r="CY213" i="1"/>
  <c r="X213" i="1" s="1"/>
  <c r="CZ213" i="1"/>
  <c r="Y213" i="1" s="1"/>
  <c r="CQ210" i="1"/>
  <c r="AB210" i="1"/>
  <c r="R209" i="1"/>
  <c r="GK209" i="1" s="1"/>
  <c r="CS209" i="1"/>
  <c r="AD209" i="1"/>
  <c r="AB209" i="1" s="1"/>
  <c r="Q209" i="1"/>
  <c r="P208" i="1"/>
  <c r="Q208" i="1"/>
  <c r="S206" i="1"/>
  <c r="CT206" i="1"/>
  <c r="AB206" i="1"/>
  <c r="CY201" i="1"/>
  <c r="X201" i="1" s="1"/>
  <c r="CZ201" i="1"/>
  <c r="Y201" i="1" s="1"/>
  <c r="CP200" i="1"/>
  <c r="O200" i="1" s="1"/>
  <c r="CP163" i="1"/>
  <c r="O163" i="1" s="1"/>
  <c r="GP162" i="1"/>
  <c r="GM162" i="1"/>
  <c r="CC150" i="1"/>
  <c r="AT165" i="1"/>
  <c r="Q261" i="1"/>
  <c r="CP261" i="1" s="1"/>
  <c r="O261" i="1" s="1"/>
  <c r="Q256" i="1"/>
  <c r="CP256" i="1" s="1"/>
  <c r="O256" i="1" s="1"/>
  <c r="Q254" i="1"/>
  <c r="CP254" i="1" s="1"/>
  <c r="O254" i="1" s="1"/>
  <c r="R249" i="1"/>
  <c r="AD249" i="1"/>
  <c r="AB249" i="1" s="1"/>
  <c r="CX180" i="3"/>
  <c r="CX179" i="3"/>
  <c r="CX178" i="3"/>
  <c r="BB197" i="1"/>
  <c r="F228" i="1"/>
  <c r="BX197" i="1"/>
  <c r="AO215" i="1"/>
  <c r="V211" i="1"/>
  <c r="CS211" i="1"/>
  <c r="AD211" i="1"/>
  <c r="T210" i="1"/>
  <c r="S208" i="1"/>
  <c r="CT208" i="1"/>
  <c r="AB208" i="1"/>
  <c r="GM207" i="1"/>
  <c r="GN207" i="1"/>
  <c r="BY215" i="1"/>
  <c r="BZ215" i="1"/>
  <c r="BY150" i="1"/>
  <c r="CI165" i="1"/>
  <c r="AP165" i="1"/>
  <c r="CS299" i="1"/>
  <c r="R299" i="1"/>
  <c r="GK299" i="1" s="1"/>
  <c r="CT298" i="1"/>
  <c r="BC264" i="1"/>
  <c r="CQ261" i="1"/>
  <c r="CT260" i="1"/>
  <c r="CS259" i="1"/>
  <c r="R259" i="1"/>
  <c r="GK259" i="1" s="1"/>
  <c r="CT257" i="1"/>
  <c r="CQ256" i="1"/>
  <c r="CS255" i="1"/>
  <c r="R255" i="1"/>
  <c r="GK255" i="1" s="1"/>
  <c r="CQ254" i="1"/>
  <c r="CS253" i="1"/>
  <c r="R253" i="1"/>
  <c r="GK253" i="1" s="1"/>
  <c r="CT252" i="1"/>
  <c r="R251" i="1"/>
  <c r="GK251" i="1" s="1"/>
  <c r="CX184" i="3"/>
  <c r="CX185" i="3"/>
  <c r="CX183" i="3"/>
  <c r="CX182" i="3"/>
  <c r="CX186" i="3"/>
  <c r="CY250" i="1"/>
  <c r="X250" i="1" s="1"/>
  <c r="GN250" i="1" s="1"/>
  <c r="CR249" i="1"/>
  <c r="P249" i="1"/>
  <c r="CQ249" i="1"/>
  <c r="P213" i="1"/>
  <c r="CQ213" i="1"/>
  <c r="AB213" i="1"/>
  <c r="AB211" i="1"/>
  <c r="U210" i="1"/>
  <c r="CR209" i="1"/>
  <c r="CX173" i="3"/>
  <c r="CX175" i="3"/>
  <c r="CX174" i="3"/>
  <c r="I211" i="1"/>
  <c r="U211" i="1" s="1"/>
  <c r="S209" i="1"/>
  <c r="I210" i="1"/>
  <c r="P210" i="1" s="1"/>
  <c r="P205" i="1"/>
  <c r="CQ205" i="1"/>
  <c r="AB205" i="1"/>
  <c r="Q204" i="1"/>
  <c r="S204" i="1"/>
  <c r="CP199" i="1"/>
  <c r="O199" i="1" s="1"/>
  <c r="AB163" i="1"/>
  <c r="CX208" i="3"/>
  <c r="CX207" i="3"/>
  <c r="CX206" i="3"/>
  <c r="CX205" i="3"/>
  <c r="CS298" i="1"/>
  <c r="CG264" i="1"/>
  <c r="BB264" i="1"/>
  <c r="CQ262" i="1"/>
  <c r="CT261" i="1"/>
  <c r="CS260" i="1"/>
  <c r="CQ258" i="1"/>
  <c r="CS257" i="1"/>
  <c r="CT256" i="1"/>
  <c r="CT254" i="1"/>
  <c r="CX188" i="3"/>
  <c r="CX187" i="3"/>
  <c r="CX191" i="3"/>
  <c r="CX190" i="3"/>
  <c r="CX189" i="3"/>
  <c r="CS252" i="1"/>
  <c r="T249" i="1"/>
  <c r="AG264" i="1" s="1"/>
  <c r="Q249" i="1"/>
  <c r="AD264" i="1" s="1"/>
  <c r="S212" i="1"/>
  <c r="CT212" i="1"/>
  <c r="AB212" i="1"/>
  <c r="CR211" i="1"/>
  <c r="T211" i="1"/>
  <c r="V210" i="1"/>
  <c r="U208" i="1"/>
  <c r="R208" i="1"/>
  <c r="GK208" i="1" s="1"/>
  <c r="CP206" i="1"/>
  <c r="O206" i="1" s="1"/>
  <c r="T205" i="1"/>
  <c r="CC215" i="1"/>
  <c r="T203" i="1"/>
  <c r="AG215" i="1" s="1"/>
  <c r="CY200" i="1"/>
  <c r="X200" i="1" s="1"/>
  <c r="CZ200" i="1"/>
  <c r="Y200" i="1" s="1"/>
  <c r="BD215" i="1"/>
  <c r="CS213" i="1"/>
  <c r="R213" i="1"/>
  <c r="GK213" i="1" s="1"/>
  <c r="CQ211" i="1"/>
  <c r="CS210" i="1"/>
  <c r="R210" i="1"/>
  <c r="GK210" i="1" s="1"/>
  <c r="CQ209" i="1"/>
  <c r="P209" i="1"/>
  <c r="CT207" i="1"/>
  <c r="CX172" i="3"/>
  <c r="CX169" i="3"/>
  <c r="CX171" i="3"/>
  <c r="CX170" i="3"/>
  <c r="CS205" i="1"/>
  <c r="R205" i="1"/>
  <c r="GK205" i="1" s="1"/>
  <c r="I205" i="1"/>
  <c r="GX205" i="1" s="1"/>
  <c r="CQ204" i="1"/>
  <c r="AD204" i="1"/>
  <c r="AB204" i="1" s="1"/>
  <c r="P204" i="1"/>
  <c r="CP204" i="1" s="1"/>
  <c r="O204" i="1" s="1"/>
  <c r="AB203" i="1"/>
  <c r="R203" i="1"/>
  <c r="GK203" i="1" s="1"/>
  <c r="I203" i="1"/>
  <c r="AD202" i="1"/>
  <c r="AB202" i="1" s="1"/>
  <c r="P202" i="1"/>
  <c r="Q201" i="1"/>
  <c r="AD199" i="1"/>
  <c r="AB199" i="1" s="1"/>
  <c r="CL197" i="1"/>
  <c r="CG165" i="1"/>
  <c r="BB165" i="1"/>
  <c r="AD163" i="1"/>
  <c r="CR161" i="1"/>
  <c r="P161" i="1"/>
  <c r="CP161" i="1" s="1"/>
  <c r="O161" i="1" s="1"/>
  <c r="CQ161" i="1"/>
  <c r="S158" i="1"/>
  <c r="CT158" i="1"/>
  <c r="AB158" i="1"/>
  <c r="W154" i="1"/>
  <c r="U154" i="1"/>
  <c r="CC96" i="1"/>
  <c r="AT118" i="1"/>
  <c r="AB112" i="1"/>
  <c r="CY108" i="1"/>
  <c r="X108" i="1" s="1"/>
  <c r="CZ108" i="1"/>
  <c r="Y108" i="1" s="1"/>
  <c r="CZ106" i="1"/>
  <c r="Y106" i="1" s="1"/>
  <c r="CY106" i="1"/>
  <c r="X106" i="1" s="1"/>
  <c r="Q213" i="1"/>
  <c r="S202" i="1"/>
  <c r="CK197" i="1"/>
  <c r="AO165" i="1"/>
  <c r="CQ155" i="1"/>
  <c r="AB155" i="1"/>
  <c r="GX154" i="1"/>
  <c r="V154" i="1"/>
  <c r="R154" i="1"/>
  <c r="GK154" i="1" s="1"/>
  <c r="CS154" i="1"/>
  <c r="AD154" i="1"/>
  <c r="CY113" i="1"/>
  <c r="X113" i="1" s="1"/>
  <c r="CZ113" i="1"/>
  <c r="Y113" i="1" s="1"/>
  <c r="BY96" i="1"/>
  <c r="CI118" i="1"/>
  <c r="AP118" i="1"/>
  <c r="CP109" i="1"/>
  <c r="O109" i="1" s="1"/>
  <c r="CS204" i="1"/>
  <c r="CQ203" i="1"/>
  <c r="CS202" i="1"/>
  <c r="R202" i="1"/>
  <c r="GK202" i="1" s="1"/>
  <c r="CT201" i="1"/>
  <c r="CX160" i="3"/>
  <c r="CX162" i="3"/>
  <c r="CX161" i="3"/>
  <c r="CX163" i="3"/>
  <c r="CX159" i="3"/>
  <c r="CS199" i="1"/>
  <c r="R199" i="1"/>
  <c r="BD165" i="1"/>
  <c r="CS163" i="1"/>
  <c r="R163" i="1"/>
  <c r="GK163" i="1" s="1"/>
  <c r="S160" i="1"/>
  <c r="CT160" i="1"/>
  <c r="CZ159" i="1"/>
  <c r="Y159" i="1" s="1"/>
  <c r="P159" i="1"/>
  <c r="CQ159" i="1"/>
  <c r="AB159" i="1"/>
  <c r="CQ157" i="1"/>
  <c r="AB157" i="1"/>
  <c r="CS156" i="1"/>
  <c r="AD156" i="1"/>
  <c r="AB156" i="1" s="1"/>
  <c r="AB154" i="1"/>
  <c r="S153" i="1"/>
  <c r="CT153" i="1"/>
  <c r="AB153" i="1"/>
  <c r="CY115" i="1"/>
  <c r="X115" i="1" s="1"/>
  <c r="CZ115" i="1"/>
  <c r="Y115" i="1" s="1"/>
  <c r="CZ112" i="1"/>
  <c r="Y112" i="1" s="1"/>
  <c r="CY112" i="1"/>
  <c r="X112" i="1" s="1"/>
  <c r="CY110" i="1"/>
  <c r="X110" i="1" s="1"/>
  <c r="GN110" i="1" s="1"/>
  <c r="CZ110" i="1"/>
  <c r="Y110" i="1" s="1"/>
  <c r="CX164" i="3"/>
  <c r="CX168" i="3"/>
  <c r="CX165" i="3"/>
  <c r="CX167" i="3"/>
  <c r="CX166" i="3"/>
  <c r="BC165" i="1"/>
  <c r="AQ165" i="1"/>
  <c r="R161" i="1"/>
  <c r="GK161" i="1" s="1"/>
  <c r="CS161" i="1"/>
  <c r="AD161" i="1"/>
  <c r="AB161" i="1" s="1"/>
  <c r="CP160" i="1"/>
  <c r="O160" i="1" s="1"/>
  <c r="T157" i="1"/>
  <c r="GX155" i="1"/>
  <c r="CX144" i="3"/>
  <c r="CX148" i="3"/>
  <c r="CX152" i="3"/>
  <c r="CX146" i="3"/>
  <c r="CX150" i="3"/>
  <c r="CX145" i="3"/>
  <c r="CX149" i="3"/>
  <c r="CX151" i="3"/>
  <c r="CX147" i="3"/>
  <c r="CX143" i="3"/>
  <c r="I156" i="1"/>
  <c r="S154" i="1"/>
  <c r="I155" i="1"/>
  <c r="W155" i="1" s="1"/>
  <c r="I157" i="1"/>
  <c r="U157" i="1" s="1"/>
  <c r="CP115" i="1"/>
  <c r="O115" i="1" s="1"/>
  <c r="GM111" i="1"/>
  <c r="GN111" i="1"/>
  <c r="GM107" i="1"/>
  <c r="CS159" i="1"/>
  <c r="R159" i="1"/>
  <c r="GK159" i="1" s="1"/>
  <c r="CS157" i="1"/>
  <c r="CQ156" i="1"/>
  <c r="CS155" i="1"/>
  <c r="CQ154" i="1"/>
  <c r="P154" i="1"/>
  <c r="CS152" i="1"/>
  <c r="AB152" i="1"/>
  <c r="R152" i="1"/>
  <c r="CG118" i="1"/>
  <c r="BB118" i="1"/>
  <c r="CQ116" i="1"/>
  <c r="AD116" i="1"/>
  <c r="AB116" i="1" s="1"/>
  <c r="P116" i="1"/>
  <c r="CP116" i="1" s="1"/>
  <c r="O116" i="1" s="1"/>
  <c r="CT115" i="1"/>
  <c r="CS114" i="1"/>
  <c r="AB114" i="1"/>
  <c r="R114" i="1"/>
  <c r="GK114" i="1" s="1"/>
  <c r="Q113" i="1"/>
  <c r="CP113" i="1" s="1"/>
  <c r="O113" i="1" s="1"/>
  <c r="AD112" i="1"/>
  <c r="P112" i="1"/>
  <c r="CP112" i="1" s="1"/>
  <c r="O112" i="1" s="1"/>
  <c r="Q108" i="1"/>
  <c r="CP108" i="1" s="1"/>
  <c r="O108" i="1" s="1"/>
  <c r="CX128" i="3"/>
  <c r="CX132" i="3"/>
  <c r="CX127" i="3"/>
  <c r="CX126" i="3"/>
  <c r="CX130" i="3"/>
  <c r="CX134" i="3"/>
  <c r="CX129" i="3"/>
  <c r="CX133" i="3"/>
  <c r="CX135" i="3"/>
  <c r="CX131" i="3"/>
  <c r="AB107" i="1"/>
  <c r="S105" i="1"/>
  <c r="CT105" i="1"/>
  <c r="R103" i="1"/>
  <c r="GK103" i="1" s="1"/>
  <c r="CS103" i="1"/>
  <c r="AD103" i="1"/>
  <c r="AB103" i="1" s="1"/>
  <c r="Q103" i="1"/>
  <c r="CY102" i="1"/>
  <c r="X102" i="1" s="1"/>
  <c r="CZ102" i="1"/>
  <c r="Y102" i="1" s="1"/>
  <c r="AB100" i="1"/>
  <c r="CY99" i="1"/>
  <c r="X99" i="1" s="1"/>
  <c r="CZ99" i="1"/>
  <c r="Y99" i="1" s="1"/>
  <c r="Q159" i="1"/>
  <c r="CZ152" i="1"/>
  <c r="Y152" i="1" s="1"/>
  <c r="Q152" i="1"/>
  <c r="AO118" i="1"/>
  <c r="CZ114" i="1"/>
  <c r="Y114" i="1" s="1"/>
  <c r="Q114" i="1"/>
  <c r="CP114" i="1" s="1"/>
  <c r="O114" i="1" s="1"/>
  <c r="CQ110" i="1"/>
  <c r="CS109" i="1"/>
  <c r="R109" i="1"/>
  <c r="GK109" i="1" s="1"/>
  <c r="CQ108" i="1"/>
  <c r="CZ107" i="1"/>
  <c r="Y107" i="1" s="1"/>
  <c r="GN107" i="1" s="1"/>
  <c r="R106" i="1"/>
  <c r="GK106" i="1" s="1"/>
  <c r="CS106" i="1"/>
  <c r="CR103" i="1"/>
  <c r="AB62" i="1"/>
  <c r="CP59" i="1"/>
  <c r="O59" i="1" s="1"/>
  <c r="CQ152" i="1"/>
  <c r="BD118" i="1"/>
  <c r="CS116" i="1"/>
  <c r="R116" i="1"/>
  <c r="GK116" i="1" s="1"/>
  <c r="CQ114" i="1"/>
  <c r="CT113" i="1"/>
  <c r="CS112" i="1"/>
  <c r="R112" i="1"/>
  <c r="GK112" i="1" s="1"/>
  <c r="CT110" i="1"/>
  <c r="CT108" i="1"/>
  <c r="CQ107" i="1"/>
  <c r="CQ106" i="1"/>
  <c r="CX124" i="3"/>
  <c r="CX123" i="3"/>
  <c r="CX122" i="3"/>
  <c r="CX121" i="3"/>
  <c r="CX125" i="3"/>
  <c r="P104" i="1"/>
  <c r="CQ104" i="1"/>
  <c r="AB104" i="1"/>
  <c r="GM101" i="1"/>
  <c r="GN101" i="1"/>
  <c r="CZ100" i="1"/>
  <c r="Y100" i="1" s="1"/>
  <c r="CY100" i="1"/>
  <c r="X100" i="1" s="1"/>
  <c r="BC118" i="1"/>
  <c r="AQ118" i="1"/>
  <c r="P106" i="1"/>
  <c r="CP106" i="1" s="1"/>
  <c r="O106" i="1" s="1"/>
  <c r="CP98" i="1"/>
  <c r="O98" i="1" s="1"/>
  <c r="GP61" i="1"/>
  <c r="GM61" i="1"/>
  <c r="CY57" i="1"/>
  <c r="X57" i="1" s="1"/>
  <c r="CZ57" i="1"/>
  <c r="Y57" i="1" s="1"/>
  <c r="Q105" i="1"/>
  <c r="CX120" i="3"/>
  <c r="CX119" i="3"/>
  <c r="CX118" i="3"/>
  <c r="I104" i="1"/>
  <c r="V104" i="1" s="1"/>
  <c r="AI118" i="1" s="1"/>
  <c r="P103" i="1"/>
  <c r="CP103" i="1" s="1"/>
  <c r="O103" i="1" s="1"/>
  <c r="Q102" i="1"/>
  <c r="CP102" i="1" s="1"/>
  <c r="O102" i="1" s="1"/>
  <c r="AD100" i="1"/>
  <c r="P100" i="1"/>
  <c r="CP100" i="1" s="1"/>
  <c r="O100" i="1" s="1"/>
  <c r="Q99" i="1"/>
  <c r="AB98" i="1"/>
  <c r="CG64" i="1"/>
  <c r="BB64" i="1"/>
  <c r="AT64" i="1"/>
  <c r="AP64" i="1"/>
  <c r="AD62" i="1"/>
  <c r="AB60" i="1"/>
  <c r="AB58" i="1"/>
  <c r="Q57" i="1"/>
  <c r="CP57" i="1" s="1"/>
  <c r="O57" i="1" s="1"/>
  <c r="Q56" i="1"/>
  <c r="CP56" i="1" s="1"/>
  <c r="O56" i="1" s="1"/>
  <c r="R55" i="1"/>
  <c r="GK55" i="1" s="1"/>
  <c r="CS55" i="1"/>
  <c r="CP55" i="1"/>
  <c r="O55" i="1" s="1"/>
  <c r="AB52" i="1"/>
  <c r="CP52" i="1"/>
  <c r="O52" i="1" s="1"/>
  <c r="CP50" i="1"/>
  <c r="O50" i="1" s="1"/>
  <c r="CP44" i="1"/>
  <c r="O44" i="1" s="1"/>
  <c r="CP41" i="1"/>
  <c r="O41" i="1" s="1"/>
  <c r="CP40" i="1"/>
  <c r="O40" i="1" s="1"/>
  <c r="CY37" i="1"/>
  <c r="X37" i="1" s="1"/>
  <c r="CZ37" i="1"/>
  <c r="Y37" i="1" s="1"/>
  <c r="GX36" i="1"/>
  <c r="CZ35" i="1"/>
  <c r="Y35" i="1" s="1"/>
  <c r="CY35" i="1"/>
  <c r="X35" i="1" s="1"/>
  <c r="CP35" i="1"/>
  <c r="O35" i="1" s="1"/>
  <c r="P105" i="1"/>
  <c r="CP105" i="1" s="1"/>
  <c r="O105" i="1" s="1"/>
  <c r="P99" i="1"/>
  <c r="CZ98" i="1"/>
  <c r="Y98" i="1" s="1"/>
  <c r="Q98" i="1"/>
  <c r="AO64" i="1"/>
  <c r="CZ60" i="1"/>
  <c r="Y60" i="1" s="1"/>
  <c r="Q60" i="1"/>
  <c r="CP60" i="1" s="1"/>
  <c r="O60" i="1" s="1"/>
  <c r="CZ58" i="1"/>
  <c r="Y58" i="1" s="1"/>
  <c r="Q58" i="1"/>
  <c r="CP58" i="1" s="1"/>
  <c r="O58" i="1" s="1"/>
  <c r="AB56" i="1"/>
  <c r="S56" i="1"/>
  <c r="CR55" i="1"/>
  <c r="AD55" i="1"/>
  <c r="CY54" i="1"/>
  <c r="X54" i="1" s="1"/>
  <c r="CZ54" i="1"/>
  <c r="Y54" i="1" s="1"/>
  <c r="CP47" i="1"/>
  <c r="O47" i="1" s="1"/>
  <c r="CY42" i="1"/>
  <c r="X42" i="1" s="1"/>
  <c r="CZ42" i="1"/>
  <c r="Y42" i="1" s="1"/>
  <c r="CZ40" i="1"/>
  <c r="Y40" i="1" s="1"/>
  <c r="CY40" i="1"/>
  <c r="X40" i="1" s="1"/>
  <c r="CP39" i="1"/>
  <c r="O39" i="1" s="1"/>
  <c r="U36" i="1"/>
  <c r="CP33" i="1"/>
  <c r="O33" i="1" s="1"/>
  <c r="CT102" i="1"/>
  <c r="CX104" i="3"/>
  <c r="CX108" i="3"/>
  <c r="CX103" i="3"/>
  <c r="CX107" i="3"/>
  <c r="CX102" i="3"/>
  <c r="CX106" i="3"/>
  <c r="CX101" i="3"/>
  <c r="CX105" i="3"/>
  <c r="CX109" i="3"/>
  <c r="CS100" i="1"/>
  <c r="R100" i="1"/>
  <c r="CT99" i="1"/>
  <c r="CQ98" i="1"/>
  <c r="CI64" i="1"/>
  <c r="BD64" i="1"/>
  <c r="CS62" i="1"/>
  <c r="R62" i="1"/>
  <c r="GK62" i="1" s="1"/>
  <c r="GM62" i="1" s="1"/>
  <c r="CQ60" i="1"/>
  <c r="CQ58" i="1"/>
  <c r="CT57" i="1"/>
  <c r="CS56" i="1"/>
  <c r="R56" i="1"/>
  <c r="GK56" i="1" s="1"/>
  <c r="AB55" i="1"/>
  <c r="CP49" i="1"/>
  <c r="O49" i="1" s="1"/>
  <c r="CZ47" i="1"/>
  <c r="Y47" i="1" s="1"/>
  <c r="CY47" i="1"/>
  <c r="X47" i="1" s="1"/>
  <c r="CP46" i="1"/>
  <c r="O46" i="1" s="1"/>
  <c r="CP37" i="1"/>
  <c r="O37" i="1" s="1"/>
  <c r="T36" i="1"/>
  <c r="P36" i="1"/>
  <c r="CY34" i="1"/>
  <c r="X34" i="1" s="1"/>
  <c r="CZ34" i="1"/>
  <c r="Y34" i="1" s="1"/>
  <c r="CX112" i="3"/>
  <c r="CX116" i="3"/>
  <c r="CX111" i="3"/>
  <c r="CX115" i="3"/>
  <c r="CX110" i="3"/>
  <c r="CX114" i="3"/>
  <c r="CX113" i="3"/>
  <c r="CX117" i="3"/>
  <c r="CX100" i="3"/>
  <c r="CX99" i="3"/>
  <c r="CX98" i="3"/>
  <c r="BC64" i="1"/>
  <c r="AQ64" i="1"/>
  <c r="P54" i="1"/>
  <c r="CP54" i="1" s="1"/>
  <c r="O54" i="1" s="1"/>
  <c r="CQ54" i="1"/>
  <c r="AB54" i="1"/>
  <c r="R53" i="1"/>
  <c r="GK53" i="1" s="1"/>
  <c r="CS53" i="1"/>
  <c r="AD53" i="1"/>
  <c r="AB53" i="1" s="1"/>
  <c r="Q53" i="1"/>
  <c r="CP53" i="1" s="1"/>
  <c r="O53" i="1" s="1"/>
  <c r="S51" i="1"/>
  <c r="CT51" i="1"/>
  <c r="CZ49" i="1"/>
  <c r="Y49" i="1" s="1"/>
  <c r="CY49" i="1"/>
  <c r="X49" i="1" s="1"/>
  <c r="GN48" i="1"/>
  <c r="GN45" i="1"/>
  <c r="V36" i="1"/>
  <c r="Q51" i="1"/>
  <c r="CP51" i="1" s="1"/>
  <c r="O51" i="1" s="1"/>
  <c r="CX68" i="3"/>
  <c r="CX72" i="3"/>
  <c r="CX67" i="3"/>
  <c r="CX71" i="3"/>
  <c r="CX75" i="3"/>
  <c r="CX66" i="3"/>
  <c r="CX70" i="3"/>
  <c r="CX74" i="3"/>
  <c r="CX69" i="3"/>
  <c r="CX73" i="3"/>
  <c r="AB50" i="1"/>
  <c r="AD49" i="1"/>
  <c r="AB49" i="1" s="1"/>
  <c r="AB48" i="1"/>
  <c r="AD47" i="1"/>
  <c r="AB47" i="1" s="1"/>
  <c r="AB46" i="1"/>
  <c r="AD45" i="1"/>
  <c r="AB45" i="1" s="1"/>
  <c r="AB44" i="1"/>
  <c r="Q42" i="1"/>
  <c r="CP42" i="1" s="1"/>
  <c r="O42" i="1" s="1"/>
  <c r="CX52" i="3"/>
  <c r="CX51" i="3"/>
  <c r="CX55" i="3"/>
  <c r="CX54" i="3"/>
  <c r="CX53" i="3"/>
  <c r="AB41" i="1"/>
  <c r="AD40" i="1"/>
  <c r="AB40" i="1" s="1"/>
  <c r="AB39" i="1"/>
  <c r="Q37" i="1"/>
  <c r="CX28" i="3"/>
  <c r="CX32" i="3"/>
  <c r="CX27" i="3"/>
  <c r="CX31" i="3"/>
  <c r="CX30" i="3"/>
  <c r="CX34" i="3"/>
  <c r="CX29" i="3"/>
  <c r="CX33" i="3"/>
  <c r="AB36" i="1"/>
  <c r="I36" i="1"/>
  <c r="AD35" i="1"/>
  <c r="AB35" i="1" s="1"/>
  <c r="Q34" i="1"/>
  <c r="CP34" i="1" s="1"/>
  <c r="O34" i="1" s="1"/>
  <c r="CX16" i="3"/>
  <c r="CX15" i="3"/>
  <c r="CX17" i="3"/>
  <c r="AB33" i="1"/>
  <c r="S32" i="1"/>
  <c r="R31" i="1"/>
  <c r="GK31" i="1" s="1"/>
  <c r="CS31" i="1"/>
  <c r="AD31" i="1"/>
  <c r="AB31" i="1" s="1"/>
  <c r="CP30" i="1"/>
  <c r="O30" i="1" s="1"/>
  <c r="CZ50" i="1"/>
  <c r="Y50" i="1" s="1"/>
  <c r="CZ48" i="1"/>
  <c r="Y48" i="1" s="1"/>
  <c r="GM48" i="1" s="1"/>
  <c r="CZ46" i="1"/>
  <c r="Y46" i="1" s="1"/>
  <c r="CZ44" i="1"/>
  <c r="Y44" i="1" s="1"/>
  <c r="Q44" i="1"/>
  <c r="CX56" i="3"/>
  <c r="CX60" i="3"/>
  <c r="CX64" i="3"/>
  <c r="CX59" i="3"/>
  <c r="CX63" i="3"/>
  <c r="CX58" i="3"/>
  <c r="CX62" i="3"/>
  <c r="CX57" i="3"/>
  <c r="CX61" i="3"/>
  <c r="CX65" i="3"/>
  <c r="I43" i="1"/>
  <c r="R43" i="1" s="1"/>
  <c r="GK43" i="1" s="1"/>
  <c r="CQ42" i="1"/>
  <c r="CZ41" i="1"/>
  <c r="Y41" i="1" s="1"/>
  <c r="CT40" i="1"/>
  <c r="CZ39" i="1"/>
  <c r="Y39" i="1" s="1"/>
  <c r="CX36" i="3"/>
  <c r="CX40" i="3"/>
  <c r="CX44" i="3"/>
  <c r="CX48" i="3"/>
  <c r="CX35" i="3"/>
  <c r="CX39" i="3"/>
  <c r="CX43" i="3"/>
  <c r="CX47" i="3"/>
  <c r="CX38" i="3"/>
  <c r="CX42" i="3"/>
  <c r="CX46" i="3"/>
  <c r="CX50" i="3"/>
  <c r="CX37" i="3"/>
  <c r="CX41" i="3"/>
  <c r="CX45" i="3"/>
  <c r="CX49" i="3"/>
  <c r="CS38" i="1"/>
  <c r="I38" i="1"/>
  <c r="V38" i="1" s="1"/>
  <c r="CQ37" i="1"/>
  <c r="CT35" i="1"/>
  <c r="CQ34" i="1"/>
  <c r="CZ33" i="1"/>
  <c r="Y33" i="1" s="1"/>
  <c r="CS32" i="1"/>
  <c r="R32" i="1"/>
  <c r="GK32" i="1" s="1"/>
  <c r="CR31" i="1"/>
  <c r="P31" i="1"/>
  <c r="CP31" i="1" s="1"/>
  <c r="O31" i="1" s="1"/>
  <c r="CQ31" i="1"/>
  <c r="S30" i="1"/>
  <c r="CT30" i="1"/>
  <c r="AB30" i="1"/>
  <c r="CY29" i="1"/>
  <c r="X29" i="1" s="1"/>
  <c r="CZ29" i="1"/>
  <c r="Y29" i="1" s="1"/>
  <c r="CY28" i="1"/>
  <c r="X28" i="1" s="1"/>
  <c r="CZ28" i="1"/>
  <c r="Y28" i="1" s="1"/>
  <c r="CP28" i="1"/>
  <c r="O28" i="1" s="1"/>
  <c r="CQ50" i="1"/>
  <c r="CS49" i="1"/>
  <c r="R49" i="1"/>
  <c r="GK49" i="1" s="1"/>
  <c r="CQ48" i="1"/>
  <c r="CS47" i="1"/>
  <c r="R47" i="1"/>
  <c r="GK47" i="1" s="1"/>
  <c r="CQ46" i="1"/>
  <c r="CS45" i="1"/>
  <c r="R45" i="1"/>
  <c r="GK45" i="1" s="1"/>
  <c r="GM45" i="1" s="1"/>
  <c r="CQ44" i="1"/>
  <c r="CT42" i="1"/>
  <c r="CQ41" i="1"/>
  <c r="CS40" i="1"/>
  <c r="R40" i="1"/>
  <c r="GK40" i="1" s="1"/>
  <c r="CQ39" i="1"/>
  <c r="CT37" i="1"/>
  <c r="CQ36" i="1"/>
  <c r="CS35" i="1"/>
  <c r="R35" i="1"/>
  <c r="GK35" i="1" s="1"/>
  <c r="CT34" i="1"/>
  <c r="CQ33" i="1"/>
  <c r="CX20" i="3"/>
  <c r="CX24" i="3"/>
  <c r="CX19" i="3"/>
  <c r="CX23" i="3"/>
  <c r="CX18" i="3"/>
  <c r="CX22" i="3"/>
  <c r="CX26" i="3"/>
  <c r="CX21" i="3"/>
  <c r="CX25" i="3"/>
  <c r="P29" i="1"/>
  <c r="CQ29" i="1"/>
  <c r="AB29" i="1"/>
  <c r="CX8" i="3"/>
  <c r="CX11" i="3"/>
  <c r="CX10" i="3"/>
  <c r="CX9" i="3"/>
  <c r="CS29" i="1"/>
  <c r="R29" i="1"/>
  <c r="GK29" i="1" s="1"/>
  <c r="CT28" i="1"/>
  <c r="Q29" i="1"/>
  <c r="CX4" i="3"/>
  <c r="CX3" i="3"/>
  <c r="CX7" i="3"/>
  <c r="CX2" i="3"/>
  <c r="CX6" i="3"/>
  <c r="CX5" i="3"/>
  <c r="CS28" i="1"/>
  <c r="R28" i="1"/>
  <c r="J1618" i="5" l="1"/>
  <c r="H1090" i="5"/>
  <c r="J1614" i="5"/>
  <c r="J1622" i="5"/>
  <c r="H1438" i="5"/>
  <c r="GM256" i="1"/>
  <c r="GN256" i="1"/>
  <c r="GM393" i="1"/>
  <c r="GN393" i="1"/>
  <c r="GM499" i="1"/>
  <c r="GN499" i="1"/>
  <c r="AH507" i="1"/>
  <c r="GN42" i="1"/>
  <c r="GM42" i="1"/>
  <c r="AI96" i="1"/>
  <c r="V118" i="1"/>
  <c r="AG197" i="1"/>
  <c r="T215" i="1"/>
  <c r="GP261" i="1"/>
  <c r="GM261" i="1"/>
  <c r="GP260" i="1"/>
  <c r="GM260" i="1"/>
  <c r="GN484" i="1"/>
  <c r="GM484" i="1"/>
  <c r="AI539" i="1"/>
  <c r="V552" i="1"/>
  <c r="GM545" i="1"/>
  <c r="GN545" i="1"/>
  <c r="GM832" i="1"/>
  <c r="GN832" i="1"/>
  <c r="GP840" i="1"/>
  <c r="GM840" i="1"/>
  <c r="GO1021" i="1"/>
  <c r="GM1021" i="1"/>
  <c r="GM1032" i="1"/>
  <c r="GN1032" i="1"/>
  <c r="GN34" i="1"/>
  <c r="GM34" i="1"/>
  <c r="GN108" i="1"/>
  <c r="GM108" i="1"/>
  <c r="GP58" i="1"/>
  <c r="GM58" i="1"/>
  <c r="GP389" i="1"/>
  <c r="GM389" i="1"/>
  <c r="AJ337" i="1"/>
  <c r="W348" i="1"/>
  <c r="GP502" i="1"/>
  <c r="GM502" i="1"/>
  <c r="GN491" i="1"/>
  <c r="GM491" i="1"/>
  <c r="GM598" i="1"/>
  <c r="GN598" i="1"/>
  <c r="GM604" i="1"/>
  <c r="GN604" i="1"/>
  <c r="AD643" i="1"/>
  <c r="Q660" i="1"/>
  <c r="GM656" i="1"/>
  <c r="GN656" i="1"/>
  <c r="GM776" i="1"/>
  <c r="GN776" i="1"/>
  <c r="GM773" i="1"/>
  <c r="GP1042" i="1"/>
  <c r="GM1042" i="1"/>
  <c r="GM60" i="1"/>
  <c r="GN60" i="1"/>
  <c r="GP114" i="1"/>
  <c r="GM114" i="1"/>
  <c r="GN53" i="1"/>
  <c r="GM53" i="1"/>
  <c r="GN57" i="1"/>
  <c r="GM57" i="1"/>
  <c r="GN102" i="1"/>
  <c r="GM102" i="1"/>
  <c r="GP113" i="1"/>
  <c r="GM113" i="1"/>
  <c r="GM254" i="1"/>
  <c r="GN254" i="1"/>
  <c r="GN257" i="1"/>
  <c r="GM257" i="1"/>
  <c r="GP477" i="1"/>
  <c r="GM477" i="1"/>
  <c r="GN497" i="1"/>
  <c r="GM497" i="1"/>
  <c r="S842" i="1"/>
  <c r="AF828" i="1"/>
  <c r="GM822" i="1"/>
  <c r="GN822" i="1"/>
  <c r="GM836" i="1"/>
  <c r="GN836" i="1"/>
  <c r="GM1029" i="1"/>
  <c r="GN1029" i="1"/>
  <c r="GM1035" i="1"/>
  <c r="GO1035" i="1"/>
  <c r="GO1041" i="1"/>
  <c r="GM1041" i="1"/>
  <c r="GN252" i="1"/>
  <c r="GM252" i="1"/>
  <c r="GM602" i="1"/>
  <c r="GN602" i="1"/>
  <c r="GM652" i="1"/>
  <c r="GN652" i="1"/>
  <c r="GM770" i="1"/>
  <c r="GN770" i="1"/>
  <c r="GP779" i="1"/>
  <c r="GM779" i="1"/>
  <c r="S975" i="1"/>
  <c r="AF968" i="1"/>
  <c r="GP933" i="1"/>
  <c r="GM933" i="1"/>
  <c r="GM972" i="1"/>
  <c r="GN972" i="1"/>
  <c r="GM1024" i="1"/>
  <c r="T43" i="1"/>
  <c r="GM54" i="1"/>
  <c r="GN54" i="1"/>
  <c r="GN37" i="1"/>
  <c r="GM37" i="1"/>
  <c r="GM46" i="1"/>
  <c r="GN46" i="1"/>
  <c r="BD26" i="1"/>
  <c r="F89" i="1"/>
  <c r="GK100" i="1"/>
  <c r="GM33" i="1"/>
  <c r="GN33" i="1"/>
  <c r="AO26" i="1"/>
  <c r="F68" i="1"/>
  <c r="R38" i="1"/>
  <c r="GK38" i="1" s="1"/>
  <c r="GM41" i="1"/>
  <c r="GN41" i="1"/>
  <c r="GM52" i="1"/>
  <c r="GN52" i="1"/>
  <c r="GN55" i="1"/>
  <c r="GM55" i="1"/>
  <c r="AP26" i="1"/>
  <c r="F73" i="1"/>
  <c r="GM98" i="1"/>
  <c r="GN98" i="1"/>
  <c r="AQ96" i="1"/>
  <c r="F128" i="1"/>
  <c r="GP59" i="1"/>
  <c r="GM59" i="1"/>
  <c r="BB96" i="1"/>
  <c r="F131" i="1"/>
  <c r="GP115" i="1"/>
  <c r="GM115" i="1"/>
  <c r="S156" i="1"/>
  <c r="Q156" i="1"/>
  <c r="U156" i="1"/>
  <c r="AQ150" i="1"/>
  <c r="F175" i="1"/>
  <c r="GX156" i="1"/>
  <c r="CJ165" i="1" s="1"/>
  <c r="BD150" i="1"/>
  <c r="F190" i="1"/>
  <c r="W156" i="1"/>
  <c r="CZ202" i="1"/>
  <c r="Y202" i="1" s="1"/>
  <c r="CY202" i="1"/>
  <c r="X202" i="1" s="1"/>
  <c r="CY158" i="1"/>
  <c r="X158" i="1" s="1"/>
  <c r="CZ158" i="1"/>
  <c r="Y158" i="1" s="1"/>
  <c r="CY204" i="1"/>
  <c r="X204" i="1" s="1"/>
  <c r="GN204" i="1" s="1"/>
  <c r="CZ204" i="1"/>
  <c r="Y204" i="1" s="1"/>
  <c r="CY209" i="1"/>
  <c r="X209" i="1" s="1"/>
  <c r="CZ209" i="1"/>
  <c r="Y209" i="1" s="1"/>
  <c r="CP213" i="1"/>
  <c r="O213" i="1" s="1"/>
  <c r="CI150" i="1"/>
  <c r="AZ165" i="1"/>
  <c r="AP215" i="1"/>
  <c r="BY197" i="1"/>
  <c r="CI215" i="1"/>
  <c r="GM200" i="1"/>
  <c r="GN200" i="1"/>
  <c r="U205" i="1"/>
  <c r="CY206" i="1"/>
  <c r="X206" i="1" s="1"/>
  <c r="CZ206" i="1"/>
  <c r="Y206" i="1" s="1"/>
  <c r="CY249" i="1"/>
  <c r="X249" i="1" s="1"/>
  <c r="AF264" i="1"/>
  <c r="CZ249" i="1"/>
  <c r="Y249" i="1" s="1"/>
  <c r="GM253" i="1"/>
  <c r="GN253" i="1"/>
  <c r="GM250" i="1"/>
  <c r="CY339" i="1"/>
  <c r="X339" i="1" s="1"/>
  <c r="CZ339" i="1"/>
  <c r="Y339" i="1" s="1"/>
  <c r="CY344" i="1"/>
  <c r="X344" i="1" s="1"/>
  <c r="GN344" i="1" s="1"/>
  <c r="CZ344" i="1"/>
  <c r="Y344" i="1" s="1"/>
  <c r="W205" i="1"/>
  <c r="CP299" i="1"/>
  <c r="O299" i="1" s="1"/>
  <c r="AC305" i="1"/>
  <c r="AF296" i="1"/>
  <c r="S305" i="1"/>
  <c r="AJ247" i="1"/>
  <c r="W264" i="1"/>
  <c r="AP247" i="1"/>
  <c r="F273" i="1"/>
  <c r="GX341" i="1"/>
  <c r="CJ348" i="1" s="1"/>
  <c r="GX384" i="1"/>
  <c r="CJ443" i="1" s="1"/>
  <c r="CJ380" i="1" s="1"/>
  <c r="GM394" i="1"/>
  <c r="GN394" i="1"/>
  <c r="CZ400" i="1"/>
  <c r="Y400" i="1" s="1"/>
  <c r="CY400" i="1"/>
  <c r="X400" i="1" s="1"/>
  <c r="AP408" i="1"/>
  <c r="F422" i="1"/>
  <c r="AP443" i="1"/>
  <c r="BA305" i="1"/>
  <c r="CJ296" i="1"/>
  <c r="F366" i="1"/>
  <c r="AT337" i="1"/>
  <c r="F358" i="1"/>
  <c r="AQ337" i="1"/>
  <c r="AO475" i="1"/>
  <c r="F511" i="1"/>
  <c r="AQ296" i="1"/>
  <c r="F315" i="1"/>
  <c r="CZ403" i="1"/>
  <c r="Y403" i="1" s="1"/>
  <c r="CY403" i="1"/>
  <c r="X403" i="1" s="1"/>
  <c r="BD443" i="1"/>
  <c r="F438" i="1"/>
  <c r="BD408" i="1"/>
  <c r="AG296" i="1"/>
  <c r="T305" i="1"/>
  <c r="CI296" i="1"/>
  <c r="AZ305" i="1"/>
  <c r="CP400" i="1"/>
  <c r="O400" i="1" s="1"/>
  <c r="CZ404" i="1"/>
  <c r="Y404" i="1" s="1"/>
  <c r="CY404" i="1"/>
  <c r="X404" i="1" s="1"/>
  <c r="AO408" i="1"/>
  <c r="F417" i="1"/>
  <c r="AO443" i="1"/>
  <c r="GM500" i="1"/>
  <c r="GN500" i="1"/>
  <c r="GM411" i="1"/>
  <c r="GN411" i="1"/>
  <c r="R492" i="1"/>
  <c r="GK492" i="1" s="1"/>
  <c r="F577" i="1"/>
  <c r="BD539" i="1"/>
  <c r="AT588" i="1"/>
  <c r="F629" i="1"/>
  <c r="F676" i="1"/>
  <c r="BC643" i="1"/>
  <c r="AJ408" i="1"/>
  <c r="W413" i="1"/>
  <c r="GM478" i="1"/>
  <c r="CY594" i="1"/>
  <c r="X594" i="1" s="1"/>
  <c r="GN594" i="1" s="1"/>
  <c r="CZ594" i="1"/>
  <c r="Y594" i="1" s="1"/>
  <c r="Q601" i="1"/>
  <c r="S601" i="1"/>
  <c r="CY606" i="1"/>
  <c r="X606" i="1" s="1"/>
  <c r="CZ606" i="1"/>
  <c r="Y606" i="1" s="1"/>
  <c r="F627" i="1"/>
  <c r="BC588" i="1"/>
  <c r="BC732" i="1"/>
  <c r="CY657" i="1"/>
  <c r="X657" i="1" s="1"/>
  <c r="CZ657" i="1"/>
  <c r="Y657" i="1" s="1"/>
  <c r="F685" i="1"/>
  <c r="BD643" i="1"/>
  <c r="AG408" i="1"/>
  <c r="T413" i="1"/>
  <c r="GP503" i="1"/>
  <c r="GM503" i="1"/>
  <c r="BB539" i="1"/>
  <c r="F565" i="1"/>
  <c r="P546" i="1"/>
  <c r="P601" i="1"/>
  <c r="GM605" i="1"/>
  <c r="GN605" i="1"/>
  <c r="GM658" i="1"/>
  <c r="GN658" i="1"/>
  <c r="CG643" i="1"/>
  <c r="AX660" i="1"/>
  <c r="P695" i="1"/>
  <c r="P697" i="1"/>
  <c r="AH643" i="1"/>
  <c r="U660" i="1"/>
  <c r="CP648" i="1"/>
  <c r="O648" i="1" s="1"/>
  <c r="GN699" i="1"/>
  <c r="GM699" i="1"/>
  <c r="GN700" i="1"/>
  <c r="GM700" i="1"/>
  <c r="GM542" i="1"/>
  <c r="GN542" i="1"/>
  <c r="T546" i="1"/>
  <c r="AG552" i="1" s="1"/>
  <c r="P591" i="1"/>
  <c r="CG588" i="1"/>
  <c r="AX611" i="1"/>
  <c r="T695" i="1"/>
  <c r="BB692" i="1"/>
  <c r="F715" i="1"/>
  <c r="Q771" i="1"/>
  <c r="AD781" i="1" s="1"/>
  <c r="S771" i="1"/>
  <c r="CY773" i="1"/>
  <c r="X773" i="1" s="1"/>
  <c r="GN773" i="1" s="1"/>
  <c r="CZ773" i="1"/>
  <c r="Y773" i="1" s="1"/>
  <c r="S914" i="1"/>
  <c r="Q914" i="1"/>
  <c r="U591" i="1"/>
  <c r="R599" i="1"/>
  <c r="GK599" i="1" s="1"/>
  <c r="T660" i="1"/>
  <c r="AG643" i="1"/>
  <c r="AP643" i="1"/>
  <c r="F669" i="1"/>
  <c r="AQ692" i="1"/>
  <c r="F712" i="1"/>
  <c r="BC872" i="1"/>
  <c r="BC828" i="1"/>
  <c r="F858" i="1"/>
  <c r="R546" i="1"/>
  <c r="U601" i="1"/>
  <c r="R695" i="1"/>
  <c r="GK695" i="1" s="1"/>
  <c r="CI692" i="1"/>
  <c r="AZ702" i="1"/>
  <c r="CP815" i="1"/>
  <c r="O815" i="1" s="1"/>
  <c r="GM818" i="1"/>
  <c r="GN818" i="1"/>
  <c r="GM838" i="1"/>
  <c r="GN838" i="1"/>
  <c r="GK906" i="1"/>
  <c r="GM772" i="1"/>
  <c r="GN772" i="1"/>
  <c r="T816" i="1"/>
  <c r="AG872" i="1" s="1"/>
  <c r="AG813" i="1" s="1"/>
  <c r="V909" i="1"/>
  <c r="T914" i="1"/>
  <c r="AQ968" i="1"/>
  <c r="F985" i="1"/>
  <c r="V771" i="1"/>
  <c r="AI781" i="1" s="1"/>
  <c r="U842" i="1"/>
  <c r="AH828" i="1"/>
  <c r="GN917" i="1"/>
  <c r="GM917" i="1"/>
  <c r="CY1015" i="1"/>
  <c r="X1015" i="1" s="1"/>
  <c r="CZ1015" i="1"/>
  <c r="Y1015" i="1" s="1"/>
  <c r="Q1022" i="1"/>
  <c r="S1022" i="1"/>
  <c r="CY1024" i="1"/>
  <c r="X1024" i="1" s="1"/>
  <c r="GO1024" i="1" s="1"/>
  <c r="CZ1024" i="1"/>
  <c r="Y1024" i="1" s="1"/>
  <c r="CY1026" i="1"/>
  <c r="X1026" i="1" s="1"/>
  <c r="CZ1026" i="1"/>
  <c r="Y1026" i="1" s="1"/>
  <c r="CY1034" i="1"/>
  <c r="X1034" i="1" s="1"/>
  <c r="GM1034" i="1" s="1"/>
  <c r="CZ1034" i="1"/>
  <c r="Y1034" i="1" s="1"/>
  <c r="AO1011" i="1"/>
  <c r="AO1077" i="1"/>
  <c r="F1051" i="1"/>
  <c r="F791" i="1"/>
  <c r="AQ764" i="1"/>
  <c r="CI828" i="1"/>
  <c r="AZ842" i="1"/>
  <c r="T909" i="1"/>
  <c r="AG936" i="1" s="1"/>
  <c r="R914" i="1"/>
  <c r="GK914" i="1" s="1"/>
  <c r="GO1039" i="1"/>
  <c r="GM1039" i="1"/>
  <c r="CI764" i="1"/>
  <c r="AZ781" i="1"/>
  <c r="F860" i="1"/>
  <c r="AT828" i="1"/>
  <c r="AT872" i="1"/>
  <c r="GM926" i="1"/>
  <c r="GN926" i="1"/>
  <c r="FR931" i="1"/>
  <c r="BY936" i="1" s="1"/>
  <c r="CP931" i="1"/>
  <c r="O931" i="1" s="1"/>
  <c r="GM931" i="1" s="1"/>
  <c r="GM973" i="1"/>
  <c r="GN973" i="1"/>
  <c r="CG968" i="1"/>
  <c r="AX975" i="1"/>
  <c r="S1017" i="1"/>
  <c r="Q1017" i="1"/>
  <c r="AD1047" i="1" s="1"/>
  <c r="CP971" i="1"/>
  <c r="O971" i="1" s="1"/>
  <c r="GX1022" i="1"/>
  <c r="CG1011" i="1"/>
  <c r="AX1047" i="1"/>
  <c r="AQ904" i="1"/>
  <c r="F946" i="1"/>
  <c r="CJ968" i="1"/>
  <c r="BA975" i="1"/>
  <c r="GM1013" i="1"/>
  <c r="GN1013" i="1"/>
  <c r="GX1017" i="1"/>
  <c r="CJ1047" i="1" s="1"/>
  <c r="GM1023" i="1"/>
  <c r="GO1023" i="1"/>
  <c r="CP1026" i="1"/>
  <c r="O1026" i="1" s="1"/>
  <c r="AD975" i="1"/>
  <c r="U1017" i="1"/>
  <c r="GP1043" i="1"/>
  <c r="GM1043" i="1"/>
  <c r="GP1045" i="1"/>
  <c r="GM1045" i="1"/>
  <c r="AB975" i="1"/>
  <c r="W975" i="1"/>
  <c r="AJ968" i="1"/>
  <c r="P43" i="1"/>
  <c r="CP43" i="1" s="1"/>
  <c r="O43" i="1" s="1"/>
  <c r="Q43" i="1"/>
  <c r="S43" i="1"/>
  <c r="CY32" i="1"/>
  <c r="X32" i="1" s="1"/>
  <c r="CZ32" i="1"/>
  <c r="Y32" i="1" s="1"/>
  <c r="GX43" i="1"/>
  <c r="CY51" i="1"/>
  <c r="X51" i="1" s="1"/>
  <c r="GM51" i="1" s="1"/>
  <c r="CZ51" i="1"/>
  <c r="Y51" i="1" s="1"/>
  <c r="AQ26" i="1"/>
  <c r="F74" i="1"/>
  <c r="W38" i="1"/>
  <c r="CI26" i="1"/>
  <c r="AZ64" i="1"/>
  <c r="W43" i="1"/>
  <c r="CJ64" i="1"/>
  <c r="GM44" i="1"/>
  <c r="GN44" i="1"/>
  <c r="AT26" i="1"/>
  <c r="F82" i="1"/>
  <c r="GN103" i="1"/>
  <c r="GM103" i="1"/>
  <c r="T104" i="1"/>
  <c r="AG118" i="1" s="1"/>
  <c r="BC96" i="1"/>
  <c r="F134" i="1"/>
  <c r="CY105" i="1"/>
  <c r="X105" i="1" s="1"/>
  <c r="GM105" i="1" s="1"/>
  <c r="CZ105" i="1"/>
  <c r="Y105" i="1" s="1"/>
  <c r="GM116" i="1"/>
  <c r="GP116" i="1"/>
  <c r="CG96" i="1"/>
  <c r="AX118" i="1"/>
  <c r="CP154" i="1"/>
  <c r="O154" i="1" s="1"/>
  <c r="P156" i="1"/>
  <c r="CP156" i="1" s="1"/>
  <c r="O156" i="1" s="1"/>
  <c r="Q157" i="1"/>
  <c r="S157" i="1"/>
  <c r="BC150" i="1"/>
  <c r="F181" i="1"/>
  <c r="CY153" i="1"/>
  <c r="X153" i="1" s="1"/>
  <c r="CZ153" i="1"/>
  <c r="Y153" i="1" s="1"/>
  <c r="CZ160" i="1"/>
  <c r="Y160" i="1" s="1"/>
  <c r="CY160" i="1"/>
  <c r="X160" i="1" s="1"/>
  <c r="GM160" i="1" s="1"/>
  <c r="GK199" i="1"/>
  <c r="GM109" i="1"/>
  <c r="GN109" i="1"/>
  <c r="V157" i="1"/>
  <c r="AT96" i="1"/>
  <c r="F136" i="1"/>
  <c r="GX157" i="1"/>
  <c r="S203" i="1"/>
  <c r="Q203" i="1"/>
  <c r="AD215" i="1" s="1"/>
  <c r="V203" i="1"/>
  <c r="GM206" i="1"/>
  <c r="GN206" i="1"/>
  <c r="CY212" i="1"/>
  <c r="X212" i="1" s="1"/>
  <c r="CZ212" i="1"/>
  <c r="Y212" i="1" s="1"/>
  <c r="BB247" i="1"/>
  <c r="F277" i="1"/>
  <c r="GM199" i="1"/>
  <c r="GN199" i="1"/>
  <c r="S211" i="1"/>
  <c r="Q211" i="1"/>
  <c r="CP212" i="1"/>
  <c r="O212" i="1" s="1"/>
  <c r="V205" i="1"/>
  <c r="GX211" i="1"/>
  <c r="AT150" i="1"/>
  <c r="F183" i="1"/>
  <c r="GM163" i="1"/>
  <c r="GP163" i="1"/>
  <c r="GM255" i="1"/>
  <c r="GN255" i="1"/>
  <c r="GM259" i="1"/>
  <c r="GN259" i="1"/>
  <c r="F268" i="1"/>
  <c r="AO247" i="1"/>
  <c r="AI247" i="1"/>
  <c r="V264" i="1"/>
  <c r="AT247" i="1"/>
  <c r="F282" i="1"/>
  <c r="CY303" i="1"/>
  <c r="X303" i="1" s="1"/>
  <c r="AK305" i="1" s="1"/>
  <c r="CZ303" i="1"/>
  <c r="Y303" i="1" s="1"/>
  <c r="Q384" i="1"/>
  <c r="S384" i="1"/>
  <c r="CY390" i="1"/>
  <c r="X390" i="1" s="1"/>
  <c r="CZ390" i="1"/>
  <c r="Y390" i="1" s="1"/>
  <c r="CJ247" i="1"/>
  <c r="BA264" i="1"/>
  <c r="BB296" i="1"/>
  <c r="F318" i="1"/>
  <c r="GM251" i="1"/>
  <c r="GN251" i="1"/>
  <c r="CP298" i="1"/>
  <c r="O298" i="1" s="1"/>
  <c r="BC296" i="1"/>
  <c r="F321" i="1"/>
  <c r="BC337" i="1"/>
  <c r="F364" i="1"/>
  <c r="AT296" i="1"/>
  <c r="F323" i="1"/>
  <c r="GN345" i="1"/>
  <c r="GN391" i="1"/>
  <c r="AT408" i="1"/>
  <c r="F431" i="1"/>
  <c r="AZ348" i="1"/>
  <c r="CI337" i="1"/>
  <c r="CG337" i="1"/>
  <c r="AX348" i="1"/>
  <c r="CY397" i="1"/>
  <c r="X397" i="1" s="1"/>
  <c r="CZ397" i="1"/>
  <c r="Y397" i="1" s="1"/>
  <c r="GM397" i="1" s="1"/>
  <c r="CY398" i="1"/>
  <c r="X398" i="1" s="1"/>
  <c r="CZ398" i="1"/>
  <c r="Y398" i="1" s="1"/>
  <c r="CY501" i="1"/>
  <c r="X501" i="1" s="1"/>
  <c r="CZ501" i="1"/>
  <c r="Y501" i="1" s="1"/>
  <c r="CG296" i="1"/>
  <c r="AX305" i="1"/>
  <c r="R384" i="1"/>
  <c r="GK384" i="1" s="1"/>
  <c r="CY396" i="1"/>
  <c r="X396" i="1" s="1"/>
  <c r="GO396" i="1" s="1"/>
  <c r="CZ396" i="1"/>
  <c r="Y396" i="1" s="1"/>
  <c r="CZ402" i="1"/>
  <c r="Y402" i="1" s="1"/>
  <c r="CY402" i="1"/>
  <c r="X402" i="1" s="1"/>
  <c r="CI408" i="1"/>
  <c r="AZ413" i="1"/>
  <c r="P492" i="1"/>
  <c r="Q492" i="1"/>
  <c r="S492" i="1"/>
  <c r="F525" i="1"/>
  <c r="AT475" i="1"/>
  <c r="AD507" i="1"/>
  <c r="S490" i="1"/>
  <c r="Q490" i="1"/>
  <c r="R490" i="1"/>
  <c r="GK490" i="1" s="1"/>
  <c r="BC475" i="1"/>
  <c r="F523" i="1"/>
  <c r="GX490" i="1"/>
  <c r="W492" i="1"/>
  <c r="BB588" i="1"/>
  <c r="F624" i="1"/>
  <c r="BB732" i="1"/>
  <c r="U408" i="1"/>
  <c r="F435" i="1"/>
  <c r="GM498" i="1"/>
  <c r="GN498" i="1"/>
  <c r="AP475" i="1"/>
  <c r="F516" i="1"/>
  <c r="Q599" i="1"/>
  <c r="S599" i="1"/>
  <c r="CY645" i="1"/>
  <c r="X645" i="1" s="1"/>
  <c r="CZ645" i="1"/>
  <c r="Y645" i="1" s="1"/>
  <c r="AF660" i="1"/>
  <c r="AL408" i="1"/>
  <c r="Y413" i="1"/>
  <c r="GM485" i="1"/>
  <c r="GN485" i="1"/>
  <c r="T492" i="1"/>
  <c r="F517" i="1"/>
  <c r="AQ475" i="1"/>
  <c r="F636" i="1"/>
  <c r="BD588" i="1"/>
  <c r="BD732" i="1"/>
  <c r="F664" i="1"/>
  <c r="AO643" i="1"/>
  <c r="AB413" i="1"/>
  <c r="GM481" i="1"/>
  <c r="GN481" i="1"/>
  <c r="GM483" i="1"/>
  <c r="GN483" i="1"/>
  <c r="GM489" i="1"/>
  <c r="GN489" i="1"/>
  <c r="V492" i="1"/>
  <c r="AI507" i="1" s="1"/>
  <c r="GM654" i="1"/>
  <c r="GO654" i="1"/>
  <c r="GK694" i="1"/>
  <c r="AE702" i="1"/>
  <c r="T599" i="1"/>
  <c r="CP606" i="1"/>
  <c r="O606" i="1" s="1"/>
  <c r="CJ643" i="1"/>
  <c r="BA660" i="1"/>
  <c r="W695" i="1"/>
  <c r="AJ702" i="1" s="1"/>
  <c r="AO692" i="1"/>
  <c r="F706" i="1"/>
  <c r="AD552" i="1"/>
  <c r="GX546" i="1"/>
  <c r="CJ552" i="1" s="1"/>
  <c r="GM607" i="1"/>
  <c r="GN607" i="1"/>
  <c r="CY696" i="1"/>
  <c r="X696" i="1" s="1"/>
  <c r="CZ696" i="1"/>
  <c r="Y696" i="1" s="1"/>
  <c r="CG692" i="1"/>
  <c r="AX702" i="1"/>
  <c r="CY768" i="1"/>
  <c r="X768" i="1" s="1"/>
  <c r="CZ768" i="1"/>
  <c r="Y768" i="1" s="1"/>
  <c r="Q777" i="1"/>
  <c r="S777" i="1"/>
  <c r="CY820" i="1"/>
  <c r="X820" i="1" s="1"/>
  <c r="GM820" i="1" s="1"/>
  <c r="CZ820" i="1"/>
  <c r="Y820" i="1" s="1"/>
  <c r="CY833" i="1"/>
  <c r="X833" i="1" s="1"/>
  <c r="AK842" i="1" s="1"/>
  <c r="CZ833" i="1"/>
  <c r="Y833" i="1" s="1"/>
  <c r="AL842" i="1" s="1"/>
  <c r="BB828" i="1"/>
  <c r="F855" i="1"/>
  <c r="BB872" i="1"/>
  <c r="CY907" i="1"/>
  <c r="X907" i="1" s="1"/>
  <c r="CZ907" i="1"/>
  <c r="Y907" i="1" s="1"/>
  <c r="AP539" i="1"/>
  <c r="F561" i="1"/>
  <c r="V599" i="1"/>
  <c r="AU692" i="1"/>
  <c r="F721" i="1"/>
  <c r="AI643" i="1"/>
  <c r="V660" i="1"/>
  <c r="CP657" i="1"/>
  <c r="O657" i="1" s="1"/>
  <c r="CP696" i="1"/>
  <c r="O696" i="1" s="1"/>
  <c r="P771" i="1"/>
  <c r="P777" i="1"/>
  <c r="CP777" i="1" s="1"/>
  <c r="O777" i="1" s="1"/>
  <c r="GM834" i="1"/>
  <c r="GN834" i="1"/>
  <c r="AO813" i="1"/>
  <c r="F876" i="1"/>
  <c r="U909" i="1"/>
  <c r="AU968" i="1"/>
  <c r="F994" i="1"/>
  <c r="U771" i="1"/>
  <c r="AH781" i="1" s="1"/>
  <c r="V777" i="1"/>
  <c r="GM831" i="1"/>
  <c r="GN831" i="1"/>
  <c r="CZ916" i="1"/>
  <c r="Y916" i="1" s="1"/>
  <c r="CY916" i="1"/>
  <c r="X916" i="1" s="1"/>
  <c r="GM916" i="1" s="1"/>
  <c r="CY925" i="1"/>
  <c r="X925" i="1" s="1"/>
  <c r="CZ925" i="1"/>
  <c r="Y925" i="1" s="1"/>
  <c r="BC904" i="1"/>
  <c r="F952" i="1"/>
  <c r="CY1019" i="1"/>
  <c r="X1019" i="1" s="1"/>
  <c r="GN1019" i="1" s="1"/>
  <c r="CZ1019" i="1"/>
  <c r="Y1019" i="1" s="1"/>
  <c r="CY1031" i="1"/>
  <c r="X1031" i="1" s="1"/>
  <c r="GN1031" i="1" s="1"/>
  <c r="CZ1031" i="1"/>
  <c r="Y1031" i="1" s="1"/>
  <c r="CY1037" i="1"/>
  <c r="X1037" i="1" s="1"/>
  <c r="CZ1037" i="1"/>
  <c r="Y1037" i="1" s="1"/>
  <c r="CP767" i="1"/>
  <c r="O767" i="1" s="1"/>
  <c r="W771" i="1"/>
  <c r="V816" i="1"/>
  <c r="AI872" i="1" s="1"/>
  <c r="AI813" i="1" s="1"/>
  <c r="AP828" i="1"/>
  <c r="F851" i="1"/>
  <c r="AP872" i="1"/>
  <c r="GM910" i="1"/>
  <c r="GN910" i="1"/>
  <c r="CP913" i="1"/>
  <c r="O913" i="1" s="1"/>
  <c r="V914" i="1"/>
  <c r="BD904" i="1"/>
  <c r="F961" i="1"/>
  <c r="F979" i="1"/>
  <c r="AO968" i="1"/>
  <c r="W816" i="1"/>
  <c r="AJ872" i="1" s="1"/>
  <c r="AJ813" i="1" s="1"/>
  <c r="AG828" i="1"/>
  <c r="T842" i="1"/>
  <c r="GM929" i="1"/>
  <c r="GO929" i="1"/>
  <c r="GM1016" i="1"/>
  <c r="GN1016" i="1"/>
  <c r="BC1077" i="1"/>
  <c r="BC1011" i="1"/>
  <c r="F1063" i="1"/>
  <c r="GN922" i="1"/>
  <c r="AC975" i="1"/>
  <c r="T1017" i="1"/>
  <c r="U914" i="1"/>
  <c r="CG904" i="1"/>
  <c r="AX936" i="1"/>
  <c r="AP968" i="1"/>
  <c r="F984" i="1"/>
  <c r="GM1033" i="1"/>
  <c r="GN1033" i="1"/>
  <c r="GM919" i="1"/>
  <c r="GN919" i="1"/>
  <c r="R1022" i="1"/>
  <c r="GK1022" i="1" s="1"/>
  <c r="CP1037" i="1"/>
  <c r="O1037" i="1" s="1"/>
  <c r="GX914" i="1"/>
  <c r="CY927" i="1"/>
  <c r="X927" i="1" s="1"/>
  <c r="GM927" i="1" s="1"/>
  <c r="CZ927" i="1"/>
  <c r="Y927" i="1" s="1"/>
  <c r="T975" i="1"/>
  <c r="AG968" i="1"/>
  <c r="W1017" i="1"/>
  <c r="GN31" i="1"/>
  <c r="GM31" i="1"/>
  <c r="P38" i="1"/>
  <c r="Q38" i="1"/>
  <c r="S38" i="1"/>
  <c r="U43" i="1"/>
  <c r="U38" i="1"/>
  <c r="AH64" i="1" s="1"/>
  <c r="CZ56" i="1"/>
  <c r="Y56" i="1" s="1"/>
  <c r="CY56" i="1"/>
  <c r="X56" i="1" s="1"/>
  <c r="GM56" i="1" s="1"/>
  <c r="GM35" i="1"/>
  <c r="GN35" i="1"/>
  <c r="GX38" i="1"/>
  <c r="BB26" i="1"/>
  <c r="F77" i="1"/>
  <c r="GM100" i="1"/>
  <c r="GN100" i="1"/>
  <c r="Q104" i="1"/>
  <c r="CP104" i="1" s="1"/>
  <c r="O104" i="1" s="1"/>
  <c r="R104" i="1"/>
  <c r="GK104" i="1" s="1"/>
  <c r="W104" i="1"/>
  <c r="AJ118" i="1" s="1"/>
  <c r="S104" i="1"/>
  <c r="GP62" i="1"/>
  <c r="U104" i="1"/>
  <c r="AH118" i="1" s="1"/>
  <c r="GX104" i="1"/>
  <c r="CJ118" i="1" s="1"/>
  <c r="BD96" i="1"/>
  <c r="F143" i="1"/>
  <c r="AO96" i="1"/>
  <c r="F122" i="1"/>
  <c r="GM112" i="1"/>
  <c r="GN112" i="1"/>
  <c r="GK152" i="1"/>
  <c r="Q155" i="1"/>
  <c r="S155" i="1"/>
  <c r="R156" i="1"/>
  <c r="GK156" i="1" s="1"/>
  <c r="CP159" i="1"/>
  <c r="O159" i="1" s="1"/>
  <c r="AP96" i="1"/>
  <c r="F127" i="1"/>
  <c r="AO150" i="1"/>
  <c r="F169" i="1"/>
  <c r="GM110" i="1"/>
  <c r="V155" i="1"/>
  <c r="GP161" i="1"/>
  <c r="GM161" i="1"/>
  <c r="BB150" i="1"/>
  <c r="F178" i="1"/>
  <c r="W157" i="1"/>
  <c r="AJ165" i="1" s="1"/>
  <c r="AT215" i="1"/>
  <c r="CC197" i="1"/>
  <c r="AD247" i="1"/>
  <c r="Q264" i="1"/>
  <c r="AX264" i="1"/>
  <c r="CG247" i="1"/>
  <c r="P203" i="1"/>
  <c r="CP203" i="1" s="1"/>
  <c r="O203" i="1" s="1"/>
  <c r="CP249" i="1"/>
  <c r="O249" i="1" s="1"/>
  <c r="AC264" i="1"/>
  <c r="CY208" i="1"/>
  <c r="X208" i="1" s="1"/>
  <c r="CZ208" i="1"/>
  <c r="Y208" i="1" s="1"/>
  <c r="AO197" i="1"/>
  <c r="F219" i="1"/>
  <c r="CP201" i="1"/>
  <c r="O201" i="1" s="1"/>
  <c r="U203" i="1"/>
  <c r="AH215" i="1" s="1"/>
  <c r="AH247" i="1"/>
  <c r="U264" i="1"/>
  <c r="AQ247" i="1"/>
  <c r="F274" i="1"/>
  <c r="BD296" i="1"/>
  <c r="F330" i="1"/>
  <c r="CY346" i="1"/>
  <c r="X346" i="1" s="1"/>
  <c r="GN346" i="1" s="1"/>
  <c r="CZ346" i="1"/>
  <c r="Y346" i="1" s="1"/>
  <c r="CY386" i="1"/>
  <c r="X386" i="1" s="1"/>
  <c r="GN386" i="1" s="1"/>
  <c r="CZ386" i="1"/>
  <c r="Y386" i="1" s="1"/>
  <c r="CY388" i="1"/>
  <c r="X388" i="1" s="1"/>
  <c r="CZ388" i="1"/>
  <c r="Y388" i="1" s="1"/>
  <c r="BD247" i="1"/>
  <c r="F289" i="1"/>
  <c r="GM300" i="1"/>
  <c r="GN300" i="1"/>
  <c r="CZ340" i="1"/>
  <c r="Y340" i="1" s="1"/>
  <c r="CY340" i="1"/>
  <c r="X340" i="1" s="1"/>
  <c r="CI247" i="1"/>
  <c r="AZ264" i="1"/>
  <c r="GM302" i="1"/>
  <c r="GP302" i="1"/>
  <c r="S341" i="1"/>
  <c r="Q341" i="1"/>
  <c r="AD348" i="1" s="1"/>
  <c r="P384" i="1"/>
  <c r="GO397" i="1"/>
  <c r="BB408" i="1"/>
  <c r="F426" i="1"/>
  <c r="BB443" i="1"/>
  <c r="V341" i="1"/>
  <c r="AI348" i="1" s="1"/>
  <c r="GM402" i="1"/>
  <c r="GN402" i="1"/>
  <c r="CY505" i="1"/>
  <c r="X505" i="1" s="1"/>
  <c r="GP505" i="1" s="1"/>
  <c r="CZ505" i="1"/>
  <c r="Y505" i="1" s="1"/>
  <c r="AJ296" i="1"/>
  <c r="W305" i="1"/>
  <c r="CZ342" i="1"/>
  <c r="Y342" i="1" s="1"/>
  <c r="CY342" i="1"/>
  <c r="X342" i="1" s="1"/>
  <c r="GM342" i="1" s="1"/>
  <c r="V384" i="1"/>
  <c r="AI443" i="1" s="1"/>
  <c r="AI380" i="1" s="1"/>
  <c r="GM404" i="1"/>
  <c r="GN404" i="1"/>
  <c r="BB475" i="1"/>
  <c r="F520" i="1"/>
  <c r="T341" i="1"/>
  <c r="AG348" i="1" s="1"/>
  <c r="CP390" i="1"/>
  <c r="O390" i="1" s="1"/>
  <c r="CY399" i="1"/>
  <c r="X399" i="1" s="1"/>
  <c r="GM399" i="1" s="1"/>
  <c r="CZ399" i="1"/>
  <c r="Y399" i="1" s="1"/>
  <c r="GK410" i="1"/>
  <c r="GN410" i="1" s="1"/>
  <c r="CB413" i="1" s="1"/>
  <c r="AE413" i="1"/>
  <c r="GM504" i="1"/>
  <c r="GP504" i="1"/>
  <c r="AD408" i="1"/>
  <c r="Q413" i="1"/>
  <c r="AU408" i="1"/>
  <c r="F432" i="1"/>
  <c r="GN493" i="1"/>
  <c r="AQ643" i="1"/>
  <c r="F670" i="1"/>
  <c r="P490" i="1"/>
  <c r="GN495" i="1"/>
  <c r="CZ541" i="1"/>
  <c r="Y541" i="1" s="1"/>
  <c r="AF552" i="1"/>
  <c r="CY541" i="1"/>
  <c r="X541" i="1" s="1"/>
  <c r="Q546" i="1"/>
  <c r="S546" i="1"/>
  <c r="AO539" i="1"/>
  <c r="F556" i="1"/>
  <c r="CY592" i="1"/>
  <c r="X592" i="1" s="1"/>
  <c r="GM592" i="1" s="1"/>
  <c r="CZ592" i="1"/>
  <c r="Y592" i="1" s="1"/>
  <c r="CY596" i="1"/>
  <c r="X596" i="1" s="1"/>
  <c r="GN596" i="1" s="1"/>
  <c r="CZ596" i="1"/>
  <c r="Y596" i="1" s="1"/>
  <c r="CY608" i="1"/>
  <c r="X608" i="1" s="1"/>
  <c r="GM608" i="1" s="1"/>
  <c r="CZ608" i="1"/>
  <c r="Y608" i="1" s="1"/>
  <c r="CY649" i="1"/>
  <c r="X649" i="1" s="1"/>
  <c r="GN649" i="1" s="1"/>
  <c r="CZ649" i="1"/>
  <c r="Y649" i="1" s="1"/>
  <c r="S695" i="1"/>
  <c r="U695" i="1"/>
  <c r="Q695" i="1"/>
  <c r="AD702" i="1" s="1"/>
  <c r="AQ408" i="1"/>
  <c r="F423" i="1"/>
  <c r="AQ443" i="1"/>
  <c r="GM480" i="1"/>
  <c r="GN480" i="1"/>
  <c r="GN486" i="1"/>
  <c r="GM486" i="1"/>
  <c r="GX492" i="1"/>
  <c r="CG475" i="1"/>
  <c r="AX507" i="1"/>
  <c r="CI588" i="1"/>
  <c r="AZ611" i="1"/>
  <c r="AC408" i="1"/>
  <c r="CH413" i="1"/>
  <c r="P413" i="1"/>
  <c r="CE413" i="1"/>
  <c r="CF413" i="1"/>
  <c r="GM482" i="1"/>
  <c r="GN482" i="1"/>
  <c r="BD475" i="1"/>
  <c r="F532" i="1"/>
  <c r="BC539" i="1"/>
  <c r="F568" i="1"/>
  <c r="S591" i="1"/>
  <c r="Q591" i="1"/>
  <c r="AD611" i="1" s="1"/>
  <c r="P599" i="1"/>
  <c r="CP599" i="1" s="1"/>
  <c r="O599" i="1" s="1"/>
  <c r="GM603" i="1"/>
  <c r="GN603" i="1"/>
  <c r="AO588" i="1"/>
  <c r="F615" i="1"/>
  <c r="AO732" i="1"/>
  <c r="GM650" i="1"/>
  <c r="GN650" i="1"/>
  <c r="W546" i="1"/>
  <c r="AJ552" i="1" s="1"/>
  <c r="T591" i="1"/>
  <c r="GX599" i="1"/>
  <c r="CJ611" i="1" s="1"/>
  <c r="T697" i="1"/>
  <c r="GN698" i="1"/>
  <c r="GM698" i="1"/>
  <c r="AQ539" i="1"/>
  <c r="F562" i="1"/>
  <c r="GM548" i="1"/>
  <c r="GN548" i="1"/>
  <c r="GM593" i="1"/>
  <c r="GN593" i="1"/>
  <c r="T601" i="1"/>
  <c r="AQ588" i="1"/>
  <c r="F621" i="1"/>
  <c r="AQ732" i="1"/>
  <c r="GM655" i="1"/>
  <c r="GN655" i="1"/>
  <c r="AP692" i="1"/>
  <c r="F711" i="1"/>
  <c r="AF781" i="1"/>
  <c r="CY766" i="1"/>
  <c r="X766" i="1" s="1"/>
  <c r="CZ766" i="1"/>
  <c r="Y766" i="1" s="1"/>
  <c r="AX781" i="1"/>
  <c r="CG764" i="1"/>
  <c r="CY817" i="1"/>
  <c r="X817" i="1" s="1"/>
  <c r="CZ817" i="1"/>
  <c r="Y817" i="1" s="1"/>
  <c r="AE842" i="1"/>
  <c r="GK830" i="1"/>
  <c r="CY837" i="1"/>
  <c r="X837" i="1" s="1"/>
  <c r="CZ837" i="1"/>
  <c r="Y837" i="1" s="1"/>
  <c r="CY839" i="1"/>
  <c r="X839" i="1" s="1"/>
  <c r="CZ839" i="1"/>
  <c r="Y839" i="1" s="1"/>
  <c r="CG828" i="1"/>
  <c r="AX842" i="1"/>
  <c r="CY911" i="1"/>
  <c r="X911" i="1" s="1"/>
  <c r="GN911" i="1" s="1"/>
  <c r="CZ911" i="1"/>
  <c r="Y911" i="1" s="1"/>
  <c r="CY547" i="1"/>
  <c r="X547" i="1" s="1"/>
  <c r="CZ547" i="1"/>
  <c r="Y547" i="1" s="1"/>
  <c r="CP547" i="1"/>
  <c r="O547" i="1" s="1"/>
  <c r="CI539" i="1"/>
  <c r="AZ552" i="1"/>
  <c r="U599" i="1"/>
  <c r="CI643" i="1"/>
  <c r="AZ660" i="1"/>
  <c r="R697" i="1"/>
  <c r="GK697" i="1" s="1"/>
  <c r="BC692" i="1"/>
  <c r="F718" i="1"/>
  <c r="BC764" i="1"/>
  <c r="F797" i="1"/>
  <c r="U546" i="1"/>
  <c r="AH552" i="1" s="1"/>
  <c r="W591" i="1"/>
  <c r="R601" i="1"/>
  <c r="GK601" i="1" s="1"/>
  <c r="F630" i="1"/>
  <c r="AU588" i="1"/>
  <c r="AU732" i="1"/>
  <c r="GM647" i="1"/>
  <c r="GN647" i="1"/>
  <c r="GX695" i="1"/>
  <c r="GK767" i="1"/>
  <c r="GM774" i="1"/>
  <c r="GN774" i="1"/>
  <c r="GM824" i="1"/>
  <c r="GP824" i="1"/>
  <c r="CP830" i="1"/>
  <c r="O830" i="1" s="1"/>
  <c r="AC842" i="1"/>
  <c r="BD872" i="1"/>
  <c r="BD828" i="1"/>
  <c r="F867" i="1"/>
  <c r="S909" i="1"/>
  <c r="Q909" i="1"/>
  <c r="AT764" i="1"/>
  <c r="F799" i="1"/>
  <c r="GM819" i="1"/>
  <c r="GN819" i="1"/>
  <c r="BA842" i="1"/>
  <c r="CJ828" i="1"/>
  <c r="F991" i="1"/>
  <c r="BC968" i="1"/>
  <c r="U777" i="1"/>
  <c r="P816" i="1"/>
  <c r="AC872" i="1" s="1"/>
  <c r="AD842" i="1"/>
  <c r="GM835" i="1"/>
  <c r="GN835" i="1"/>
  <c r="GM912" i="1"/>
  <c r="GN912" i="1"/>
  <c r="CY920" i="1"/>
  <c r="X920" i="1" s="1"/>
  <c r="GN920" i="1" s="1"/>
  <c r="CZ920" i="1"/>
  <c r="Y920" i="1" s="1"/>
  <c r="CY928" i="1"/>
  <c r="X928" i="1" s="1"/>
  <c r="GM928" i="1" s="1"/>
  <c r="CZ928" i="1"/>
  <c r="Y928" i="1" s="1"/>
  <c r="CY930" i="1"/>
  <c r="X930" i="1" s="1"/>
  <c r="GO930" i="1" s="1"/>
  <c r="CZ930" i="1"/>
  <c r="Y930" i="1" s="1"/>
  <c r="CY932" i="1"/>
  <c r="X932" i="1" s="1"/>
  <c r="CZ932" i="1"/>
  <c r="Y932" i="1" s="1"/>
  <c r="CY971" i="1"/>
  <c r="X971" i="1" s="1"/>
  <c r="CZ971" i="1"/>
  <c r="Y971" i="1" s="1"/>
  <c r="AE1047" i="1"/>
  <c r="GK1014" i="1"/>
  <c r="W777" i="1"/>
  <c r="AE975" i="1"/>
  <c r="GK970" i="1"/>
  <c r="GN970" i="1" s="1"/>
  <c r="CP768" i="1"/>
  <c r="O768" i="1" s="1"/>
  <c r="T771" i="1"/>
  <c r="AG781" i="1" s="1"/>
  <c r="AP764" i="1"/>
  <c r="F790" i="1"/>
  <c r="T777" i="1"/>
  <c r="GM821" i="1"/>
  <c r="GN821" i="1"/>
  <c r="CP837" i="1"/>
  <c r="O837" i="1" s="1"/>
  <c r="P909" i="1"/>
  <c r="CP909" i="1" s="1"/>
  <c r="O909" i="1" s="1"/>
  <c r="W914" i="1"/>
  <c r="AJ936" i="1" s="1"/>
  <c r="CP1014" i="1"/>
  <c r="O1014" i="1" s="1"/>
  <c r="AB1047" i="1" s="1"/>
  <c r="P1022" i="1"/>
  <c r="CP1022" i="1" s="1"/>
  <c r="O1022" i="1" s="1"/>
  <c r="CP1044" i="1"/>
  <c r="O1044" i="1" s="1"/>
  <c r="GM1018" i="1"/>
  <c r="GN1018" i="1"/>
  <c r="CI1011" i="1"/>
  <c r="AZ1047" i="1"/>
  <c r="GM921" i="1"/>
  <c r="GN921" i="1"/>
  <c r="AF1047" i="1"/>
  <c r="V1022" i="1"/>
  <c r="CP932" i="1"/>
  <c r="O932" i="1" s="1"/>
  <c r="AL975" i="1"/>
  <c r="AT968" i="1"/>
  <c r="F993" i="1"/>
  <c r="CP1015" i="1"/>
  <c r="O1015" i="1" s="1"/>
  <c r="GM1020" i="1"/>
  <c r="GN1020" i="1"/>
  <c r="GM1038" i="1"/>
  <c r="GO1038" i="1"/>
  <c r="CP29" i="1"/>
  <c r="O29" i="1" s="1"/>
  <c r="AC64" i="1"/>
  <c r="T38" i="1"/>
  <c r="AG64" i="1" s="1"/>
  <c r="BC26" i="1"/>
  <c r="F80" i="1"/>
  <c r="BC1107" i="1"/>
  <c r="CP32" i="1"/>
  <c r="O32" i="1" s="1"/>
  <c r="GK28" i="1"/>
  <c r="GN28" i="1" s="1"/>
  <c r="AE64" i="1"/>
  <c r="CZ30" i="1"/>
  <c r="Y30" i="1" s="1"/>
  <c r="CY30" i="1"/>
  <c r="X30" i="1" s="1"/>
  <c r="GM30" i="1" s="1"/>
  <c r="AF64" i="1"/>
  <c r="S36" i="1"/>
  <c r="Q36" i="1"/>
  <c r="CP36" i="1" s="1"/>
  <c r="O36" i="1" s="1"/>
  <c r="R36" i="1"/>
  <c r="GK36" i="1" s="1"/>
  <c r="W36" i="1"/>
  <c r="AJ64" i="1" s="1"/>
  <c r="V43" i="1"/>
  <c r="AI64" i="1" s="1"/>
  <c r="GM49" i="1"/>
  <c r="GN49" i="1"/>
  <c r="GM39" i="1"/>
  <c r="GN39" i="1"/>
  <c r="GM47" i="1"/>
  <c r="GN47" i="1"/>
  <c r="CP99" i="1"/>
  <c r="O99" i="1" s="1"/>
  <c r="AB118" i="1" s="1"/>
  <c r="AC118" i="1"/>
  <c r="GM40" i="1"/>
  <c r="GN40" i="1"/>
  <c r="GM50" i="1"/>
  <c r="GN50" i="1"/>
  <c r="CG26" i="1"/>
  <c r="AX64" i="1"/>
  <c r="GM106" i="1"/>
  <c r="GN106" i="1"/>
  <c r="AD165" i="1"/>
  <c r="R155" i="1"/>
  <c r="GK155" i="1" s="1"/>
  <c r="R157" i="1"/>
  <c r="GK157" i="1" s="1"/>
  <c r="CY154" i="1"/>
  <c r="X154" i="1" s="1"/>
  <c r="CZ154" i="1"/>
  <c r="Y154" i="1" s="1"/>
  <c r="U155" i="1"/>
  <c r="AH165" i="1" s="1"/>
  <c r="CP158" i="1"/>
  <c r="O158" i="1" s="1"/>
  <c r="T155" i="1"/>
  <c r="AG165" i="1" s="1"/>
  <c r="V156" i="1"/>
  <c r="P157" i="1"/>
  <c r="CP157" i="1" s="1"/>
  <c r="O157" i="1" s="1"/>
  <c r="CI96" i="1"/>
  <c r="AZ118" i="1"/>
  <c r="CP153" i="1"/>
  <c r="O153" i="1" s="1"/>
  <c r="P155" i="1"/>
  <c r="CP155" i="1" s="1"/>
  <c r="O155" i="1" s="1"/>
  <c r="T156" i="1"/>
  <c r="CG150" i="1"/>
  <c r="AX165" i="1"/>
  <c r="CP202" i="1"/>
  <c r="O202" i="1" s="1"/>
  <c r="Q205" i="1"/>
  <c r="S205" i="1"/>
  <c r="CP209" i="1"/>
  <c r="O209" i="1" s="1"/>
  <c r="P211" i="1"/>
  <c r="CP211" i="1" s="1"/>
  <c r="O211" i="1" s="1"/>
  <c r="BD197" i="1"/>
  <c r="F240" i="1"/>
  <c r="AG247" i="1"/>
  <c r="T264" i="1"/>
  <c r="W203" i="1"/>
  <c r="Q210" i="1"/>
  <c r="CP210" i="1" s="1"/>
  <c r="O210" i="1" s="1"/>
  <c r="S210" i="1"/>
  <c r="GX210" i="1"/>
  <c r="BC247" i="1"/>
  <c r="F280" i="1"/>
  <c r="AP150" i="1"/>
  <c r="F174" i="1"/>
  <c r="AQ215" i="1"/>
  <c r="BZ197" i="1"/>
  <c r="R211" i="1"/>
  <c r="GK211" i="1" s="1"/>
  <c r="CG215" i="1"/>
  <c r="GK249" i="1"/>
  <c r="AE264" i="1"/>
  <c r="CP152" i="1"/>
  <c r="O152" i="1" s="1"/>
  <c r="GX203" i="1"/>
  <c r="CJ215" i="1" s="1"/>
  <c r="CP208" i="1"/>
  <c r="O208" i="1" s="1"/>
  <c r="W211" i="1"/>
  <c r="CY258" i="1"/>
  <c r="X258" i="1" s="1"/>
  <c r="GN258" i="1" s="1"/>
  <c r="CZ258" i="1"/>
  <c r="Y258" i="1" s="1"/>
  <c r="CY262" i="1"/>
  <c r="X262" i="1" s="1"/>
  <c r="GP262" i="1" s="1"/>
  <c r="CZ262" i="1"/>
  <c r="Y262" i="1" s="1"/>
  <c r="AD296" i="1"/>
  <c r="Q305" i="1"/>
  <c r="W210" i="1"/>
  <c r="AE305" i="1"/>
  <c r="CY392" i="1"/>
  <c r="X392" i="1" s="1"/>
  <c r="GN392" i="1" s="1"/>
  <c r="CZ392" i="1"/>
  <c r="Y392" i="1" s="1"/>
  <c r="AL305" i="1"/>
  <c r="F361" i="1"/>
  <c r="BB337" i="1"/>
  <c r="AD443" i="1"/>
  <c r="AD380" i="1" s="1"/>
  <c r="CP340" i="1"/>
  <c r="O340" i="1" s="1"/>
  <c r="AC348" i="1"/>
  <c r="R341" i="1"/>
  <c r="GK383" i="1"/>
  <c r="GN383" i="1" s="1"/>
  <c r="AE443" i="1"/>
  <c r="AE380" i="1" s="1"/>
  <c r="GM387" i="1"/>
  <c r="GN387" i="1"/>
  <c r="GN395" i="1"/>
  <c r="GM395" i="1"/>
  <c r="U296" i="1"/>
  <c r="F327" i="1"/>
  <c r="P341" i="1"/>
  <c r="CP341" i="1" s="1"/>
  <c r="O341" i="1" s="1"/>
  <c r="T384" i="1"/>
  <c r="AG443" i="1" s="1"/>
  <c r="AG380" i="1" s="1"/>
  <c r="F357" i="1"/>
  <c r="AP337" i="1"/>
  <c r="U341" i="1"/>
  <c r="AH348" i="1" s="1"/>
  <c r="GM343" i="1"/>
  <c r="GN343" i="1"/>
  <c r="GM385" i="1"/>
  <c r="GN385" i="1"/>
  <c r="CP388" i="1"/>
  <c r="O388" i="1" s="1"/>
  <c r="CP403" i="1"/>
  <c r="O403" i="1" s="1"/>
  <c r="AE507" i="1"/>
  <c r="GK479" i="1"/>
  <c r="GP479" i="1" s="1"/>
  <c r="GM301" i="1"/>
  <c r="GN301" i="1"/>
  <c r="CP339" i="1"/>
  <c r="O339" i="1" s="1"/>
  <c r="U384" i="1"/>
  <c r="AH443" i="1" s="1"/>
  <c r="AH380" i="1" s="1"/>
  <c r="CP398" i="1"/>
  <c r="O398" i="1" s="1"/>
  <c r="AI296" i="1"/>
  <c r="V305" i="1"/>
  <c r="AP296" i="1"/>
  <c r="F314" i="1"/>
  <c r="F367" i="1"/>
  <c r="AU337" i="1"/>
  <c r="GM382" i="1"/>
  <c r="GN382" i="1"/>
  <c r="GO401" i="1"/>
  <c r="GM401" i="1"/>
  <c r="GM494" i="1"/>
  <c r="GN494" i="1"/>
  <c r="GM496" i="1"/>
  <c r="GN496" i="1"/>
  <c r="AI408" i="1"/>
  <c r="V413" i="1"/>
  <c r="BC380" i="1"/>
  <c r="F459" i="1"/>
  <c r="GM541" i="1"/>
  <c r="GN541" i="1"/>
  <c r="AP588" i="1"/>
  <c r="F620" i="1"/>
  <c r="AP732" i="1"/>
  <c r="AU643" i="1"/>
  <c r="F679" i="1"/>
  <c r="AK408" i="1"/>
  <c r="X413" i="1"/>
  <c r="GM487" i="1"/>
  <c r="GN487" i="1"/>
  <c r="T490" i="1"/>
  <c r="AG507" i="1" s="1"/>
  <c r="CP501" i="1"/>
  <c r="O501" i="1" s="1"/>
  <c r="AZ507" i="1"/>
  <c r="CI475" i="1"/>
  <c r="CY543" i="1"/>
  <c r="X543" i="1" s="1"/>
  <c r="CZ543" i="1"/>
  <c r="Y543" i="1" s="1"/>
  <c r="CY550" i="1"/>
  <c r="X550" i="1" s="1"/>
  <c r="GM550" i="1" s="1"/>
  <c r="CZ550" i="1"/>
  <c r="Y550" i="1" s="1"/>
  <c r="GK590" i="1"/>
  <c r="GK646" i="1"/>
  <c r="AE660" i="1"/>
  <c r="CY653" i="1"/>
  <c r="X653" i="1" s="1"/>
  <c r="GO653" i="1" s="1"/>
  <c r="CC660" i="1" s="1"/>
  <c r="CZ653" i="1"/>
  <c r="Y653" i="1" s="1"/>
  <c r="S697" i="1"/>
  <c r="Q697" i="1"/>
  <c r="CG408" i="1"/>
  <c r="AX413" i="1"/>
  <c r="W490" i="1"/>
  <c r="AJ507" i="1" s="1"/>
  <c r="CJ408" i="1"/>
  <c r="BA413" i="1"/>
  <c r="GM549" i="1"/>
  <c r="GP549" i="1"/>
  <c r="AC611" i="1"/>
  <c r="CP590" i="1"/>
  <c r="O590" i="1" s="1"/>
  <c r="R591" i="1"/>
  <c r="GK591" i="1" s="1"/>
  <c r="AC660" i="1"/>
  <c r="CP646" i="1"/>
  <c r="O646" i="1" s="1"/>
  <c r="BB643" i="1"/>
  <c r="F673" i="1"/>
  <c r="W601" i="1"/>
  <c r="GX697" i="1"/>
  <c r="CG539" i="1"/>
  <c r="AX552" i="1"/>
  <c r="CY600" i="1"/>
  <c r="X600" i="1" s="1"/>
  <c r="GM600" i="1" s="1"/>
  <c r="CZ600" i="1"/>
  <c r="Y600" i="1" s="1"/>
  <c r="GX601" i="1"/>
  <c r="CP645" i="1"/>
  <c r="O645" i="1" s="1"/>
  <c r="CP694" i="1"/>
  <c r="O694" i="1" s="1"/>
  <c r="AT692" i="1"/>
  <c r="F720" i="1"/>
  <c r="CY778" i="1"/>
  <c r="X778" i="1" s="1"/>
  <c r="CZ778" i="1"/>
  <c r="Y778" i="1" s="1"/>
  <c r="GK815" i="1"/>
  <c r="AE872" i="1"/>
  <c r="AE813" i="1" s="1"/>
  <c r="AT539" i="1"/>
  <c r="F570" i="1"/>
  <c r="V591" i="1"/>
  <c r="AI611" i="1" s="1"/>
  <c r="W660" i="1"/>
  <c r="AJ643" i="1"/>
  <c r="V697" i="1"/>
  <c r="AI702" i="1" s="1"/>
  <c r="F852" i="1"/>
  <c r="AQ872" i="1"/>
  <c r="AQ828" i="1"/>
  <c r="AD936" i="1"/>
  <c r="CP543" i="1"/>
  <c r="O543" i="1" s="1"/>
  <c r="GM597" i="1"/>
  <c r="GN597" i="1"/>
  <c r="V601" i="1"/>
  <c r="GM651" i="1"/>
  <c r="GN651" i="1"/>
  <c r="BD692" i="1"/>
  <c r="F727" i="1"/>
  <c r="BD764" i="1"/>
  <c r="F806" i="1"/>
  <c r="S816" i="1"/>
  <c r="Q816" i="1"/>
  <c r="AD872" i="1" s="1"/>
  <c r="AD813" i="1" s="1"/>
  <c r="CP908" i="1"/>
  <c r="O908" i="1" s="1"/>
  <c r="R909" i="1"/>
  <c r="GK909" i="1" s="1"/>
  <c r="P914" i="1"/>
  <c r="CP914" i="1" s="1"/>
  <c r="O914" i="1" s="1"/>
  <c r="U697" i="1"/>
  <c r="GM915" i="1"/>
  <c r="GO915" i="1"/>
  <c r="BB904" i="1"/>
  <c r="F949" i="1"/>
  <c r="R771" i="1"/>
  <c r="GK771" i="1" s="1"/>
  <c r="GX816" i="1"/>
  <c r="CJ872" i="1" s="1"/>
  <c r="CJ813" i="1" s="1"/>
  <c r="V842" i="1"/>
  <c r="AI828" i="1"/>
  <c r="CY923" i="1"/>
  <c r="X923" i="1" s="1"/>
  <c r="CZ923" i="1"/>
  <c r="Y923" i="1" s="1"/>
  <c r="F1000" i="1"/>
  <c r="BD968" i="1"/>
  <c r="GM775" i="1"/>
  <c r="GN775" i="1"/>
  <c r="CP778" i="1"/>
  <c r="O778" i="1" s="1"/>
  <c r="CP817" i="1"/>
  <c r="O817" i="1" s="1"/>
  <c r="W842" i="1"/>
  <c r="AJ828" i="1"/>
  <c r="CP906" i="1"/>
  <c r="O906" i="1" s="1"/>
  <c r="BB1077" i="1"/>
  <c r="BB1011" i="1"/>
  <c r="F1060" i="1"/>
  <c r="GX771" i="1"/>
  <c r="GX777" i="1"/>
  <c r="GP823" i="1"/>
  <c r="CD872" i="1" s="1"/>
  <c r="CD813" i="1" s="1"/>
  <c r="GM823" i="1"/>
  <c r="CP833" i="1"/>
  <c r="O833" i="1" s="1"/>
  <c r="CP839" i="1"/>
  <c r="O839" i="1" s="1"/>
  <c r="GX909" i="1"/>
  <c r="CJ936" i="1" s="1"/>
  <c r="AO904" i="1"/>
  <c r="F940" i="1"/>
  <c r="BB968" i="1"/>
  <c r="F988" i="1"/>
  <c r="GM1025" i="1"/>
  <c r="GN1025" i="1"/>
  <c r="GM1028" i="1"/>
  <c r="GN1028" i="1"/>
  <c r="GM1036" i="1"/>
  <c r="GO1036" i="1"/>
  <c r="BD1011" i="1"/>
  <c r="F1072" i="1"/>
  <c r="BD1077" i="1"/>
  <c r="GM924" i="1"/>
  <c r="GN924" i="1"/>
  <c r="AI968" i="1"/>
  <c r="V975" i="1"/>
  <c r="T1022" i="1"/>
  <c r="F1057" i="1"/>
  <c r="AQ1077" i="1"/>
  <c r="AQ1011" i="1"/>
  <c r="AP1077" i="1"/>
  <c r="F1056" i="1"/>
  <c r="AP1011" i="1"/>
  <c r="CP923" i="1"/>
  <c r="O923" i="1" s="1"/>
  <c r="AH968" i="1"/>
  <c r="U975" i="1"/>
  <c r="CI968" i="1"/>
  <c r="AZ975" i="1"/>
  <c r="P1017" i="1"/>
  <c r="CP1017" i="1" s="1"/>
  <c r="O1017" i="1" s="1"/>
  <c r="GM1030" i="1"/>
  <c r="GN1030" i="1"/>
  <c r="V1017" i="1"/>
  <c r="AI1047" i="1" s="1"/>
  <c r="U1022" i="1"/>
  <c r="CP925" i="1"/>
  <c r="O925" i="1" s="1"/>
  <c r="GP934" i="1"/>
  <c r="GM934" i="1"/>
  <c r="AK975" i="1"/>
  <c r="W1022" i="1"/>
  <c r="AI692" i="1" l="1"/>
  <c r="V702" i="1"/>
  <c r="AH150" i="1"/>
  <c r="U165" i="1"/>
  <c r="AG26" i="1"/>
  <c r="T64" i="1"/>
  <c r="AJ150" i="1"/>
  <c r="W165" i="1"/>
  <c r="Y842" i="1"/>
  <c r="AL828" i="1"/>
  <c r="AD197" i="1"/>
  <c r="Q215" i="1"/>
  <c r="CJ588" i="1"/>
  <c r="BA611" i="1"/>
  <c r="AC813" i="1"/>
  <c r="CH872" i="1"/>
  <c r="CH813" i="1" s="1"/>
  <c r="CE872" i="1"/>
  <c r="CE813" i="1" s="1"/>
  <c r="CF872" i="1"/>
  <c r="CF813" i="1" s="1"/>
  <c r="CB408" i="1"/>
  <c r="AS413" i="1"/>
  <c r="AK828" i="1"/>
  <c r="X842" i="1"/>
  <c r="AB96" i="1"/>
  <c r="O118" i="1"/>
  <c r="AD692" i="1"/>
  <c r="Q702" i="1"/>
  <c r="V507" i="1"/>
  <c r="AI475" i="1"/>
  <c r="CC643" i="1"/>
  <c r="AT660" i="1"/>
  <c r="AI26" i="1"/>
  <c r="V64" i="1"/>
  <c r="AB1011" i="1"/>
  <c r="O1047" i="1"/>
  <c r="AH26" i="1"/>
  <c r="U64" i="1"/>
  <c r="CJ150" i="1"/>
  <c r="BA165" i="1"/>
  <c r="AJ904" i="1"/>
  <c r="W936" i="1"/>
  <c r="AD764" i="1"/>
  <c r="Q781" i="1"/>
  <c r="GN817" i="1"/>
  <c r="GM817" i="1"/>
  <c r="GM908" i="1"/>
  <c r="GN908" i="1"/>
  <c r="V408" i="1"/>
  <c r="F436" i="1"/>
  <c r="V443" i="1"/>
  <c r="AG150" i="1"/>
  <c r="T165" i="1"/>
  <c r="GM32" i="1"/>
  <c r="GN32" i="1"/>
  <c r="GP1015" i="1"/>
  <c r="GM1015" i="1"/>
  <c r="AZ968" i="1"/>
  <c r="F986" i="1"/>
  <c r="GN923" i="1"/>
  <c r="GM923" i="1"/>
  <c r="V968" i="1"/>
  <c r="F998" i="1"/>
  <c r="BD1007" i="1"/>
  <c r="F1102" i="1"/>
  <c r="CJ781" i="1"/>
  <c r="GM906" i="1"/>
  <c r="GN906" i="1"/>
  <c r="AB936" i="1"/>
  <c r="GP778" i="1"/>
  <c r="CD781" i="1" s="1"/>
  <c r="GM778" i="1"/>
  <c r="V828" i="1"/>
  <c r="F865" i="1"/>
  <c r="V872" i="1"/>
  <c r="AD904" i="1"/>
  <c r="Q936" i="1"/>
  <c r="GM694" i="1"/>
  <c r="GN694" i="1"/>
  <c r="CH660" i="1"/>
  <c r="P660" i="1"/>
  <c r="CE660" i="1"/>
  <c r="CF660" i="1"/>
  <c r="AC643" i="1"/>
  <c r="AE643" i="1"/>
  <c r="R660" i="1"/>
  <c r="GO398" i="1"/>
  <c r="CC443" i="1" s="1"/>
  <c r="GM398" i="1"/>
  <c r="GP388" i="1"/>
  <c r="CD443" i="1" s="1"/>
  <c r="GM388" i="1"/>
  <c r="GM340" i="1"/>
  <c r="GN340" i="1"/>
  <c r="AL296" i="1"/>
  <c r="Y305" i="1"/>
  <c r="GM208" i="1"/>
  <c r="GN208" i="1"/>
  <c r="AQ197" i="1"/>
  <c r="F225" i="1"/>
  <c r="AJ215" i="1"/>
  <c r="GM158" i="1"/>
  <c r="GN158" i="1"/>
  <c r="AC96" i="1"/>
  <c r="CH118" i="1"/>
  <c r="P118" i="1"/>
  <c r="CE118" i="1"/>
  <c r="CF118" i="1"/>
  <c r="CY36" i="1"/>
  <c r="X36" i="1" s="1"/>
  <c r="GN36" i="1" s="1"/>
  <c r="CZ36" i="1"/>
  <c r="Y36" i="1" s="1"/>
  <c r="AL64" i="1" s="1"/>
  <c r="AD64" i="1"/>
  <c r="BC22" i="1"/>
  <c r="F1123" i="1"/>
  <c r="BC1137" i="1"/>
  <c r="AZ1011" i="1"/>
  <c r="F1058" i="1"/>
  <c r="AZ1077" i="1"/>
  <c r="GP1044" i="1"/>
  <c r="GM1044" i="1"/>
  <c r="AE968" i="1"/>
  <c r="R975" i="1"/>
  <c r="BA828" i="1"/>
  <c r="F862" i="1"/>
  <c r="BA872" i="1"/>
  <c r="AE781" i="1"/>
  <c r="AZ539" i="1"/>
  <c r="F563" i="1"/>
  <c r="AG611" i="1"/>
  <c r="AO584" i="1"/>
  <c r="F736" i="1"/>
  <c r="F416" i="1"/>
  <c r="P443" i="1"/>
  <c r="P408" i="1"/>
  <c r="AQ380" i="1"/>
  <c r="F453" i="1"/>
  <c r="AH702" i="1"/>
  <c r="CZ546" i="1"/>
  <c r="Y546" i="1" s="1"/>
  <c r="AL552" i="1" s="1"/>
  <c r="CY546" i="1"/>
  <c r="X546" i="1" s="1"/>
  <c r="GM479" i="1"/>
  <c r="T348" i="1"/>
  <c r="AG337" i="1"/>
  <c r="W296" i="1"/>
  <c r="F329" i="1"/>
  <c r="CP384" i="1"/>
  <c r="O384" i="1" s="1"/>
  <c r="AC443" i="1"/>
  <c r="CY341" i="1"/>
  <c r="X341" i="1" s="1"/>
  <c r="CZ341" i="1"/>
  <c r="Y341" i="1" s="1"/>
  <c r="GN201" i="1"/>
  <c r="GM201" i="1"/>
  <c r="AI165" i="1"/>
  <c r="CY155" i="1"/>
  <c r="X155" i="1" s="1"/>
  <c r="CZ155" i="1"/>
  <c r="Y155" i="1" s="1"/>
  <c r="AL165" i="1" s="1"/>
  <c r="AJ1047" i="1"/>
  <c r="CP771" i="1"/>
  <c r="O771" i="1" s="1"/>
  <c r="AC781" i="1"/>
  <c r="CZ777" i="1"/>
  <c r="Y777" i="1" s="1"/>
  <c r="CY777" i="1"/>
  <c r="X777" i="1" s="1"/>
  <c r="AX692" i="1"/>
  <c r="F709" i="1"/>
  <c r="GM410" i="1"/>
  <c r="CA413" i="1" s="1"/>
  <c r="CZ599" i="1"/>
  <c r="Y599" i="1" s="1"/>
  <c r="CY599" i="1"/>
  <c r="X599" i="1" s="1"/>
  <c r="U443" i="1"/>
  <c r="Q507" i="1"/>
  <c r="AD475" i="1"/>
  <c r="AZ337" i="1"/>
  <c r="F359" i="1"/>
  <c r="V247" i="1"/>
  <c r="F287" i="1"/>
  <c r="CY211" i="1"/>
  <c r="X211" i="1" s="1"/>
  <c r="CZ211" i="1"/>
  <c r="Y211" i="1" s="1"/>
  <c r="AL215" i="1" s="1"/>
  <c r="AD118" i="1"/>
  <c r="GM970" i="1"/>
  <c r="GN1026" i="1"/>
  <c r="GM1026" i="1"/>
  <c r="CY1017" i="1"/>
  <c r="X1017" i="1" s="1"/>
  <c r="GN1017" i="1" s="1"/>
  <c r="CB1047" i="1" s="1"/>
  <c r="CZ1017" i="1"/>
  <c r="Y1017" i="1" s="1"/>
  <c r="F792" i="1"/>
  <c r="AZ764" i="1"/>
  <c r="F681" i="1"/>
  <c r="T643" i="1"/>
  <c r="CY914" i="1"/>
  <c r="X914" i="1" s="1"/>
  <c r="GM914" i="1" s="1"/>
  <c r="CZ914" i="1"/>
  <c r="Y914" i="1" s="1"/>
  <c r="F618" i="1"/>
  <c r="AX588" i="1"/>
  <c r="AX732" i="1"/>
  <c r="T443" i="1"/>
  <c r="F434" i="1"/>
  <c r="T408" i="1"/>
  <c r="W408" i="1"/>
  <c r="F437" i="1"/>
  <c r="W443" i="1"/>
  <c r="GM396" i="1"/>
  <c r="T296" i="1"/>
  <c r="F326" i="1"/>
  <c r="BD380" i="1"/>
  <c r="F468" i="1"/>
  <c r="BA296" i="1"/>
  <c r="F325" i="1"/>
  <c r="GO399" i="1"/>
  <c r="GN299" i="1"/>
  <c r="GM299" i="1"/>
  <c r="AL348" i="1"/>
  <c r="AK264" i="1"/>
  <c r="AP197" i="1"/>
  <c r="F224" i="1"/>
  <c r="GM204" i="1"/>
  <c r="AE118" i="1"/>
  <c r="GN30" i="1"/>
  <c r="GM28" i="1"/>
  <c r="S968" i="1"/>
  <c r="F990" i="1"/>
  <c r="GO928" i="1"/>
  <c r="GN820" i="1"/>
  <c r="GN766" i="1"/>
  <c r="GN608" i="1"/>
  <c r="GN592" i="1"/>
  <c r="GM303" i="1"/>
  <c r="GM383" i="1"/>
  <c r="GM911" i="1"/>
  <c r="GP550" i="1"/>
  <c r="CD552" i="1" s="1"/>
  <c r="CD64" i="1"/>
  <c r="GM258" i="1"/>
  <c r="GN1034" i="1"/>
  <c r="V539" i="1"/>
  <c r="F575" i="1"/>
  <c r="GM344" i="1"/>
  <c r="V96" i="1"/>
  <c r="F141" i="1"/>
  <c r="GM386" i="1"/>
  <c r="GM262" i="1"/>
  <c r="AC588" i="1"/>
  <c r="CH611" i="1"/>
  <c r="P611" i="1"/>
  <c r="CE611" i="1"/>
  <c r="CF611" i="1"/>
  <c r="X408" i="1"/>
  <c r="F439" i="1"/>
  <c r="P348" i="1"/>
  <c r="CE348" i="1"/>
  <c r="AC337" i="1"/>
  <c r="CF348" i="1"/>
  <c r="CH348" i="1"/>
  <c r="GN925" i="1"/>
  <c r="GM925" i="1"/>
  <c r="AQ1007" i="1"/>
  <c r="F1087" i="1"/>
  <c r="CJ904" i="1"/>
  <c r="BA936" i="1"/>
  <c r="CY816" i="1"/>
  <c r="X816" i="1" s="1"/>
  <c r="AK872" i="1" s="1"/>
  <c r="AK813" i="1" s="1"/>
  <c r="CZ816" i="1"/>
  <c r="Y816" i="1" s="1"/>
  <c r="AL872" i="1" s="1"/>
  <c r="AL813" i="1" s="1"/>
  <c r="AF872" i="1"/>
  <c r="AF813" i="1" s="1"/>
  <c r="AJ475" i="1"/>
  <c r="W507" i="1"/>
  <c r="U348" i="1"/>
  <c r="AH337" i="1"/>
  <c r="Q296" i="1"/>
  <c r="F317" i="1"/>
  <c r="CJ197" i="1"/>
  <c r="BA215" i="1"/>
  <c r="AX215" i="1"/>
  <c r="CG197" i="1"/>
  <c r="T247" i="1"/>
  <c r="F285" i="1"/>
  <c r="GN211" i="1"/>
  <c r="GM211" i="1"/>
  <c r="GM202" i="1"/>
  <c r="GN202" i="1"/>
  <c r="GM155" i="1"/>
  <c r="GN155" i="1"/>
  <c r="GN99" i="1"/>
  <c r="GM99" i="1"/>
  <c r="AJ26" i="1"/>
  <c r="W64" i="1"/>
  <c r="AF26" i="1"/>
  <c r="S64" i="1"/>
  <c r="AE26" i="1"/>
  <c r="R64" i="1"/>
  <c r="AC26" i="1"/>
  <c r="CH64" i="1"/>
  <c r="P64" i="1"/>
  <c r="CE64" i="1"/>
  <c r="CF64" i="1"/>
  <c r="AF1011" i="1"/>
  <c r="S1047" i="1"/>
  <c r="AG764" i="1"/>
  <c r="T781" i="1"/>
  <c r="F897" i="1"/>
  <c r="BD813" i="1"/>
  <c r="AU584" i="1"/>
  <c r="F751" i="1"/>
  <c r="AJ611" i="1"/>
  <c r="AZ643" i="1"/>
  <c r="F671" i="1"/>
  <c r="AF764" i="1"/>
  <c r="S781" i="1"/>
  <c r="AJ539" i="1"/>
  <c r="W552" i="1"/>
  <c r="GM599" i="1"/>
  <c r="GN599" i="1"/>
  <c r="CH408" i="1"/>
  <c r="AY413" i="1"/>
  <c r="AX475" i="1"/>
  <c r="F514" i="1"/>
  <c r="CY695" i="1"/>
  <c r="X695" i="1" s="1"/>
  <c r="CZ695" i="1"/>
  <c r="Y695" i="1" s="1"/>
  <c r="AF702" i="1"/>
  <c r="GN342" i="1"/>
  <c r="U247" i="1"/>
  <c r="F286" i="1"/>
  <c r="AC247" i="1"/>
  <c r="CH264" i="1"/>
  <c r="P264" i="1"/>
  <c r="CE264" i="1"/>
  <c r="CF264" i="1"/>
  <c r="CY104" i="1"/>
  <c r="X104" i="1" s="1"/>
  <c r="AK118" i="1" s="1"/>
  <c r="CZ104" i="1"/>
  <c r="Y104" i="1" s="1"/>
  <c r="AL118" i="1" s="1"/>
  <c r="AF118" i="1"/>
  <c r="CP38" i="1"/>
  <c r="O38" i="1" s="1"/>
  <c r="AG1047" i="1"/>
  <c r="GM696" i="1"/>
  <c r="GN696" i="1"/>
  <c r="BB813" i="1"/>
  <c r="F885" i="1"/>
  <c r="GN606" i="1"/>
  <c r="GM606" i="1"/>
  <c r="S660" i="1"/>
  <c r="AF643" i="1"/>
  <c r="CP492" i="1"/>
  <c r="O492" i="1" s="1"/>
  <c r="AX296" i="1"/>
  <c r="F312" i="1"/>
  <c r="AX337" i="1"/>
  <c r="F355" i="1"/>
  <c r="GN298" i="1"/>
  <c r="CB305" i="1" s="1"/>
  <c r="GM298" i="1"/>
  <c r="CA305" i="1" s="1"/>
  <c r="AB305" i="1"/>
  <c r="AK296" i="1"/>
  <c r="X305" i="1"/>
  <c r="CY203" i="1"/>
  <c r="X203" i="1" s="1"/>
  <c r="GM203" i="1" s="1"/>
  <c r="CZ203" i="1"/>
  <c r="Y203" i="1" s="1"/>
  <c r="AE215" i="1"/>
  <c r="AF165" i="1"/>
  <c r="AC165" i="1"/>
  <c r="CY43" i="1"/>
  <c r="X43" i="1" s="1"/>
  <c r="CZ43" i="1"/>
  <c r="Y43" i="1" s="1"/>
  <c r="F999" i="1"/>
  <c r="W968" i="1"/>
  <c r="AH1047" i="1"/>
  <c r="AX968" i="1"/>
  <c r="F982" i="1"/>
  <c r="AT813" i="1"/>
  <c r="F890" i="1"/>
  <c r="AG904" i="1"/>
  <c r="T936" i="1"/>
  <c r="AI936" i="1"/>
  <c r="AE936" i="1"/>
  <c r="AZ692" i="1"/>
  <c r="F713" i="1"/>
  <c r="CP697" i="1"/>
  <c r="O697" i="1" s="1"/>
  <c r="CP601" i="1"/>
  <c r="O601" i="1" s="1"/>
  <c r="AP380" i="1"/>
  <c r="F452" i="1"/>
  <c r="S296" i="1"/>
  <c r="F320" i="1"/>
  <c r="AF348" i="1"/>
  <c r="AZ150" i="1"/>
  <c r="F176" i="1"/>
  <c r="GP160" i="1"/>
  <c r="CD165" i="1" s="1"/>
  <c r="CY156" i="1"/>
  <c r="X156" i="1" s="1"/>
  <c r="GN156" i="1" s="1"/>
  <c r="CZ156" i="1"/>
  <c r="Y156" i="1" s="1"/>
  <c r="GN105" i="1"/>
  <c r="GM1031" i="1"/>
  <c r="GM1019" i="1"/>
  <c r="GM930" i="1"/>
  <c r="GM920" i="1"/>
  <c r="GN600" i="1"/>
  <c r="GM649" i="1"/>
  <c r="S872" i="1"/>
  <c r="F857" i="1"/>
  <c r="S828" i="1"/>
  <c r="CD507" i="1"/>
  <c r="GP303" i="1"/>
  <c r="CD305" i="1" s="1"/>
  <c r="GN51" i="1"/>
  <c r="F672" i="1"/>
  <c r="Q643" i="1"/>
  <c r="GM505" i="1"/>
  <c r="GN56" i="1"/>
  <c r="GM392" i="1"/>
  <c r="GN927" i="1"/>
  <c r="GM594" i="1"/>
  <c r="U507" i="1"/>
  <c r="AH475" i="1"/>
  <c r="V1047" i="1"/>
  <c r="AI1011" i="1"/>
  <c r="AP1007" i="1"/>
  <c r="F1086" i="1"/>
  <c r="GN833" i="1"/>
  <c r="GM833" i="1"/>
  <c r="V611" i="1"/>
  <c r="AI588" i="1"/>
  <c r="GM646" i="1"/>
  <c r="GN646" i="1"/>
  <c r="AP584" i="1"/>
  <c r="F741" i="1"/>
  <c r="AE296" i="1"/>
  <c r="R305" i="1"/>
  <c r="GN645" i="1"/>
  <c r="GM645" i="1"/>
  <c r="AB660" i="1"/>
  <c r="AX539" i="1"/>
  <c r="F559" i="1"/>
  <c r="CY697" i="1"/>
  <c r="X697" i="1" s="1"/>
  <c r="CZ697" i="1"/>
  <c r="Y697" i="1" s="1"/>
  <c r="AZ475" i="1"/>
  <c r="F518" i="1"/>
  <c r="X975" i="1"/>
  <c r="AK968" i="1"/>
  <c r="F997" i="1"/>
  <c r="U968" i="1"/>
  <c r="GP839" i="1"/>
  <c r="CD842" i="1" s="1"/>
  <c r="GM839" i="1"/>
  <c r="W872" i="1"/>
  <c r="W828" i="1"/>
  <c r="F866" i="1"/>
  <c r="AC936" i="1"/>
  <c r="AQ813" i="1"/>
  <c r="F882" i="1"/>
  <c r="F684" i="1"/>
  <c r="W643" i="1"/>
  <c r="GM590" i="1"/>
  <c r="GN590" i="1"/>
  <c r="BA408" i="1"/>
  <c r="F433" i="1"/>
  <c r="BA443" i="1"/>
  <c r="AX408" i="1"/>
  <c r="F420" i="1"/>
  <c r="AX443" i="1"/>
  <c r="AE611" i="1"/>
  <c r="GN501" i="1"/>
  <c r="GM501" i="1"/>
  <c r="V296" i="1"/>
  <c r="F328" i="1"/>
  <c r="GN339" i="1"/>
  <c r="AB348" i="1"/>
  <c r="GM339" i="1"/>
  <c r="R507" i="1"/>
  <c r="AE475" i="1"/>
  <c r="GK341" i="1"/>
  <c r="GM341" i="1" s="1"/>
  <c r="AE348" i="1"/>
  <c r="GM152" i="1"/>
  <c r="GN152" i="1"/>
  <c r="AB165" i="1"/>
  <c r="CY210" i="1"/>
  <c r="X210" i="1" s="1"/>
  <c r="GN210" i="1" s="1"/>
  <c r="CZ210" i="1"/>
  <c r="Y210" i="1" s="1"/>
  <c r="GN209" i="1"/>
  <c r="GM209" i="1"/>
  <c r="AX150" i="1"/>
  <c r="F172" i="1"/>
  <c r="GM153" i="1"/>
  <c r="GN153" i="1"/>
  <c r="AX26" i="1"/>
  <c r="F71" i="1"/>
  <c r="GM29" i="1"/>
  <c r="GN29" i="1"/>
  <c r="AL968" i="1"/>
  <c r="Y975" i="1"/>
  <c r="AC1047" i="1"/>
  <c r="GN837" i="1"/>
  <c r="GM837" i="1"/>
  <c r="GN768" i="1"/>
  <c r="GM768" i="1"/>
  <c r="Q842" i="1"/>
  <c r="AD828" i="1"/>
  <c r="CY909" i="1"/>
  <c r="X909" i="1" s="1"/>
  <c r="GN909" i="1" s="1"/>
  <c r="CZ909" i="1"/>
  <c r="Y909" i="1" s="1"/>
  <c r="AL936" i="1" s="1"/>
  <c r="AC828" i="1"/>
  <c r="CF842" i="1"/>
  <c r="CH842" i="1"/>
  <c r="P842" i="1"/>
  <c r="CE842" i="1"/>
  <c r="CJ702" i="1"/>
  <c r="GM547" i="1"/>
  <c r="GN547" i="1"/>
  <c r="R842" i="1"/>
  <c r="AE828" i="1"/>
  <c r="AX764" i="1"/>
  <c r="F788" i="1"/>
  <c r="AQ584" i="1"/>
  <c r="F742" i="1"/>
  <c r="AD588" i="1"/>
  <c r="Q611" i="1"/>
  <c r="CF408" i="1"/>
  <c r="AW413" i="1"/>
  <c r="AK552" i="1"/>
  <c r="CP490" i="1"/>
  <c r="O490" i="1" s="1"/>
  <c r="AC507" i="1"/>
  <c r="V348" i="1"/>
  <c r="AI337" i="1"/>
  <c r="GN249" i="1"/>
  <c r="CB264" i="1" s="1"/>
  <c r="AB264" i="1"/>
  <c r="GM249" i="1"/>
  <c r="CA264" i="1" s="1"/>
  <c r="AX247" i="1"/>
  <c r="F271" i="1"/>
  <c r="AT197" i="1"/>
  <c r="F233" i="1"/>
  <c r="GN159" i="1"/>
  <c r="GM159" i="1"/>
  <c r="AE165" i="1"/>
  <c r="CJ96" i="1"/>
  <c r="BA118" i="1"/>
  <c r="AJ96" i="1"/>
  <c r="W118" i="1"/>
  <c r="F996" i="1"/>
  <c r="T968" i="1"/>
  <c r="GO1037" i="1"/>
  <c r="GM1037" i="1"/>
  <c r="AX904" i="1"/>
  <c r="F943" i="1"/>
  <c r="CH975" i="1"/>
  <c r="P975" i="1"/>
  <c r="CE975" i="1"/>
  <c r="CF975" i="1"/>
  <c r="AC968" i="1"/>
  <c r="BC1007" i="1"/>
  <c r="F1093" i="1"/>
  <c r="AP813" i="1"/>
  <c r="F881" i="1"/>
  <c r="AJ781" i="1"/>
  <c r="AH936" i="1"/>
  <c r="GN657" i="1"/>
  <c r="GM657" i="1"/>
  <c r="AF936" i="1"/>
  <c r="CJ539" i="1"/>
  <c r="BA552" i="1"/>
  <c r="AJ692" i="1"/>
  <c r="W702" i="1"/>
  <c r="AL660" i="1"/>
  <c r="BB584" i="1"/>
  <c r="F745" i="1"/>
  <c r="CJ507" i="1"/>
  <c r="F424" i="1"/>
  <c r="AZ443" i="1"/>
  <c r="AZ408" i="1"/>
  <c r="BA247" i="1"/>
  <c r="F284" i="1"/>
  <c r="CZ384" i="1"/>
  <c r="Y384" i="1" s="1"/>
  <c r="AL443" i="1" s="1"/>
  <c r="AL380" i="1" s="1"/>
  <c r="CY384" i="1"/>
  <c r="X384" i="1" s="1"/>
  <c r="AK443" i="1" s="1"/>
  <c r="AK380" i="1" s="1"/>
  <c r="AF443" i="1"/>
  <c r="GP212" i="1"/>
  <c r="GM212" i="1"/>
  <c r="AI215" i="1"/>
  <c r="CY157" i="1"/>
  <c r="X157" i="1" s="1"/>
  <c r="GM157" i="1" s="1"/>
  <c r="CZ157" i="1"/>
  <c r="Y157" i="1" s="1"/>
  <c r="GN154" i="1"/>
  <c r="GM154" i="1"/>
  <c r="O975" i="1"/>
  <c r="AB968" i="1"/>
  <c r="GN971" i="1"/>
  <c r="CB975" i="1" s="1"/>
  <c r="GM971" i="1"/>
  <c r="BY904" i="1"/>
  <c r="AP936" i="1"/>
  <c r="CI936" i="1"/>
  <c r="F853" i="1"/>
  <c r="AZ872" i="1"/>
  <c r="AZ828" i="1"/>
  <c r="U828" i="1"/>
  <c r="F864" i="1"/>
  <c r="U872" i="1"/>
  <c r="GO916" i="1"/>
  <c r="GK546" i="1"/>
  <c r="AE552" i="1"/>
  <c r="F888" i="1"/>
  <c r="BC813" i="1"/>
  <c r="AH611" i="1"/>
  <c r="CP591" i="1"/>
  <c r="O591" i="1" s="1"/>
  <c r="AB611" i="1" s="1"/>
  <c r="GM648" i="1"/>
  <c r="GN648" i="1"/>
  <c r="CP695" i="1"/>
  <c r="O695" i="1" s="1"/>
  <c r="AC702" i="1"/>
  <c r="CP546" i="1"/>
  <c r="O546" i="1" s="1"/>
  <c r="AC552" i="1"/>
  <c r="BC584" i="1"/>
  <c r="F748" i="1"/>
  <c r="AO380" i="1"/>
  <c r="F447" i="1"/>
  <c r="F316" i="1"/>
  <c r="AZ296" i="1"/>
  <c r="CJ337" i="1"/>
  <c r="BA348" i="1"/>
  <c r="AK348" i="1"/>
  <c r="AL264" i="1"/>
  <c r="CI197" i="1"/>
  <c r="AZ215" i="1"/>
  <c r="BD1107" i="1"/>
  <c r="AB64" i="1"/>
  <c r="GM766" i="1"/>
  <c r="GM907" i="1"/>
  <c r="GM596" i="1"/>
  <c r="GM346" i="1"/>
  <c r="CD118" i="1"/>
  <c r="GM653" i="1"/>
  <c r="T197" i="1"/>
  <c r="F236" i="1"/>
  <c r="BB1007" i="1"/>
  <c r="F1090" i="1"/>
  <c r="GN543" i="1"/>
  <c r="GM543" i="1"/>
  <c r="T507" i="1"/>
  <c r="AG475" i="1"/>
  <c r="GM403" i="1"/>
  <c r="GN403" i="1"/>
  <c r="AE247" i="1"/>
  <c r="R264" i="1"/>
  <c r="CY205" i="1"/>
  <c r="X205" i="1" s="1"/>
  <c r="AK215" i="1" s="1"/>
  <c r="CZ205" i="1"/>
  <c r="Y205" i="1" s="1"/>
  <c r="AZ96" i="1"/>
  <c r="F129" i="1"/>
  <c r="AD150" i="1"/>
  <c r="Q165" i="1"/>
  <c r="GP932" i="1"/>
  <c r="CD936" i="1" s="1"/>
  <c r="GM932" i="1"/>
  <c r="GM1014" i="1"/>
  <c r="GP1014" i="1"/>
  <c r="CD1047" i="1" s="1"/>
  <c r="R1047" i="1"/>
  <c r="AE1011" i="1"/>
  <c r="CP816" i="1"/>
  <c r="O816" i="1" s="1"/>
  <c r="GM830" i="1"/>
  <c r="CA842" i="1" s="1"/>
  <c r="GN830" i="1"/>
  <c r="CB842" i="1" s="1"/>
  <c r="AB842" i="1"/>
  <c r="AH539" i="1"/>
  <c r="U552" i="1"/>
  <c r="AX828" i="1"/>
  <c r="F849" i="1"/>
  <c r="AX872" i="1"/>
  <c r="CY591" i="1"/>
  <c r="X591" i="1" s="1"/>
  <c r="CZ591" i="1"/>
  <c r="Y591" i="1" s="1"/>
  <c r="AF611" i="1"/>
  <c r="CE408" i="1"/>
  <c r="AV413" i="1"/>
  <c r="F622" i="1"/>
  <c r="AZ588" i="1"/>
  <c r="AZ732" i="1"/>
  <c r="AF539" i="1"/>
  <c r="S552" i="1"/>
  <c r="Q408" i="1"/>
  <c r="F425" i="1"/>
  <c r="Q443" i="1"/>
  <c r="AE408" i="1"/>
  <c r="R413" i="1"/>
  <c r="GN390" i="1"/>
  <c r="GM390" i="1"/>
  <c r="BB380" i="1"/>
  <c r="F456" i="1"/>
  <c r="Q348" i="1"/>
  <c r="AD337" i="1"/>
  <c r="AZ247" i="1"/>
  <c r="F275" i="1"/>
  <c r="AH197" i="1"/>
  <c r="U215" i="1"/>
  <c r="CP205" i="1"/>
  <c r="O205" i="1" s="1"/>
  <c r="AB215" i="1" s="1"/>
  <c r="Q247" i="1"/>
  <c r="F276" i="1"/>
  <c r="AH96" i="1"/>
  <c r="U118" i="1"/>
  <c r="BB1107" i="1"/>
  <c r="CY38" i="1"/>
  <c r="X38" i="1" s="1"/>
  <c r="AK64" i="1" s="1"/>
  <c r="CZ38" i="1"/>
  <c r="Y38" i="1" s="1"/>
  <c r="T872" i="1"/>
  <c r="T828" i="1"/>
  <c r="F863" i="1"/>
  <c r="GM913" i="1"/>
  <c r="GO913" i="1"/>
  <c r="GM767" i="1"/>
  <c r="GN767" i="1"/>
  <c r="AH764" i="1"/>
  <c r="U781" i="1"/>
  <c r="GM777" i="1"/>
  <c r="GN777" i="1"/>
  <c r="V643" i="1"/>
  <c r="F683" i="1"/>
  <c r="AD539" i="1"/>
  <c r="Q552" i="1"/>
  <c r="F680" i="1"/>
  <c r="BA643" i="1"/>
  <c r="AE692" i="1"/>
  <c r="R702" i="1"/>
  <c r="AB408" i="1"/>
  <c r="O413" i="1"/>
  <c r="BD584" i="1"/>
  <c r="F757" i="1"/>
  <c r="Y408" i="1"/>
  <c r="F440" i="1"/>
  <c r="Y443" i="1"/>
  <c r="AK660" i="1"/>
  <c r="CY490" i="1"/>
  <c r="X490" i="1" s="1"/>
  <c r="CZ490" i="1"/>
  <c r="Y490" i="1" s="1"/>
  <c r="AL507" i="1" s="1"/>
  <c r="AF507" i="1"/>
  <c r="CY492" i="1"/>
  <c r="X492" i="1" s="1"/>
  <c r="CZ492" i="1"/>
  <c r="Y492" i="1" s="1"/>
  <c r="AF215" i="1"/>
  <c r="AK165" i="1"/>
  <c r="AX96" i="1"/>
  <c r="F125" i="1"/>
  <c r="AG96" i="1"/>
  <c r="T118" i="1"/>
  <c r="CJ26" i="1"/>
  <c r="BA64" i="1"/>
  <c r="AZ26" i="1"/>
  <c r="F75" i="1"/>
  <c r="AQ1107" i="1"/>
  <c r="GM43" i="1"/>
  <c r="GN43" i="1"/>
  <c r="AD968" i="1"/>
  <c r="Q975" i="1"/>
  <c r="CJ1011" i="1"/>
  <c r="BA1047" i="1"/>
  <c r="F995" i="1"/>
  <c r="BA968" i="1"/>
  <c r="AX1077" i="1"/>
  <c r="AX1011" i="1"/>
  <c r="F1054" i="1"/>
  <c r="Q1047" i="1"/>
  <c r="AD1011" i="1"/>
  <c r="AO1007" i="1"/>
  <c r="F1081" i="1"/>
  <c r="CZ1022" i="1"/>
  <c r="Y1022" i="1" s="1"/>
  <c r="CY1022" i="1"/>
  <c r="X1022" i="1" s="1"/>
  <c r="GM1022" i="1" s="1"/>
  <c r="AI764" i="1"/>
  <c r="V781" i="1"/>
  <c r="GM815" i="1"/>
  <c r="GN815" i="1"/>
  <c r="AB872" i="1"/>
  <c r="AB813" i="1" s="1"/>
  <c r="CZ771" i="1"/>
  <c r="Y771" i="1" s="1"/>
  <c r="AL781" i="1" s="1"/>
  <c r="CY771" i="1"/>
  <c r="X771" i="1" s="1"/>
  <c r="AK781" i="1" s="1"/>
  <c r="AG702" i="1"/>
  <c r="AG539" i="1"/>
  <c r="T552" i="1"/>
  <c r="F682" i="1"/>
  <c r="U643" i="1"/>
  <c r="AX643" i="1"/>
  <c r="F667" i="1"/>
  <c r="CZ601" i="1"/>
  <c r="Y601" i="1" s="1"/>
  <c r="CY601" i="1"/>
  <c r="X601" i="1" s="1"/>
  <c r="GM400" i="1"/>
  <c r="GO400" i="1"/>
  <c r="W247" i="1"/>
  <c r="F288" i="1"/>
  <c r="AC296" i="1"/>
  <c r="P305" i="1"/>
  <c r="CE305" i="1"/>
  <c r="CF305" i="1"/>
  <c r="CH305" i="1"/>
  <c r="AF247" i="1"/>
  <c r="S264" i="1"/>
  <c r="GP213" i="1"/>
  <c r="GM213" i="1"/>
  <c r="AP1107" i="1"/>
  <c r="AO1107" i="1"/>
  <c r="AB781" i="1"/>
  <c r="GN907" i="1"/>
  <c r="AC215" i="1"/>
  <c r="W337" i="1"/>
  <c r="F372" i="1"/>
  <c r="CD264" i="1"/>
  <c r="AK26" i="1" l="1"/>
  <c r="X64" i="1"/>
  <c r="CB968" i="1"/>
  <c r="AS975" i="1"/>
  <c r="AL26" i="1"/>
  <c r="Y64" i="1"/>
  <c r="AL764" i="1"/>
  <c r="Y781" i="1"/>
  <c r="CD539" i="1"/>
  <c r="AU552" i="1"/>
  <c r="AL539" i="1"/>
  <c r="Y552" i="1"/>
  <c r="CC380" i="1"/>
  <c r="AT443" i="1"/>
  <c r="AK197" i="1"/>
  <c r="X215" i="1"/>
  <c r="CD296" i="1"/>
  <c r="AU305" i="1"/>
  <c r="AB197" i="1"/>
  <c r="O215" i="1"/>
  <c r="CB1011" i="1"/>
  <c r="AS1047" i="1"/>
  <c r="AL150" i="1"/>
  <c r="Y165" i="1"/>
  <c r="AK764" i="1"/>
  <c r="X781" i="1"/>
  <c r="O611" i="1"/>
  <c r="AB588" i="1"/>
  <c r="AL904" i="1"/>
  <c r="Y936" i="1"/>
  <c r="AL197" i="1"/>
  <c r="Y215" i="1"/>
  <c r="CH296" i="1"/>
  <c r="AY305" i="1"/>
  <c r="BA1011" i="1"/>
  <c r="BA1077" i="1"/>
  <c r="F1067" i="1"/>
  <c r="T96" i="1"/>
  <c r="F139" i="1"/>
  <c r="AK150" i="1"/>
  <c r="X165" i="1"/>
  <c r="X660" i="1"/>
  <c r="AK643" i="1"/>
  <c r="R692" i="1"/>
  <c r="F716" i="1"/>
  <c r="Q539" i="1"/>
  <c r="F564" i="1"/>
  <c r="Q337" i="1"/>
  <c r="F360" i="1"/>
  <c r="AZ584" i="1"/>
  <c r="F743" i="1"/>
  <c r="U539" i="1"/>
  <c r="F574" i="1"/>
  <c r="CA828" i="1"/>
  <c r="AR842" i="1"/>
  <c r="CD1011" i="1"/>
  <c r="AU1047" i="1"/>
  <c r="Q150" i="1"/>
  <c r="F177" i="1"/>
  <c r="AB26" i="1"/>
  <c r="O64" i="1"/>
  <c r="GM546" i="1"/>
  <c r="CA552" i="1" s="1"/>
  <c r="GN546" i="1"/>
  <c r="CB552" i="1" s="1"/>
  <c r="U813" i="1"/>
  <c r="F894" i="1"/>
  <c r="AZ813" i="1"/>
  <c r="F883" i="1"/>
  <c r="CH968" i="1"/>
  <c r="AY975" i="1"/>
  <c r="CB247" i="1"/>
  <c r="AS264" i="1"/>
  <c r="GM490" i="1"/>
  <c r="GN490" i="1"/>
  <c r="AB507" i="1"/>
  <c r="F856" i="1"/>
  <c r="R828" i="1"/>
  <c r="R872" i="1"/>
  <c r="CE828" i="1"/>
  <c r="AV842" i="1"/>
  <c r="Q828" i="1"/>
  <c r="F854" i="1"/>
  <c r="Q872" i="1"/>
  <c r="R348" i="1"/>
  <c r="AE337" i="1"/>
  <c r="CA348" i="1"/>
  <c r="R611" i="1"/>
  <c r="AE588" i="1"/>
  <c r="BA380" i="1"/>
  <c r="F463" i="1"/>
  <c r="CB660" i="1"/>
  <c r="F634" i="1"/>
  <c r="V588" i="1"/>
  <c r="V732" i="1"/>
  <c r="U475" i="1"/>
  <c r="F529" i="1"/>
  <c r="CD150" i="1"/>
  <c r="AU165" i="1"/>
  <c r="AF337" i="1"/>
  <c r="S348" i="1"/>
  <c r="AF150" i="1"/>
  <c r="S165" i="1"/>
  <c r="CA296" i="1"/>
  <c r="AR305" i="1"/>
  <c r="S643" i="1"/>
  <c r="F675" i="1"/>
  <c r="GM38" i="1"/>
  <c r="GN38" i="1"/>
  <c r="CB64" i="1" s="1"/>
  <c r="CF247" i="1"/>
  <c r="AW264" i="1"/>
  <c r="S764" i="1"/>
  <c r="F796" i="1"/>
  <c r="W611" i="1"/>
  <c r="AJ588" i="1"/>
  <c r="GM909" i="1"/>
  <c r="CH26" i="1"/>
  <c r="AY64" i="1"/>
  <c r="S26" i="1"/>
  <c r="F79" i="1"/>
  <c r="BA904" i="1"/>
  <c r="F956" i="1"/>
  <c r="F614" i="1"/>
  <c r="P588" i="1"/>
  <c r="CB781" i="1"/>
  <c r="Y348" i="1"/>
  <c r="AL337" i="1"/>
  <c r="T380" i="1"/>
  <c r="F464" i="1"/>
  <c r="GM156" i="1"/>
  <c r="GM771" i="1"/>
  <c r="CA781" i="1" s="1"/>
  <c r="GN771" i="1"/>
  <c r="AI150" i="1"/>
  <c r="V165" i="1"/>
  <c r="GM384" i="1"/>
  <c r="CA443" i="1" s="1"/>
  <c r="CA380" i="1" s="1"/>
  <c r="GN384" i="1"/>
  <c r="CB443" i="1" s="1"/>
  <c r="CB380" i="1" s="1"/>
  <c r="AB443" i="1"/>
  <c r="AB380" i="1" s="1"/>
  <c r="T337" i="1"/>
  <c r="F369" i="1"/>
  <c r="AD26" i="1"/>
  <c r="Q64" i="1"/>
  <c r="CE96" i="1"/>
  <c r="AV118" i="1"/>
  <c r="CD380" i="1"/>
  <c r="AU443" i="1"/>
  <c r="CH643" i="1"/>
  <c r="AY660" i="1"/>
  <c r="Q904" i="1"/>
  <c r="F948" i="1"/>
  <c r="V813" i="1"/>
  <c r="F895" i="1"/>
  <c r="CD764" i="1"/>
  <c r="AU781" i="1"/>
  <c r="BA781" i="1"/>
  <c r="CJ764" i="1"/>
  <c r="F793" i="1"/>
  <c r="Q764" i="1"/>
  <c r="W904" i="1"/>
  <c r="F960" i="1"/>
  <c r="GM210" i="1"/>
  <c r="V475" i="1"/>
  <c r="F530" i="1"/>
  <c r="GM36" i="1"/>
  <c r="CA64" i="1" s="1"/>
  <c r="Q197" i="1"/>
  <c r="F227" i="1"/>
  <c r="GN104" i="1"/>
  <c r="CB118" i="1" s="1"/>
  <c r="T26" i="1"/>
  <c r="F85" i="1"/>
  <c r="V692" i="1"/>
  <c r="F725" i="1"/>
  <c r="AB764" i="1"/>
  <c r="O781" i="1"/>
  <c r="F1084" i="1"/>
  <c r="AX1007" i="1"/>
  <c r="AF197" i="1"/>
  <c r="S215" i="1"/>
  <c r="AF475" i="1"/>
  <c r="S507" i="1"/>
  <c r="Y380" i="1"/>
  <c r="F470" i="1"/>
  <c r="BB22" i="1"/>
  <c r="F1120" i="1"/>
  <c r="BB1137" i="1"/>
  <c r="R408" i="1"/>
  <c r="R443" i="1"/>
  <c r="F427" i="1"/>
  <c r="S611" i="1"/>
  <c r="AF588" i="1"/>
  <c r="AX813" i="1"/>
  <c r="F879" i="1"/>
  <c r="GM816" i="1"/>
  <c r="GN816" i="1"/>
  <c r="CB872" i="1" s="1"/>
  <c r="CB813" i="1" s="1"/>
  <c r="BD22" i="1"/>
  <c r="BD1137" i="1"/>
  <c r="F1132" i="1"/>
  <c r="AL247" i="1"/>
  <c r="Y264" i="1"/>
  <c r="AC692" i="1"/>
  <c r="P702" i="1"/>
  <c r="CF702" i="1"/>
  <c r="CH702" i="1"/>
  <c r="CE702" i="1"/>
  <c r="GM591" i="1"/>
  <c r="CA611" i="1" s="1"/>
  <c r="GN591" i="1"/>
  <c r="AE539" i="1"/>
  <c r="R552" i="1"/>
  <c r="O968" i="1"/>
  <c r="F977" i="1"/>
  <c r="AZ380" i="1"/>
  <c r="F454" i="1"/>
  <c r="BA539" i="1"/>
  <c r="F572" i="1"/>
  <c r="CF968" i="1"/>
  <c r="AW975" i="1"/>
  <c r="BA96" i="1"/>
  <c r="F138" i="1"/>
  <c r="AK539" i="1"/>
  <c r="X552" i="1"/>
  <c r="Q588" i="1"/>
  <c r="F623" i="1"/>
  <c r="Q732" i="1"/>
  <c r="F845" i="1"/>
  <c r="P872" i="1"/>
  <c r="P828" i="1"/>
  <c r="CE1047" i="1"/>
  <c r="AC1011" i="1"/>
  <c r="CF1047" i="1"/>
  <c r="P1047" i="1"/>
  <c r="CH1047" i="1"/>
  <c r="AB150" i="1"/>
  <c r="O165" i="1"/>
  <c r="AB337" i="1"/>
  <c r="O348" i="1"/>
  <c r="AX380" i="1"/>
  <c r="F450" i="1"/>
  <c r="F896" i="1"/>
  <c r="W813" i="1"/>
  <c r="R296" i="1"/>
  <c r="F319" i="1"/>
  <c r="S813" i="1"/>
  <c r="F887" i="1"/>
  <c r="GM601" i="1"/>
  <c r="GN601" i="1"/>
  <c r="AE904" i="1"/>
  <c r="R936" i="1"/>
  <c r="AE197" i="1"/>
  <c r="R215" i="1"/>
  <c r="X296" i="1"/>
  <c r="F331" i="1"/>
  <c r="CB296" i="1"/>
  <c r="AS305" i="1"/>
  <c r="AF96" i="1"/>
  <c r="S118" i="1"/>
  <c r="CE247" i="1"/>
  <c r="AV264" i="1"/>
  <c r="AF692" i="1"/>
  <c r="S702" i="1"/>
  <c r="T764" i="1"/>
  <c r="F802" i="1"/>
  <c r="GO1022" i="1"/>
  <c r="CC1047" i="1" s="1"/>
  <c r="CF26" i="1"/>
  <c r="AW64" i="1"/>
  <c r="F222" i="1"/>
  <c r="AX197" i="1"/>
  <c r="U337" i="1"/>
  <c r="F370" i="1"/>
  <c r="AV348" i="1"/>
  <c r="CE337" i="1"/>
  <c r="X443" i="1"/>
  <c r="CH588" i="1"/>
  <c r="AY611" i="1"/>
  <c r="CD26" i="1"/>
  <c r="AU64" i="1"/>
  <c r="AX584" i="1"/>
  <c r="F739" i="1"/>
  <c r="Q475" i="1"/>
  <c r="F519" i="1"/>
  <c r="CA408" i="1"/>
  <c r="AR413" i="1"/>
  <c r="AJ1011" i="1"/>
  <c r="W1047" i="1"/>
  <c r="GN203" i="1"/>
  <c r="AH692" i="1"/>
  <c r="U702" i="1"/>
  <c r="P380" i="1"/>
  <c r="F446" i="1"/>
  <c r="AG588" i="1"/>
  <c r="T611" i="1"/>
  <c r="AE764" i="1"/>
  <c r="R781" i="1"/>
  <c r="R968" i="1"/>
  <c r="F989" i="1"/>
  <c r="AZ1007" i="1"/>
  <c r="F1088" i="1"/>
  <c r="BC18" i="1"/>
  <c r="F1153" i="1"/>
  <c r="P96" i="1"/>
  <c r="F121" i="1"/>
  <c r="R643" i="1"/>
  <c r="F674" i="1"/>
  <c r="CF643" i="1"/>
  <c r="AW660" i="1"/>
  <c r="AB904" i="1"/>
  <c r="O936" i="1"/>
  <c r="T150" i="1"/>
  <c r="F186" i="1"/>
  <c r="U26" i="1"/>
  <c r="F86" i="1"/>
  <c r="V26" i="1"/>
  <c r="F87" i="1"/>
  <c r="AT643" i="1"/>
  <c r="F678" i="1"/>
  <c r="AT732" i="1"/>
  <c r="Q692" i="1"/>
  <c r="F714" i="1"/>
  <c r="F868" i="1"/>
  <c r="X872" i="1"/>
  <c r="X828" i="1"/>
  <c r="GM104" i="1"/>
  <c r="CA118" i="1" s="1"/>
  <c r="AW305" i="1"/>
  <c r="CF296" i="1"/>
  <c r="AG692" i="1"/>
  <c r="T702" i="1"/>
  <c r="AO22" i="1"/>
  <c r="F1111" i="1"/>
  <c r="AO1137" i="1"/>
  <c r="CE296" i="1"/>
  <c r="AV305" i="1"/>
  <c r="CA872" i="1"/>
  <c r="CA813" i="1" s="1"/>
  <c r="Q1011" i="1"/>
  <c r="F1059" i="1"/>
  <c r="Q1077" i="1"/>
  <c r="F987" i="1"/>
  <c r="Q968" i="1"/>
  <c r="AQ22" i="1"/>
  <c r="AQ1137" i="1"/>
  <c r="F1117" i="1"/>
  <c r="BA26" i="1"/>
  <c r="F84" i="1"/>
  <c r="Y507" i="1"/>
  <c r="AL475" i="1"/>
  <c r="O408" i="1"/>
  <c r="F415" i="1"/>
  <c r="O443" i="1"/>
  <c r="F803" i="1"/>
  <c r="U764" i="1"/>
  <c r="CC936" i="1"/>
  <c r="F893" i="1"/>
  <c r="T813" i="1"/>
  <c r="U96" i="1"/>
  <c r="F140" i="1"/>
  <c r="GM205" i="1"/>
  <c r="CA215" i="1" s="1"/>
  <c r="GN205" i="1"/>
  <c r="S539" i="1"/>
  <c r="F567" i="1"/>
  <c r="AL611" i="1"/>
  <c r="O842" i="1"/>
  <c r="AB828" i="1"/>
  <c r="R247" i="1"/>
  <c r="F278" i="1"/>
  <c r="X348" i="1"/>
  <c r="AK337" i="1"/>
  <c r="GN695" i="1"/>
  <c r="CB702" i="1" s="1"/>
  <c r="GM695" i="1"/>
  <c r="AH588" i="1"/>
  <c r="U611" i="1"/>
  <c r="CI904" i="1"/>
  <c r="AZ936" i="1"/>
  <c r="CD215" i="1"/>
  <c r="AL643" i="1"/>
  <c r="Y660" i="1"/>
  <c r="AH904" i="1"/>
  <c r="U936" i="1"/>
  <c r="CE968" i="1"/>
  <c r="AV975" i="1"/>
  <c r="CA247" i="1"/>
  <c r="AR264" i="1"/>
  <c r="V337" i="1"/>
  <c r="F371" i="1"/>
  <c r="CH828" i="1"/>
  <c r="AY842" i="1"/>
  <c r="Y968" i="1"/>
  <c r="F1002" i="1"/>
  <c r="AX1107" i="1"/>
  <c r="AC904" i="1"/>
  <c r="CH936" i="1"/>
  <c r="P936" i="1"/>
  <c r="CE936" i="1"/>
  <c r="CF936" i="1"/>
  <c r="O660" i="1"/>
  <c r="AB643" i="1"/>
  <c r="V1011" i="1"/>
  <c r="F1070" i="1"/>
  <c r="V1077" i="1"/>
  <c r="CD475" i="1"/>
  <c r="AU507" i="1"/>
  <c r="GN697" i="1"/>
  <c r="GM697" i="1"/>
  <c r="AI904" i="1"/>
  <c r="V936" i="1"/>
  <c r="U1047" i="1"/>
  <c r="AH1011" i="1"/>
  <c r="GM492" i="1"/>
  <c r="GN492" i="1"/>
  <c r="AL96" i="1"/>
  <c r="Y118" i="1"/>
  <c r="P247" i="1"/>
  <c r="F267" i="1"/>
  <c r="AL702" i="1"/>
  <c r="AY408" i="1"/>
  <c r="F421" i="1"/>
  <c r="W539" i="1"/>
  <c r="F576" i="1"/>
  <c r="CE26" i="1"/>
  <c r="AV64" i="1"/>
  <c r="R26" i="1"/>
  <c r="F78" i="1"/>
  <c r="W26" i="1"/>
  <c r="F88" i="1"/>
  <c r="GN157" i="1"/>
  <c r="CB165" i="1" s="1"/>
  <c r="BA197" i="1"/>
  <c r="F235" i="1"/>
  <c r="GN341" i="1"/>
  <c r="CB348" i="1" s="1"/>
  <c r="CH337" i="1"/>
  <c r="AY348" i="1"/>
  <c r="P337" i="1"/>
  <c r="F351" i="1"/>
  <c r="CF588" i="1"/>
  <c r="AW611" i="1"/>
  <c r="AL1047" i="1"/>
  <c r="CA975" i="1"/>
  <c r="U380" i="1"/>
  <c r="F465" i="1"/>
  <c r="AK936" i="1"/>
  <c r="BA813" i="1"/>
  <c r="F892" i="1"/>
  <c r="CH96" i="1"/>
  <c r="AY118" i="1"/>
  <c r="AJ197" i="1"/>
  <c r="W215" i="1"/>
  <c r="CE643" i="1"/>
  <c r="AV660" i="1"/>
  <c r="CA702" i="1"/>
  <c r="GO914" i="1"/>
  <c r="CB936" i="1"/>
  <c r="BA150" i="1"/>
  <c r="F185" i="1"/>
  <c r="BA588" i="1"/>
  <c r="F631" i="1"/>
  <c r="W150" i="1"/>
  <c r="F189" i="1"/>
  <c r="U150" i="1"/>
  <c r="F187" i="1"/>
  <c r="AC197" i="1"/>
  <c r="CH215" i="1"/>
  <c r="P215" i="1"/>
  <c r="CE215" i="1"/>
  <c r="CF215" i="1"/>
  <c r="S247" i="1"/>
  <c r="F279" i="1"/>
  <c r="CD247" i="1"/>
  <c r="AU264" i="1"/>
  <c r="AP22" i="1"/>
  <c r="F1116" i="1"/>
  <c r="G16" i="2" s="1"/>
  <c r="G18" i="2" s="1"/>
  <c r="AP1137" i="1"/>
  <c r="F308" i="1"/>
  <c r="P296" i="1"/>
  <c r="F573" i="1"/>
  <c r="T539" i="1"/>
  <c r="V764" i="1"/>
  <c r="F804" i="1"/>
  <c r="AK507" i="1"/>
  <c r="U197" i="1"/>
  <c r="F237" i="1"/>
  <c r="Q380" i="1"/>
  <c r="F455" i="1"/>
  <c r="AV443" i="1"/>
  <c r="F418" i="1"/>
  <c r="AV408" i="1"/>
  <c r="AK611" i="1"/>
  <c r="AS842" i="1"/>
  <c r="CB828" i="1"/>
  <c r="F1061" i="1"/>
  <c r="R1077" i="1"/>
  <c r="R1011" i="1"/>
  <c r="CD904" i="1"/>
  <c r="AU936" i="1"/>
  <c r="T475" i="1"/>
  <c r="F528" i="1"/>
  <c r="CD96" i="1"/>
  <c r="AU118" i="1"/>
  <c r="AZ197" i="1"/>
  <c r="F226" i="1"/>
  <c r="BA337" i="1"/>
  <c r="F368" i="1"/>
  <c r="AC539" i="1"/>
  <c r="P552" i="1"/>
  <c r="CE552" i="1"/>
  <c r="CF552" i="1"/>
  <c r="CH552" i="1"/>
  <c r="AP904" i="1"/>
  <c r="F945" i="1"/>
  <c r="AI197" i="1"/>
  <c r="V215" i="1"/>
  <c r="V1107" i="1" s="1"/>
  <c r="AF380" i="1"/>
  <c r="S443" i="1"/>
  <c r="CJ475" i="1"/>
  <c r="BA507" i="1"/>
  <c r="W692" i="1"/>
  <c r="F726" i="1"/>
  <c r="AF904" i="1"/>
  <c r="S936" i="1"/>
  <c r="AJ764" i="1"/>
  <c r="W781" i="1"/>
  <c r="P968" i="1"/>
  <c r="F978" i="1"/>
  <c r="W96" i="1"/>
  <c r="F142" i="1"/>
  <c r="AE150" i="1"/>
  <c r="R165" i="1"/>
  <c r="AB247" i="1"/>
  <c r="O264" i="1"/>
  <c r="P507" i="1"/>
  <c r="CE507" i="1"/>
  <c r="AC475" i="1"/>
  <c r="CF507" i="1"/>
  <c r="CH507" i="1"/>
  <c r="AW408" i="1"/>
  <c r="F419" i="1"/>
  <c r="CJ692" i="1"/>
  <c r="BA702" i="1"/>
  <c r="AW842" i="1"/>
  <c r="CF828" i="1"/>
  <c r="CA165" i="1"/>
  <c r="F521" i="1"/>
  <c r="R475" i="1"/>
  <c r="CB611" i="1"/>
  <c r="CD828" i="1"/>
  <c r="AU842" i="1"/>
  <c r="X968" i="1"/>
  <c r="F1001" i="1"/>
  <c r="CA660" i="1"/>
  <c r="T904" i="1"/>
  <c r="F957" i="1"/>
  <c r="AC150" i="1"/>
  <c r="CH165" i="1"/>
  <c r="P165" i="1"/>
  <c r="CE165" i="1"/>
  <c r="CF165" i="1"/>
  <c r="AB296" i="1"/>
  <c r="O305" i="1"/>
  <c r="AG1011" i="1"/>
  <c r="T1047" i="1"/>
  <c r="AK96" i="1"/>
  <c r="X118" i="1"/>
  <c r="CH247" i="1"/>
  <c r="AY264" i="1"/>
  <c r="AK702" i="1"/>
  <c r="S1077" i="1"/>
  <c r="F1062" i="1"/>
  <c r="S1011" i="1"/>
  <c r="P26" i="1"/>
  <c r="F67" i="1"/>
  <c r="W475" i="1"/>
  <c r="F531" i="1"/>
  <c r="CF337" i="1"/>
  <c r="AW348" i="1"/>
  <c r="CE588" i="1"/>
  <c r="AV611" i="1"/>
  <c r="AE96" i="1"/>
  <c r="R118" i="1"/>
  <c r="X264" i="1"/>
  <c r="AK247" i="1"/>
  <c r="W380" i="1"/>
  <c r="F467" i="1"/>
  <c r="AK1047" i="1"/>
  <c r="AD96" i="1"/>
  <c r="Q118" i="1"/>
  <c r="CF781" i="1"/>
  <c r="CH781" i="1"/>
  <c r="AC764" i="1"/>
  <c r="P781" i="1"/>
  <c r="CE781" i="1"/>
  <c r="AC380" i="1"/>
  <c r="CE443" i="1"/>
  <c r="CE380" i="1" s="1"/>
  <c r="CF443" i="1"/>
  <c r="CF380" i="1" s="1"/>
  <c r="CH443" i="1"/>
  <c r="CH380" i="1" s="1"/>
  <c r="CF96" i="1"/>
  <c r="AW118" i="1"/>
  <c r="Y296" i="1"/>
  <c r="F332" i="1"/>
  <c r="P643" i="1"/>
  <c r="F663" i="1"/>
  <c r="AB702" i="1"/>
  <c r="CA936" i="1"/>
  <c r="V380" i="1"/>
  <c r="F466" i="1"/>
  <c r="GM1017" i="1"/>
  <c r="CA1047" i="1" s="1"/>
  <c r="F1049" i="1"/>
  <c r="O1077" i="1"/>
  <c r="O1011" i="1"/>
  <c r="O96" i="1"/>
  <c r="F120" i="1"/>
  <c r="AS408" i="1"/>
  <c r="AS443" i="1"/>
  <c r="F430" i="1"/>
  <c r="Y828" i="1"/>
  <c r="F869" i="1"/>
  <c r="Y872" i="1"/>
  <c r="AB552" i="1"/>
  <c r="CA588" i="1" l="1"/>
  <c r="AR611" i="1"/>
  <c r="CA26" i="1"/>
  <c r="AR64" i="1"/>
  <c r="CA764" i="1"/>
  <c r="AR781" i="1"/>
  <c r="CA1011" i="1"/>
  <c r="AR1047" i="1"/>
  <c r="CB337" i="1"/>
  <c r="AS348" i="1"/>
  <c r="CB26" i="1"/>
  <c r="AS64" i="1"/>
  <c r="AS552" i="1"/>
  <c r="CB539" i="1"/>
  <c r="CB692" i="1"/>
  <c r="AS702" i="1"/>
  <c r="V22" i="1"/>
  <c r="V1137" i="1"/>
  <c r="F1130" i="1"/>
  <c r="CB150" i="1"/>
  <c r="AS165" i="1"/>
  <c r="CA197" i="1"/>
  <c r="AR215" i="1"/>
  <c r="CA539" i="1"/>
  <c r="AR552" i="1"/>
  <c r="Q96" i="1"/>
  <c r="F130" i="1"/>
  <c r="X96" i="1"/>
  <c r="F144" i="1"/>
  <c r="AV507" i="1"/>
  <c r="CE475" i="1"/>
  <c r="S904" i="1"/>
  <c r="F951" i="1"/>
  <c r="AS828" i="1"/>
  <c r="AS872" i="1"/>
  <c r="F859" i="1"/>
  <c r="AP18" i="1"/>
  <c r="F1146" i="1"/>
  <c r="CE197" i="1"/>
  <c r="AV215" i="1"/>
  <c r="F665" i="1"/>
  <c r="AV643" i="1"/>
  <c r="AY96" i="1"/>
  <c r="F126" i="1"/>
  <c r="CC904" i="1"/>
  <c r="AT936" i="1"/>
  <c r="Q1007" i="1"/>
  <c r="F1089" i="1"/>
  <c r="AW296" i="1"/>
  <c r="F311" i="1"/>
  <c r="AR443" i="1"/>
  <c r="AR408" i="1"/>
  <c r="F441" i="1"/>
  <c r="AS380" i="1"/>
  <c r="F460" i="1"/>
  <c r="AW96" i="1"/>
  <c r="F124" i="1"/>
  <c r="F616" i="1"/>
  <c r="AV588" i="1"/>
  <c r="CH150" i="1"/>
  <c r="AY165" i="1"/>
  <c r="CA643" i="1"/>
  <c r="AR660" i="1"/>
  <c r="CA150" i="1"/>
  <c r="AR165" i="1"/>
  <c r="CH475" i="1"/>
  <c r="AY507" i="1"/>
  <c r="P475" i="1"/>
  <c r="F510" i="1"/>
  <c r="AW552" i="1"/>
  <c r="CF539" i="1"/>
  <c r="F1091" i="1"/>
  <c r="R1007" i="1"/>
  <c r="AK588" i="1"/>
  <c r="X611" i="1"/>
  <c r="X507" i="1"/>
  <c r="AK475" i="1"/>
  <c r="P197" i="1"/>
  <c r="F218" i="1"/>
  <c r="CB904" i="1"/>
  <c r="AS936" i="1"/>
  <c r="AW588" i="1"/>
  <c r="F617" i="1"/>
  <c r="AY337" i="1"/>
  <c r="F356" i="1"/>
  <c r="AV26" i="1"/>
  <c r="F69" i="1"/>
  <c r="AY443" i="1"/>
  <c r="V904" i="1"/>
  <c r="F959" i="1"/>
  <c r="F526" i="1"/>
  <c r="AU475" i="1"/>
  <c r="CE904" i="1"/>
  <c r="AV936" i="1"/>
  <c r="U588" i="1"/>
  <c r="F633" i="1"/>
  <c r="U732" i="1"/>
  <c r="T692" i="1"/>
  <c r="F723" i="1"/>
  <c r="CA96" i="1"/>
  <c r="AR118" i="1"/>
  <c r="F666" i="1"/>
  <c r="AW643" i="1"/>
  <c r="R764" i="1"/>
  <c r="F795" i="1"/>
  <c r="CB215" i="1"/>
  <c r="F619" i="1"/>
  <c r="AY588" i="1"/>
  <c r="AV337" i="1"/>
  <c r="F353" i="1"/>
  <c r="AV247" i="1"/>
  <c r="F269" i="1"/>
  <c r="AS296" i="1"/>
  <c r="F322" i="1"/>
  <c r="R197" i="1"/>
  <c r="F229" i="1"/>
  <c r="P1011" i="1"/>
  <c r="F1050" i="1"/>
  <c r="P1077" i="1"/>
  <c r="CF692" i="1"/>
  <c r="AW702" i="1"/>
  <c r="S197" i="1"/>
  <c r="F230" i="1"/>
  <c r="CB96" i="1"/>
  <c r="AS118" i="1"/>
  <c r="F801" i="1"/>
  <c r="BA764" i="1"/>
  <c r="V150" i="1"/>
  <c r="F188" i="1"/>
  <c r="Y337" i="1"/>
  <c r="F375" i="1"/>
  <c r="CB643" i="1"/>
  <c r="AS660" i="1"/>
  <c r="R588" i="1"/>
  <c r="F625" i="1"/>
  <c r="R732" i="1"/>
  <c r="R1107" i="1" s="1"/>
  <c r="Q813" i="1"/>
  <c r="F884" i="1"/>
  <c r="AB475" i="1"/>
  <c r="O507" i="1"/>
  <c r="X643" i="1"/>
  <c r="F686" i="1"/>
  <c r="AY296" i="1"/>
  <c r="F313" i="1"/>
  <c r="F807" i="1"/>
  <c r="X764" i="1"/>
  <c r="AS1011" i="1"/>
  <c r="AS1077" i="1"/>
  <c r="F1064" i="1"/>
  <c r="AU872" i="1"/>
  <c r="F861" i="1"/>
  <c r="AU828" i="1"/>
  <c r="R150" i="1"/>
  <c r="F179" i="1"/>
  <c r="BA475" i="1"/>
  <c r="F527" i="1"/>
  <c r="Y1047" i="1"/>
  <c r="AL1011" i="1"/>
  <c r="Y643" i="1"/>
  <c r="F687" i="1"/>
  <c r="AQ18" i="1"/>
  <c r="F1147" i="1"/>
  <c r="CH692" i="1"/>
  <c r="AY702" i="1"/>
  <c r="Y813" i="1"/>
  <c r="F899" i="1"/>
  <c r="O1007" i="1"/>
  <c r="F1079" i="1"/>
  <c r="CH764" i="1"/>
  <c r="AY781" i="1"/>
  <c r="AK1011" i="1"/>
  <c r="X1047" i="1"/>
  <c r="X247" i="1"/>
  <c r="F290" i="1"/>
  <c r="AY247" i="1"/>
  <c r="F272" i="1"/>
  <c r="T1011" i="1"/>
  <c r="T1077" i="1"/>
  <c r="F1068" i="1"/>
  <c r="CF150" i="1"/>
  <c r="AW165" i="1"/>
  <c r="CB588" i="1"/>
  <c r="AS611" i="1"/>
  <c r="CF475" i="1"/>
  <c r="AW507" i="1"/>
  <c r="O247" i="1"/>
  <c r="F266" i="1"/>
  <c r="W764" i="1"/>
  <c r="F805" i="1"/>
  <c r="S380" i="1"/>
  <c r="F458" i="1"/>
  <c r="CE539" i="1"/>
  <c r="AV552" i="1"/>
  <c r="AU96" i="1"/>
  <c r="F137" i="1"/>
  <c r="AU904" i="1"/>
  <c r="F955" i="1"/>
  <c r="AY215" i="1"/>
  <c r="CH197" i="1"/>
  <c r="W197" i="1"/>
  <c r="F239" i="1"/>
  <c r="P904" i="1"/>
  <c r="F939" i="1"/>
  <c r="AY872" i="1"/>
  <c r="AY828" i="1"/>
  <c r="F850" i="1"/>
  <c r="AR247" i="1"/>
  <c r="F292" i="1"/>
  <c r="U904" i="1"/>
  <c r="F958" i="1"/>
  <c r="AU215" i="1"/>
  <c r="CD197" i="1"/>
  <c r="X337" i="1"/>
  <c r="F374" i="1"/>
  <c r="F844" i="1"/>
  <c r="O872" i="1"/>
  <c r="O828" i="1"/>
  <c r="AO18" i="1"/>
  <c r="F1141" i="1"/>
  <c r="O904" i="1"/>
  <c r="F938" i="1"/>
  <c r="W1077" i="1"/>
  <c r="W1011" i="1"/>
  <c r="F1071" i="1"/>
  <c r="AW26" i="1"/>
  <c r="F70" i="1"/>
  <c r="O150" i="1"/>
  <c r="F167" i="1"/>
  <c r="CF1011" i="1"/>
  <c r="AW1047" i="1"/>
  <c r="P813" i="1"/>
  <c r="F875" i="1"/>
  <c r="P692" i="1"/>
  <c r="F705" i="1"/>
  <c r="F626" i="1"/>
  <c r="S588" i="1"/>
  <c r="S732" i="1"/>
  <c r="BB18" i="1"/>
  <c r="F1150" i="1"/>
  <c r="F783" i="1"/>
  <c r="O764" i="1"/>
  <c r="AU764" i="1"/>
  <c r="F800" i="1"/>
  <c r="AU380" i="1"/>
  <c r="F462" i="1"/>
  <c r="Q26" i="1"/>
  <c r="F76" i="1"/>
  <c r="Q1107" i="1"/>
  <c r="AS781" i="1"/>
  <c r="CB764" i="1"/>
  <c r="AW247" i="1"/>
  <c r="F270" i="1"/>
  <c r="S150" i="1"/>
  <c r="F180" i="1"/>
  <c r="AU150" i="1"/>
  <c r="F184" i="1"/>
  <c r="V584" i="1"/>
  <c r="F755" i="1"/>
  <c r="AR348" i="1"/>
  <c r="CA337" i="1"/>
  <c r="R813" i="1"/>
  <c r="F886" i="1"/>
  <c r="CB507" i="1"/>
  <c r="F983" i="1"/>
  <c r="AY968" i="1"/>
  <c r="O26" i="1"/>
  <c r="F66" i="1"/>
  <c r="F1066" i="1"/>
  <c r="AU1077" i="1"/>
  <c r="AU1011" i="1"/>
  <c r="X150" i="1"/>
  <c r="F191" i="1"/>
  <c r="O588" i="1"/>
  <c r="F613" i="1"/>
  <c r="AU296" i="1"/>
  <c r="F324" i="1"/>
  <c r="AT380" i="1"/>
  <c r="F461" i="1"/>
  <c r="AU539" i="1"/>
  <c r="F571" i="1"/>
  <c r="Y26" i="1"/>
  <c r="F91" i="1"/>
  <c r="AB692" i="1"/>
  <c r="O702" i="1"/>
  <c r="S1007" i="1"/>
  <c r="F1092" i="1"/>
  <c r="O296" i="1"/>
  <c r="F307" i="1"/>
  <c r="BA692" i="1"/>
  <c r="F722" i="1"/>
  <c r="F238" i="1"/>
  <c r="V197" i="1"/>
  <c r="AV380" i="1"/>
  <c r="F448" i="1"/>
  <c r="AK904" i="1"/>
  <c r="X936" i="1"/>
  <c r="AL692" i="1"/>
  <c r="Y702" i="1"/>
  <c r="U1011" i="1"/>
  <c r="F1069" i="1"/>
  <c r="U1077" i="1"/>
  <c r="CF904" i="1"/>
  <c r="AW936" i="1"/>
  <c r="F980" i="1"/>
  <c r="AV968" i="1"/>
  <c r="F310" i="1"/>
  <c r="AV296" i="1"/>
  <c r="F291" i="1"/>
  <c r="Y247" i="1"/>
  <c r="AK692" i="1"/>
  <c r="X702" i="1"/>
  <c r="CA904" i="1"/>
  <c r="AR936" i="1"/>
  <c r="CE764" i="1"/>
  <c r="AV781" i="1"/>
  <c r="AW781" i="1"/>
  <c r="CF764" i="1"/>
  <c r="R96" i="1"/>
  <c r="F132" i="1"/>
  <c r="AW337" i="1"/>
  <c r="F354" i="1"/>
  <c r="CE150" i="1"/>
  <c r="AV165" i="1"/>
  <c r="AW828" i="1"/>
  <c r="F848" i="1"/>
  <c r="AW872" i="1"/>
  <c r="AW443" i="1"/>
  <c r="P539" i="1"/>
  <c r="F555" i="1"/>
  <c r="AU247" i="1"/>
  <c r="F283" i="1"/>
  <c r="CF197" i="1"/>
  <c r="AW215" i="1"/>
  <c r="CA692" i="1"/>
  <c r="AR702" i="1"/>
  <c r="CA968" i="1"/>
  <c r="AR975" i="1"/>
  <c r="Y96" i="1"/>
  <c r="F145" i="1"/>
  <c r="F1100" i="1"/>
  <c r="V1007" i="1"/>
  <c r="O643" i="1"/>
  <c r="F662" i="1"/>
  <c r="CH904" i="1"/>
  <c r="AY936" i="1"/>
  <c r="AX22" i="1"/>
  <c r="AX1137" i="1"/>
  <c r="F1114" i="1"/>
  <c r="AZ904" i="1"/>
  <c r="F947" i="1"/>
  <c r="AZ1107" i="1"/>
  <c r="AL588" i="1"/>
  <c r="Y611" i="1"/>
  <c r="O380" i="1"/>
  <c r="F445" i="1"/>
  <c r="Y475" i="1"/>
  <c r="F534" i="1"/>
  <c r="F898" i="1"/>
  <c r="X813" i="1"/>
  <c r="AT584" i="1"/>
  <c r="F750" i="1"/>
  <c r="F632" i="1"/>
  <c r="T588" i="1"/>
  <c r="T732" i="1"/>
  <c r="U692" i="1"/>
  <c r="F724" i="1"/>
  <c r="AU26" i="1"/>
  <c r="F83" i="1"/>
  <c r="AU1107" i="1"/>
  <c r="X380" i="1"/>
  <c r="F469" i="1"/>
  <c r="S692" i="1"/>
  <c r="F717" i="1"/>
  <c r="S96" i="1"/>
  <c r="F133" i="1"/>
  <c r="R904" i="1"/>
  <c r="F950" i="1"/>
  <c r="F578" i="1"/>
  <c r="X539" i="1"/>
  <c r="F981" i="1"/>
  <c r="AW968" i="1"/>
  <c r="R539" i="1"/>
  <c r="F566" i="1"/>
  <c r="CE692" i="1"/>
  <c r="AV702" i="1"/>
  <c r="BD18" i="1"/>
  <c r="F1162" i="1"/>
  <c r="F522" i="1"/>
  <c r="S475" i="1"/>
  <c r="P732" i="1"/>
  <c r="AY26" i="1"/>
  <c r="F72" i="1"/>
  <c r="F635" i="1"/>
  <c r="W588" i="1"/>
  <c r="W732" i="1"/>
  <c r="CA507" i="1"/>
  <c r="BA1007" i="1"/>
  <c r="F1097" i="1"/>
  <c r="F242" i="1"/>
  <c r="Y197" i="1"/>
  <c r="Y904" i="1"/>
  <c r="F963" i="1"/>
  <c r="Y150" i="1"/>
  <c r="F192" i="1"/>
  <c r="X26" i="1"/>
  <c r="F90" i="1"/>
  <c r="AB539" i="1"/>
  <c r="O552" i="1"/>
  <c r="F784" i="1"/>
  <c r="P764" i="1"/>
  <c r="P150" i="1"/>
  <c r="F168" i="1"/>
  <c r="CH539" i="1"/>
  <c r="AY552" i="1"/>
  <c r="BA732" i="1"/>
  <c r="BA1107" i="1" s="1"/>
  <c r="CC1011" i="1"/>
  <c r="AT1047" i="1"/>
  <c r="F350" i="1"/>
  <c r="O337" i="1"/>
  <c r="CH1011" i="1"/>
  <c r="AY1047" i="1"/>
  <c r="CE1011" i="1"/>
  <c r="AV1047" i="1"/>
  <c r="Q584" i="1"/>
  <c r="F744" i="1"/>
  <c r="R380" i="1"/>
  <c r="F457" i="1"/>
  <c r="F668" i="1"/>
  <c r="AY643" i="1"/>
  <c r="AV96" i="1"/>
  <c r="F123" i="1"/>
  <c r="AR296" i="1"/>
  <c r="F333" i="1"/>
  <c r="F363" i="1"/>
  <c r="S337" i="1"/>
  <c r="F362" i="1"/>
  <c r="R337" i="1"/>
  <c r="AV872" i="1"/>
  <c r="AV828" i="1"/>
  <c r="F847" i="1"/>
  <c r="AS247" i="1"/>
  <c r="F281" i="1"/>
  <c r="AR872" i="1"/>
  <c r="F870" i="1"/>
  <c r="AR828" i="1"/>
  <c r="O197" i="1"/>
  <c r="F217" i="1"/>
  <c r="X197" i="1"/>
  <c r="F241" i="1"/>
  <c r="Y539" i="1"/>
  <c r="F579" i="1"/>
  <c r="F808" i="1"/>
  <c r="Y764" i="1"/>
  <c r="F992" i="1"/>
  <c r="AS968" i="1"/>
  <c r="R22" i="1" l="1"/>
  <c r="R1137" i="1"/>
  <c r="F1121" i="1"/>
  <c r="AV1107" i="1"/>
  <c r="BA22" i="1"/>
  <c r="F1127" i="1"/>
  <c r="BA1137" i="1"/>
  <c r="W584" i="1"/>
  <c r="F756" i="1"/>
  <c r="T584" i="1"/>
  <c r="F753" i="1"/>
  <c r="T1107" i="1"/>
  <c r="AW197" i="1"/>
  <c r="F221" i="1"/>
  <c r="AY380" i="1"/>
  <c r="F451" i="1"/>
  <c r="AY1077" i="1"/>
  <c r="AY1011" i="1"/>
  <c r="F1055" i="1"/>
  <c r="F1065" i="1"/>
  <c r="AT1077" i="1"/>
  <c r="AT1011" i="1"/>
  <c r="AZ22" i="1"/>
  <c r="AZ1137" i="1"/>
  <c r="F1118" i="1"/>
  <c r="AX18" i="1"/>
  <c r="F1144" i="1"/>
  <c r="F787" i="1"/>
  <c r="AW764" i="1"/>
  <c r="X904" i="1"/>
  <c r="F962" i="1"/>
  <c r="O692" i="1"/>
  <c r="F704" i="1"/>
  <c r="O732" i="1"/>
  <c r="O1107" i="1" s="1"/>
  <c r="Q22" i="1"/>
  <c r="F1119" i="1"/>
  <c r="Q1137" i="1"/>
  <c r="F557" i="1"/>
  <c r="AV539" i="1"/>
  <c r="AW475" i="1"/>
  <c r="F513" i="1"/>
  <c r="AW150" i="1"/>
  <c r="F171" i="1"/>
  <c r="AU813" i="1"/>
  <c r="F891" i="1"/>
  <c r="AS904" i="1"/>
  <c r="F953" i="1"/>
  <c r="AR150" i="1"/>
  <c r="F193" i="1"/>
  <c r="AY150" i="1"/>
  <c r="F173" i="1"/>
  <c r="AT904" i="1"/>
  <c r="F954" i="1"/>
  <c r="AV475" i="1"/>
  <c r="F512" i="1"/>
  <c r="V18" i="1"/>
  <c r="F1160" i="1"/>
  <c r="AR1011" i="1"/>
  <c r="F1075" i="1"/>
  <c r="AR1077" i="1"/>
  <c r="AR26" i="1"/>
  <c r="F92" i="1"/>
  <c r="F877" i="1"/>
  <c r="AV813" i="1"/>
  <c r="AR904" i="1"/>
  <c r="F964" i="1"/>
  <c r="U1007" i="1"/>
  <c r="F1099" i="1"/>
  <c r="AY197" i="1"/>
  <c r="F223" i="1"/>
  <c r="T1007" i="1"/>
  <c r="F1098" i="1"/>
  <c r="O539" i="1"/>
  <c r="F554" i="1"/>
  <c r="P584" i="1"/>
  <c r="F735" i="1"/>
  <c r="AR692" i="1"/>
  <c r="F730" i="1"/>
  <c r="AW380" i="1"/>
  <c r="F449" i="1"/>
  <c r="AV150" i="1"/>
  <c r="F170" i="1"/>
  <c r="AV764" i="1"/>
  <c r="F786" i="1"/>
  <c r="X692" i="1"/>
  <c r="F728" i="1"/>
  <c r="AW904" i="1"/>
  <c r="F942" i="1"/>
  <c r="CB475" i="1"/>
  <c r="AS507" i="1"/>
  <c r="AR337" i="1"/>
  <c r="F376" i="1"/>
  <c r="O813" i="1"/>
  <c r="F874" i="1"/>
  <c r="F880" i="1"/>
  <c r="AY813" i="1"/>
  <c r="X1011" i="1"/>
  <c r="F1073" i="1"/>
  <c r="X1077" i="1"/>
  <c r="AY692" i="1"/>
  <c r="F710" i="1"/>
  <c r="Y1011" i="1"/>
  <c r="F1074" i="1"/>
  <c r="Y1077" i="1"/>
  <c r="F677" i="1"/>
  <c r="AS643" i="1"/>
  <c r="AS96" i="1"/>
  <c r="F135" i="1"/>
  <c r="AW692" i="1"/>
  <c r="F708" i="1"/>
  <c r="CB197" i="1"/>
  <c r="AS215" i="1"/>
  <c r="AV904" i="1"/>
  <c r="F941" i="1"/>
  <c r="AW732" i="1"/>
  <c r="X475" i="1"/>
  <c r="F533" i="1"/>
  <c r="AR539" i="1"/>
  <c r="F580" i="1"/>
  <c r="AS150" i="1"/>
  <c r="F182" i="1"/>
  <c r="F365" i="1"/>
  <c r="AS337" i="1"/>
  <c r="S584" i="1"/>
  <c r="F747" i="1"/>
  <c r="S1107" i="1"/>
  <c r="W1007" i="1"/>
  <c r="F1101" i="1"/>
  <c r="F900" i="1"/>
  <c r="AR813" i="1"/>
  <c r="AV1011" i="1"/>
  <c r="F1052" i="1"/>
  <c r="AV1077" i="1"/>
  <c r="BA584" i="1"/>
  <c r="F752" i="1"/>
  <c r="AR507" i="1"/>
  <c r="AR1107" i="1" s="1"/>
  <c r="CA475" i="1"/>
  <c r="AV692" i="1"/>
  <c r="F707" i="1"/>
  <c r="AU22" i="1"/>
  <c r="AU1137" i="1"/>
  <c r="F1126" i="1"/>
  <c r="H16" i="2" s="1"/>
  <c r="H18" i="2" s="1"/>
  <c r="Y588" i="1"/>
  <c r="F638" i="1"/>
  <c r="Y732" i="1"/>
  <c r="AY904" i="1"/>
  <c r="F944" i="1"/>
  <c r="W1107" i="1"/>
  <c r="AW813" i="1"/>
  <c r="F878" i="1"/>
  <c r="Y692" i="1"/>
  <c r="F729" i="1"/>
  <c r="AU1007" i="1"/>
  <c r="F1096" i="1"/>
  <c r="AW1011" i="1"/>
  <c r="F1053" i="1"/>
  <c r="AW1077" i="1"/>
  <c r="AW1107" i="1"/>
  <c r="AU197" i="1"/>
  <c r="F234" i="1"/>
  <c r="AS588" i="1"/>
  <c r="F628" i="1"/>
  <c r="AS732" i="1"/>
  <c r="AS1007" i="1"/>
  <c r="F1094" i="1"/>
  <c r="F509" i="1"/>
  <c r="O475" i="1"/>
  <c r="R584" i="1"/>
  <c r="F746" i="1"/>
  <c r="AY732" i="1"/>
  <c r="AR96" i="1"/>
  <c r="F146" i="1"/>
  <c r="U584" i="1"/>
  <c r="F754" i="1"/>
  <c r="U1107" i="1"/>
  <c r="X588" i="1"/>
  <c r="F637" i="1"/>
  <c r="X732" i="1"/>
  <c r="AY475" i="1"/>
  <c r="F515" i="1"/>
  <c r="F688" i="1"/>
  <c r="AR643" i="1"/>
  <c r="AV732" i="1"/>
  <c r="AV197" i="1"/>
  <c r="F220" i="1"/>
  <c r="AS692" i="1"/>
  <c r="F719" i="1"/>
  <c r="AS539" i="1"/>
  <c r="F569" i="1"/>
  <c r="AR764" i="1"/>
  <c r="F809" i="1"/>
  <c r="F639" i="1"/>
  <c r="AR588" i="1"/>
  <c r="AR732" i="1"/>
  <c r="AY539" i="1"/>
  <c r="F560" i="1"/>
  <c r="F1003" i="1"/>
  <c r="AR968" i="1"/>
  <c r="AS764" i="1"/>
  <c r="F798" i="1"/>
  <c r="AY764" i="1"/>
  <c r="F789" i="1"/>
  <c r="P1007" i="1"/>
  <c r="F1080" i="1"/>
  <c r="AW539" i="1"/>
  <c r="F558" i="1"/>
  <c r="AR380" i="1"/>
  <c r="F471" i="1"/>
  <c r="AS813" i="1"/>
  <c r="F889" i="1"/>
  <c r="AR197" i="1"/>
  <c r="F243" i="1"/>
  <c r="AS26" i="1"/>
  <c r="F81" i="1"/>
  <c r="AS1107" i="1"/>
  <c r="P1107" i="1"/>
  <c r="AR22" i="1" l="1"/>
  <c r="F1135" i="1"/>
  <c r="AR1137" i="1"/>
  <c r="O22" i="1"/>
  <c r="F1109" i="1"/>
  <c r="O1137" i="1"/>
  <c r="AR584" i="1"/>
  <c r="F760" i="1"/>
  <c r="AY584" i="1"/>
  <c r="F740" i="1"/>
  <c r="AW22" i="1"/>
  <c r="AW1137" i="1"/>
  <c r="F1113" i="1"/>
  <c r="AW584" i="1"/>
  <c r="F738" i="1"/>
  <c r="AR1007" i="1"/>
  <c r="F1105" i="1"/>
  <c r="AV22" i="1"/>
  <c r="AV1137" i="1"/>
  <c r="F1112" i="1"/>
  <c r="F1083" i="1"/>
  <c r="AW1007" i="1"/>
  <c r="Y584" i="1"/>
  <c r="F759" i="1"/>
  <c r="Y1107" i="1"/>
  <c r="AU18" i="1"/>
  <c r="F1156" i="1"/>
  <c r="AY1107" i="1"/>
  <c r="S22" i="1"/>
  <c r="F1122" i="1"/>
  <c r="J16" i="2" s="1"/>
  <c r="J18" i="2" s="1"/>
  <c r="S1137" i="1"/>
  <c r="AS475" i="1"/>
  <c r="F524" i="1"/>
  <c r="BA18" i="1"/>
  <c r="F1157" i="1"/>
  <c r="AZ18" i="1"/>
  <c r="F1148" i="1"/>
  <c r="P22" i="1"/>
  <c r="P1137" i="1"/>
  <c r="F1110" i="1"/>
  <c r="W22" i="1"/>
  <c r="F1131" i="1"/>
  <c r="W1137" i="1"/>
  <c r="AV1007" i="1"/>
  <c r="F1082" i="1"/>
  <c r="O584" i="1"/>
  <c r="F734" i="1"/>
  <c r="X584" i="1"/>
  <c r="F758" i="1"/>
  <c r="X1107" i="1"/>
  <c r="X1007" i="1"/>
  <c r="F1103" i="1"/>
  <c r="T22" i="1"/>
  <c r="T1137" i="1"/>
  <c r="F1128" i="1"/>
  <c r="AS22" i="1"/>
  <c r="AS1137" i="1"/>
  <c r="F1124" i="1"/>
  <c r="E16" i="2" s="1"/>
  <c r="AV584" i="1"/>
  <c r="F737" i="1"/>
  <c r="U22" i="1"/>
  <c r="U1137" i="1"/>
  <c r="F1129" i="1"/>
  <c r="AS584" i="1"/>
  <c r="F749" i="1"/>
  <c r="AR475" i="1"/>
  <c r="F535" i="1"/>
  <c r="AS197" i="1"/>
  <c r="F232" i="1"/>
  <c r="F1104" i="1"/>
  <c r="Y1007" i="1"/>
  <c r="Q18" i="1"/>
  <c r="F1149" i="1"/>
  <c r="AT1007" i="1"/>
  <c r="F1095" i="1"/>
  <c r="AT1107" i="1"/>
  <c r="AY1007" i="1"/>
  <c r="F1085" i="1"/>
  <c r="R18" i="1"/>
  <c r="F1151" i="1"/>
  <c r="AY22" i="1" l="1"/>
  <c r="AY1137" i="1"/>
  <c r="F1115" i="1"/>
  <c r="AW18" i="1"/>
  <c r="F1143" i="1"/>
  <c r="AT22" i="1"/>
  <c r="F1125" i="1"/>
  <c r="F16" i="2" s="1"/>
  <c r="F18" i="2" s="1"/>
  <c r="AT1137" i="1"/>
  <c r="W18" i="1"/>
  <c r="F1161" i="1"/>
  <c r="P18" i="1"/>
  <c r="F1140" i="1"/>
  <c r="S18" i="1"/>
  <c r="F1152" i="1"/>
  <c r="AV18" i="1"/>
  <c r="F1142" i="1"/>
  <c r="AR18" i="1"/>
  <c r="F1165" i="1"/>
  <c r="F1166" i="1" s="1"/>
  <c r="U18" i="1"/>
  <c r="F1159" i="1"/>
  <c r="E18" i="2"/>
  <c r="I16" i="2"/>
  <c r="I18" i="2" s="1"/>
  <c r="T18" i="1"/>
  <c r="F1158" i="1"/>
  <c r="X22" i="1"/>
  <c r="X1137" i="1"/>
  <c r="F1133" i="1"/>
  <c r="O18" i="1"/>
  <c r="F1139" i="1"/>
  <c r="AS18" i="1"/>
  <c r="F1154" i="1"/>
  <c r="Y22" i="1"/>
  <c r="Y1137" i="1"/>
  <c r="F1134" i="1"/>
  <c r="AT18" i="1" l="1"/>
  <c r="F1155" i="1"/>
  <c r="X18" i="1"/>
  <c r="F1163" i="1"/>
  <c r="F1167" i="1"/>
  <c r="F1168" i="1" s="1"/>
  <c r="AY18" i="1"/>
  <c r="F1145" i="1"/>
  <c r="Y18" i="1"/>
  <c r="F1164" i="1"/>
</calcChain>
</file>

<file path=xl/sharedStrings.xml><?xml version="1.0" encoding="utf-8"?>
<sst xmlns="http://schemas.openxmlformats.org/spreadsheetml/2006/main" count="24758" uniqueCount="1718">
  <si>
    <t>Smeta.RU Flash  (495) 974-1589</t>
  </si>
  <si>
    <t>_PS_</t>
  </si>
  <si>
    <t>Smeta.RU Flash</t>
  </si>
  <si>
    <t/>
  </si>
  <si>
    <t>Новый объект</t>
  </si>
  <si>
    <t>Ремонт гольфполя Химки-2</t>
  </si>
  <si>
    <t>Сметные нормы списания</t>
  </si>
  <si>
    <t>Коды ОКП для ТСН-2001 МГЭ</t>
  </si>
  <si>
    <t>ТСН-2001 МГЭ+Глава 13.2 - Ремонт</t>
  </si>
  <si>
    <t>Типовой расчет для ТСН-2001 МГЭ, Новая методика с выпуска доп. 43 (Ремонт), Доп 61</t>
  </si>
  <si>
    <t>ТСН-2001 МГЭ+Глава 13.2</t>
  </si>
  <si>
    <t>Поправки для ТСН-2001 от 21.07.2021 г. доп.61</t>
  </si>
  <si>
    <t>Новая локальная смета</t>
  </si>
  <si>
    <t>Новый раздел</t>
  </si>
  <si>
    <t>Покрытие "Искусственная трава" 13 мм, на площади 787 кв.м</t>
  </si>
  <si>
    <t>1</t>
  </si>
  <si>
    <t>3.47-1-3</t>
  </si>
  <si>
    <t>Разбивка участка</t>
  </si>
  <si>
    <t>100 м2</t>
  </si>
  <si>
    <t>ТСН-2001.3. Доп. 1-42. Сб. 47, т. 1, поз. 3</t>
  </si>
  <si>
    <t>)*1,25</t>
  </si>
  <si>
    <t>)*1,15</t>
  </si>
  <si>
    <t>Строительные работы</t>
  </si>
  <si>
    <t>ТСН-2001.3-47. 47-1...47-8</t>
  </si>
  <si>
    <t>ТСН-2001.3-47-1</t>
  </si>
  <si>
    <t>Поправка: ТСН-2001.О.П. п.3.4. 6  Поправка: ТСН-2001.6. О.П. п.11  Поправка: ТСН-2001.О.П. п.3.4. 6</t>
  </si>
  <si>
    <t>2</t>
  </si>
  <si>
    <t>3.47-74-1</t>
  </si>
  <si>
    <t>Устройство покрытия "искусственная трава" (демонтаж)</t>
  </si>
  <si>
    <t>ТСН-2001.3 Доп. 47, Сб. 47, т. 74, поз. 1</t>
  </si>
  <si>
    <t>*0</t>
  </si>
  <si>
    <t>*0,8</t>
  </si>
  <si>
    <t>ТСН-2001.3-47. 47-74, 47-75 (доп. 20)</t>
  </si>
  <si>
    <t>ТСН-2001.3-47-18</t>
  </si>
  <si>
    <t>Поправка: ТСН-2001.О.П. п.3.4. 6  Поправка: ТСН-2001.6. О.П. п.23.1</t>
  </si>
  <si>
    <t>3</t>
  </si>
  <si>
    <t>6.68-51-5</t>
  </si>
  <si>
    <t>Разборка покрытий и оснований цементобетонных (толщина 0,2 м)</t>
  </si>
  <si>
    <t>100 м3 конструкций</t>
  </si>
  <si>
    <t>ТСН-2001.6 Доп. 61, Сб. 68, т. 51, поз. 5</t>
  </si>
  <si>
    <t>Ремонтно-строительные работы</t>
  </si>
  <si>
    <t>ТСН-2001.6-68. 68-51...68-53</t>
  </si>
  <si>
    <t>ТСН-2001.6-68-21</t>
  </si>
  <si>
    <t>4</t>
  </si>
  <si>
    <t>3.47-1-2</t>
  </si>
  <si>
    <t>Планировка участка вручную</t>
  </si>
  <si>
    <t>ТСН-2001.3. Доп. 1-42. Сб. 47, т. 1, поз. 2</t>
  </si>
  <si>
    <t>)*1,25)</t>
  </si>
  <si>
    <t>*0,25)*1,15)</t>
  </si>
  <si>
    <t>Поправка: ТСН-2001.О.П. п.3.4. 6  Поправка: ТСН-2001.6. О.П. п.11</t>
  </si>
  <si>
    <t>5</t>
  </si>
  <si>
    <t>3.1-81-1</t>
  </si>
  <si>
    <t>Планировка земляного полотна средствами малой механизации</t>
  </si>
  <si>
    <t>100 м2 спланированного покрытия</t>
  </si>
  <si>
    <t>ТСН-2001.3. Доп. 1-42. Сб. 1, т. 81, поз. 1</t>
  </si>
  <si>
    <t>*0,75)*1,25</t>
  </si>
  <si>
    <t>*0,75)*1,15</t>
  </si>
  <si>
    <t>ТСН-2001.3-1. 1-81 (доп. 30)</t>
  </si>
  <si>
    <t>ТСН-2001.3-1-25</t>
  </si>
  <si>
    <t>Поправка: ТСН-2001.6. О.П. п.11</t>
  </si>
  <si>
    <t>6</t>
  </si>
  <si>
    <t>3.1-51-1</t>
  </si>
  <si>
    <t>Разработка грунта вручную в траншеях глубиной до 2 м без креплений с откосами группа грунтов 1-3 (вручную 25%)</t>
  </si>
  <si>
    <t>100 м3 грунта</t>
  </si>
  <si>
    <t>ТСН-2001.3. Доп. 1-42. Сб. 1, т. 51, поз. 1</t>
  </si>
  <si>
    <t>*0,25)*1,15</t>
  </si>
  <si>
    <t>ТСН-2001.3-1. 1-49...1-55</t>
  </si>
  <si>
    <t>ТСН-2001.3-1-15</t>
  </si>
  <si>
    <t>7</t>
  </si>
  <si>
    <t>3.1-6-10</t>
  </si>
  <si>
    <t>Разработка грунта с погрузкой на автомобили-самосвалы экскаваторами с ковшом вместимостью 0,5 м3 группа грунтов 1-3 (механизированно 75%)</t>
  </si>
  <si>
    <t>ТСН-2001.3 Доп. 61, Сб. 1, т. 6, поз. 10</t>
  </si>
  <si>
    <t>ТСН-2001.3-1. 1-1...1-7</t>
  </si>
  <si>
    <t>ТСН-2001.3-1-1</t>
  </si>
  <si>
    <t>8</t>
  </si>
  <si>
    <t>3.27-12-2</t>
  </si>
  <si>
    <t>Устройство подстилающих и выравнивающих слоев оснований из щебня (787*0,2=157,4 куб.м)</t>
  </si>
  <si>
    <t>100 м3 материала основания (в плотном теле)</t>
  </si>
  <si>
    <t>ТСН-2001.3 Доп. 59, Сб. 27, т. 12, поз. 2</t>
  </si>
  <si>
    <t>ТСН-2001.3-27. 27-1...27-21</t>
  </si>
  <si>
    <t>ТСН-2001.3-27-1</t>
  </si>
  <si>
    <t>8,1</t>
  </si>
  <si>
    <t>1.1-1-1557</t>
  </si>
  <si>
    <t>Щебень из естественного камня для дорожных работ, марка 1200 - 800, фракция 40-70 мм</t>
  </si>
  <si>
    <t>м3</t>
  </si>
  <si>
    <t>ТСН-2001.1. Доп. 1-42. Р. 1, о. 1, поз. 1557</t>
  </si>
  <si>
    <t>9</t>
  </si>
  <si>
    <t>3.27-12-1</t>
  </si>
  <si>
    <t>Устройство подстилающих и выравнивающих слоев оснований из песка</t>
  </si>
  <si>
    <t>ТСН-2001.3 Доп. 56, Сб. 27, т. 12, поз. 1</t>
  </si>
  <si>
    <t>9,1</t>
  </si>
  <si>
    <t>1.1-1-766</t>
  </si>
  <si>
    <t>Песок для строительных работ, рядовой</t>
  </si>
  <si>
    <t>ТСН-2001.1. Доп. 1-42. Р. 1, о. 1, поз. 766</t>
  </si>
  <si>
    <t>10</t>
  </si>
  <si>
    <t>3.6-1-15</t>
  </si>
  <si>
    <t>Устройство фундаментных плит железобетонных плоских (Применительно)</t>
  </si>
  <si>
    <t>100 м3 в деле</t>
  </si>
  <si>
    <t>ТСН-2001.3 Доп. 56, Сб. 6, т. 1, поз. 15</t>
  </si>
  <si>
    <t>ТСН-2001.3-6. 6-1...6-13</t>
  </si>
  <si>
    <t>ТСН-2001.3-6-1</t>
  </si>
  <si>
    <t>10,1</t>
  </si>
  <si>
    <t>1.3-4-3</t>
  </si>
  <si>
    <t>Арматурные заготовки (стержни, хомуты и т.п.), не собранные в каркасы или сетки, углеродистая сталь общего назначения и арматурная сталь гладкая, класс А-I, диаметр 10 мм</t>
  </si>
  <si>
    <t>т</t>
  </si>
  <si>
    <t>ТСН-2001.1. Доп. 1-42. Р. 3, о. 4, поз. 3</t>
  </si>
  <si>
    <t>10,2</t>
  </si>
  <si>
    <t>1.3-1-38</t>
  </si>
  <si>
    <t>Смеси бетонные, БСГ, тяжелого бетона на гранитном щебне, класс прочности В15 (М200); П3, фракция 5-20, F50-100, W0-2</t>
  </si>
  <si>
    <t>ТСН-2001.1. Доп. 1-42. Р. 3, о. 1, поз. 38</t>
  </si>
  <si>
    <t>11</t>
  </si>
  <si>
    <t>3.27-69-1</t>
  </si>
  <si>
    <t>Устройство прослойки из нетканого синтетического материала (НСМ) в земляном полотне сплошной</t>
  </si>
  <si>
    <t>1000 м2 поверхности</t>
  </si>
  <si>
    <t>ТСН-2001.3 Доп. 59, Сб. 27, т. 69, поз. 1</t>
  </si>
  <si>
    <t>ТСН-2001.3-27. 27-69</t>
  </si>
  <si>
    <t>ТСН-2001.3-27-21</t>
  </si>
  <si>
    <t>11,1</t>
  </si>
  <si>
    <t>Цена поставщика</t>
  </si>
  <si>
    <t>Подложка под искусственную траву RX40010 (10 мм) или аналог (расход с учетом нахлеста)</t>
  </si>
  <si>
    <t>м2</t>
  </si>
  <si>
    <t>[325 / 1,2 /  6,34] +  2% Трансп</t>
  </si>
  <si>
    <t>0</t>
  </si>
  <si>
    <t>12</t>
  </si>
  <si>
    <t>Устройство покрытия "искусственная трава"</t>
  </si>
  <si>
    <t>12,1</t>
  </si>
  <si>
    <t>Искусственная трава Domo, коллекция Golf Grass,«Golf» 13 мм ворс</t>
  </si>
  <si>
    <t>[1 875 / 1,2 /  6,34] +  2% Трансп</t>
  </si>
  <si>
    <t>12,2</t>
  </si>
  <si>
    <t>1.1-1-3466</t>
  </si>
  <si>
    <t>Клей полиуретановый двухкомпонентный для искусственных газонов</t>
  </si>
  <si>
    <t>кг</t>
  </si>
  <si>
    <t>ТСН-2001.1. Доп. 1-42. Р. 1, о. 1, поз. 3466</t>
  </si>
  <si>
    <t>12,3</t>
  </si>
  <si>
    <t>1.1-1-3467</t>
  </si>
  <si>
    <t>Лента из полиэстера для фиксации искусственных газонов</t>
  </si>
  <si>
    <t>м</t>
  </si>
  <si>
    <t>ТСН-2001.1. Доп. 1-42. Р. 1, о. 1, поз. 3467</t>
  </si>
  <si>
    <t>12,4</t>
  </si>
  <si>
    <t>Двухкомпонентный полиуретановый клей, не содержащий растворителей, для приклеивания искусственной травы GREEN PUR</t>
  </si>
  <si>
    <t>[400 / 1,2 /  6,34] +  2% Трансп</t>
  </si>
  <si>
    <t>12,5</t>
  </si>
  <si>
    <t>Высококачественная серая клеевая смесь LITOSTONE K98</t>
  </si>
  <si>
    <t>1 кг</t>
  </si>
  <si>
    <t>[52 / 1,2 /  6,34] +  2% Трансп</t>
  </si>
  <si>
    <t>12,6</t>
  </si>
  <si>
    <t>Шовная лента для искусственной травы</t>
  </si>
  <si>
    <t>1 м</t>
  </si>
  <si>
    <t>[77 / 1,2 /  6,34] +  2% Трансп</t>
  </si>
  <si>
    <t>13</t>
  </si>
  <si>
    <t>3.23-47-2</t>
  </si>
  <si>
    <t>Укладка полиэтиленовых дренажных труб диаметром 200 мм (местами и по периметру гольф-поля)</t>
  </si>
  <si>
    <t>100 м</t>
  </si>
  <si>
    <t>ТСН-2001.3 Доп. 59, Сб. 23, т. 47, поз. 2</t>
  </si>
  <si>
    <t>ТСН-2001.3-23. 23-47 (доп. 29)</t>
  </si>
  <si>
    <t>ТСН-2001.3-23-7</t>
  </si>
  <si>
    <t>13,1</t>
  </si>
  <si>
    <t>Дренажная труба 180/200 мм с геотекстильной тканью Wavin гофрированная или аналог</t>
  </si>
  <si>
    <t>[1 722 / 1,2 /  6,34] +  2% Трансп</t>
  </si>
  <si>
    <t>14</t>
  </si>
  <si>
    <t>3.23-36-1</t>
  </si>
  <si>
    <t>Установка круглых сборных колодцев из полимерных материалов высотой 1,5 м, диаметр 630 мм (применительно дренажный колодец)</t>
  </si>
  <si>
    <t>1  ШТ.</t>
  </si>
  <si>
    <t>ТСН-2001.3 Доп. 53, Сб. 23, т. 36, поз. 1</t>
  </si>
  <si>
    <t>ТСН-2001.3-23. 23-36 (доп. 14)</t>
  </si>
  <si>
    <t>ТСН-2001.3-23-3</t>
  </si>
  <si>
    <t>14,1</t>
  </si>
  <si>
    <t>1.17-8-23</t>
  </si>
  <si>
    <t>Переход (конус) от тела к телескопу сборного канализационного колодца, полипропиленовый, с резиновым уплотнением, диаметр 800х630 мм</t>
  </si>
  <si>
    <t>шт.</t>
  </si>
  <si>
    <t>ТСН-2001.1. Доп. 1-42. Р. 17, о. 8, поз. 23</t>
  </si>
  <si>
    <t>14,2</t>
  </si>
  <si>
    <t>1.17-8-17</t>
  </si>
  <si>
    <t>Кольцо тела сборного канализационного колодца, полипропиленовое, с ребрами жесткости, лестницей, диаметр 800 мм, высота 500 мм</t>
  </si>
  <si>
    <t>ТСН-2001.1. Доп. 1-42. Р. 17, о. 8, поз. 17</t>
  </si>
  <si>
    <t>14,3</t>
  </si>
  <si>
    <t>1.17-8-20</t>
  </si>
  <si>
    <t>Основание (кинета) сборного канализационного колодца, полипропиленовое, в сборе с дном, врезками (вход, выход), лотками, диаметр 800х250 мм</t>
  </si>
  <si>
    <t>ТСН-2001.1. Доп. 1-42. Р. 17, о. 8, поз. 20</t>
  </si>
  <si>
    <t>15</t>
  </si>
  <si>
    <t>6.68-13-1</t>
  </si>
  <si>
    <t>Механизированная погрузка строительного мусора в автомобили-самосвалы (377+6)</t>
  </si>
  <si>
    <t>1 Т</t>
  </si>
  <si>
    <t>ТСН-2001.6. Доп. 1-42. Сб. 68, т. 13, поз. 1</t>
  </si>
  <si>
    <t>ТСН-2001.6-68. 68-13</t>
  </si>
  <si>
    <t>ТСН-2001.6-68-5</t>
  </si>
  <si>
    <t>16</t>
  </si>
  <si>
    <t>15.2-43-10</t>
  </si>
  <si>
    <t>Перевозка строительного мусора на расстояние до 43 км автосамосвалами грузоподъемностью до 10 т</t>
  </si>
  <si>
    <t>ТСН-2001.15 Доп. 54, Сб. 2, т. 43, поз. 10</t>
  </si>
  <si>
    <t>Транспортные затраты</t>
  </si>
  <si>
    <t>ТСН-2001.15-1. Перевозка строительного мусора</t>
  </si>
  <si>
    <t>ТСН-2001.15-1-5</t>
  </si>
  <si>
    <t>17</t>
  </si>
  <si>
    <t>15.1-1106-02</t>
  </si>
  <si>
    <t>Отходы строительного щебня незагрязненные  практически неопасные (применительно 157,4куб.м *1,8т=283,32 т)</t>
  </si>
  <si>
    <t>ТСН-2001.15 Доп. 56, Сб. 1, т. 1106, поз. 2</t>
  </si>
  <si>
    <t>18</t>
  </si>
  <si>
    <t>6.51-6-1</t>
  </si>
  <si>
    <t>Погрузка грунта вручную в автомобили-самосвалы с выгрузкой</t>
  </si>
  <si>
    <t>ТСН-2001.6. Доп. 1-42. Сб. 51, т. 6, поз. 1</t>
  </si>
  <si>
    <t>ТСН-2001.6-51. 51-6</t>
  </si>
  <si>
    <t>ТСН-2001.6-51-4</t>
  </si>
  <si>
    <t>19</t>
  </si>
  <si>
    <t>15.2-46-1</t>
  </si>
  <si>
    <t>Перевозка грунтов растительного слоя и торфов на расстояние до 46 км автосамосвалами грузоподъемностью до 10 т</t>
  </si>
  <si>
    <t>ТСН-2001.15 Доп. 54, Сб. 2, т. 46, поз. 1</t>
  </si>
  <si>
    <t>ТСН-2001.15-1. Перевозка грунта</t>
  </si>
  <si>
    <t>ТСН-2001.15-1-3</t>
  </si>
  <si>
    <t>20</t>
  </si>
  <si>
    <t>15.1-1102-01</t>
  </si>
  <si>
    <t>Отходы грунта при проведении открытых земляных работ практически неопасные</t>
  </si>
  <si>
    <t>ТСН-2001.15 Доп. 56, Сб. 1, т. 1102, поз. 1</t>
  </si>
  <si>
    <t>ПЗ</t>
  </si>
  <si>
    <t>Прямые затраты</t>
  </si>
  <si>
    <t>СтМатОб</t>
  </si>
  <si>
    <t>Стоимость материальных ресурсов (всего)</t>
  </si>
  <si>
    <t>СтМатОбЗак</t>
  </si>
  <si>
    <t>Стоимость материалов и оборудования заказчика</t>
  </si>
  <si>
    <t>СтМатОбПод</t>
  </si>
  <si>
    <t>Стоимость материалов и оборудования подрядчика</t>
  </si>
  <si>
    <t>СтМат</t>
  </si>
  <si>
    <t>Стоимость материалов (всего)</t>
  </si>
  <si>
    <t>СтМатЗак</t>
  </si>
  <si>
    <t>Стоимость материалов заказчика</t>
  </si>
  <si>
    <t>СтМатПод</t>
  </si>
  <si>
    <t>Стоимость материалов подрядчика</t>
  </si>
  <si>
    <t>Оборуд</t>
  </si>
  <si>
    <t>Стоимость оборудования (всего)</t>
  </si>
  <si>
    <t>ОборудЗак</t>
  </si>
  <si>
    <t>Стоимость оборудования заказчика</t>
  </si>
  <si>
    <t>ОборудПод</t>
  </si>
  <si>
    <t>Стоимость оборудования подрядчика</t>
  </si>
  <si>
    <t>ЭММ</t>
  </si>
  <si>
    <t>Эксплуатация машин</t>
  </si>
  <si>
    <t>ЭММсНРиСП</t>
  </si>
  <si>
    <t>Эксплуатация машин по ТСН-2001.16</t>
  </si>
  <si>
    <t>ЗПМ</t>
  </si>
  <si>
    <t>ЗП машинистов</t>
  </si>
  <si>
    <t>ОЗП</t>
  </si>
  <si>
    <t>Основная ЗП рабочих</t>
  </si>
  <si>
    <t>ОЗПсНРиСП</t>
  </si>
  <si>
    <t>Основная ЗП рабочих по ТСН-2001.16</t>
  </si>
  <si>
    <t>Строит</t>
  </si>
  <si>
    <t>Строительные работы с НР и СП</t>
  </si>
  <si>
    <t>Монтаж</t>
  </si>
  <si>
    <t>Монтажные работы с НР и СП</t>
  </si>
  <si>
    <t>Прочие</t>
  </si>
  <si>
    <t>Прочие работы с НР и СП</t>
  </si>
  <si>
    <t>ПрочиеЗатр</t>
  </si>
  <si>
    <t>Прочие затраты по ТСН-2001.16</t>
  </si>
  <si>
    <t>ВозврМат</t>
  </si>
  <si>
    <t>Возврат материалов</t>
  </si>
  <si>
    <t>ТрудСтр</t>
  </si>
  <si>
    <t>Трудозатраты строителей</t>
  </si>
  <si>
    <t>ТрудМаш</t>
  </si>
  <si>
    <t>Трудозатраты машинистов</t>
  </si>
  <si>
    <t>ТранспМат</t>
  </si>
  <si>
    <t>Транспорт материалов</t>
  </si>
  <si>
    <t>Перевозка</t>
  </si>
  <si>
    <t>Перевозка грузов</t>
  </si>
  <si>
    <t>НР</t>
  </si>
  <si>
    <t>Накладные расходы</t>
  </si>
  <si>
    <t>СмПриб</t>
  </si>
  <si>
    <t>Сметная прибыль</t>
  </si>
  <si>
    <t>Всего</t>
  </si>
  <si>
    <t>Всего с НР и СП</t>
  </si>
  <si>
    <t>Ремонт покрытия из тратуарной плитки 320 кв.м</t>
  </si>
  <si>
    <t>21</t>
  </si>
  <si>
    <t>6.68-68-1</t>
  </si>
  <si>
    <t>Разборка тротуаров и дорожек из плит с отноской и укладкой в штабель (масса мусора 0,08*320=25,6 куб.м*2,4=61,44 т)</t>
  </si>
  <si>
    <t>ТСН-2001.6. Доп. 1-42. Сб. 68, т. 68, поз. 1</t>
  </si>
  <si>
    <t>ТСН-2001.6-68. 68-68 (доп. 2)</t>
  </si>
  <si>
    <t>ТСН-2001.6-68-28</t>
  </si>
  <si>
    <t>22</t>
  </si>
  <si>
    <t>23</t>
  </si>
  <si>
    <t>Разработка грунта с погрузкой на автомобили-самосвалы экскаваторами с ковшом вместимостью 0,5 м3 группа грунтов 1-3</t>
  </si>
  <si>
    <t>24</t>
  </si>
  <si>
    <t>Устройство подстилающих и выравнивающих слоев оснований из щебня</t>
  </si>
  <si>
    <t>24,1</t>
  </si>
  <si>
    <t>1.1-1-1519</t>
  </si>
  <si>
    <t>Щебень из естественного камня для строительных работ, марка 300-200, фракция 10-20 мм</t>
  </si>
  <si>
    <t>ТСН-2001.1. Доп. 1-42. Р. 1, о. 1, поз. 1519</t>
  </si>
  <si>
    <t>25</t>
  </si>
  <si>
    <t>25,1</t>
  </si>
  <si>
    <t>26</t>
  </si>
  <si>
    <t>3.1-29-1</t>
  </si>
  <si>
    <t>Уплотнение грунта пневматическими трамбовками группа грунтов 1,2</t>
  </si>
  <si>
    <t>100 м3 уплотненного грунта</t>
  </si>
  <si>
    <t>ТСН-2001.3. Доп. 1-42. Сб. 1, т. 29, поз. 1</t>
  </si>
  <si>
    <t>ТСН-2001.3-1. 1-29...1-33</t>
  </si>
  <si>
    <t>ТСН-2001.3-1-9</t>
  </si>
  <si>
    <t>27</t>
  </si>
  <si>
    <t>27,1</t>
  </si>
  <si>
    <t>1.1-1-1605</t>
  </si>
  <si>
    <t>Полотно иглопробивное для дорожного строительства, ширина полотна 2,45 м</t>
  </si>
  <si>
    <t>ТСН-2001.1 Доп. 55, Р. 1, о. 1, поз. 1605</t>
  </si>
  <si>
    <t>28</t>
  </si>
  <si>
    <t>3.47-69-2</t>
  </si>
  <si>
    <t>Устройство покрытий тротуаров из бетонной плитки типа "Брусчатка" кольцевым мощением</t>
  </si>
  <si>
    <t>ТСН-2001.3 Доп. 53, Сб. 47, т. 69, поз. 2</t>
  </si>
  <si>
    <t>ТСН-2001.3-47. 47-69</t>
  </si>
  <si>
    <t>ТСН-2001.3-47-14</t>
  </si>
  <si>
    <t>Поправка: ТСН-2001.3. Пр.2. п.3  Поправка: ТСН-2001.6. О.П. п.11</t>
  </si>
  <si>
    <t>28,1</t>
  </si>
  <si>
    <t>1.7-3-1</t>
  </si>
  <si>
    <t>Диск отрезной сегментированный с алмазным покрытием, для резки бетона, кирпича и минеральных материалов, диаметр 230 мм</t>
  </si>
  <si>
    <t>ТСН-2001.1 Доп. 51, Р. 7, о. 3, поз. 1</t>
  </si>
  <si>
    <t>28,2</t>
  </si>
  <si>
    <t>1.3-2-20</t>
  </si>
  <si>
    <t>Смеси сухие монтажно-кладочные цементно-песчаные, В15 (М200), F100, крупность заполнителя не более 3,5 мм</t>
  </si>
  <si>
    <t>ТСН-2001.1. Доп. 1-42. Р. 3, о. 2, поз. 20</t>
  </si>
  <si>
    <t>28,3</t>
  </si>
  <si>
    <t>Тротуарная плитка Классико, Грифельный, h=60 мм   BRAER</t>
  </si>
  <si>
    <t>[1 003 / 1,2 /  6,34] +  2% Трансп</t>
  </si>
  <si>
    <t>29</t>
  </si>
  <si>
    <t>Механизированная погрузка строительного мусора в автомобили-самосвалы</t>
  </si>
  <si>
    <t>30</t>
  </si>
  <si>
    <t>31</t>
  </si>
  <si>
    <t>15.1-1200-01</t>
  </si>
  <si>
    <t>Лом бортовых камней, брусчатки, булыжных камней и прочие отходы изделий из природного камня, практически неопасный</t>
  </si>
  <si>
    <t>ТСН-2001.15 Доп. 56, Сб. 1, т. 1200, поз. 1</t>
  </si>
  <si>
    <t>32</t>
  </si>
  <si>
    <t>33</t>
  </si>
  <si>
    <t>Замена борткамня 953 пог.м</t>
  </si>
  <si>
    <t>34</t>
  </si>
  <si>
    <t>6.68-53-1</t>
  </si>
  <si>
    <t>Разборка бортовых камней на бетонном основании</t>
  </si>
  <si>
    <t>ТСН-2001.6 Доп. 61, Сб. 68, т. 53, поз. 1</t>
  </si>
  <si>
    <t>35</t>
  </si>
  <si>
    <t>Разработка грунта вручную в траншеях глубиной до 2 м без креплений с откосами группа грунтов 1-3</t>
  </si>
  <si>
    <t>36</t>
  </si>
  <si>
    <t>3.27-26-6</t>
  </si>
  <si>
    <t>Установка бортовых камней бетонных газонных и садовых при других видах покрытий</t>
  </si>
  <si>
    <t>100 м бортового камня</t>
  </si>
  <si>
    <t>ТСН-2001.3 Доп. 53, Сб. 27, т. 26, поз. 6</t>
  </si>
  <si>
    <t>ТСН-2001.3-27. 27-26-5, 27-26-6 (доп. 29)</t>
  </si>
  <si>
    <t>ТСН-2001.3-27-40</t>
  </si>
  <si>
    <t>36,1</t>
  </si>
  <si>
    <t>36,2</t>
  </si>
  <si>
    <t>36,3</t>
  </si>
  <si>
    <t>1.1-1-1525</t>
  </si>
  <si>
    <t>Щебень из естественного камня для строительных работ, марка 600-400, фракция 20-40 мм</t>
  </si>
  <si>
    <t>ТСН-2001.1. Доп. 1-42. Р. 1, о. 1, поз. 1525</t>
  </si>
  <si>
    <t>37</t>
  </si>
  <si>
    <t>Тротуарный бордюр с шарнирным стыком , гладкий серый 500*200*80 мм</t>
  </si>
  <si>
    <t>Материалы</t>
  </si>
  <si>
    <t>Материалы, изделия и конструкции</t>
  </si>
  <si>
    <t>[120 / 1,2 /  6,34] +  2% Трансп</t>
  </si>
  <si>
    <t>38</t>
  </si>
  <si>
    <t>Механизированная погрузка строительного мусора в автомобили-самосвалы (масса мусора борта 98,35 т, расходные 0,953 т)</t>
  </si>
  <si>
    <t>39</t>
  </si>
  <si>
    <t>40</t>
  </si>
  <si>
    <t>41</t>
  </si>
  <si>
    <t>42</t>
  </si>
  <si>
    <t>Устройство декоративной гравийной отсыпки (мраморный щебень)</t>
  </si>
  <si>
    <t>43</t>
  </si>
  <si>
    <t>3.47-23-1</t>
  </si>
  <si>
    <t>1 м3</t>
  </si>
  <si>
    <t>ТСН-2001.3. Доп. 1-42. Сб. 47, т. 23, поз. 1</t>
  </si>
  <si>
    <t>ТСН-2001.3-47. 47-23...47-33</t>
  </si>
  <si>
    <t>ТСН-2001.3-47-4</t>
  </si>
  <si>
    <t>44</t>
  </si>
  <si>
    <t>44,1</t>
  </si>
  <si>
    <t>45</t>
  </si>
  <si>
    <t>3.11-28-1</t>
  </si>
  <si>
    <t>Устройство плинтусов деревянных (применительно пластиковый борт)</t>
  </si>
  <si>
    <t>100 м плинтусов</t>
  </si>
  <si>
    <t>ТСН-2001.3. Доп. 1-42. Сб. 11, т. 28, поз. 1</t>
  </si>
  <si>
    <t>ТСН-2001.3-11. 11-13...11-35 (доп. 11)</t>
  </si>
  <si>
    <t>ТСН-2001.3-11-4</t>
  </si>
  <si>
    <t>45,1</t>
  </si>
  <si>
    <t>1.1-1-132</t>
  </si>
  <si>
    <t>Гвозди строительные</t>
  </si>
  <si>
    <t>ТСН-2001.1. Доп. 1-42. Р. 1, о. 1, поз. 132</t>
  </si>
  <si>
    <t>45,2</t>
  </si>
  <si>
    <t>Пластиковый борт -кайма для отсыпки</t>
  </si>
  <si>
    <t>[216,6 / 1,2 /  6,34] +  2% Трансп</t>
  </si>
  <si>
    <t>45,3</t>
  </si>
  <si>
    <t>Платиковый штифт</t>
  </si>
  <si>
    <t>[20 / 1,2 /  6,34] +  2% Трансп</t>
  </si>
  <si>
    <t>46</t>
  </si>
  <si>
    <t>3.47-58-1</t>
  </si>
  <si>
    <t>Устройство верхнего покрытия из гранитных высевок при толщине слоя 5 см</t>
  </si>
  <si>
    <t>ТСН-2001.3. Доп. 1-42. Сб. 47, т. 58, поз. 1</t>
  </si>
  <si>
    <t>ТСН-2001.3-47. 47-57...47-59</t>
  </si>
  <si>
    <t>ТСН-2001.3-47-9</t>
  </si>
  <si>
    <t>46,1</t>
  </si>
  <si>
    <t>1.1-1-2388</t>
  </si>
  <si>
    <t>Отсев гранитный</t>
  </si>
  <si>
    <t>ТСН-2001.1 Доп. 44, Р. 1, о. 1, поз. 2388</t>
  </si>
  <si>
    <t>46,2</t>
  </si>
  <si>
    <t>Щебень мраморный "Уфалей" белый 20-40 фр.</t>
  </si>
  <si>
    <t>[12 894 / 1,2 /  6,34] +  2% Трансп</t>
  </si>
  <si>
    <t>47</t>
  </si>
  <si>
    <t>3.47-58-2</t>
  </si>
  <si>
    <t>Добавляется или исключается на каждый 1 см изменения толщины слоя гранитных высевок</t>
  </si>
  <si>
    <t>ТСН-2001.3. Доп. 1-42. Сб. 47, т. 58, поз. 2</t>
  </si>
  <si>
    <t>*5</t>
  </si>
  <si>
    <t>)*1,25*5</t>
  </si>
  <si>
    <t>)*1,15*5</t>
  </si>
  <si>
    <t>47,1</t>
  </si>
  <si>
    <t>47,2</t>
  </si>
  <si>
    <t>48</t>
  </si>
  <si>
    <t>49</t>
  </si>
  <si>
    <t>Замена покрытия из камней типа "Валун" 166 кв.м</t>
  </si>
  <si>
    <t>50</t>
  </si>
  <si>
    <t>6.57-1-1</t>
  </si>
  <si>
    <t>Разборка кирпичных столбиков под лаги (Применительно разборка каменного покрытия 35 куб.м) Состав работ: 1. Разборка основания.  2. Укладка на строительной площадке</t>
  </si>
  <si>
    <t>100 м2 основания</t>
  </si>
  <si>
    <t>ТСН-2001.6. Доп. 1-42. Сб. 57, т. 1, поз. 1</t>
  </si>
  <si>
    <t>ТСН-2001.6-57. 57-1...57-5</t>
  </si>
  <si>
    <t>ТСН-2001.6-57-1</t>
  </si>
  <si>
    <t>51</t>
  </si>
  <si>
    <t>Устройство корыта под газоны и цветники с планировкой дна в грунтах 1 и 2 группы Применительно грунт/песок (Масса мусора 16,6 куб.м*1,5 т=24,9 т)</t>
  </si>
  <si>
    <t>52</t>
  </si>
  <si>
    <t>52,1</t>
  </si>
  <si>
    <t>53</t>
  </si>
  <si>
    <t>53,1</t>
  </si>
  <si>
    <t>53,2</t>
  </si>
  <si>
    <t>53,3</t>
  </si>
  <si>
    <t>Пластиковый штифт</t>
  </si>
  <si>
    <t>54</t>
  </si>
  <si>
    <t>3.11-17-1</t>
  </si>
  <si>
    <t>Устройство покрытий из брусчатки по готовому подстилающему слою с заполнением швов песком (Применительно по составу работ)</t>
  </si>
  <si>
    <t>100 м2 покрытия</t>
  </si>
  <si>
    <t>ТСН-2001.3. Доп. 1-42. Сб. 11, т. 17, поз. 1</t>
  </si>
  <si>
    <t>54,1</t>
  </si>
  <si>
    <t>Валун "Лиана" (Фракция от 10 см до 40 см)</t>
  </si>
  <si>
    <t>ТСН-2001.3-8. 8-3...8-19</t>
  </si>
  <si>
    <t>ТСН-2001.3-8-3</t>
  </si>
  <si>
    <t>[19 200 / 1,2 /  6,34] +  2% Трансп</t>
  </si>
  <si>
    <t>55</t>
  </si>
  <si>
    <t>Механизированная погрузка строительного мусора в автомобили-самосвалы (масса мусора 35*2.264)</t>
  </si>
  <si>
    <t>56</t>
  </si>
  <si>
    <t>57</t>
  </si>
  <si>
    <t>58</t>
  </si>
  <si>
    <t>Демонтаж подпорной стены из бутового камня 118 кв.м (каменная кладка и ж/б стена)</t>
  </si>
  <si>
    <t>59</t>
  </si>
  <si>
    <t>6.53-2-3</t>
  </si>
  <si>
    <t>Разборка кладки стен из бутового камня</t>
  </si>
  <si>
    <t>10 м3 кладки</t>
  </si>
  <si>
    <t>ТСН-2001.6. Доп. 1-42. Сб. 53, т. 2, поз. 3</t>
  </si>
  <si>
    <t>*0,33</t>
  </si>
  <si>
    <t>ТСН-2001.6-53. 53-1, 53-2</t>
  </si>
  <si>
    <t>ТСН-2001.6-53-1</t>
  </si>
  <si>
    <t>60</t>
  </si>
  <si>
    <t>Разборка покрытий и оснований цементобетонных</t>
  </si>
  <si>
    <t>61</t>
  </si>
  <si>
    <t>Планировка земляного полотна средствами малой механизации (применительно удаление и расчистка земляного слоя вокруг подпорной стены )</t>
  </si>
  <si>
    <t>62</t>
  </si>
  <si>
    <t>Механизированная погрузка строительного мусора в автомобили-самосвалы ((120+12 куб.м)*2,264т=298,848 т)</t>
  </si>
  <si>
    <t>63</t>
  </si>
  <si>
    <t>64</t>
  </si>
  <si>
    <t>Ремонт бетонных конструкций</t>
  </si>
  <si>
    <t>65</t>
  </si>
  <si>
    <t>6.61-26-1</t>
  </si>
  <si>
    <t>Отбивка штукатурки по кирпичу и бетону стен, потолков площадью до 5 м2</t>
  </si>
  <si>
    <t>ТСН-2001.6. Доп. 1-42. Сб. 61, т. 26, поз. 1</t>
  </si>
  <si>
    <t>ТСН-2001.6-61. 61-26</t>
  </si>
  <si>
    <t>ТСН-2001.6-61-3</t>
  </si>
  <si>
    <t>66</t>
  </si>
  <si>
    <t>3.15-64-1</t>
  </si>
  <si>
    <t>Улучшенная штукатурка по сетке стен без устройства каркаса цементно-известковым раствором</t>
  </si>
  <si>
    <t>100 м2 оштукатуриваемой поверхности</t>
  </si>
  <si>
    <t>ТСН-2001.3. Доп. 1-42. Сб. 15, т. 64, поз. 1</t>
  </si>
  <si>
    <t>ТСН-2001.3-15. 15-51...15-81</t>
  </si>
  <si>
    <t>ТСН-2001.3-15-7</t>
  </si>
  <si>
    <t>66,1</t>
  </si>
  <si>
    <t>1.1-1-118</t>
  </si>
  <si>
    <t>Вода</t>
  </si>
  <si>
    <t>ТСН-2001.1. Доп. 1-42. Р. 1, о. 1, поз. 118</t>
  </si>
  <si>
    <t>66,2</t>
  </si>
  <si>
    <t>1.3-2-120</t>
  </si>
  <si>
    <t>ТСН-2001.1 Доп. 55, Р. 3, о. 2, поз. 120</t>
  </si>
  <si>
    <t>67</t>
  </si>
  <si>
    <t>3.15-99-8</t>
  </si>
  <si>
    <t>Улучшенная окраска колером масляным разбеленным стен по штукатурке (применительно огрунтовка и окраска в 2 слоя)</t>
  </si>
  <si>
    <t>100 м2 окрашиваемой поверхности</t>
  </si>
  <si>
    <t>ТСН-2001.3. Доп. 1-42. Сб. 15, т. 99, поз. 8</t>
  </si>
  <si>
    <t>*2</t>
  </si>
  <si>
    <t>*2)*1,25</t>
  </si>
  <si>
    <t>*2)*1,15</t>
  </si>
  <si>
    <t>ТСН-2001.3-15. 15-91-3, 15-91-4, 15-92...15-115</t>
  </si>
  <si>
    <t>ТСН-2001.3-15-9</t>
  </si>
  <si>
    <t>67,1</t>
  </si>
  <si>
    <t>1.1-1-1487</t>
  </si>
  <si>
    <t>Шпатлевка масляно-клеевая универсальная</t>
  </si>
  <si>
    <t>ТСН-2001.1. Доп. 1-42. Р. 1, о. 1, поз. 1487</t>
  </si>
  <si>
    <t>67,2</t>
  </si>
  <si>
    <t>1.1-1-732</t>
  </si>
  <si>
    <t>Олифа для окраски комбинированная "Оксоль"</t>
  </si>
  <si>
    <t>ТСН-2001.1. Доп. 1-42. Р. 1, о. 1, поз. 732</t>
  </si>
  <si>
    <t>67,3</t>
  </si>
  <si>
    <t>Tikkurila Novasil / Тиккурила Beckers Akrylatfarg / Беккерс Акрилатфарг универсальная фасадная краска или аналог</t>
  </si>
  <si>
    <t>тонна</t>
  </si>
  <si>
    <t>ТСН-2001.3-15. 15-82...15-90, 15-91-1, 15-91-2</t>
  </si>
  <si>
    <t>ТСН-2001.3-15-8</t>
  </si>
  <si>
    <t>[856 000 / 1,2 /  6,34] +  2% Трансп</t>
  </si>
  <si>
    <t>Система автополива</t>
  </si>
  <si>
    <t>68</t>
  </si>
  <si>
    <t>Разработка грунта с погрузкой на автомобили-самосвалы экскаваторами с ковшом вместимостью 0,5 м3 группа грунтов 1-3 (Расчет объема длина 1700 м, ширина 0,5 м, глубина 0,5 м =425 куб.м; 170 куб.м учтено в разделе "Замена газона рулонного" Итого: 255 куб.м</t>
  </si>
  <si>
    <t>69</t>
  </si>
  <si>
    <t>3.23-1-2</t>
  </si>
  <si>
    <t>Устройство основания под трубопроводы щебеночного (10 см)</t>
  </si>
  <si>
    <t>10 м3 основания</t>
  </si>
  <si>
    <t>ТСН-2001.3. Доп. 1-42. Сб. 23, т. 1, поз. 2</t>
  </si>
  <si>
    <t>ТСН-2001.3-23. 23-1...23-33</t>
  </si>
  <si>
    <t>ТСН-2001.3-23-1</t>
  </si>
  <si>
    <t>69,1</t>
  </si>
  <si>
    <t>1.1-1-1523</t>
  </si>
  <si>
    <t>Щебень из естественного камня для строительных работ, марка 600-400, фракция 5-10 мм</t>
  </si>
  <si>
    <t>ТСН-2001.1. Доп. 1-42. Р. 1, о. 1, поз. 1523</t>
  </si>
  <si>
    <t>70</t>
  </si>
  <si>
    <t>3.23-1-1</t>
  </si>
  <si>
    <t>Устройство основания под трубопроводы песчаного (20 см)</t>
  </si>
  <si>
    <t>ТСН-2001.3. Доп. 1-42. Сб. 23, т. 1, поз. 1</t>
  </si>
  <si>
    <t>70,1</t>
  </si>
  <si>
    <t>71</t>
  </si>
  <si>
    <t>3.22-71-1</t>
  </si>
  <si>
    <t>ТСН-2001.3 Доп. 55, Сб. 22, т. 71, поз. 1</t>
  </si>
  <si>
    <t>ТСН-2001.3-22. 22-71-1...22-72-9 (доп. 55)</t>
  </si>
  <si>
    <t>ТСН-2001.3-22-8</t>
  </si>
  <si>
    <t>72</t>
  </si>
  <si>
    <t>Перевозка грунтов растительного слоя и торфов на расстояние до 46 км автосамосвалами грузоподъемностью до 10 т (Масса 255 куб.м*1,5 т=382,5 т)</t>
  </si>
  <si>
    <t>73</t>
  </si>
  <si>
    <t>74</t>
  </si>
  <si>
    <t>74,1</t>
  </si>
  <si>
    <t>74,2</t>
  </si>
  <si>
    <t>[59 / 1,2 /  6,34]</t>
  </si>
  <si>
    <t>75</t>
  </si>
  <si>
    <t>3.17-7-1</t>
  </si>
  <si>
    <t>Установка баков металлических для воды массой до 0,5 т Применительно: 1. Установка баков на готовое основание  2. Присоединение баков к трубопроводам  3. Установка и регулировка поплавковых клапанов  4. Гидравлическое испытание баков</t>
  </si>
  <si>
    <t>1 бак</t>
  </si>
  <si>
    <t>ТСН-2001.3 Доп. 53, Сб. 17, т. 7, поз. 1</t>
  </si>
  <si>
    <t>ТСН-2001.3-17. 17-1-3...17-1-12, 17-2...17-10</t>
  </si>
  <si>
    <t>ТСН-2001.3-17-3</t>
  </si>
  <si>
    <t>76</t>
  </si>
  <si>
    <t>3.18-19-1</t>
  </si>
  <si>
    <t>Установка фильтров диаметром до 25 мм</t>
  </si>
  <si>
    <t>1 фильтр</t>
  </si>
  <si>
    <t>ТСН-2001.3 Доп. 56, Сб. 18, т. 19, поз. 1</t>
  </si>
  <si>
    <t>ТСН-2001.3-18. 18-1...18-21</t>
  </si>
  <si>
    <t>ТСН-2001.3-18-1</t>
  </si>
  <si>
    <t>77</t>
  </si>
  <si>
    <t>3.18-11-1</t>
  </si>
  <si>
    <t>Установка насосов центробежных с электродвигателем массой агрегата до 0,1 т (применительно насос и блок контроля)</t>
  </si>
  <si>
    <t>1 насос</t>
  </si>
  <si>
    <t>ТСН-2001.3. Доп. 1-42. Сб. 18, т. 11, поз. 1</t>
  </si>
  <si>
    <t>78</t>
  </si>
  <si>
    <t>4.8-240-1</t>
  </si>
  <si>
    <t>Пульты и шкафы управления, пульт управления напольный, высота до 1200 мм, глубина и ширина по фронту до 700х600 мм (применительно)</t>
  </si>
  <si>
    <t>ТСН-2001.4. Доп. 1-42. Сб. 8, т. 240, поз. 1</t>
  </si>
  <si>
    <t>Монтаж оборудования</t>
  </si>
  <si>
    <t>ТСН-2001.4-8. 8-188...8-272</t>
  </si>
  <si>
    <t>ТСН-2001.4-8-18</t>
  </si>
  <si>
    <t>79</t>
  </si>
  <si>
    <t>4.8-241-1</t>
  </si>
  <si>
    <t>Разводка по устройствам и подключение жил кабелей или проводов внешней сети к блокам зажимов и к зажимам аппаратов и приборов, установленных на устройствах, кабели и провода сечение до 10 мм2</t>
  </si>
  <si>
    <t>100 жил</t>
  </si>
  <si>
    <t>ТСН-2001.4. Доп. 1-42. Сб. 8, т. 241, поз. 1</t>
  </si>
  <si>
    <t>80</t>
  </si>
  <si>
    <t>4.8-218-1</t>
  </si>
  <si>
    <t>Выключатели установочные автоматические (автоматы) или неавтоматические, автомат одно-,двух-,трехполюсный, устанавливаемый на конструкции на стене или колонне на ток до 25 А</t>
  </si>
  <si>
    <t>ТСН-2001.4. Доп. 1-42. Сб. 8, т. 218, поз. 1</t>
  </si>
  <si>
    <t>Поправка: ТСН-2001.4-8. о3. р3. п.6  Наименование: При монтаже выключателей автоматических, выключателей нагрузки (рубильников) на рейку</t>
  </si>
  <si>
    <t>)*0,8</t>
  </si>
  <si>
    <t>Поправка: ТСН-2001.4-8. о3. р3. п.6</t>
  </si>
  <si>
    <t>81</t>
  </si>
  <si>
    <t>4.8-300-1</t>
  </si>
  <si>
    <t>DIN-рейка</t>
  </si>
  <si>
    <t>ТСН-2001.4. Доп. 1-42. Сб. 8, т. 300, поз. 1</t>
  </si>
  <si>
    <t>ТСН-2001.4-8. 8-89-23, 8-299…8-300 (доп. 28)</t>
  </si>
  <si>
    <t>ТСН-2001.4-8-33</t>
  </si>
  <si>
    <t>82</t>
  </si>
  <si>
    <t>4.8-288-2</t>
  </si>
  <si>
    <t>Трубы гофрированные поливинилхлоридные наружным диаметром 20 мм открыто по стенам и потолкам с установкой соединительных коробок</t>
  </si>
  <si>
    <t>ТСН-2001.4 Доп. 54, Сб. 8, т. 288, поз. 2</t>
  </si>
  <si>
    <t>ТСН-2001.4-8. 8-288 (доп. 19)</t>
  </si>
  <si>
    <t>ТСН-2001.4-8-27</t>
  </si>
  <si>
    <t>83</t>
  </si>
  <si>
    <t>4.8-175-2</t>
  </si>
  <si>
    <t>Затягивание проводов и кабелей в проложенные трубы и металлические рукава, провод первый одножильный или многожильный в общей оплетке, суммарное сечение до 6 мм2</t>
  </si>
  <si>
    <t>ТСН-2001.4. Доп. 1-42. Сб. 8, т. 175, поз. 2</t>
  </si>
  <si>
    <t>ТСН-2001.4-8. 8-155...8-184</t>
  </si>
  <si>
    <t>ТСН-2001.4-8-16</t>
  </si>
  <si>
    <t>84</t>
  </si>
  <si>
    <t>Устройство фундаментных плит железобетонных плоских (для модульного объекта)</t>
  </si>
  <si>
    <t>84,1</t>
  </si>
  <si>
    <t>1.3-4-9</t>
  </si>
  <si>
    <t>Арматурные заготовки (стержни, хомуты и т.п.), не собранные в каркасы или сетки, углеродистая сталь общего назначения и арматурная сталь гладкая, класс А-I, диаметр 36-50 мм</t>
  </si>
  <si>
    <t>ТСН-2001.1. Доп. 1-42. Р. 3, о. 4, поз. 9</t>
  </si>
  <si>
    <t>84,2</t>
  </si>
  <si>
    <t>1.3-1-39</t>
  </si>
  <si>
    <t>Смеси бетонные, БСГ, тяжелого бетона на гранитном щебне, класс прочности В20 (М250); П3, фракция 5-20, F100, W2</t>
  </si>
  <si>
    <t>ТСН-2001.1. Доп. 1-42. Р. 3, о. 1, поз. 39</t>
  </si>
  <si>
    <t>Новый подраздел</t>
  </si>
  <si>
    <t>Оборудование для автополива</t>
  </si>
  <si>
    <t>85</t>
  </si>
  <si>
    <t>Оборудование для системы автополива (по КП от 3-х поставщиков, конъюнктурный анализ выбор наименьшей Н(М)ЦД) в соответствии со спецификацией проекта</t>
  </si>
  <si>
    <t>[2 060 178 / 1,2 /  6,34] +  2% Трансп</t>
  </si>
  <si>
    <t>86</t>
  </si>
  <si>
    <t>Модульная конструкция для бака и автоматики системы полива (4*2,5 м; утепленная сэндвич-панели) КП от 3-х поставщиков, конъюнктурный анализ, выбор наименьшей Н(М)ЦД</t>
  </si>
  <si>
    <t>[980 000 / 1,2 /  6,34]</t>
  </si>
  <si>
    <t>Ремонт водоема с обустройством и корректировкой береговой полосы</t>
  </si>
  <si>
    <t>87</t>
  </si>
  <si>
    <t>14.16-10-4</t>
  </si>
  <si>
    <t>Слив воды из чаши фонтана, объем воды в чашах фонтана свыше 30 до 100 м3 (применительно)</t>
  </si>
  <si>
    <t>ТСН-2001.14. Доп. 1-42. Сб. 16, т. 10, поз. 4</t>
  </si>
  <si>
    <t>Техническое обслуживание и ремонт оборудования городского хозяйства</t>
  </si>
  <si>
    <t>ТСН-2001.14-16. 16-10...16-14</t>
  </si>
  <si>
    <t>ТСН-2001.14-16-6</t>
  </si>
  <si>
    <t>88</t>
  </si>
  <si>
    <t>14.16-12-5</t>
  </si>
  <si>
    <t>Заполнение водой чаши фонтана, объем воды в чашах фонтана свыше 100 м3 (применительно)</t>
  </si>
  <si>
    <t>ТСН-2001.14. Доп. 1-42. Сб. 16, т. 12, поз. 5</t>
  </si>
  <si>
    <t>88,1</t>
  </si>
  <si>
    <t>89</t>
  </si>
  <si>
    <t>Разборка кладки стен из бутового камня (Применительно каменная кладка берега 108,6 пог.м периметр, ширина 1,5 м, глубина 1,3 м=211,77куб.м; Кф. к ЗП=0,33 без сохраниения МР)</t>
  </si>
  <si>
    <t>90</t>
  </si>
  <si>
    <t>6.52-1-1</t>
  </si>
  <si>
    <t>Разборка фундаментов бутовых (Применительно дно 180 кв.м *1 м= 180 куб.м)</t>
  </si>
  <si>
    <t>ТСН-2001.6. Доп. 1-42. Сб. 52, т. 1, поз. 1</t>
  </si>
  <si>
    <t>ТСН-2001.6-52. 52-1</t>
  </si>
  <si>
    <t>ТСН-2001.6-52-1</t>
  </si>
  <si>
    <t>91</t>
  </si>
  <si>
    <t>)*1,25*0,75</t>
  </si>
  <si>
    <t>)*1,15*0,75</t>
  </si>
  <si>
    <t>92</t>
  </si>
  <si>
    <t>)*1,15*0,25</t>
  </si>
  <si>
    <t>93</t>
  </si>
  <si>
    <t>93,1</t>
  </si>
  <si>
    <t>93,2</t>
  </si>
  <si>
    <t>Мембрана для водоемов ЭПДМ ПондЛайнер, черная, в рулонах (толщина 1.02 мм) Carlisle</t>
  </si>
  <si>
    <t>[1 275 / 1,2 /  6,34] +  2% Трансп</t>
  </si>
  <si>
    <t>93,3</t>
  </si>
  <si>
    <t>Лента для швов ЭПДМ, в рулонах (размер: 7.62см х 30.48м ) Carlisle</t>
  </si>
  <si>
    <t>[20 373 / 1,2 /  6,34] +  2% Трансп</t>
  </si>
  <si>
    <t>93,4</t>
  </si>
  <si>
    <t>Праймер ЭПДМ (в банках по 3.8 литра) Carlisle</t>
  </si>
  <si>
    <t>[7 280 / 1,2 /  6,34] +  2% Трансп</t>
  </si>
  <si>
    <t>94</t>
  </si>
  <si>
    <t>94,1</t>
  </si>
  <si>
    <t>1.1-1-1872</t>
  </si>
  <si>
    <t>Полотно дренажное, полиэтиленовое, профилированное, с фильтрующим текстилем (применительно полотно для водоема)</t>
  </si>
  <si>
    <t>ТСН-2001.1 Доп. 58, Р. 1, о. 1, поз. 1872</t>
  </si>
  <si>
    <t>95</t>
  </si>
  <si>
    <t>3.47-55-1</t>
  </si>
  <si>
    <t>Стабилизация откосов геосинтетической сеткой. Применительно сетка для береговой линии: 1. Подноска сетки  2. Заготовка элементов крепления сетки  3. Раскладка геосинтетической сетки по откосам с креплением</t>
  </si>
  <si>
    <t>ТСН-2001.3 Доп. 55, Сб. 47, т. 55, поз. 1</t>
  </si>
  <si>
    <t>ТСН-2001.3-47. 47-52...47-56</t>
  </si>
  <si>
    <t>ТСН-2001.3-47-8</t>
  </si>
  <si>
    <t>95,1</t>
  </si>
  <si>
    <t>Геомат противоэрозионный для укрепления склонов</t>
  </si>
  <si>
    <t>[370 / 1,2 /  6,34] +  2% Трансп</t>
  </si>
  <si>
    <t>96</t>
  </si>
  <si>
    <t>3.42-21-1</t>
  </si>
  <si>
    <t>100 м3</t>
  </si>
  <si>
    <t>ТСН-2001.3 Доп. 47, Сб. 42, т. 21, поз. 1</t>
  </si>
  <si>
    <t>ТСН-2001.3-42. 42-21 (доп. 34)</t>
  </si>
  <si>
    <t>ТСН-2001.3-42-2</t>
  </si>
  <si>
    <t>96,1</t>
  </si>
  <si>
    <t>1.1-1-1555</t>
  </si>
  <si>
    <t>Щебень из естественного камня для дорожных работ, марка 1200 - 800, фракция 20 - 40 мм</t>
  </si>
  <si>
    <t>ТСН-2001.1. Доп. 1-42. Р. 1, о. 1, поз. 1555</t>
  </si>
  <si>
    <t>96,2</t>
  </si>
  <si>
    <t>96,3</t>
  </si>
  <si>
    <t>Камень природный Гранит</t>
  </si>
  <si>
    <t>[10 000 / 1,2 /  6,34] +  2% Трансп</t>
  </si>
  <si>
    <t>97</t>
  </si>
  <si>
    <t>3.42-1-1</t>
  </si>
  <si>
    <t>Устройство гравийно-грунтовой отсыпки при берегоукрепительных работах (применительно подстилающие слои берега) 120 пог.м*1,5 м ширина*0,3 м глубина = 54 куб.м</t>
  </si>
  <si>
    <t>ТСН-2001.3 Доп. 47, Сб. 42, т. 1, поз. 1</t>
  </si>
  <si>
    <t>ТСН-2001.3-42. 42-1...42-20</t>
  </si>
  <si>
    <t>ТСН-2001.3-42-1</t>
  </si>
  <si>
    <t>97,1</t>
  </si>
  <si>
    <t>98</t>
  </si>
  <si>
    <t>3.1-43-1</t>
  </si>
  <si>
    <t>Устройство каменной наброски или призмы (применительно береговая линия камень "Казбек")</t>
  </si>
  <si>
    <t>100 м3 камня в деле</t>
  </si>
  <si>
    <t>ТСН-2001.3. Доп. 1-42. Сб. 1, т. 43, поз. 1</t>
  </si>
  <si>
    <t>ТСН-2001.3-1. 1-39...1-48</t>
  </si>
  <si>
    <t>ТСН-2001.3-1-14</t>
  </si>
  <si>
    <t>98,1</t>
  </si>
  <si>
    <t>Валун гранитный "Казбек" КП от 3-х поставщиков (15 т*2,4 м.куб.=36 куб.м)</t>
  </si>
  <si>
    <t>[11 000 / 1,2 /  6,34] +  2% Трансп</t>
  </si>
  <si>
    <t>99</t>
  </si>
  <si>
    <t>100</t>
  </si>
  <si>
    <t>Перевозка строительного мусора на расстояние до 43 км автосамосвалами грузоподъемностью до 10 т (Масса мусора (211,77 куб.+180 куб.м)*2,4 т= 508,248 т+451,2 т=959,448 т</t>
  </si>
  <si>
    <t>101</t>
  </si>
  <si>
    <t>Перевозка грунтов растительного слоя и торфов на расстояние до 46 км автосамосвалами грузоподъемностью до 10 т (масса мусора 171,45 куб.м влажный грунт, ил*1,6 т=274 куб.м)</t>
  </si>
  <si>
    <t>102</t>
  </si>
  <si>
    <t>103</t>
  </si>
  <si>
    <t>Отходы строительного щебня незагрязненные  практически неопасные (применительно)</t>
  </si>
  <si>
    <t>Водный каскад (с ремонтом свода)</t>
  </si>
  <si>
    <t>104</t>
  </si>
  <si>
    <t>Разборка кладки стен из бутового камня (Применительно разборка камня каскада)</t>
  </si>
  <si>
    <t>105</t>
  </si>
  <si>
    <t>3.8-17-1</t>
  </si>
  <si>
    <t>Кладка из крупных известняковых блоков массой до 0,5 т (применительно восстановление и укрепление кладки каскада)</t>
  </si>
  <si>
    <t>1 м3 кладки блоков</t>
  </si>
  <si>
    <t>ТСН-2001.3. Доп. 1-42. Сб. 8, т. 17, поз. 1</t>
  </si>
  <si>
    <t>105,1</t>
  </si>
  <si>
    <t>Камень природный Валун (в ассортименте)</t>
  </si>
  <si>
    <t>105,2</t>
  </si>
  <si>
    <t>1.3-2-13</t>
  </si>
  <si>
    <t>Растворы цементно-известковые, марка 75</t>
  </si>
  <si>
    <t>ТСН-2001.1. Доп. 1-42. Р. 3, о. 2, поз. 13</t>
  </si>
  <si>
    <t>106</t>
  </si>
  <si>
    <t>6.53-41-1</t>
  </si>
  <si>
    <t>ТСН-2001.6 Доп. 59, Сб. 53, т. 41, поз. 1</t>
  </si>
  <si>
    <t>ТСН-2001.6-53. 53-40, 53-41 (доп. 40)</t>
  </si>
  <si>
    <t>ТСН-2001.6-53-15</t>
  </si>
  <si>
    <t>106,1</t>
  </si>
  <si>
    <t>1.7-11-7</t>
  </si>
  <si>
    <t>Инъектор линейный для  инъектирования полиуретановых составов в швы, трещины или стыки строительных конструкций, диаметр 12 мм</t>
  </si>
  <si>
    <t>ТСН-2001.1 Доп. 49, Р. 7, о. 11, поз. 7</t>
  </si>
  <si>
    <t>106,2</t>
  </si>
  <si>
    <t>1.3-2-248</t>
  </si>
  <si>
    <t>ТСН-2001.1 Доп. 49, Р. 3, о. 2, поз. 248</t>
  </si>
  <si>
    <t>107</t>
  </si>
  <si>
    <t>Механизированная погрузка строительного мусора в автомобили-самосвалы (Масса мусора 33,75 куб.м *2,4 т=81 т)</t>
  </si>
  <si>
    <t>108</t>
  </si>
  <si>
    <t>109</t>
  </si>
  <si>
    <t>Отходы строительного щебня незагрязненные  практически неопасные</t>
  </si>
  <si>
    <t>Посадка растений, дренажная система</t>
  </si>
  <si>
    <t>Дренажная система</t>
  </si>
  <si>
    <t>110</t>
  </si>
  <si>
    <t>Укладка полиэтиленовых дренажных труб диаметром 200 мм (Щебень фр. 10-20 учтен 18 куб.м)</t>
  </si>
  <si>
    <t>110,1</t>
  </si>
  <si>
    <t>Дренажная труба жесткая гофрированная с частичной перфорацией SN 8 110 мм</t>
  </si>
  <si>
    <t>[330 / 1,2 /  6,34] +  2% Трансп</t>
  </si>
  <si>
    <t>111</t>
  </si>
  <si>
    <t>Устройство подстилающих и выравнивающих слоев оснований из песка (Применительно песок для фильтрации)</t>
  </si>
  <si>
    <t>111,1</t>
  </si>
  <si>
    <t>111,2</t>
  </si>
  <si>
    <t>2.1-5-48</t>
  </si>
  <si>
    <t>Автогрейдеры, мощность 99-147 кВт (130-200 л.с.)</t>
  </si>
  <si>
    <t>маш.-ч.</t>
  </si>
  <si>
    <t>ТСН-2001.2. Доп. 1-42, п. 1-5-48 (056003)</t>
  </si>
  <si>
    <t>111,3</t>
  </si>
  <si>
    <t>2.1-5-7</t>
  </si>
  <si>
    <t>Катки дорожные самоходные на пневмоколесном ходу, масса до 16 т</t>
  </si>
  <si>
    <t>ТСН-2001.2. Доп. 55. п.1-5-7 (050301)</t>
  </si>
  <si>
    <t>111,4</t>
  </si>
  <si>
    <t>2.1-5-18</t>
  </si>
  <si>
    <t>Машины поливомоечные, емкость цистерны до 8 м3</t>
  </si>
  <si>
    <t>ТСН-2001.2. Доп. 56. п.1-5-18 (050902)</t>
  </si>
  <si>
    <t>111,5</t>
  </si>
  <si>
    <t>2.1-5-15</t>
  </si>
  <si>
    <t>Катки прицепные пневмоколесные, масса до 50 т</t>
  </si>
  <si>
    <t>ТСН-2001.2. Доп. 1-42, п. 1-5-15 (050703)</t>
  </si>
  <si>
    <t>112</t>
  </si>
  <si>
    <t>Устройство подстилающих и выравнивающих слоев оснований из щебня (Применительно для дренажного слоя)</t>
  </si>
  <si>
    <t>112,1</t>
  </si>
  <si>
    <t>1.1-1-1548</t>
  </si>
  <si>
    <t>Щебень из естественного камня для дорожных работ, марка 600 - 400, фракция 5-10 мм</t>
  </si>
  <si>
    <t>ТСН-2001.1. Доп. 1-42. Р. 1, о. 1, поз. 1548</t>
  </si>
  <si>
    <t>112,2</t>
  </si>
  <si>
    <t>1.1-1-1550</t>
  </si>
  <si>
    <t>Щебень из естественного камня для дорожных работ, марка 600 - 400, фракция 20-40 мм</t>
  </si>
  <si>
    <t>ТСН-2001.1. Доп. 1-42. Р. 1, о. 1, поз. 1550</t>
  </si>
  <si>
    <t>112,3</t>
  </si>
  <si>
    <t>112,4</t>
  </si>
  <si>
    <t>112,5</t>
  </si>
  <si>
    <t>2.1-5-3</t>
  </si>
  <si>
    <t>Катки самоходные вибрационные, масса до 14 т</t>
  </si>
  <si>
    <t>ТСН-2001.2. Доп. 55. п.1-5-3 (050103)</t>
  </si>
  <si>
    <t>112,6</t>
  </si>
  <si>
    <t>2.1-1-43</t>
  </si>
  <si>
    <t>Бульдозеры гусеничные, мощность до 59 кВт (80 л.с.)</t>
  </si>
  <si>
    <t>ТСН-2001.2. Доп. 59. п.1-1-43 (012102)</t>
  </si>
  <si>
    <t>112,7</t>
  </si>
  <si>
    <t>113</t>
  </si>
  <si>
    <t>3.23-36-3</t>
  </si>
  <si>
    <t>Установка круглых сборных колодцев из полимерных материалов высотой 1,5 м, диаметр 1000 мм</t>
  </si>
  <si>
    <t>ТСН-2001.3 Доп. 53, Сб. 23, т. 36, поз. 3</t>
  </si>
  <si>
    <t>113,1</t>
  </si>
  <si>
    <t>Основание (кинета) сборного канализационного колодца, полипропиленовое, в сборе с дном, врезками (вход, выход), лотками, диаметр 800х250 мм (Применительно колодец и люк)</t>
  </si>
  <si>
    <t>113,2</t>
  </si>
  <si>
    <t>113,3</t>
  </si>
  <si>
    <t>Оборудование системы фильтрации</t>
  </si>
  <si>
    <t>114</t>
  </si>
  <si>
    <t>Pondtech BIO SYSTEM 3 Проточный фильтр для пруда</t>
  </si>
  <si>
    <t>[342 000 / 1,2 /  6,34] +  2% Трансп</t>
  </si>
  <si>
    <t>115</t>
  </si>
  <si>
    <t>Насос Messner Eco-X2 10000 насос для пруда</t>
  </si>
  <si>
    <t>[65 130 / 1,2 /  6,35] +  2% Трансп</t>
  </si>
  <si>
    <t>116</t>
  </si>
  <si>
    <t>Скиммер для пруда ProfiSkim 100 OASE</t>
  </si>
  <si>
    <t>1 шт.</t>
  </si>
  <si>
    <t>[69 478,2 / 1,2 /  6,34] +  2% Трансп</t>
  </si>
  <si>
    <t>117</t>
  </si>
  <si>
    <t>Шланг спиральный 38 мм (1 1/2")</t>
  </si>
  <si>
    <t>[139 / 1,2 /  6,34] +  2% Трансп</t>
  </si>
  <si>
    <t>118</t>
  </si>
  <si>
    <t>Шланг спиральный 63 мм (2 1/2")</t>
  </si>
  <si>
    <t>[503 / 1,2 /  6,34] +  2% Трансп</t>
  </si>
  <si>
    <t>119</t>
  </si>
  <si>
    <t>Распределитель потока CST-02F регулируемый PONDTECH</t>
  </si>
  <si>
    <t>[1 365 / 1,2 /  6,34] +  2% Трансп</t>
  </si>
  <si>
    <t>120</t>
  </si>
  <si>
    <t>Защитная сетка AquaMax Eco 2 " OASE</t>
  </si>
  <si>
    <t>[3 855 / 1,2 /  6,34] +  2% Трансп</t>
  </si>
  <si>
    <t>121</t>
  </si>
  <si>
    <t>Розетки для наружного монтажа IP 54</t>
  </si>
  <si>
    <t>[394 / 1,2 /  6,34] +  2% Трансп</t>
  </si>
  <si>
    <t>122</t>
  </si>
  <si>
    <t>1.23-18-403</t>
  </si>
  <si>
    <t>Кабель силовой с жилами из алюминиевого сплава, марка АсВВГ-Пнг(А)-LS, напряжение 660 В, число жил и сечение 3х4 мм2</t>
  </si>
  <si>
    <t>км</t>
  </si>
  <si>
    <t>ТСН-2001.1 Доп. 51, Р. 23, о. 18, поз. 403</t>
  </si>
  <si>
    <t>Материалы монтажные</t>
  </si>
  <si>
    <t>ТСН-2001.1 Материалы монтажные</t>
  </si>
  <si>
    <t>ТСН-2001.1-2</t>
  </si>
  <si>
    <t>123</t>
  </si>
  <si>
    <t>1.21-5-1031</t>
  </si>
  <si>
    <t>Выключатель автоматический дифференциального тока, двухполюсный, тип DS202 АС-С, номинальный ток 6-25 А, дифференциальный ток 30 мА</t>
  </si>
  <si>
    <t>ТСН-2001.1 Доп. 55, Р. 21, о. 5, поз. 1031</t>
  </si>
  <si>
    <t>124</t>
  </si>
  <si>
    <t>Средство для подготовки воды OptiLake</t>
  </si>
  <si>
    <t>[1 152 / 1,2 /  6,34] +  2% Трансп</t>
  </si>
  <si>
    <t>125</t>
  </si>
  <si>
    <t>Biokick CWS 25 кг Стартовые бактерии</t>
  </si>
  <si>
    <t>[4 958 / 1,2 /  6,34] +  2% Трансп</t>
  </si>
  <si>
    <t>126</t>
  </si>
  <si>
    <t>127</t>
  </si>
  <si>
    <t>Расходные материалы, фитинги, обратный клапан, контроллер, муфты)</t>
  </si>
  <si>
    <t>КОМПЛ</t>
  </si>
  <si>
    <t>[15 000 / 1,2 /  6,34] +  2% Трансп</t>
  </si>
  <si>
    <t>Водные и прибрежные растения (контейнерные)</t>
  </si>
  <si>
    <t>128</t>
  </si>
  <si>
    <t>3.47-7-2</t>
  </si>
  <si>
    <t>Посадка деревьев и кустарников с комом земли, диаметром 0,3 м и высотой 0,3 м</t>
  </si>
  <si>
    <t>10 деревьев или кустарников</t>
  </si>
  <si>
    <t>ТСН-2001.3 Доп. 56, Сб. 47, т. 7, поз. 2</t>
  </si>
  <si>
    <t>128,1</t>
  </si>
  <si>
    <t>Камыш озерный 'Albescens'</t>
  </si>
  <si>
    <t>128,2</t>
  </si>
  <si>
    <t>Ирис болотный</t>
  </si>
  <si>
    <t>[349 / 1,2 /  6,34] +  2% Трансп</t>
  </si>
  <si>
    <t>128,3</t>
  </si>
  <si>
    <t>Дербенник  иволнистый</t>
  </si>
  <si>
    <t>[515 / 1,2 /  6,34] +  2% Трансп</t>
  </si>
  <si>
    <t>128,4</t>
  </si>
  <si>
    <t>Цицания Ц12</t>
  </si>
  <si>
    <t>[2 500 / 1,2 /  6,34] +  2% Трансп</t>
  </si>
  <si>
    <t>128,5</t>
  </si>
  <si>
    <t>Осока береговая С5</t>
  </si>
  <si>
    <t>128,6</t>
  </si>
  <si>
    <t>Рогоз узколистый</t>
  </si>
  <si>
    <t>Замена газона (рулонный) 1669 кв.м (корыто глубиной 20 см)</t>
  </si>
  <si>
    <t>129</t>
  </si>
  <si>
    <t>130</t>
  </si>
  <si>
    <t>Устройство корыта под газоны и цветники с планировкой дна в грунтах 1 и 2 группы</t>
  </si>
  <si>
    <t>131</t>
  </si>
  <si>
    <t>3.47-26-3</t>
  </si>
  <si>
    <t>Подготовка почвы для устройства партерного и обыкновенного газонов с внесением растительной земли слоем 15 см механизированным способом</t>
  </si>
  <si>
    <t>ТСН-2001.3 Доп. 56, Сб. 47, т. 26, поз. 3</t>
  </si>
  <si>
    <t>131,1</t>
  </si>
  <si>
    <t>1.4-6-17</t>
  </si>
  <si>
    <t>Грунт почвенный, готовый к применению, для посадки деревьев и кустарников, устройства газонов и цветников</t>
  </si>
  <si>
    <t>ТСН-2001.1 Доп. 55, Р. 4, о. 6, поз. 17</t>
  </si>
  <si>
    <t>132</t>
  </si>
  <si>
    <t>3.47-26-4</t>
  </si>
  <si>
    <t>Подготовка почвы для устройства партерного и обыкновенного газонов с внесением растительной земли слоем 15 см вручную</t>
  </si>
  <si>
    <t>ТСН-2001.3. Доп. 1-42. Сб. 47, т. 26, поз. 4</t>
  </si>
  <si>
    <t>132,1</t>
  </si>
  <si>
    <t>133</t>
  </si>
  <si>
    <t>3.47-26-5</t>
  </si>
  <si>
    <t>Подготовка почвы для устройства партерного и обыкновенного газонов на каждые 5 см изменения толщины слоя добавлять или исключать</t>
  </si>
  <si>
    <t>ТСН-2001.3. Доп. 1-42. Сб. 47, т. 26, поз. 5</t>
  </si>
  <si>
    <t>133,1</t>
  </si>
  <si>
    <t>134</t>
  </si>
  <si>
    <t>3.47-61-1</t>
  </si>
  <si>
    <t>Сплошная укладка готового газона в рулонах на горизонтальных поверхностях или откосах с уклоном на круче 1:2</t>
  </si>
  <si>
    <t>ТСН-2001.3. Доп. 1-42. Сб. 47, т. 61, поз. 1</t>
  </si>
  <si>
    <t>ТСН-2001.3-47. 47-61...47-66</t>
  </si>
  <si>
    <t>ТСН-2001.3-47-11</t>
  </si>
  <si>
    <t>135</t>
  </si>
  <si>
    <t>Газон рулонный "Спортивный"</t>
  </si>
  <si>
    <t>[230 / 1,2 /  6,34] +  2% Трансп</t>
  </si>
  <si>
    <t>136</t>
  </si>
  <si>
    <t>3.47-64-1</t>
  </si>
  <si>
    <t>Улучшение почвы газонов внесением в почву биоорганических удобрений (компостов)</t>
  </si>
  <si>
    <t>ТСН-2001.3 Доп. 56, Сб. 47, т. 64, поз. 1</t>
  </si>
  <si>
    <t>136,1</t>
  </si>
  <si>
    <t>1.4-4-19</t>
  </si>
  <si>
    <t>Удобрения комплексные минеральные для газонов</t>
  </si>
  <si>
    <t>ТСН-2001.1. Доп. 1-42. Р. 4, о. 4, поз. 19</t>
  </si>
  <si>
    <t>137</t>
  </si>
  <si>
    <t>15.2-3-1</t>
  </si>
  <si>
    <t>Перевозка грунтов растительного слоя и торфов на расстояние до 3 км автосамосвалами грузоподъемностью до 10 т</t>
  </si>
  <si>
    <t>ТСН-2001.15 Доп. 54, Сб. 2, т. 3, поз. 1</t>
  </si>
  <si>
    <t>138</t>
  </si>
  <si>
    <t>Посадка деревьев и кустарников</t>
  </si>
  <si>
    <t>139</t>
  </si>
  <si>
    <t>3.47-6-10</t>
  </si>
  <si>
    <t>Подготовка нестандартных посадочных мест для деревьев и кустарников с комом земли вручную с добавлением растительной земли до 100%</t>
  </si>
  <si>
    <t>10 м3 ям</t>
  </si>
  <si>
    <t>ТСН-2001.3. Доп. 1-42. Сб. 47, т. 6, поз. 10</t>
  </si>
  <si>
    <t>139,1</t>
  </si>
  <si>
    <t>140</t>
  </si>
  <si>
    <t>3.47-7-4</t>
  </si>
  <si>
    <t>Посадка деревьев и кустарников с комом земли, диаметром 0,8 м и высотой 0,6 м</t>
  </si>
  <si>
    <t>ТСН-2001.3 Доп. 56, Сб. 47, т. 7, поз. 4</t>
  </si>
  <si>
    <t>141</t>
  </si>
  <si>
    <t>3.47-7-3</t>
  </si>
  <si>
    <t>Посадка деревьев и кустарников с комом земли, диаметром 0,5 м и высотой 0,4 м</t>
  </si>
  <si>
    <t>ТСН-2001.3 Доп. 56, Сб. 47, т. 7, поз. 3</t>
  </si>
  <si>
    <t>142</t>
  </si>
  <si>
    <t>3.47-21-1</t>
  </si>
  <si>
    <t>Внесение удобрений при посадке деревьев и кустарников органических для стандартных саженцев</t>
  </si>
  <si>
    <t>ТСН-2001.3. Доп. 1-42. Сб. 47, т. 21, поз. 1</t>
  </si>
  <si>
    <t>ТСН-2001.3-47. 47-13...47-22</t>
  </si>
  <si>
    <t>ТСН-2001.3-47-3</t>
  </si>
  <si>
    <t>142,1</t>
  </si>
  <si>
    <t>1.4-4-18</t>
  </si>
  <si>
    <t>Удобрения органические (средняя стоимость)</t>
  </si>
  <si>
    <t>ТСН-2001.1 Доп. 60, Р. 4, о. 4, поз. 18</t>
  </si>
  <si>
    <t>142,2</t>
  </si>
  <si>
    <t>143</t>
  </si>
  <si>
    <t>144</t>
  </si>
  <si>
    <t>145</t>
  </si>
  <si>
    <t>Посадочные материалы</t>
  </si>
  <si>
    <t>146</t>
  </si>
  <si>
    <t>Пузыреплодник калинолистный Diabolo Н60-80h</t>
  </si>
  <si>
    <t>[2 100 / 1,2 /  6,34] +  2% Трансп</t>
  </si>
  <si>
    <t>147</t>
  </si>
  <si>
    <t>Пузыреплодник калинолистный Red Baron Н60-80h</t>
  </si>
  <si>
    <t>148</t>
  </si>
  <si>
    <t>Дерен белый Elegantissima с3</t>
  </si>
  <si>
    <t>[2 700 / 1,2 /  6,34] +  2% Трансп</t>
  </si>
  <si>
    <t>149</t>
  </si>
  <si>
    <t>Гортензия метельчатая Grandiflora с3</t>
  </si>
  <si>
    <t>150</t>
  </si>
  <si>
    <t>Сосна горная Pinus mugo  D60-80</t>
  </si>
  <si>
    <t>[26 800 / 1,2 /  6,34] +  2% Трансп</t>
  </si>
  <si>
    <t>151</t>
  </si>
  <si>
    <t>Можжевельник Пфитцериана Mint Julep, d80-100</t>
  </si>
  <si>
    <t>[31 000 / 1,2 /  6,34] +  2% Трансп</t>
  </si>
  <si>
    <t>152</t>
  </si>
  <si>
    <t>Кизильник блестящий (Блок живой изгороди)</t>
  </si>
  <si>
    <t>[15 900 / 1,2 /  6,34] +  2% Трансп</t>
  </si>
  <si>
    <t>153</t>
  </si>
  <si>
    <t>Липа мелколистная  (куб/шар)</t>
  </si>
  <si>
    <t>[182 200 / 1,2 /  6,34] +  2% Трансп</t>
  </si>
  <si>
    <t>154</t>
  </si>
  <si>
    <t>Спирея японская красная "Голдфлейм" (Goldflame) (контейнер p 7,5)</t>
  </si>
  <si>
    <t>[1 700 / 1,2 /  6,34] +  2% Трансп</t>
  </si>
  <si>
    <t>155</t>
  </si>
  <si>
    <t>156</t>
  </si>
  <si>
    <t>Установка  ландшафтных светильников</t>
  </si>
  <si>
    <t>157</t>
  </si>
  <si>
    <t>3.1-2-10</t>
  </si>
  <si>
    <t>Разработка грунта в отвал экскаваторами с ковшом вместимостью 0,5 м3 группа грунтов 1-3 (380 пог.м *0,5 глубина*0,3 ширина=57 куб.м)</t>
  </si>
  <si>
    <t>ТСН-2001.3 Доп. 61, Сб. 1, т. 2, поз. 10</t>
  </si>
  <si>
    <t>158</t>
  </si>
  <si>
    <t>159</t>
  </si>
  <si>
    <t>Устройство основания под трубопроводы песчаного (20 см+засыпка 10 см)</t>
  </si>
  <si>
    <t>159,1</t>
  </si>
  <si>
    <t>160</t>
  </si>
  <si>
    <t>3.34-18-1</t>
  </si>
  <si>
    <t>Устройство трубопроводов из полиэтиленовых труб до 2-х отверстий (Применительно прокладка металлорукава)</t>
  </si>
  <si>
    <t>1 канало-километр трубопровода</t>
  </si>
  <si>
    <t>ТСН-2001.3 Доп. 45, Сб. 34, т. 18, поз. 1</t>
  </si>
  <si>
    <t>ТСН-2001.3-34. 34-17...34-28</t>
  </si>
  <si>
    <t>ТСН-2001.3-34-6</t>
  </si>
  <si>
    <t>160,1</t>
  </si>
  <si>
    <t>1.12-5-1006</t>
  </si>
  <si>
    <t>ТСН-2001.1 Доп. 47, Р. 12, о. 5, поз. 1006</t>
  </si>
  <si>
    <t>160,2</t>
  </si>
  <si>
    <t>Металлорукав в ПВХ оболочке НГ 25 мм Промрукав</t>
  </si>
  <si>
    <t>[160 / 1,2 /  6,34] +  2% Трансп</t>
  </si>
  <si>
    <t>161</t>
  </si>
  <si>
    <t>4.8-80-1</t>
  </si>
  <si>
    <t>Кабели до 35 кВ в проложенных трубах, блоках и коробах, кабель, масса 1 м, до 1 кг</t>
  </si>
  <si>
    <t>100 М КАБЕЛЯ</t>
  </si>
  <si>
    <t>ТСН-2001.4. Доп. 1-42. Сб. 8, т. 80, поз. 1</t>
  </si>
  <si>
    <t>ТСН-2001.4-8. 8-73...8-80</t>
  </si>
  <si>
    <t>ТСН-2001.4-8-3</t>
  </si>
  <si>
    <t>161,1</t>
  </si>
  <si>
    <t>1.23-8-418</t>
  </si>
  <si>
    <t>Кабели силовые с медными жилами, напряжение 1000 В, марка ВВГнг(А)-LS, число жил и сечение 3х6 мм2</t>
  </si>
  <si>
    <t>ТСН-2001.1 Доп. 46, Р. 23, о. 8, поз. 418</t>
  </si>
  <si>
    <t>161,2</t>
  </si>
  <si>
    <t>1.21-5-1519</t>
  </si>
  <si>
    <t>Коробка ответвительная пластиковая, на 7 отверстий, с 4 сальниками М25 (диапазон уплотнения 9-18,5 мм), заглушкой, винтовой клеммой 6 мм2, степень защиты IP65, открытой установки, размеры 110х110х67 мм (Применительно)</t>
  </si>
  <si>
    <t>ТСН-2001.1 Доп. 57, Р. 21, о. 5, поз. 1519</t>
  </si>
  <si>
    <t>162</t>
  </si>
  <si>
    <t>4.10-119-3</t>
  </si>
  <si>
    <t>Прокладка оптического кабеля в готовую траншею вручную (применительно сигнальная лента)</t>
  </si>
  <si>
    <t>1 км кабеля</t>
  </si>
  <si>
    <t>ТСН-2001.4. Доп. 1-42. Сб. 10, т. 119, поз. 3</t>
  </si>
  <si>
    <t>ТСН-2001.4-10. 10-119, 10-120, 10-121-1...10-121-7</t>
  </si>
  <si>
    <t>ТСН-2001.4-10-6</t>
  </si>
  <si>
    <t>163</t>
  </si>
  <si>
    <t>1.1-1-3587</t>
  </si>
  <si>
    <t>Лента полиэтиленовая сигнальная, ширина 200 мм, толщина 50 мкм</t>
  </si>
  <si>
    <t>ТСН-2001.1. Доп. 1-42. Р. 1, о. 1, поз. 3587</t>
  </si>
  <si>
    <t>Материалы строительные</t>
  </si>
  <si>
    <t>ТСН-2001.1 Материалы строительные</t>
  </si>
  <si>
    <t>ТСН-2001.1-1</t>
  </si>
  <si>
    <t>164</t>
  </si>
  <si>
    <t>3.1-14-1</t>
  </si>
  <si>
    <t>Засыпка траншей и котлованов бульдозерами мощностью 59 (80) кВт (л.с.) при перемещении грунта до 5 м группа грунтов 1-3 (20 см)</t>
  </si>
  <si>
    <t>ТСН-2001.3 Доп. 59, Сб. 1, т. 14, поз. 1</t>
  </si>
  <si>
    <t>ТСН-2001.3-1. 1-11...1-17</t>
  </si>
  <si>
    <t>ТСН-2001.3-1-4</t>
  </si>
  <si>
    <t>165</t>
  </si>
  <si>
    <t>3.1-53-2</t>
  </si>
  <si>
    <t>Засыпка вручную траншей, пазух котлованов и ям группа грунтов 4</t>
  </si>
  <si>
    <t>ТСН-2001.3. Доп. 1-42. Сб. 1, т. 53, поз. 2</t>
  </si>
  <si>
    <t>166</t>
  </si>
  <si>
    <t>167</t>
  </si>
  <si>
    <t>3.8-1-2</t>
  </si>
  <si>
    <t>Устройство щебеночного основания под фундаменты (30*0,1)</t>
  </si>
  <si>
    <t>1 м3 основания</t>
  </si>
  <si>
    <t>ТСН-2001.3. Доп. 1-42. Сб. 8, т. 1, поз. 2</t>
  </si>
  <si>
    <t>ТСН-2001.3-8. 8-1</t>
  </si>
  <si>
    <t>ТСН-2001.3-8-1</t>
  </si>
  <si>
    <t>167,1</t>
  </si>
  <si>
    <t>1.1-1-1524</t>
  </si>
  <si>
    <t>Щебень из естественного камня для строительных работ, марка 600-400, фракция 10-20 мм</t>
  </si>
  <si>
    <t>ТСН-2001.1. Доп. 1-42. Р. 1, о. 1, поз. 1524</t>
  </si>
  <si>
    <t>168</t>
  </si>
  <si>
    <t>3.33-39-1</t>
  </si>
  <si>
    <t>ТСН-2001.3 Доп. 51, Сб. 33, т. 39, поз. 1</t>
  </si>
  <si>
    <t>ТСН-2001.3-33. 33-39-1 (доп. 51)</t>
  </si>
  <si>
    <t>ТСН-2001.3-33-4</t>
  </si>
  <si>
    <t>168,1</t>
  </si>
  <si>
    <t>1.24-5-128</t>
  </si>
  <si>
    <t>Элементы (детали) закладные фундаментов к опорам наружного освещения, тип ЗФ-16/4/К140-1,0-Б (Применительно)</t>
  </si>
  <si>
    <t>ТСН-2001.1. Доп. 1-42. Р. 24, о. 5, поз. 128</t>
  </si>
  <si>
    <t>168,2</t>
  </si>
  <si>
    <t>Светильник уличный LUTEC W2522S-800 или аналог</t>
  </si>
  <si>
    <t>[11 149 / 1,2 /  6,34] +  2% Трансп</t>
  </si>
  <si>
    <t>169</t>
  </si>
  <si>
    <t>6.68-72-2</t>
  </si>
  <si>
    <t>Установка стоек металлического ограждения газонов из трубы, масса стоек до 5 кг (применительно установка ландшафтных светильников)</t>
  </si>
  <si>
    <t>10 шт.</t>
  </si>
  <si>
    <t>ТСН-2001.6 Доп. 47, Сб. 68, т. 72, поз. 2</t>
  </si>
  <si>
    <t>ТСН-2001.6-68. 68-72, 68-73 (доп. 8)</t>
  </si>
  <si>
    <t>ТСН-2001.6-68-31</t>
  </si>
  <si>
    <t>169,1</t>
  </si>
  <si>
    <t>Ландшафтный светодиодный светильник SLV Syna Led 227508</t>
  </si>
  <si>
    <t>[8 100 / 1,2 /  6,34] +  2% Трансп</t>
  </si>
  <si>
    <t>170</t>
  </si>
  <si>
    <t>4.8-76-1</t>
  </si>
  <si>
    <t>Присоединение к зажимам жил проводов или кабелей, провод или кабель, сечение до 2,5 мм2 (применительно)</t>
  </si>
  <si>
    <t>100 шт.</t>
  </si>
  <si>
    <t>ТСН-2001.4. Доп. 1-42. Сб. 8, т. 76, поз. 1</t>
  </si>
  <si>
    <t>171</t>
  </si>
  <si>
    <t>1.21-5-342</t>
  </si>
  <si>
    <t>Предохранители ПН-2 на номинальное напряжение 500 В, тип ПН-2-100</t>
  </si>
  <si>
    <t>ТСН-2001.1. Доп. 1-42. Р. 21, о. 5, поз. 342</t>
  </si>
  <si>
    <t>172</t>
  </si>
  <si>
    <t>4.8-239-1</t>
  </si>
  <si>
    <t>Блоки управления и распределительные пункты (шкафы) высотой до 1700 мм, блок управления открытого исполнения высотой и шириной до 1000х800 мм, устанавливаемый на стене</t>
  </si>
  <si>
    <t>ТСН-2001.4. Доп. 1-42. Сб. 8, т. 239, поз. 1</t>
  </si>
  <si>
    <t>173</t>
  </si>
  <si>
    <t>13.1-1-719</t>
  </si>
  <si>
    <t>КОМПЛЕКТ</t>
  </si>
  <si>
    <t>ТСН-2001.13-2. Доп. 15. 13.1-1-719</t>
  </si>
  <si>
    <t>Сметная стоимость оборудования</t>
  </si>
  <si>
    <t>ТСН-2001.13-1.</t>
  </si>
  <si>
    <t>ТСН-2001.13-1-1</t>
  </si>
  <si>
    <t>174</t>
  </si>
  <si>
    <t>5.2-32-1</t>
  </si>
  <si>
    <t>Проверка всего технологического комплекса в режимах работы и контроля, сдача в эксплуатацию</t>
  </si>
  <si>
    <t>1 комплекс</t>
  </si>
  <si>
    <t>ТСН-2001.5. Доп. 1-42. Сб. 2, т. 32, поз. 1</t>
  </si>
  <si>
    <t>Пусконаладочные работы</t>
  </si>
  <si>
    <t>ТСН-2001.5-2. 2-1...2-32</t>
  </si>
  <si>
    <t>ТСН-2001.5-2-1</t>
  </si>
  <si>
    <t>175</t>
  </si>
  <si>
    <t>Перевозка грунтов растительного слоя и торфов на расстояние до 46 км автосамосвалами грузоподъемностью до 10 т (34,2*1,5=51,3 т)</t>
  </si>
  <si>
    <t>176</t>
  </si>
  <si>
    <t>Установка тематических топиартых фигур (входная группа)</t>
  </si>
  <si>
    <t>177</t>
  </si>
  <si>
    <t>3.6-6-7</t>
  </si>
  <si>
    <t>Установка закладных деталей весом до 4 кг (применительно установка закладных деталей для МАФ)</t>
  </si>
  <si>
    <t>ТСН-2001.3 Доп. 53, Сб. 6, т. 6, поз. 7</t>
  </si>
  <si>
    <t>177,1</t>
  </si>
  <si>
    <t>1.3-4-38</t>
  </si>
  <si>
    <t>Арматурные заготовки (стержни, хомуты и т.п.), не собранные в каркасы или сетки, закладные и накладные детали, без сварки</t>
  </si>
  <si>
    <t>ТСН-2001.1. Доп. 1-42. Р. 3, о. 4, поз. 38</t>
  </si>
  <si>
    <t>178</t>
  </si>
  <si>
    <t>3.47-60-11</t>
  </si>
  <si>
    <t>Монтаж русских качелей на готовое основание (применительно установка МАФ)</t>
  </si>
  <si>
    <t>ТСН-2001.3 Доп. 53, Сб. 47, т. 60, поз. 11</t>
  </si>
  <si>
    <t>ТСН-2001.3-47. 47-60</t>
  </si>
  <si>
    <t>ТСН-2001.3-47-10</t>
  </si>
  <si>
    <t>178,1</t>
  </si>
  <si>
    <t>Установка тематических МАФ /топиарных фигур</t>
  </si>
  <si>
    <t>[324 802,6 / 1,2 /  6,34] +  2% Трансп</t>
  </si>
  <si>
    <t>Замена опор освещения</t>
  </si>
  <si>
    <t>Замена существующих опор и сетей до ШНО</t>
  </si>
  <si>
    <t>179</t>
  </si>
  <si>
    <t>Разработка грунта в отвал экскаваторами с ковшом вместимостью 0,5 м3 группа грунтов 1-3</t>
  </si>
  <si>
    <t>180</t>
  </si>
  <si>
    <t>15.2-46-2</t>
  </si>
  <si>
    <t>Перевозка грунтов растительного слоя и торфов на расстояние до 46 км автосамосвалами грузоподъемностью до 20 т</t>
  </si>
  <si>
    <t>ТСН-2001.15 Доп. 54, Сб. 2, т. 46, поз. 2</t>
  </si>
  <si>
    <t>181</t>
  </si>
  <si>
    <t>182</t>
  </si>
  <si>
    <t>182,1</t>
  </si>
  <si>
    <t>183</t>
  </si>
  <si>
    <t>Устройство трубопроводов из полиэтиленовых труб до 2-х отверстий</t>
  </si>
  <si>
    <t>183,1</t>
  </si>
  <si>
    <t>1.12-5-1131</t>
  </si>
  <si>
    <t>ТСН-2001.1 Доп. 48, Р. 12, о. 5, поз. 1131</t>
  </si>
  <si>
    <t>183,2</t>
  </si>
  <si>
    <t>184</t>
  </si>
  <si>
    <t>4.8-301-1</t>
  </si>
  <si>
    <t>Уплотнитель кабельного прохода термоусаживаемый</t>
  </si>
  <si>
    <t>100 компл.</t>
  </si>
  <si>
    <t>ТСН-2001.4. Доп. 1-42. Сб. 8, т. 301, поз. 1</t>
  </si>
  <si>
    <t>Поправка: ТСН-2001.О.П. п.3.4. 6  Наименование: Выполняемые при ремонте и реконструкции работы аналогичные технологическим процессам, характерным для нового строительства и отсутствующим в сборниках на ремонтно-строительные работы</t>
  </si>
  <si>
    <t>ТСН-2001.4-8. 8-291...292 (доп. 24)</t>
  </si>
  <si>
    <t>ТСН-2001.4-8-29</t>
  </si>
  <si>
    <t>Поправка: ТСН-2001.О.П. п.3.4. 6</t>
  </si>
  <si>
    <t>184,1</t>
  </si>
  <si>
    <t>1.21-5-1069</t>
  </si>
  <si>
    <t>Уплотнители кабельных проходов, тип УКПТ</t>
  </si>
  <si>
    <t>ТСН-2001.1. Доп. 1-42. Р. 21, о. 5, поз. 1069</t>
  </si>
  <si>
    <t>185</t>
  </si>
  <si>
    <t>4.8-80-2</t>
  </si>
  <si>
    <t>Кабели до 35 кВ в проложенных трубах, блоках и коробах, кабель, масса 1 м, до 2 кг</t>
  </si>
  <si>
    <t>ТСН-2001.4. Доп. 1-42. Сб. 8, т. 80, поз. 2</t>
  </si>
  <si>
    <t>185,1</t>
  </si>
  <si>
    <t>1.23-8-79</t>
  </si>
  <si>
    <t>Кабели силовые с медными жилами, напряжение 1000 В, марка ВБШв, число жил и сечение 4х25 мм2</t>
  </si>
  <si>
    <t>ТСН-2001.1 Доп. 46, Р. 23, о. 8, поз. 79</t>
  </si>
  <si>
    <t>186</t>
  </si>
  <si>
    <t>3.1-39-1</t>
  </si>
  <si>
    <t>Бурение ям бурильно-крановыми машинами на тракторе глубина ям до 2 м группа грунтов 1-2</t>
  </si>
  <si>
    <t>100 ям</t>
  </si>
  <si>
    <t>ТСН-2001.3. Доп. 1-42. Сб. 1, т. 39, поз. 1</t>
  </si>
  <si>
    <t>187</t>
  </si>
  <si>
    <t>Устройство щебеночного основания под фундаменты</t>
  </si>
  <si>
    <t>187,1</t>
  </si>
  <si>
    <t>188</t>
  </si>
  <si>
    <t>3.6-6-9</t>
  </si>
  <si>
    <t>Установка закладных деталей весом более 20 кг</t>
  </si>
  <si>
    <t>ТСН-2001.3 Доп. 53, Сб. 6, т. 6, поз. 9</t>
  </si>
  <si>
    <t>188,1</t>
  </si>
  <si>
    <t>Закладные детали фундаментов изготовлены из  стальных труб различного диаметра</t>
  </si>
  <si>
    <t>[8 905 / 1,2 /  6,34] +  2% Трансп</t>
  </si>
  <si>
    <t>189</t>
  </si>
  <si>
    <t>3.33-33-1</t>
  </si>
  <si>
    <t>Устройство монолитных бетонных фундаментов заглубленных на одной отметке с опорой</t>
  </si>
  <si>
    <t>ТСН-2001.3 Доп. 47, Сб. 33, т. 33, поз. 1</t>
  </si>
  <si>
    <t>ТСН-2001.3-33. 33-1...33-36</t>
  </si>
  <si>
    <t>ТСН-2001.3-33-1</t>
  </si>
  <si>
    <t>189,1</t>
  </si>
  <si>
    <t>1.3-1-63</t>
  </si>
  <si>
    <t>Смеси бетонные, БСГ, тяжелого бетона на известняковом щебне, класс прочности В15 (М200); П4, фракция 5-20, F100, W4, c С3</t>
  </si>
  <si>
    <t>ТСН-2001.1. Доп. 1-42. Р. 3, о. 1, поз. 63</t>
  </si>
  <si>
    <t>190</t>
  </si>
  <si>
    <t>3.33-38-1</t>
  </si>
  <si>
    <t>Установка металлических фланцевых консольных опор наружного освещения (демонтаж)</t>
  </si>
  <si>
    <t>ТСН-2001.3 Доп. 53, Сб. 33, т. 38, поз. 1</t>
  </si>
  <si>
    <t>Поправка: ТСН-2001.6. О.П. п.23.6  Наименование: Демонтаж. Металлических конструкций (к=0,6 к стоимости вспомогательных материалов)</t>
  </si>
  <si>
    <t>)*0,6</t>
  </si>
  <si>
    <t>ТСН-2001.3-33. 33-38 (доп. 14)</t>
  </si>
  <si>
    <t>ТСН-2001.3-33-3</t>
  </si>
  <si>
    <t>Поправка: ТСН-2001.6. О.П. п.23.6</t>
  </si>
  <si>
    <t>191</t>
  </si>
  <si>
    <t>Установка металлических фланцевых консольных опор наружного освещения</t>
  </si>
  <si>
    <t>191,1</t>
  </si>
  <si>
    <t>Опоры наружного освещения складные 12-14 м, металлические</t>
  </si>
  <si>
    <t>[136 000 / 1,2 /  6,34] +  2% Трансп</t>
  </si>
  <si>
    <t>192</t>
  </si>
  <si>
    <t>4.8-143-2</t>
  </si>
  <si>
    <t>Кронштейны специальные на опорах для светильников, сварные металлические, 2 рожка</t>
  </si>
  <si>
    <t>ТСН-2001.4. Доп. 1-42. Сб. 8, т. 143, поз. 2</t>
  </si>
  <si>
    <t>ТСН-2001.4-8. 8-141...8-153</t>
  </si>
  <si>
    <t>ТСН-2001.4-8-14</t>
  </si>
  <si>
    <t>192,1</t>
  </si>
  <si>
    <t>13.1-2-254</t>
  </si>
  <si>
    <t>ТСН-2001.13-2. Доп. 11. 13.1-2-254</t>
  </si>
  <si>
    <t>193</t>
  </si>
  <si>
    <t>4.8-149-5</t>
  </si>
  <si>
    <t>Светильники светодиодные, устанавливаемые вне здания, с установкой комплекта клеммников внутри опоры через ревизионный лючок</t>
  </si>
  <si>
    <t>ТСН-2001.4 Доп. 59, Сб. 8, т. 149, поз. 5</t>
  </si>
  <si>
    <t>ТСН-2001.4-8. 8-149-5 (доп. 59)</t>
  </si>
  <si>
    <t>ТСН-2001.4-8-45</t>
  </si>
  <si>
    <t>193,1</t>
  </si>
  <si>
    <t>1.21-5-1526</t>
  </si>
  <si>
    <t>ТСН-2001.1 Доп. 57, Р. 21, о. 5, поз. 1526</t>
  </si>
  <si>
    <t>193,2</t>
  </si>
  <si>
    <t>13.1-1-484</t>
  </si>
  <si>
    <t>Предохранитель банановый на клемме на 10А (20871-00-00). Габаритные размеры 87x25x68 мм</t>
  </si>
  <si>
    <t>ТСН-2001.13-2. Доп. 11. 13.1-1-484</t>
  </si>
  <si>
    <t>193,3</t>
  </si>
  <si>
    <t>1.21-5-276</t>
  </si>
  <si>
    <t>Муфты концевые термоусаживаемые внутренней установки для силовых кабелей на напряжение 1 кВ, без наконечников, тип 3КВТП-1-50, сечение жил 25-50 мм2 (применительно)</t>
  </si>
  <si>
    <t>ТСН-2001.1. Доп. 1-42. Р. 21, о. 5, поз. 276</t>
  </si>
  <si>
    <t>193,4</t>
  </si>
  <si>
    <t>Светильник светодиодный (прожектор)</t>
  </si>
  <si>
    <t>[60 240 / 1,2 /  6,34] +  2% Трансп</t>
  </si>
  <si>
    <t>194</t>
  </si>
  <si>
    <t>5.10-36-1</t>
  </si>
  <si>
    <t>Установки наружного освещения</t>
  </si>
  <si>
    <t>1 ОПОРА</t>
  </si>
  <si>
    <t>ТСН-2001.5. Доп. 1-42. Сб. 10, т. 36, поз. 1</t>
  </si>
  <si>
    <t>Поправка: ТСН-2001.5-10.О.П. п.2  Наименование: В случаях, если на объекте различные виды пусконаладочных работ выполняются комплексно одной подрядной организацией</t>
  </si>
  <si>
    <t>ТСН-2001.5-10. 10-4...10-44</t>
  </si>
  <si>
    <t>ТСН-2001.5-10-1</t>
  </si>
  <si>
    <t>Поправка: ТСН-2001.5-10.О.П. п.2</t>
  </si>
  <si>
    <t>195</t>
  </si>
  <si>
    <t>Поправка: ТСН-2001.5. р2. п.2.5</t>
  </si>
  <si>
    <t>196</t>
  </si>
  <si>
    <t>197</t>
  </si>
  <si>
    <t>итого1</t>
  </si>
  <si>
    <t>Итого:</t>
  </si>
  <si>
    <t>ндс</t>
  </si>
  <si>
    <t>НДС 20 %:</t>
  </si>
  <si>
    <t>итого</t>
  </si>
  <si>
    <t>Итого по смете:</t>
  </si>
  <si>
    <t>Новая переменная</t>
  </si>
  <si>
    <t>Переменная_1</t>
  </si>
  <si>
    <t>Переменная_2</t>
  </si>
  <si>
    <t>Уровень цен</t>
  </si>
  <si>
    <t>Сборник индексов</t>
  </si>
  <si>
    <t>ТСН-2001 МГЭ (ремонт)</t>
  </si>
  <si>
    <t>_OBSM_</t>
  </si>
  <si>
    <t>9999990008</t>
  </si>
  <si>
    <t>Трудозатраты рабочих</t>
  </si>
  <si>
    <t>чел.-ч.</t>
  </si>
  <si>
    <t>2.1-18-7</t>
  </si>
  <si>
    <t>ТСН-2001.2. Доп. 47. п.1-18-7 (183001)</t>
  </si>
  <si>
    <t>Автомобили грузовые бортовые, грузоподъемность до 5 т</t>
  </si>
  <si>
    <t>2.1-30-90</t>
  </si>
  <si>
    <t>ТСН-2001.2. Доп. 46. п.1-30-90 (302501)</t>
  </si>
  <si>
    <t>Дрель-миксеры, 150-650 об/мин</t>
  </si>
  <si>
    <t>2.1-4-8</t>
  </si>
  <si>
    <t>ТСН-2001.2. Доп. 1-42, п. 1-4-8 (040201)</t>
  </si>
  <si>
    <t>Погрузчики на автомобильном ходу, грузоподъемность до 1 т</t>
  </si>
  <si>
    <t>2.1-1-5</t>
  </si>
  <si>
    <t>ТСН-2001.2. Доп. 61. п.1-1-5 (010109)</t>
  </si>
  <si>
    <t>Экскаваторы на гусеничном ходу гидравлические, объем ковша до 0,65 м3</t>
  </si>
  <si>
    <t>9999990007</t>
  </si>
  <si>
    <t>Стоимость прочих машин (ЭСН)</t>
  </si>
  <si>
    <t>руб.</t>
  </si>
  <si>
    <t>2.1-4-91</t>
  </si>
  <si>
    <t>ТСН-2001.2. Доп. 1-42, п. 1-4-91 (040601)</t>
  </si>
  <si>
    <t>Мини-погрузчики многофункциональные, грузоподъемность до 1 т</t>
  </si>
  <si>
    <t>2.1-1-4</t>
  </si>
  <si>
    <t>ТСН-2001.2. Доп. 61. п.1-1-4 (010105)</t>
  </si>
  <si>
    <t>Экскаваторы на гусеничном ходу гидравлические, объем ковша до 0,5 м3</t>
  </si>
  <si>
    <t>2.1-1-44</t>
  </si>
  <si>
    <t>ТСН-2001.2. Доп. 59. п.1-1-44 (012103)</t>
  </si>
  <si>
    <t>Бульдозеры гусеничные, мощность до 79 кВт (108 л.с.)</t>
  </si>
  <si>
    <t>2.1-5-2</t>
  </si>
  <si>
    <t>ТСН-2001.2. Доп. 55. п.1-5-2 (050102)</t>
  </si>
  <si>
    <t>Катки самоходные вибрационные, масса до 8 т</t>
  </si>
  <si>
    <t>2.1-2-1</t>
  </si>
  <si>
    <t>ТСН-2001.2. Доп. 1-42, п. 1-2-1 (020101)</t>
  </si>
  <si>
    <t>Тракторы на гусеничном ходу, мощность до 60 кВт (81 л.с.)</t>
  </si>
  <si>
    <t>2.1-13-14</t>
  </si>
  <si>
    <t>ТСН-2001.2. Доп. 56. п.1-13-14 (136001)</t>
  </si>
  <si>
    <t>Аппараты сварочные постоянного тока (выпрямители) для ручной дуговой сварки, сварочный ток до 500 А</t>
  </si>
  <si>
    <t>2.1-30-26</t>
  </si>
  <si>
    <t>ТСН-2001.2. Доп. 1-42, п. 1-30-26 (306001)</t>
  </si>
  <si>
    <t>Пилы ручные электрические</t>
  </si>
  <si>
    <t>2.1-3-38</t>
  </si>
  <si>
    <t>ТСН-2001.2. Доп. 53. п.1-3-38 (032009)</t>
  </si>
  <si>
    <t>Краны на автомобильном ходу, грузоподъемность до 16 т</t>
  </si>
  <si>
    <t>2.1-4-12</t>
  </si>
  <si>
    <t>ТСН-2001.2. Доп. 1-42, п. 1-4-12 (040205)</t>
  </si>
  <si>
    <t>Погрузчики на автомобильном ходу, грузоподъемность до 5 т</t>
  </si>
  <si>
    <t>2.1-6-52</t>
  </si>
  <si>
    <t>ТСН-2001.2. Доп. 1-42, п. 1-6-52 (069402)</t>
  </si>
  <si>
    <t>Вибраторы глубинные</t>
  </si>
  <si>
    <t>1.1-1-1566</t>
  </si>
  <si>
    <t>ТСН-2001.1. Доп. 1-42. Р. 1, о. 1, поз. 1566</t>
  </si>
  <si>
    <t>Электроды, тип Э-42, 46, 50, диаметр 4 - 6 мм</t>
  </si>
  <si>
    <t>1.1-1-227</t>
  </si>
  <si>
    <t>ТСН-2001.1. Доп. 1-42. Р. 1, о. 1, поз. 227</t>
  </si>
  <si>
    <t>Доски хвойных пород, обрезные, длина 2-6,5 м, сорт III, толщина 40-60 мм</t>
  </si>
  <si>
    <t>1.1-1-256</t>
  </si>
  <si>
    <t>ТСН-2001.1. Доп. 1-42. Р. 1, о. 1, поз. 256</t>
  </si>
  <si>
    <t>Известь негашеная комовая</t>
  </si>
  <si>
    <t>1.1-1-655</t>
  </si>
  <si>
    <t>ТСН-2001.1. Доп. 1-42. Р. 1, о. 1, поз. 655</t>
  </si>
  <si>
    <t>Мешковина</t>
  </si>
  <si>
    <t>1.9-11-4</t>
  </si>
  <si>
    <t>ТСН-2001.1. Доп. 1-42. Р. 9, о. 11, поз. 4</t>
  </si>
  <si>
    <t>Щиты деревянные для фундаментов, колонн, балок, перекрытий, стен, перегородок и других конструкций из досок, толщина 40 мм</t>
  </si>
  <si>
    <t>2.1-5-10</t>
  </si>
  <si>
    <t>ТСН-2001.2. Доп. 55. п.1-5-10 (050304)</t>
  </si>
  <si>
    <t>Катки дорожные самоходные на пневмоколесном ходу, масса до 30 т</t>
  </si>
  <si>
    <t>9999990006</t>
  </si>
  <si>
    <t>Стоимость прочих материалов (ЭСН)</t>
  </si>
  <si>
    <t>2.1-1-42</t>
  </si>
  <si>
    <t>ТСН-2001.2. Доп. 59. п.1-1-42 (012101)</t>
  </si>
  <si>
    <t>Бульдозеры гусеничные, мощность до 37 кВт (50 л.с.)</t>
  </si>
  <si>
    <t>2.1-30-1</t>
  </si>
  <si>
    <t>ТСН-2001.2. Доп. 1-42, п. 1-30-1 (301201)</t>
  </si>
  <si>
    <t>Трамбовки пневматические</t>
  </si>
  <si>
    <t>1.1-1-1529</t>
  </si>
  <si>
    <t>ТСН-2001.1. Доп. 1-42. Р. 1, о. 1, поз. 1529</t>
  </si>
  <si>
    <t>Щебень из естественного камня для строительных работ, марка 1200-800, фракция 10-20 мм</t>
  </si>
  <si>
    <t>1.1-1-1945</t>
  </si>
  <si>
    <t>ТСН-2001.1 Доп. 58, Р. 1, о. 1, поз. 1945</t>
  </si>
  <si>
    <t>Геотекстиль, марка КМ 2</t>
  </si>
  <si>
    <t>2.1-18-10</t>
  </si>
  <si>
    <t>ТСН-2001.2. Доп. 47. п.1-18-10 (183004)</t>
  </si>
  <si>
    <t>Автомобили грузовые бортовые, грузоподъемность до 10 т</t>
  </si>
  <si>
    <t>2.1-30-102</t>
  </si>
  <si>
    <t>ТСН-2001.2. Доп. 46. п.1-30-102 (303704)</t>
  </si>
  <si>
    <t>Дрели электрические, мощность до 800 Вт</t>
  </si>
  <si>
    <t>2.1-30-56</t>
  </si>
  <si>
    <t>ТСН-2001.2. Доп. 1-42, п. 1-30-56 (309101)</t>
  </si>
  <si>
    <t>Шуруповерты</t>
  </si>
  <si>
    <t>1.1-1-115</t>
  </si>
  <si>
    <t>ТСН-2001.1. Доп. 1-42. Р. 1, о. 1, поз. 115</t>
  </si>
  <si>
    <t>Ветошь</t>
  </si>
  <si>
    <t>1.1-1-2628</t>
  </si>
  <si>
    <t>ТСН-2001.1. Доп. 1-42. Р. 1, о. 1, поз. 2628</t>
  </si>
  <si>
    <t>Винты самонарезающие оцинкованные 4х35 мм для металла</t>
  </si>
  <si>
    <t>1.1-1-659</t>
  </si>
  <si>
    <t>ТСН-2001.1. Доп. 1-42. Р. 1, о. 1, поз. 659</t>
  </si>
  <si>
    <t>Мыло жидкое (мыловар)</t>
  </si>
  <si>
    <t>1.7-5-178</t>
  </si>
  <si>
    <t>ТСН-2001.1 Доп. 48, Р. 7, о. 5, поз. 178</t>
  </si>
  <si>
    <t>Анкер-шпилька распорный, стандартный, с шестигранной гайкой и шайбой, из горячеоцинкованной стали, для использования в бетоне без трещин, диаметр 10 мм, длина 83 мм, толщина прикрепляемой детали минимальная/максимальная 10/20 мм</t>
  </si>
  <si>
    <t>2.1-18-41</t>
  </si>
  <si>
    <t>ТСН-2001.2. Доп. 43, п. 1-18-41 (184061)</t>
  </si>
  <si>
    <t>Автомобили-самосвалы для перевозки строительного мусора, грузоподъемность до 8 т</t>
  </si>
  <si>
    <t>2.1-18-38</t>
  </si>
  <si>
    <t>ТСН-2001.2. Доп. 43, п. 1-18-38 (184051)</t>
  </si>
  <si>
    <t>Автомобили-самосвалы для перевозки грунта, грузоподъемность до 8 т</t>
  </si>
  <si>
    <t>2.1-10-5</t>
  </si>
  <si>
    <t>ТСН-2001.2. Доп. 46. п.1-10-5 (101002)</t>
  </si>
  <si>
    <t>Компрессоры прицепные с двигателем внутреннего сгорания, производительность до 5 м3/мин, мощность двигателя до 29 кВт (39,4 л.с.)</t>
  </si>
  <si>
    <t>2.1-17-82</t>
  </si>
  <si>
    <t>ТСН-2001.2. Доп. 1-42, п. 1-17-82 (177201)</t>
  </si>
  <si>
    <t>Виброплиты для уплотнения песка, гравия и бетона</t>
  </si>
  <si>
    <t>2.1-30-27</t>
  </si>
  <si>
    <t>ТСН-2001.2. Доп. 1-42, п. 1-30-27 (306101)</t>
  </si>
  <si>
    <t>Пилы дисковые электрические для резки пиломатериалов</t>
  </si>
  <si>
    <t>1.1-1-230</t>
  </si>
  <si>
    <t>ТСН-2001.1. Доп. 1-42. Р. 1, о. 1, поз. 230</t>
  </si>
  <si>
    <t>Доски хвойных пород, обрезные, длина 2-6,5 м, сорт IV, толщина 19-22 мм</t>
  </si>
  <si>
    <t>1.3-2-5</t>
  </si>
  <si>
    <t>ТСН-2001.1. Доп. 1-42. Р. 3, о. 2, поз. 5</t>
  </si>
  <si>
    <t>Растворы цементные, марка 100</t>
  </si>
  <si>
    <t>9999990001</t>
  </si>
  <si>
    <t>Масса мусора</t>
  </si>
  <si>
    <t>2.1-10-4</t>
  </si>
  <si>
    <t>ТСН-2001.2. Доп. 46. п.1-10-4 (101001)</t>
  </si>
  <si>
    <t>Компрессоры прицепные с двигателем внутреннего сгорания, производительность до 2,5 м3/мин, мощность двигателя до 23 кВт (31,3 л.с.)</t>
  </si>
  <si>
    <t>2.1-30-54</t>
  </si>
  <si>
    <t>ТСН-2001.2. Доп. 1-42, п. 1-30-54 (308901)</t>
  </si>
  <si>
    <t>Молотки отбойные</t>
  </si>
  <si>
    <t>1.1-1-1029</t>
  </si>
  <si>
    <t>ТСН-2001.1. Доп. 1-42. Р. 1, о. 1, поз. 1029</t>
  </si>
  <si>
    <t>Сетка проволочная штукатурная тканая, квадрат 5х5 мм, толщина 1,6 мм</t>
  </si>
  <si>
    <t>1.1-1-236</t>
  </si>
  <si>
    <t>ТСН-2001.1. Доп. 1-42. Р. 1, о. 1, поз. 236</t>
  </si>
  <si>
    <t>Дюбели с насаженными шайбами</t>
  </si>
  <si>
    <t>1.1-1-740</t>
  </si>
  <si>
    <t>ТСН-2001.1. Доп. 1-42. Р. 1, о. 1, поз. 740</t>
  </si>
  <si>
    <t>Пакля пропитанная</t>
  </si>
  <si>
    <t>2.1-11-90</t>
  </si>
  <si>
    <t>ТСН-2001.2. Доп. 1-42, п. 1-11-90 (111301)</t>
  </si>
  <si>
    <t>Агрегаты электронасосные для опрессовки сосудов, котлов и систем трубопроводов, подача 0,252 м3/ч</t>
  </si>
  <si>
    <t>2.1-4-80</t>
  </si>
  <si>
    <t>ТСН-2001.2. Доп. 1-42, п. 1-4-80 (043801)</t>
  </si>
  <si>
    <t>Краны-манипуляторы на шасси автомобиля, грузоподъемность до 3 т</t>
  </si>
  <si>
    <t>1.1-1-2481</t>
  </si>
  <si>
    <t>ТСН-2001.1. Доп. 1-42. Р. 1, о. 1, поз. 2481</t>
  </si>
  <si>
    <t>Волокно льняное №11 для уплотнения резьбовых соединений при монтаже систем водоснабжения и отопления</t>
  </si>
  <si>
    <t>1.1-1-467</t>
  </si>
  <si>
    <t>ТСН-2001.1. Доп. 1-42. Р. 1, о. 1, поз. 467</t>
  </si>
  <si>
    <t>Краски масляные жидкотертые цветные (готовые к употреблению) для наружных и внутренних работ, марка МА-15, сурик железный для окраски по металлу</t>
  </si>
  <si>
    <t>1.12-9-3</t>
  </si>
  <si>
    <t>ТСН-2001.1 Доп. 53, Р. 12, о. 9, поз. 3</t>
  </si>
  <si>
    <t>Фланец стальной плоский приварной с соединительным выступом, из стали Ст3сп, номинальное давление PN 1,0 (10) МПа (кгс/см2), номинальный диаметр DN 40 мм</t>
  </si>
  <si>
    <t>1.12-9-4</t>
  </si>
  <si>
    <t>ТСН-2001.1 Доп. 53, Р. 12, о. 9, поз. 4</t>
  </si>
  <si>
    <t>Фланец стальной плоский приварной с соединительным выступом, из стали Ст3сп, номинальное давление PN 1,0 (10) МПа (кгс/см2), номинальный диаметр DN 50 мм</t>
  </si>
  <si>
    <t>1.1-1-956</t>
  </si>
  <si>
    <t>ТСН-2001.1. Доп. 1-42. Р. 1, о. 1, поз. 956</t>
  </si>
  <si>
    <t>Проволока стальная кровельная светлая</t>
  </si>
  <si>
    <t>1.1-1-81</t>
  </si>
  <si>
    <t>ТСН-2001.1. Доп. 1-42. Р. 1, о. 1, поз. 81</t>
  </si>
  <si>
    <t>Бруски хвойных пород обрезные, длина 2-6,5 м, сорт IV, толщина 50-60 мм</t>
  </si>
  <si>
    <t>1.1-1-923</t>
  </si>
  <si>
    <t>ТСН-2001.1. Доп. 1-42. Р. 1, о. 1, поз. 923</t>
  </si>
  <si>
    <t>Поковки строительные (скобы, закрепы, хомуты) простые, масса 1,8 кг</t>
  </si>
  <si>
    <t>2.1-10-13</t>
  </si>
  <si>
    <t>ТСН-2001.2. Доп. 1-42, п. 1-10-13 (105002)</t>
  </si>
  <si>
    <t>Электрокомпрессоры прицепные, производительность до 5 м3/мин</t>
  </si>
  <si>
    <t>2.1-14-13</t>
  </si>
  <si>
    <t>ТСН-2001.2. Доп. 1-42, п. 1-14-13 (148501)</t>
  </si>
  <si>
    <t>Пылесосы</t>
  </si>
  <si>
    <t>2.1-30-10</t>
  </si>
  <si>
    <t>ТСН-2001.2. Доп. 46. п.1-30-10 (304101)</t>
  </si>
  <si>
    <t>Перфораторы электрические, мощность до 800 Вт</t>
  </si>
  <si>
    <t>2.1-30-19</t>
  </si>
  <si>
    <t>ТСН-2001.2. Доп. 59. п.1-30-19 (305001)</t>
  </si>
  <si>
    <t>Машины шлифовальные электрические, мощность до 1700 Вт</t>
  </si>
  <si>
    <t>2.1-6-61</t>
  </si>
  <si>
    <t>ТСН-2001.2. Доп. 1-42, п. 1-6-61 (067601)</t>
  </si>
  <si>
    <t>Мешалки тихоходные (дрель с насадкой)</t>
  </si>
  <si>
    <t>2.1-2-7</t>
  </si>
  <si>
    <t>ТСН-2001.2. Доп. 56. п.1-2-7 (021003)</t>
  </si>
  <si>
    <t>Тракторы колесные, мощность до 63 кВт (85 л.с.)</t>
  </si>
  <si>
    <t>2.1-17-45</t>
  </si>
  <si>
    <t>ТСН-2001.2. Доп. 1-42, п. 1-17-45 (176401)</t>
  </si>
  <si>
    <t>Бороны дисковые мелиоративные (без трактора)</t>
  </si>
  <si>
    <t>1.4-6-8</t>
  </si>
  <si>
    <t>ТСН-2001.1. Доп. 1-42. Р. 4, о. 6, поз. 8</t>
  </si>
  <si>
    <t>Торф</t>
  </si>
  <si>
    <t>2.1-4-3</t>
  </si>
  <si>
    <t>ТСН-2001.2. Доп. 1-42, п. 1-4-3 (040103)</t>
  </si>
  <si>
    <t>Погрузчики универсальные на пневмоколесном ходу, грузоподъемность до 3 т</t>
  </si>
  <si>
    <t>2.1-9-2</t>
  </si>
  <si>
    <t>ТСН-2001.2. Доп. 1-42, п. 1-9-2 (090201)</t>
  </si>
  <si>
    <t>Машины бурильно-крановые на базе автомобиля, глубина бурения до 5 м</t>
  </si>
  <si>
    <t>1.1-1-1329</t>
  </si>
  <si>
    <t>ТСН-2001.1. Доп. 1-42. Р. 1, о. 1, поз. 1329</t>
  </si>
  <si>
    <t>Цемент общестроительный, портландцемент общего назначения, марка 400</t>
  </si>
  <si>
    <t>2.1-13-15</t>
  </si>
  <si>
    <t>ТСН-2001.2. Доп. 1-42, п. 1-13-15 (136201)</t>
  </si>
  <si>
    <t>Аппараты сварочные</t>
  </si>
  <si>
    <t>1.1-1-57</t>
  </si>
  <si>
    <t>ТСН-2001.1. Доп. 1-42. Р. 1, о. 1, поз. 57</t>
  </si>
  <si>
    <t>Болты строительные черные с гайками и шайбами (10х100 мм)</t>
  </si>
  <si>
    <t>1.6-1-271</t>
  </si>
  <si>
    <t>ТСН-2001.1. Доп. 1-42. Р. 6, о. 1, поз. 271</t>
  </si>
  <si>
    <t>Отдельные конструктивные элементы с преобладанием горячекатаных профилей, средняя масса сборочной единицы от 0,11 до 0,5 т</t>
  </si>
  <si>
    <t>2.1-18-39</t>
  </si>
  <si>
    <t>ТСН-2001.2. Доп. 43, п. 1-18-39 (184052)</t>
  </si>
  <si>
    <t>Автомобили-самосвалы для перевозки грунта, грузоподъемность до 14 т</t>
  </si>
  <si>
    <t>2.1-9-1</t>
  </si>
  <si>
    <t>ТСН-2001.2. Доп. 1-42, п. 1-9-1 (090101)</t>
  </si>
  <si>
    <t>Машины бурильно-крановые на базе трактора, глубина бурения до 5 м</t>
  </si>
  <si>
    <t>2.1-18-12</t>
  </si>
  <si>
    <t>ТСН-2001.2. Доп. 47. п.1-18-12 (184001)</t>
  </si>
  <si>
    <t>Автомобили-самосвалы, грузоподъемность до 7 т</t>
  </si>
  <si>
    <t>2.1-18-20</t>
  </si>
  <si>
    <t>ТСН-2001.2. Доп. 47. п.1-18-20 (185002)</t>
  </si>
  <si>
    <t>Тягачи седельные, грузоподъемность до 12 т</t>
  </si>
  <si>
    <t>2.1-18-3</t>
  </si>
  <si>
    <t>ТСН-2001.2. Доп. 1-42, п. 1-18-3 (182201)</t>
  </si>
  <si>
    <t>Полуприцепы общего назначения, грузоподъемность до 12 т</t>
  </si>
  <si>
    <t>2.1-17-23</t>
  </si>
  <si>
    <t>ТСН-2001.2. Доп. 1-42, п. 1-17-23 (174301)</t>
  </si>
  <si>
    <t>Газовые горелки</t>
  </si>
  <si>
    <t>1.1-1-2613</t>
  </si>
  <si>
    <t>ТСН-2001.1 Доп. 56, Р. 1, о. 1, поз. 2613</t>
  </si>
  <si>
    <t>Пропан-бутан, сжиженный газ</t>
  </si>
  <si>
    <t>1.21-5-1180</t>
  </si>
  <si>
    <t>ТСН-2001.1. Доп. 1-42. Р. 21, о. 5, поз. 1180</t>
  </si>
  <si>
    <t>Бирки маркировочные для кабелей и проводов, тип У134 У3,5</t>
  </si>
  <si>
    <t>1000 шт.</t>
  </si>
  <si>
    <t>2282601000</t>
  </si>
  <si>
    <t>Трава искусственная (покрытие ковровое)</t>
  </si>
  <si>
    <t>5711100000</t>
  </si>
  <si>
    <t>Щебень для дорожных работ</t>
  </si>
  <si>
    <t>5711400000</t>
  </si>
  <si>
    <t>Песок природный для строительных работ</t>
  </si>
  <si>
    <t>0930110000</t>
  </si>
  <si>
    <t>Арматура</t>
  </si>
  <si>
    <t>5745010000</t>
  </si>
  <si>
    <t>Смеси бетонные, БСГ, тяжелого бетона</t>
  </si>
  <si>
    <t>8191010000</t>
  </si>
  <si>
    <t>Полотно иглопробивное для дорожного строительства "Дорнит-2"</t>
  </si>
  <si>
    <t>10 м2</t>
  </si>
  <si>
    <t>2248100000</t>
  </si>
  <si>
    <t>Трубы полиэтиленовые дренажные</t>
  </si>
  <si>
    <t>2248130000</t>
  </si>
  <si>
    <t>Муфты полиэтиленовые</t>
  </si>
  <si>
    <t>2248122000</t>
  </si>
  <si>
    <t>Трубы из полипропилена гофрированные</t>
  </si>
  <si>
    <t>2248144000</t>
  </si>
  <si>
    <t>Элементы сборного полимерного колодца</t>
  </si>
  <si>
    <t>3971790000</t>
  </si>
  <si>
    <t>Диски отрезные</t>
  </si>
  <si>
    <t>5745110000</t>
  </si>
  <si>
    <t>Смеси сухие цементно-песчаные</t>
  </si>
  <si>
    <t>5846302000</t>
  </si>
  <si>
    <t>Брусчатка бетонная, марка ПБ</t>
  </si>
  <si>
    <t>5898320000</t>
  </si>
  <si>
    <t>Камни бетонные бортовые садовые и газонные</t>
  </si>
  <si>
    <t>5361730000</t>
  </si>
  <si>
    <t>Плинтусы деревянные</t>
  </si>
  <si>
    <t>5715220000</t>
  </si>
  <si>
    <t>Брусчатка</t>
  </si>
  <si>
    <t>0131000000</t>
  </si>
  <si>
    <t>5745120000</t>
  </si>
  <si>
    <t>Смеси сухие для штукатурных работ</t>
  </si>
  <si>
    <t>5745520000</t>
  </si>
  <si>
    <t>Растворы тяжелые цементно-известковые, марки 75</t>
  </si>
  <si>
    <t>2312940000</t>
  </si>
  <si>
    <t>Шпатлевка универсальная</t>
  </si>
  <si>
    <t>2317220000</t>
  </si>
  <si>
    <t>Краски масляные (готовые к употреблению)</t>
  </si>
  <si>
    <t>2318320000</t>
  </si>
  <si>
    <t>Олифа натуральная</t>
  </si>
  <si>
    <t>5711130000</t>
  </si>
  <si>
    <t>Щебень для строительных работ</t>
  </si>
  <si>
    <t>Песок строительный</t>
  </si>
  <si>
    <t>2248119500</t>
  </si>
  <si>
    <t>Труба гибкая многослойная</t>
  </si>
  <si>
    <t>4932400000</t>
  </si>
  <si>
    <t>Клапаны поплавковые</t>
  </si>
  <si>
    <t>4932510000</t>
  </si>
  <si>
    <t>Баки металлические</t>
  </si>
  <si>
    <t>3113210000</t>
  </si>
  <si>
    <t>Фильтры для воды</t>
  </si>
  <si>
    <t>3631910000</t>
  </si>
  <si>
    <t>Насосы вихревые, центробежные</t>
  </si>
  <si>
    <t>2248200000</t>
  </si>
  <si>
    <t>Трубы поливинилхлоридные гофрированные</t>
  </si>
  <si>
    <t>3434200000</t>
  </si>
  <si>
    <t>Коробки соединительные</t>
  </si>
  <si>
    <t>3449651000</t>
  </si>
  <si>
    <t>Держатели пластиковые для труб</t>
  </si>
  <si>
    <t>8238580000</t>
  </si>
  <si>
    <t>Материал "Mak-Mat"</t>
  </si>
  <si>
    <t>2177131000</t>
  </si>
  <si>
    <t>Цеолит природный</t>
  </si>
  <si>
    <t>Щебень из естественного камня для строительных работ</t>
  </si>
  <si>
    <t>5711320000</t>
  </si>
  <si>
    <t>Песчано-гравийная (571120) смесь обогащенная с содержанием гравия 50 %</t>
  </si>
  <si>
    <t>5711510000</t>
  </si>
  <si>
    <t>Камень</t>
  </si>
  <si>
    <t>5714901000</t>
  </si>
  <si>
    <t>Блоки известняковые</t>
  </si>
  <si>
    <t>Растворы готовые кладочные тяжелые цементно-известковые</t>
  </si>
  <si>
    <t>5225570000</t>
  </si>
  <si>
    <t>Инъектор пакер</t>
  </si>
  <si>
    <t>5745180000</t>
  </si>
  <si>
    <t>Смеси сухие быстродействующие</t>
  </si>
  <si>
    <t>9797010000</t>
  </si>
  <si>
    <t>Деревья и кустарники с комом</t>
  </si>
  <si>
    <t>9797020000</t>
  </si>
  <si>
    <t>Земля растительная</t>
  </si>
  <si>
    <t>9798510000</t>
  </si>
  <si>
    <t>Газон в рулоне по технологии компании Finn (размер рулона: длина 2,15 м, ширина 0,4 м, толщина 2-3 см)</t>
  </si>
  <si>
    <t>2189010000</t>
  </si>
  <si>
    <t>Суперкомпост "Пикса"</t>
  </si>
  <si>
    <t>Удобрения минеральные</t>
  </si>
  <si>
    <t>Удобрения органические</t>
  </si>
  <si>
    <t>2248110000</t>
  </si>
  <si>
    <t>Трубы из полиэтилена для кабельной канализации</t>
  </si>
  <si>
    <t>Щебень</t>
  </si>
  <si>
    <t>2296921000</t>
  </si>
  <si>
    <t>Опоры наружного освещения композитные</t>
  </si>
  <si>
    <t>3449669000</t>
  </si>
  <si>
    <t>Деталь закладная фундамента для установки композитных опор освещения</t>
  </si>
  <si>
    <t>Фланец верхний для установки композитных опор освещения</t>
  </si>
  <si>
    <t>5262154000</t>
  </si>
  <si>
    <t>Стойки ограждения</t>
  </si>
  <si>
    <t>5264660000</t>
  </si>
  <si>
    <t>Закладные и накладные детали</t>
  </si>
  <si>
    <t>5260000000</t>
  </si>
  <si>
    <t>Русские качели</t>
  </si>
  <si>
    <t>5296335000</t>
  </si>
  <si>
    <t>Уплотнители кабельных проходов</t>
  </si>
  <si>
    <t>3449660000</t>
  </si>
  <si>
    <t>Опора с комплектом крепления</t>
  </si>
  <si>
    <t>опора</t>
  </si>
  <si>
    <t>3424100000</t>
  </si>
  <si>
    <t>Предохранители</t>
  </si>
  <si>
    <t>3424901000</t>
  </si>
  <si>
    <t>Шина заземления</t>
  </si>
  <si>
    <t>ШТ</t>
  </si>
  <si>
    <t>3424905000</t>
  </si>
  <si>
    <t>Комплект клеммников</t>
  </si>
  <si>
    <t>компл.</t>
  </si>
  <si>
    <t>3449636000</t>
  </si>
  <si>
    <t>Муфты концевые термоусаживаемые, напряжением до 1 кВ</t>
  </si>
  <si>
    <t>3461200000</t>
  </si>
  <si>
    <t>Светильник светодиодный улично-декоративный торшерного типа</t>
  </si>
  <si>
    <t>Поправка: ТСН-2001.О.П. п.3.4. 6  Наименование: Выполняемые при ремонте и реконструкции работы аналогичные технологическим процессам, характерным для нового строительства и отсутствующим в сборниках на ремонтно-строительные работы  Поправка: ТСН-2001.6. О.П. п.11  Наименование: Выполняемые при ремонте, капитальном ремонте и реконструкции работы, аналогичные технологическим процессам характерным для нового строительства и отсутствующим в сборниках на ремонтно-строительные работы ТСН-2001.6  Поправка: ТСН-2001.О.П. п.3.4. 6  Наименование: Выполняемые при ремонте и реконструкции работы аналогичные технологическим процессам, характерным для нового строительства и отсутствующим в сборниках на ремонтно-строительные работы</t>
  </si>
  <si>
    <t>Поправка: ТСН-2001.О.П. п.3.4. 6  Наименование: Выполняемые при ремонте и реконструкции работы аналогичные технологическим процессам, характерным для нового строительства и отсутствующим в сборниках на ремонтно-строительные работы  Поправка: ТСН-2001.6. О.П. п.23.1  Наименование: Демонтаж. Сборных железобетонных и бетонных конструкций</t>
  </si>
  <si>
    <t>Поправка: ТСН-2001.О.П. п.3.4. 6  Наименование: Выполняемые при ремонте и реконструкции работы аналогичные технологическим процессам, характерным для нового строительства и отсутствующим в сборниках на ремонтно-строительные работы  Поправка: ТСН-2001.6. О.П. п.11  Наименование: Выполняемые при ремонте, капитальном ремонте и реконструкции работы, аналогичные технологическим процессам характерным для нового строительства и отсутствующим в сборниках на ремонтно-строительные работы ТСН-2001.6</t>
  </si>
  <si>
    <t>Поправка: ТСН-2001.6. О.П. п.11  Наименование: Выполняемые при ремонте, капитальном ремонте и реконструкции работы, аналогичные технологическим процессам характерным для нового строительства и отсутствующим в сборниках на ремонтно-строительные работы ТСН-2001.6</t>
  </si>
  <si>
    <t>Поправка: ТСН-2001.3. Пр.2. п.3  Наименование: Строительство новых объектов в стесненных условиях: на территории действующих предприятий, имеющих разветвленную сеть транспортных и инженерных коммуникаций и стесненные условия для складирования материалов  Поправка: ТСН-2001.6. О.П. п.11  Наименование: Выполняемые при ремонте, капитальном ремонте и реконструкции работы, аналогичные технологическим процессам характерным для нового строительства и отсутствующим в сборниках на ремонтно-строительные работы ТСН-2001.6</t>
  </si>
  <si>
    <t>Устройство корыта под газоны и цветники с планировкой дна в грунтах 1 и 2 группы (применительно 125 кв.м 10 см глубиной) Состав работ: 1. Разработка грунта вручную с зачисткой дна и стенок  2. Откидывание грунта от корыта  3. Разравнивание откинутого грунта</t>
  </si>
  <si>
    <t>Смесь сухая, крупнозернистая, цементная с наполнителем из полимерной фибры, ремонтная, безусадочная, сульфатостойкая, наружного применения, прочность на сжатие не менее 60 МПа, прочность на изгиб не менее 8 МПа, прочность сцепления с бетоном не менее 2,5 МПа, не менее W16, не менее F300, для конструкционного ремонта бетонных покрытий дорог, аэродромов, мостов, портов, гидротехнических сооружений, бетонных покрытий цехов, армированных, в том числе преднапряженных конструкций, омоноличивания стыков сборных железобетонных конструкций, защиты бетона от агрессивных сред, воздействия морской воды, масел, при глубине разрушений бетона от 20 до 40 мм (применительно)</t>
  </si>
  <si>
    <t>Открытая прокладка трубопроводов из гибких полимерных армированных труб с теплоизоляцией из пенополиуретана, с диаметром напорной трубы до 50 мм Применительно: 1. Размотка и укладка полимерной трубы в траншею или открытый канал  2. Корректировка положения полимерной трубы по проектной оси  3. Обрезка трубы вручную для заведения трубы к месту подключения  4. Гидравлические испытания трубопровода</t>
  </si>
  <si>
    <t>Разработка грунта с погрузкой на автомобили-самосвалы экскаваторами с ковшом вместимостью 0,5 м3 группа грунтов 1-3 (применительно стенки: ширина 1,5 м*глубина 0,5м *пог.м 108,6 м =81,45 куб. м выемка грунта берег); дно: глубина 0,5м * 180 кв.м = 90 куб.м). Итого: 171,45 куб.м влажный грунт (вес 1,6-1,8 т/куб.м)</t>
  </si>
  <si>
    <t>Устройство прослойки из нетканого синтетического материала (НСМ) в земляном полотне сплошной Применительно: 1. Планировка земляного полотна  2. Планировка откосов  3. Раскладка рулонов НСМ  4. Закрепление полотен НСМ анкерами с последующей разборкой крепления  5. Склейка полотен НСМ</t>
  </si>
  <si>
    <t>Устройство в ложе водоема по береговой линии подстилающих слоев из щебня и цеолита слоями толщиной по 100 мм с применением средств малой механизации (Применительно пригружающий слой: 256 кв.м*0,3 м щебень=76,8 куб.м; 256 кв.м* 0,15 м =38,4 куб.м рваный гранит Итого: 115,2 куб.м</t>
  </si>
  <si>
    <t>Структурное укрепление деформационных швов и трещин бетонных и железобетонных конструкций методом инъектирования с применением клея на основе эпоксидной смолы низкой вязкости, двухкомпонентной: подготовительные и заключительные работы для швов площадью сечения 30 см2 (Применительно укрепление свода каскада): 1. Вскрытие швов механизированным способом, очистка поверхности конструкций от грязи, пыли и других загрязнений с помощью щетки и кисти с одновременным удалением пыли в месте производства работ пылесосом  2. Заделка швов при помощи шпателя цементным раствором с его приготовлением на месте из сухой быстродействующей смеси  3. Устройство шпуров в стенах методом сверления для нагнетания смолы: разметка, сверление, обеспыливание  4. Установка металлических пакеров в шпуры вручную методом ввинчивания гаечным ключом  5. Демонтаж пакеров путем обламывания вручную при помощи молотка  6. Заделка шпуров с помощью шпателя цементным раствором, приготовленным из сухой быстродействующей смеси на месте производства работ (запечатывание шпуров ремонтным составом)</t>
  </si>
  <si>
    <t>Состав двухкомпонентный из сухой смеси на основе цементного вяжущего и песка и модифицирующей добавки на основе латекса и микрокремниевой суспензии, поверхностно-восстановительный, коррозионно-защитный, механизированного и ручного нанесения, прочность на сжатие 45 МПа, прочность при изгибе 8 МПа, плотность растворной смеси 2100 кг/м3, прочность сцепления с бетоном/металлом 1,0/0,5 МПа, W10, F50, ПК 4-7 для санации стальных трубопроводов и бетонных конструкций в системе питьевого водоснабжения</t>
  </si>
  <si>
    <t>Трубы из полиэтилена гладкие, с двухслойной стенкой, внутренним слоем из первичного полиэтилена из натуральных композиций для повышения свариваемости, с наружным идентификационным слоем со светостабилизаторами, степень сопротивления удару нормальная, сопротивление сжатию 750 Н, диаметры (номинальный наружный/минимальный внутренний) 63/47 мм, для прокладки кабелей в земле без дополнительных мер защиты</t>
  </si>
  <si>
    <t>Установка композитных фланцевых опор наружного освещения (применительно) Состав работ:1. Сборка фланцевого соединения композитной опоры вручную  2. Бурение скважины в грунте для установки опоры  3. Установка фланцевой опоры в скважину с выверкой проектного положения, засыпка скважины грунтом и его трамбовка вручную  4. Передвижение по фронту работ между опорами</t>
  </si>
  <si>
    <t>Шкаф управления освещением для автономного включения/отключения освещения по астрономическому расписанию с возможностью синхронизации по системам ГЛОНАСС/GPS и воспроизведения загруженных DMX-сценариев. В составе: контроллер автономного управления освещением, контроллер управления светодинамическими сценариями по протоколу DMX-512 (2 потока, 1024 адреса), универсальный электронный переключатель фаз, клеммная колодка, набор автоматов защиты и переключателей 3-х позиционных, диапазон рабочих температур от -40 до +70 °С (Применительно шкаф управления в комплекте)</t>
  </si>
  <si>
    <t>Трубы полимерные гофрированные, жесткие, двухслойные с гладким внутренним слоем, сопротивление сжатию 750 Н, степень сопротивления удару нормальная, диапазон температур от -40 до 60°С, (кратковременно до 95°С), распространяющие горение, кольцевая жесткость SN8, для прокладки кабелей и электрических проводов в земле без дополнительных мер защиты, диаметры (номинальный/минимальный внутренний) 110/94 мм</t>
  </si>
  <si>
    <t>Кронштейн типа 6500ММК, универсальный. Комплект поставки: основание - 1 шт., Т-образный держатель - 4 шт., крепежные болты М6 - 2 шт., шайбы пружинные М6 - 2 шт., крепежные винты М4 -3 шт., шестигранные гайки М4 -3 шт., шайба М4 - 6 шт., пружинная шайба М4 - 3 шт</t>
  </si>
  <si>
    <t>Шина соединительная медная, 3-фазная, количество подключений до 54, тип подключения штырьевое с шагом 18 мм, номинальный ток 100 А, номинальный кратковременно выдерживаемый ток 15 кА, номинальное импульсное напряжение 4 кВ, номинальное напряжение 230/400 В, рабочая температура от -45 до +40°С, размеры 1000х17,4х37,5 мм</t>
  </si>
  <si>
    <t>Поправка: ТСН-2001.5. р2. п.2.5  Наименование: В случае, если монтажные и пусконаладочные работы по какому-либо оборудованию выполняются одним и тем же звеном (бригадой), либо если они производятся при техническом руководстве персонала предприятий-изготовителей или фирм-поставщиков оборудования.</t>
  </si>
  <si>
    <t>(наименование стройки)</t>
  </si>
  <si>
    <t>(локальный сметный расчет)</t>
  </si>
  <si>
    <t>(наименование работ и затрат, наименование объекта)</t>
  </si>
  <si>
    <t>базовая    цена</t>
  </si>
  <si>
    <t>текущая   цена</t>
  </si>
  <si>
    <t>Сметная стоимость</t>
  </si>
  <si>
    <t>Монтажные работы</t>
  </si>
  <si>
    <t>Оборудование</t>
  </si>
  <si>
    <t>Прочие работы</t>
  </si>
  <si>
    <t>Средства на оплату труда</t>
  </si>
  <si>
    <t xml:space="preserve">Кроме того: </t>
  </si>
  <si>
    <t>№№ п/п</t>
  </si>
  <si>
    <t>Шифр расценки и коды ресурсов</t>
  </si>
  <si>
    <t>Наименование работ и затрат</t>
  </si>
  <si>
    <t>Единица измерения</t>
  </si>
  <si>
    <t>Кол-во
единиц</t>
  </si>
  <si>
    <t>Цена на
ед. изм.,
руб.</t>
  </si>
  <si>
    <t>Попра-
вочные
коэфф.</t>
  </si>
  <si>
    <t>Коэфф.
зимних
удоро-
жаний</t>
  </si>
  <si>
    <t>ВСЕГО в
базисном
уровне цен,
руб.</t>
  </si>
  <si>
    <t>Коэфф.
пере-
счета и
нормы
НР и СП</t>
  </si>
  <si>
    <t>Всего в
текущем
уровне цен,
руб.</t>
  </si>
  <si>
    <t>Форма № 1б</t>
  </si>
  <si>
    <t>Составлен(а) в уровне текущих (прогнозных) цен ТСН-2001 МГЭ (ремонт) №179 август 2021 года</t>
  </si>
  <si>
    <t>ЗП</t>
  </si>
  <si>
    <t>НР от ЗП</t>
  </si>
  <si>
    <t>%</t>
  </si>
  <si>
    <t>СП от ЗП</t>
  </si>
  <si>
    <t>ЗТР</t>
  </si>
  <si>
    <t>чел-ч</t>
  </si>
  <si>
    <t>ЭМ</t>
  </si>
  <si>
    <t>в т.ч. ЗПМ</t>
  </si>
  <si>
    <t>НР и СП от ЗПМ</t>
  </si>
  <si>
    <t>МР</t>
  </si>
  <si>
    <r>
      <t>Подложка под искусственную траву RX40010 (10 мм) или аналог (расход с учетом нахлеста)</t>
    </r>
    <r>
      <rPr>
        <i/>
        <sz val="10"/>
        <rFont val="Arial"/>
        <family val="2"/>
        <charset val="204"/>
      </rPr>
      <t xml:space="preserve">
43,57 = [325 / 1,2 /  6,34] +  2% Трансп</t>
    </r>
  </si>
  <si>
    <r>
      <t>Искусственная трава Domo, коллекция Golf Grass,«Golf» 13 мм ворс</t>
    </r>
    <r>
      <rPr>
        <i/>
        <sz val="10"/>
        <rFont val="Arial"/>
        <family val="2"/>
        <charset val="204"/>
      </rPr>
      <t xml:space="preserve">
251,38 = [1 875 / 1,2 /  6,34] +  2% Трансп</t>
    </r>
  </si>
  <si>
    <r>
      <t>Двухкомпонентный полиуретановый клей, не содержащий растворителей, для приклеивания искусственной травы GREEN PUR</t>
    </r>
    <r>
      <rPr>
        <i/>
        <sz val="10"/>
        <rFont val="Arial"/>
        <family val="2"/>
        <charset val="204"/>
      </rPr>
      <t xml:space="preserve">
53,63 = [400 / 1,2 /  6,34] +  2% Трансп</t>
    </r>
  </si>
  <si>
    <r>
      <t>Высококачественная серая клеевая смесь LITOSTONE K98</t>
    </r>
    <r>
      <rPr>
        <i/>
        <sz val="10"/>
        <rFont val="Arial"/>
        <family val="2"/>
        <charset val="204"/>
      </rPr>
      <t xml:space="preserve">
6,97 = [52 / 1,2 /  6,34] +  2% Трансп</t>
    </r>
  </si>
  <si>
    <r>
      <t>Шовная лента для искусственной травы</t>
    </r>
    <r>
      <rPr>
        <i/>
        <sz val="10"/>
        <rFont val="Arial"/>
        <family val="2"/>
        <charset val="204"/>
      </rPr>
      <t xml:space="preserve">
10,32 = [77 / 1,2 /  6,34] +  2% Трансп</t>
    </r>
  </si>
  <si>
    <r>
      <t>Дренажная труба 180/200 мм с геотекстильной тканью Wavin гофрированная или аналог</t>
    </r>
    <r>
      <rPr>
        <i/>
        <sz val="10"/>
        <rFont val="Arial"/>
        <family val="2"/>
        <charset val="204"/>
      </rPr>
      <t xml:space="preserve">
230,87 = [1 722 / 1,2 /  6,34] +  2% Трансп</t>
    </r>
  </si>
  <si>
    <t xml:space="preserve">   Итого по ТСН-2001.16</t>
  </si>
  <si>
    <t xml:space="preserve">   Итого возвратных сумм</t>
  </si>
  <si>
    <r>
      <t>Тротуарная плитка Классико, Грифельный, h=60 мм   BRAER</t>
    </r>
    <r>
      <rPr>
        <i/>
        <sz val="10"/>
        <rFont val="Arial"/>
        <family val="2"/>
        <charset val="204"/>
      </rPr>
      <t xml:space="preserve">
134,47 = [1 003 / 1,2 /  6,34] +  2% Трансп</t>
    </r>
  </si>
  <si>
    <r>
      <t>Тротуарный бордюр с шарнирным стыком , гладкий серый 500*200*80 мм</t>
    </r>
    <r>
      <rPr>
        <i/>
        <sz val="10"/>
        <rFont val="Arial"/>
        <family val="2"/>
        <charset val="204"/>
      </rPr>
      <t xml:space="preserve">
16,09 = [120 / 1,2 /  6,34] +  2% Трансп</t>
    </r>
  </si>
  <si>
    <r>
      <t>Пластиковый борт -кайма для отсыпки</t>
    </r>
    <r>
      <rPr>
        <i/>
        <sz val="10"/>
        <rFont val="Arial"/>
        <family val="2"/>
        <charset val="204"/>
      </rPr>
      <t xml:space="preserve">
29,04 = [216,6 / 1,2 /  6,34] +  2% Трансп</t>
    </r>
  </si>
  <si>
    <r>
      <t>Платиковый штифт</t>
    </r>
    <r>
      <rPr>
        <i/>
        <sz val="10"/>
        <rFont val="Arial"/>
        <family val="2"/>
        <charset val="204"/>
      </rPr>
      <t xml:space="preserve">
2,68 = [20 / 1,2 /  6,34] +  2% Трансп</t>
    </r>
  </si>
  <si>
    <r>
      <t>Щебень мраморный "Уфалей" белый 20-40 фр.</t>
    </r>
    <r>
      <rPr>
        <i/>
        <sz val="10"/>
        <rFont val="Arial"/>
        <family val="2"/>
        <charset val="204"/>
      </rPr>
      <t xml:space="preserve">
1 728,69 = [12 894 / 1,2 /  6,34] +  2% Трансп</t>
    </r>
  </si>
  <si>
    <t>к нр *5</t>
  </si>
  <si>
    <r>
      <t>Пластиковый штифт</t>
    </r>
    <r>
      <rPr>
        <i/>
        <sz val="10"/>
        <rFont val="Arial"/>
        <family val="2"/>
        <charset val="204"/>
      </rPr>
      <t xml:space="preserve">
2,68 = [20 / 1,2 /  6,34] +  2% Трансп</t>
    </r>
  </si>
  <si>
    <r>
      <t>Валун "Лиана" (Фракция от 10 см до 40 см)</t>
    </r>
    <r>
      <rPr>
        <i/>
        <sz val="10"/>
        <rFont val="Arial"/>
        <family val="2"/>
        <charset val="204"/>
      </rPr>
      <t xml:space="preserve">
2 574,13 = [19 200 / 1,2 /  6,34] +  2% Трансп</t>
    </r>
  </si>
  <si>
    <t>к нр *2</t>
  </si>
  <si>
    <r>
      <t>Tikkurila Novasil / Тиккурила Beckers Akrylatfarg / Беккерс Акрилатфарг универсальная фасадная краска или аналог</t>
    </r>
    <r>
      <rPr>
        <i/>
        <sz val="10"/>
        <rFont val="Arial"/>
        <family val="2"/>
        <charset val="204"/>
      </rPr>
      <t xml:space="preserve">
114 763,40 = [856 000 / 1,2 /  6,34] +  2% Трансп</t>
    </r>
  </si>
  <si>
    <r>
      <t>Пластиковый борт -кайма для отсыпки</t>
    </r>
    <r>
      <rPr>
        <i/>
        <sz val="10"/>
        <rFont val="Arial"/>
        <family val="2"/>
        <charset val="204"/>
      </rPr>
      <t xml:space="preserve">
7,75 = [59 / 1,2 /  6,34]</t>
    </r>
  </si>
  <si>
    <r>
      <t>Оборудование для системы автополива (по КП от 3-х поставщиков, конъюнктурный анализ выбор наименьшей Н(М)ЦД) в соответствии со спецификацией проекта</t>
    </r>
    <r>
      <rPr>
        <i/>
        <sz val="10"/>
        <rFont val="Arial"/>
        <family val="2"/>
        <charset val="204"/>
      </rPr>
      <t xml:space="preserve">
276 206,83 = [2 060 178 / 1,2 /  6,34] +  2% Трансп</t>
    </r>
  </si>
  <si>
    <r>
      <t>Модульная конструкция для бака и автоматики системы полива (4*2,5 м; утепленная сэндвич-панели) КП от 3-х поставщиков, конъюнктурный анализ, выбор наименьшей Н(М)ЦД</t>
    </r>
    <r>
      <rPr>
        <i/>
        <sz val="10"/>
        <rFont val="Arial"/>
        <family val="2"/>
        <charset val="204"/>
      </rPr>
      <t xml:space="preserve">
128 811,78 = [980 000 / 1,2 /  6,34]</t>
    </r>
  </si>
  <si>
    <r>
      <t>Мембрана для водоемов ЭПДМ ПондЛайнер, черная, в рулонах (толщина 1.02 мм) Carlisle</t>
    </r>
    <r>
      <rPr>
        <i/>
        <sz val="10"/>
        <rFont val="Arial"/>
        <family val="2"/>
        <charset val="204"/>
      </rPr>
      <t xml:space="preserve">
170,94 = [1 275 / 1,2 /  6,34] +  2% Трансп</t>
    </r>
  </si>
  <si>
    <r>
      <t>Лента для швов ЭПДМ, в рулонах (размер: 7.62см х 30.48м ) Carlisle</t>
    </r>
    <r>
      <rPr>
        <i/>
        <sz val="10"/>
        <rFont val="Arial"/>
        <family val="2"/>
        <charset val="204"/>
      </rPr>
      <t xml:space="preserve">
2 731,40 = [20 373 / 1,2 /  6,34] +  2% Трансп</t>
    </r>
  </si>
  <si>
    <r>
      <t>Праймер ЭПДМ (в банках по 3.8 литра) Carlisle</t>
    </r>
    <r>
      <rPr>
        <i/>
        <sz val="10"/>
        <rFont val="Arial"/>
        <family val="2"/>
        <charset val="204"/>
      </rPr>
      <t xml:space="preserve">
976,03 = [7 280 / 1,2 /  6,34] +  2% Трансп</t>
    </r>
  </si>
  <si>
    <r>
      <t>Геомат противоэрозионный для укрепления склонов</t>
    </r>
    <r>
      <rPr>
        <i/>
        <sz val="10"/>
        <rFont val="Arial"/>
        <family val="2"/>
        <charset val="204"/>
      </rPr>
      <t xml:space="preserve">
49,60 = [370 / 1,2 /  6,34] +  2% Трансп</t>
    </r>
  </si>
  <si>
    <r>
      <t>Камень природный Гранит</t>
    </r>
    <r>
      <rPr>
        <i/>
        <sz val="10"/>
        <rFont val="Arial"/>
        <family val="2"/>
        <charset val="204"/>
      </rPr>
      <t xml:space="preserve">
1 340,70 = [10 000 / 1,2 /  6,34] +  2% Трансп</t>
    </r>
  </si>
  <si>
    <r>
      <t>Валун гранитный "Казбек" КП от 3-х поставщиков (15 т*2,4 м.куб.=36 куб.м)</t>
    </r>
    <r>
      <rPr>
        <i/>
        <sz val="10"/>
        <rFont val="Arial"/>
        <family val="2"/>
        <charset val="204"/>
      </rPr>
      <t xml:space="preserve">
1 474,77 = [11 000 / 1,2 /  6,34] +  2% Трансп</t>
    </r>
  </si>
  <si>
    <r>
      <t>Камень природный Валун (в ассортименте)</t>
    </r>
    <r>
      <rPr>
        <i/>
        <sz val="10"/>
        <rFont val="Arial"/>
        <family val="2"/>
        <charset val="204"/>
      </rPr>
      <t xml:space="preserve">
1 340,70 = [10 000 / 1,2 /  6,34] +  2% Трансп</t>
    </r>
  </si>
  <si>
    <r>
      <t>Дренажная труба жесткая гофрированная с частичной перфорацией SN 8 110 мм</t>
    </r>
    <r>
      <rPr>
        <i/>
        <sz val="10"/>
        <rFont val="Arial"/>
        <family val="2"/>
        <charset val="204"/>
      </rPr>
      <t xml:space="preserve">
44,25 = [330 / 1,2 /  6,34] +  2% Трансп</t>
    </r>
  </si>
  <si>
    <t>к нр )*1,25</t>
  </si>
  <si>
    <r>
      <t>Pondtech BIO SYSTEM 3 Проточный фильтр для пруда</t>
    </r>
    <r>
      <rPr>
        <i/>
        <sz val="10"/>
        <rFont val="Arial"/>
        <family val="2"/>
        <charset val="204"/>
      </rPr>
      <t xml:space="preserve">
45 851,73 = [342 000 / 1,2 /  6,34] +  2% Трансп</t>
    </r>
  </si>
  <si>
    <r>
      <t>Насос Messner Eco-X2 10000 насос для пруда</t>
    </r>
    <r>
      <rPr>
        <i/>
        <sz val="10"/>
        <rFont val="Arial"/>
        <family val="2"/>
        <charset val="204"/>
      </rPr>
      <t xml:space="preserve">
8 718,18 = [65 130 / 1,2 /  6,35] +  2% Трансп</t>
    </r>
  </si>
  <si>
    <r>
      <t>Скиммер для пруда ProfiSkim 100 OASE</t>
    </r>
    <r>
      <rPr>
        <i/>
        <sz val="10"/>
        <rFont val="Arial"/>
        <family val="2"/>
        <charset val="204"/>
      </rPr>
      <t xml:space="preserve">
9 314,91 = [69 478,2 / 1,2 /  6,34] +  2% Трансп</t>
    </r>
  </si>
  <si>
    <r>
      <t>Шланг спиральный 38 мм (1 1/2")</t>
    </r>
    <r>
      <rPr>
        <i/>
        <sz val="10"/>
        <rFont val="Arial"/>
        <family val="2"/>
        <charset val="204"/>
      </rPr>
      <t xml:space="preserve">
18,64 = [139 / 1,2 /  6,34] +  2% Трансп</t>
    </r>
  </si>
  <si>
    <r>
      <t>Шланг спиральный 63 мм (2 1/2")</t>
    </r>
    <r>
      <rPr>
        <i/>
        <sz val="10"/>
        <rFont val="Arial"/>
        <family val="2"/>
        <charset val="204"/>
      </rPr>
      <t xml:space="preserve">
67,43 = [503 / 1,2 /  6,34] +  2% Трансп</t>
    </r>
  </si>
  <si>
    <r>
      <t>Распределитель потока CST-02F регулируемый PONDTECH</t>
    </r>
    <r>
      <rPr>
        <i/>
        <sz val="10"/>
        <rFont val="Arial"/>
        <family val="2"/>
        <charset val="204"/>
      </rPr>
      <t xml:space="preserve">
183,01 = [1 365 / 1,2 /  6,34] +  2% Трансп</t>
    </r>
  </si>
  <si>
    <r>
      <t>Защитная сетка AquaMax Eco 2 " OASE</t>
    </r>
    <r>
      <rPr>
        <i/>
        <sz val="10"/>
        <rFont val="Arial"/>
        <family val="2"/>
        <charset val="204"/>
      </rPr>
      <t xml:space="preserve">
516,83 = [3 855 / 1,2 /  6,34] +  2% Трансп</t>
    </r>
  </si>
  <si>
    <r>
      <t>Розетки для наружного монтажа IP 54</t>
    </r>
    <r>
      <rPr>
        <i/>
        <sz val="10"/>
        <rFont val="Arial"/>
        <family val="2"/>
        <charset val="204"/>
      </rPr>
      <t xml:space="preserve">
52,83 = [394 / 1,2 /  6,34] +  2% Трансп</t>
    </r>
  </si>
  <si>
    <r>
      <t>Средство для подготовки воды OptiLake</t>
    </r>
    <r>
      <rPr>
        <i/>
        <sz val="10"/>
        <rFont val="Arial"/>
        <family val="2"/>
        <charset val="204"/>
      </rPr>
      <t xml:space="preserve">
154,45 = [1 152 / 1,2 /  6,34] +  2% Трансп</t>
    </r>
  </si>
  <si>
    <r>
      <t>Biokick CWS 25 кг Стартовые бактерии</t>
    </r>
    <r>
      <rPr>
        <i/>
        <sz val="10"/>
        <rFont val="Arial"/>
        <family val="2"/>
        <charset val="204"/>
      </rPr>
      <t xml:space="preserve">
664,71 = [4 958 / 1,2 /  6,34] +  2% Трансп</t>
    </r>
  </si>
  <si>
    <r>
      <t>Расходные материалы, фитинги, обратный клапан, контроллер, муфты)</t>
    </r>
    <r>
      <rPr>
        <i/>
        <sz val="10"/>
        <rFont val="Arial"/>
        <family val="2"/>
        <charset val="204"/>
      </rPr>
      <t xml:space="preserve">
2 011,04 = [15 000 / 1,2 /  6,34] +  2% Трансп</t>
    </r>
  </si>
  <si>
    <r>
      <t>Камыш озерный 'Albescens'</t>
    </r>
    <r>
      <rPr>
        <i/>
        <sz val="10"/>
        <rFont val="Arial"/>
        <family val="2"/>
        <charset val="204"/>
      </rPr>
      <t xml:space="preserve">
53,63 = [400 / 1,2 /  6,34] +  2% Трансп</t>
    </r>
  </si>
  <si>
    <r>
      <t>Ирис болотный</t>
    </r>
    <r>
      <rPr>
        <i/>
        <sz val="10"/>
        <rFont val="Arial"/>
        <family val="2"/>
        <charset val="204"/>
      </rPr>
      <t xml:space="preserve">
46,79 = [349 / 1,2 /  6,34] +  2% Трансп</t>
    </r>
  </si>
  <si>
    <r>
      <t>Дербенник  иволнистый</t>
    </r>
    <r>
      <rPr>
        <i/>
        <sz val="10"/>
        <rFont val="Arial"/>
        <family val="2"/>
        <charset val="204"/>
      </rPr>
      <t xml:space="preserve">
69,04 = [515 / 1,2 /  6,34] +  2% Трансп</t>
    </r>
  </si>
  <si>
    <r>
      <t>Цицания Ц12</t>
    </r>
    <r>
      <rPr>
        <i/>
        <sz val="10"/>
        <rFont val="Arial"/>
        <family val="2"/>
        <charset val="204"/>
      </rPr>
      <t xml:space="preserve">
335,17 = [2 500 / 1,2 /  6,34] +  2% Трансп</t>
    </r>
  </si>
  <si>
    <r>
      <t>Осока береговая С5</t>
    </r>
    <r>
      <rPr>
        <i/>
        <sz val="10"/>
        <rFont val="Arial"/>
        <family val="2"/>
        <charset val="204"/>
      </rPr>
      <t xml:space="preserve">
53,63 = [400 / 1,2 /  6,34] +  2% Трансп</t>
    </r>
  </si>
  <si>
    <r>
      <t>Рогоз узколистый</t>
    </r>
    <r>
      <rPr>
        <i/>
        <sz val="10"/>
        <rFont val="Arial"/>
        <family val="2"/>
        <charset val="204"/>
      </rPr>
      <t xml:space="preserve">
44,25 = [330 / 1,2 /  6,34] +  2% Трансп</t>
    </r>
  </si>
  <si>
    <r>
      <t>Газон рулонный "Спортивный"</t>
    </r>
    <r>
      <rPr>
        <i/>
        <sz val="10"/>
        <rFont val="Arial"/>
        <family val="2"/>
        <charset val="204"/>
      </rPr>
      <t xml:space="preserve">
30,83 = [230 / 1,2 /  6,34] +  2% Трансп</t>
    </r>
  </si>
  <si>
    <r>
      <t>Пузыреплодник калинолистный Diabolo Н60-80h</t>
    </r>
    <r>
      <rPr>
        <i/>
        <sz val="10"/>
        <rFont val="Arial"/>
        <family val="2"/>
        <charset val="204"/>
      </rPr>
      <t xml:space="preserve">
281,55 = [2 100 / 1,2 /  6,34] +  2% Трансп</t>
    </r>
  </si>
  <si>
    <r>
      <t>Пузыреплодник калинолистный Red Baron Н60-80h</t>
    </r>
    <r>
      <rPr>
        <i/>
        <sz val="10"/>
        <rFont val="Arial"/>
        <family val="2"/>
        <charset val="204"/>
      </rPr>
      <t xml:space="preserve">
281,55 = [2 100 / 1,2 /  6,34] +  2% Трансп</t>
    </r>
  </si>
  <si>
    <r>
      <t>Дерен белый Elegantissima с3</t>
    </r>
    <r>
      <rPr>
        <i/>
        <sz val="10"/>
        <rFont val="Arial"/>
        <family val="2"/>
        <charset val="204"/>
      </rPr>
      <t xml:space="preserve">
361,99 = [2 700 / 1,2 /  6,34] +  2% Трансп</t>
    </r>
  </si>
  <si>
    <r>
      <t>Гортензия метельчатая Grandiflora с3</t>
    </r>
    <r>
      <rPr>
        <i/>
        <sz val="10"/>
        <rFont val="Arial"/>
        <family val="2"/>
        <charset val="204"/>
      </rPr>
      <t xml:space="preserve">
361,99 = [2 700 / 1,2 /  6,34] +  2% Трансп</t>
    </r>
  </si>
  <si>
    <r>
      <t>Сосна горная Pinus mugo  D60-80</t>
    </r>
    <r>
      <rPr>
        <i/>
        <sz val="10"/>
        <rFont val="Arial"/>
        <family val="2"/>
        <charset val="204"/>
      </rPr>
      <t xml:space="preserve">
3 593,06 = [26 800 / 1,2 /  6,34] +  2% Трансп</t>
    </r>
  </si>
  <si>
    <r>
      <t>Можжевельник Пфитцериана Mint Julep, d80-100</t>
    </r>
    <r>
      <rPr>
        <i/>
        <sz val="10"/>
        <rFont val="Arial"/>
        <family val="2"/>
        <charset val="204"/>
      </rPr>
      <t xml:space="preserve">
4 156,15 = [31 000 / 1,2 /  6,34] +  2% Трансп</t>
    </r>
  </si>
  <si>
    <r>
      <t>Кизильник блестящий (Блок живой изгороди)</t>
    </r>
    <r>
      <rPr>
        <i/>
        <sz val="10"/>
        <rFont val="Arial"/>
        <family val="2"/>
        <charset val="204"/>
      </rPr>
      <t xml:space="preserve">
2 131,71 = [15 900 / 1,2 /  6,34] +  2% Трансп</t>
    </r>
  </si>
  <si>
    <r>
      <t>Липа мелколистная  (куб/шар)</t>
    </r>
    <r>
      <rPr>
        <i/>
        <sz val="10"/>
        <rFont val="Arial"/>
        <family val="2"/>
        <charset val="204"/>
      </rPr>
      <t xml:space="preserve">
24 427,45 = [182 200 / 1,2 /  6,34] +  2% Трансп</t>
    </r>
  </si>
  <si>
    <r>
      <t>Спирея японская красная "Голдфлейм" (Goldflame) (контейнер p 7,5)</t>
    </r>
    <r>
      <rPr>
        <i/>
        <sz val="10"/>
        <rFont val="Arial"/>
        <family val="2"/>
        <charset val="204"/>
      </rPr>
      <t xml:space="preserve">
227,92 = [1 700 / 1,2 /  6,34] +  2% Трансп</t>
    </r>
  </si>
  <si>
    <r>
      <t>Металлорукав в ПВХ оболочке НГ 25 мм Промрукав</t>
    </r>
    <r>
      <rPr>
        <i/>
        <sz val="10"/>
        <rFont val="Arial"/>
        <family val="2"/>
        <charset val="204"/>
      </rPr>
      <t xml:space="preserve">
21,45 = [160 / 1,2 /  6,34] +  2% Трансп</t>
    </r>
  </si>
  <si>
    <r>
      <t>Светильник уличный LUTEC W2522S-800 или аналог</t>
    </r>
    <r>
      <rPr>
        <i/>
        <sz val="10"/>
        <rFont val="Arial"/>
        <family val="2"/>
        <charset val="204"/>
      </rPr>
      <t xml:space="preserve">
1 494,74 = [11 149 / 1,2 /  6,34] +  2% Трансп</t>
    </r>
  </si>
  <si>
    <r>
      <t>Ландшафтный светодиодный светильник SLV Syna Led 227508</t>
    </r>
    <r>
      <rPr>
        <i/>
        <sz val="10"/>
        <rFont val="Arial"/>
        <family val="2"/>
        <charset val="204"/>
      </rPr>
      <t xml:space="preserve">
1 085,96 = [8 100 / 1,2 /  6,34] +  2% Трансп</t>
    </r>
  </si>
  <si>
    <r>
      <t>Установка тематических МАФ /топиарных фигур</t>
    </r>
    <r>
      <rPr>
        <i/>
        <sz val="10"/>
        <rFont val="Arial"/>
        <family val="2"/>
        <charset val="204"/>
      </rPr>
      <t xml:space="preserve">
43 546,10 = [324 802,6 / 1,2 /  6,34] +  2% Трансп</t>
    </r>
  </si>
  <si>
    <r>
      <t>Закладные детали фундаментов изготовлены из  стальных труб различного диаметра</t>
    </r>
    <r>
      <rPr>
        <i/>
        <sz val="10"/>
        <rFont val="Arial"/>
        <family val="2"/>
        <charset val="204"/>
      </rPr>
      <t xml:space="preserve">
1 193,89 = [8 905 / 1,2 /  6,34] +  2% Трансп</t>
    </r>
  </si>
  <si>
    <r>
      <t>Опоры наружного освещения складные 12-14 м, металлические</t>
    </r>
    <r>
      <rPr>
        <i/>
        <sz val="10"/>
        <rFont val="Arial"/>
        <family val="2"/>
        <charset val="204"/>
      </rPr>
      <t xml:space="preserve">
18 233,44 = [136 000 / 1,2 /  6,34] +  2% Трансп</t>
    </r>
  </si>
  <si>
    <r>
      <t>Светильник светодиодный (прожектор)</t>
    </r>
    <r>
      <rPr>
        <i/>
        <sz val="10"/>
        <rFont val="Arial"/>
        <family val="2"/>
        <charset val="204"/>
      </rPr>
      <t xml:space="preserve">
8 076,34 = [60 240 / 1,2 /  6,34] +  2% Трансп</t>
    </r>
  </si>
  <si>
    <t xml:space="preserve"> тыс.руб.</t>
  </si>
  <si>
    <t xml:space="preserve">Составил   </t>
  </si>
  <si>
    <t>[должность,подпись(инициалы,фамилия)]</t>
  </si>
  <si>
    <t xml:space="preserve">Проверил   </t>
  </si>
  <si>
    <t>"СОГЛАСОВАНО"</t>
  </si>
  <si>
    <t>___________________________</t>
  </si>
  <si>
    <t>"УТВЕРЖДАЮ"</t>
  </si>
  <si>
    <t>" ___ " ___________ 20 ___ г.</t>
  </si>
  <si>
    <t xml:space="preserve">Мы, нижеподписавшиеся, произвели осмотр объекта </t>
  </si>
  <si>
    <t xml:space="preserve">и постановили произвести ремонт объекта в </t>
  </si>
  <si>
    <t>следующем объеме:</t>
  </si>
  <si>
    <t>№ п/п</t>
  </si>
  <si>
    <t>Количество</t>
  </si>
  <si>
    <t>Примечание</t>
  </si>
  <si>
    <t>Заказчик _________________</t>
  </si>
  <si>
    <t>Подрядчик _________________</t>
  </si>
  <si>
    <t>Итого по смете: Обустройство территории парка Химки-2 (Покровский берег)</t>
  </si>
  <si>
    <t xml:space="preserve">наименование товаров указанных в смете может быть заменено участником закупки на аналогичный товар </t>
  </si>
  <si>
    <t>Обустройство территории парка Химки-2 (Покровский берег)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</si>
</sst>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;[Red]\-\ #,##0.00"/>
    <numFmt numFmtId="165" formatCode="#,##0.00####;[Red]\-\ #,##0.00####"/>
  </numFmts>
  <fonts count="20" x14ac:knownFonts="1">
    <font>
      <sz val="10"/>
      <name val="Arial"/>
      <charset val="204"/>
    </font>
    <font>
      <b/>
      <sz val="10"/>
      <color indexed="12"/>
      <name val="Arial"/>
      <family val="2"/>
      <charset val="204"/>
    </font>
    <font>
      <b/>
      <sz val="10"/>
      <color indexed="16"/>
      <name val="Arial"/>
      <family val="2"/>
      <charset val="204"/>
    </font>
    <font>
      <b/>
      <sz val="10"/>
      <color indexed="20"/>
      <name val="Arial"/>
      <family val="2"/>
      <charset val="204"/>
    </font>
    <font>
      <b/>
      <sz val="10"/>
      <color indexed="17"/>
      <name val="Arial"/>
      <family val="2"/>
      <charset val="204"/>
    </font>
    <font>
      <b/>
      <sz val="10"/>
      <color indexed="14"/>
      <name val="Arial"/>
      <family val="2"/>
      <charset val="204"/>
    </font>
    <font>
      <sz val="10"/>
      <color indexed="17"/>
      <name val="Arial"/>
      <family val="2"/>
      <charset val="204"/>
    </font>
    <font>
      <sz val="10"/>
      <color indexed="12"/>
      <name val="Arial"/>
      <family val="2"/>
      <charset val="204"/>
    </font>
    <font>
      <sz val="10"/>
      <color indexed="14"/>
      <name val="Arial"/>
      <family val="2"/>
      <charset val="204"/>
    </font>
    <font>
      <sz val="10"/>
      <name val="Arial"/>
      <family val="2"/>
      <charset val="204"/>
    </font>
    <font>
      <sz val="9"/>
      <name val="Arial"/>
      <family val="2"/>
      <charset val="204"/>
    </font>
    <font>
      <sz val="11"/>
      <name val="Arial"/>
      <family val="2"/>
      <charset val="204"/>
    </font>
    <font>
      <b/>
      <sz val="12"/>
      <name val="Arial"/>
      <family val="2"/>
      <charset val="204"/>
    </font>
    <font>
      <sz val="12"/>
      <name val="Arial"/>
      <family val="2"/>
      <charset val="204"/>
    </font>
    <font>
      <b/>
      <sz val="14"/>
      <name val="Arial"/>
      <family val="2"/>
      <charset val="204"/>
    </font>
    <font>
      <b/>
      <sz val="13"/>
      <name val="Arial"/>
      <family val="2"/>
      <charset val="204"/>
    </font>
    <font>
      <i/>
      <sz val="11"/>
      <name val="Arial"/>
      <family val="2"/>
      <charset val="204"/>
    </font>
    <font>
      <b/>
      <sz val="11"/>
      <name val="Arial"/>
      <family val="2"/>
      <charset val="204"/>
    </font>
    <font>
      <i/>
      <sz val="10"/>
      <name val="Arial"/>
      <family val="2"/>
      <charset val="204"/>
    </font>
    <font>
      <b/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9" fillId="0" borderId="0"/>
  </cellStyleXfs>
  <cellXfs count="7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horizontal="center" wrapText="1"/>
    </xf>
    <xf numFmtId="164" fontId="11" fillId="0" borderId="0" xfId="0" applyNumberFormat="1" applyFont="1"/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wrapText="1"/>
    </xf>
    <xf numFmtId="0" fontId="11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 wrapText="1"/>
    </xf>
    <xf numFmtId="0" fontId="11" fillId="0" borderId="0" xfId="0" applyFont="1" applyAlignment="1">
      <alignment horizontal="right"/>
    </xf>
    <xf numFmtId="0" fontId="16" fillId="0" borderId="0" xfId="0" applyFont="1" applyAlignment="1">
      <alignment horizontal="right" wrapText="1"/>
    </xf>
    <xf numFmtId="0" fontId="11" fillId="0" borderId="0" xfId="0" applyFont="1" applyAlignment="1">
      <alignment horizontal="right" wrapText="1"/>
    </xf>
    <xf numFmtId="165" fontId="11" fillId="0" borderId="0" xfId="0" applyNumberFormat="1" applyFont="1" applyAlignment="1">
      <alignment horizontal="right"/>
    </xf>
    <xf numFmtId="164" fontId="11" fillId="0" borderId="0" xfId="0" applyNumberFormat="1" applyFont="1" applyAlignment="1">
      <alignment horizontal="right"/>
    </xf>
    <xf numFmtId="0" fontId="9" fillId="0" borderId="0" xfId="0" applyFont="1" applyAlignment="1">
      <alignment vertical="top" wrapText="1"/>
    </xf>
    <xf numFmtId="164" fontId="0" fillId="0" borderId="0" xfId="0" applyNumberFormat="1"/>
    <xf numFmtId="0" fontId="0" fillId="0" borderId="5" xfId="0" applyBorder="1"/>
    <xf numFmtId="164" fontId="16" fillId="0" borderId="0" xfId="0" applyNumberFormat="1" applyFont="1" applyAlignment="1">
      <alignment horizontal="right"/>
    </xf>
    <xf numFmtId="0" fontId="11" fillId="0" borderId="0" xfId="0" quotePrefix="1" applyFont="1" applyAlignment="1">
      <alignment horizontal="right" wrapText="1"/>
    </xf>
    <xf numFmtId="0" fontId="17" fillId="0" borderId="0" xfId="0" applyFont="1"/>
    <xf numFmtId="0" fontId="17" fillId="0" borderId="0" xfId="0" applyFont="1" applyAlignment="1">
      <alignment horizontal="right"/>
    </xf>
    <xf numFmtId="0" fontId="17" fillId="0" borderId="0" xfId="0" applyFont="1" applyAlignment="1">
      <alignment horizontal="left" wrapText="1"/>
    </xf>
    <xf numFmtId="0" fontId="11" fillId="0" borderId="1" xfId="0" applyFont="1" applyBorder="1"/>
    <xf numFmtId="0" fontId="17" fillId="0" borderId="0" xfId="0" applyFont="1" applyAlignment="1">
      <alignment horizontal="left"/>
    </xf>
    <xf numFmtId="0" fontId="17" fillId="0" borderId="0" xfId="0" applyFont="1" applyBorder="1" applyAlignment="1">
      <alignment horizontal="right"/>
    </xf>
    <xf numFmtId="0" fontId="17" fillId="0" borderId="0" xfId="0" applyFont="1" applyAlignment="1">
      <alignment horizontal="left" vertical="top"/>
    </xf>
    <xf numFmtId="0" fontId="11" fillId="0" borderId="4" xfId="0" applyFont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left" wrapText="1"/>
    </xf>
    <xf numFmtId="0" fontId="11" fillId="0" borderId="3" xfId="0" applyFont="1" applyBorder="1" applyAlignment="1">
      <alignment horizontal="right" wrapText="1"/>
    </xf>
    <xf numFmtId="0" fontId="11" fillId="0" borderId="3" xfId="0" applyFont="1" applyBorder="1" applyAlignment="1">
      <alignment horizontal="right"/>
    </xf>
    <xf numFmtId="0" fontId="11" fillId="0" borderId="4" xfId="0" applyFont="1" applyBorder="1" applyAlignment="1">
      <alignment horizontal="left" vertical="top" wrapText="1"/>
    </xf>
    <xf numFmtId="0" fontId="11" fillId="0" borderId="4" xfId="0" applyFont="1" applyBorder="1" applyAlignment="1">
      <alignment horizontal="left" wrapText="1"/>
    </xf>
    <xf numFmtId="0" fontId="11" fillId="0" borderId="4" xfId="0" applyFont="1" applyBorder="1" applyAlignment="1">
      <alignment horizontal="right" wrapText="1"/>
    </xf>
    <xf numFmtId="0" fontId="11" fillId="0" borderId="4" xfId="0" applyFont="1" applyBorder="1" applyAlignment="1">
      <alignment horizontal="right"/>
    </xf>
    <xf numFmtId="0" fontId="15" fillId="0" borderId="2" xfId="0" applyFont="1" applyBorder="1" applyAlignment="1">
      <alignment horizontal="center" wrapText="1"/>
    </xf>
    <xf numFmtId="0" fontId="11" fillId="0" borderId="0" xfId="0" applyFont="1" applyAlignment="1">
      <alignment horizontal="right" vertical="center"/>
    </xf>
    <xf numFmtId="0" fontId="11" fillId="0" borderId="0" xfId="0" applyFont="1" applyAlignment="1">
      <alignment horizontal="left"/>
    </xf>
    <xf numFmtId="0" fontId="10" fillId="0" borderId="2" xfId="0" applyFont="1" applyBorder="1" applyAlignment="1">
      <alignment horizontal="center"/>
    </xf>
    <xf numFmtId="0" fontId="11" fillId="0" borderId="0" xfId="0" applyFont="1" applyAlignment="1">
      <alignment horizontal="left" wrapText="1"/>
    </xf>
    <xf numFmtId="164" fontId="11" fillId="0" borderId="0" xfId="0" applyNumberFormat="1" applyFont="1" applyAlignment="1">
      <alignment horizontal="right"/>
    </xf>
    <xf numFmtId="164" fontId="17" fillId="0" borderId="0" xfId="0" applyNumberFormat="1" applyFont="1" applyAlignment="1">
      <alignment horizontal="right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left" wrapText="1"/>
    </xf>
    <xf numFmtId="164" fontId="17" fillId="0" borderId="5" xfId="0" applyNumberFormat="1" applyFont="1" applyBorder="1" applyAlignment="1">
      <alignment horizontal="right"/>
    </xf>
    <xf numFmtId="0" fontId="15" fillId="0" borderId="0" xfId="0" applyFont="1" applyAlignment="1">
      <alignment horizontal="center" wrapText="1"/>
    </xf>
    <xf numFmtId="0" fontId="15" fillId="2" borderId="0" xfId="0" applyFont="1" applyFill="1" applyAlignment="1">
      <alignment horizontal="center" wrapText="1"/>
    </xf>
    <xf numFmtId="0" fontId="11" fillId="0" borderId="0" xfId="0" applyFont="1" applyFill="1" applyAlignment="1">
      <alignment horizontal="left"/>
    </xf>
    <xf numFmtId="0" fontId="11" fillId="0" borderId="0" xfId="1" applyFont="1" applyFill="1" applyAlignment="1">
      <alignment horizontal="left"/>
    </xf>
    <xf numFmtId="0" fontId="9" fillId="0" borderId="0" xfId="1" applyFont="1" applyFill="1" applyAlignment="1">
      <alignment horizontal="left"/>
    </xf>
    <xf numFmtId="0" fontId="11" fillId="0" borderId="1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10" fillId="0" borderId="0" xfId="0" applyFont="1" applyAlignment="1">
      <alignment horizontal="center" wrapText="1"/>
    </xf>
    <xf numFmtId="0" fontId="0" fillId="0" borderId="0" xfId="0" applyAlignment="1"/>
    <xf numFmtId="0" fontId="12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horizontal="center" wrapText="1"/>
    </xf>
    <xf numFmtId="0" fontId="14" fillId="0" borderId="0" xfId="0" applyFont="1" applyAlignment="1">
      <alignment horizontal="center" wrapText="1"/>
    </xf>
    <xf numFmtId="0" fontId="14" fillId="0" borderId="1" xfId="0" applyFont="1" applyBorder="1" applyAlignment="1">
      <alignment horizontal="center" wrapText="1"/>
    </xf>
    <xf numFmtId="0" fontId="15" fillId="2" borderId="4" xfId="0" applyFont="1" applyFill="1" applyBorder="1" applyAlignment="1">
      <alignment horizontal="center" wrapText="1"/>
    </xf>
    <xf numFmtId="0" fontId="15" fillId="0" borderId="4" xfId="0" applyFont="1" applyBorder="1" applyAlignment="1">
      <alignment horizontal="center" wrapText="1"/>
    </xf>
    <xf numFmtId="0" fontId="17" fillId="0" borderId="0" xfId="0" applyFont="1" applyBorder="1" applyAlignment="1">
      <alignment horizontal="right"/>
    </xf>
    <xf numFmtId="0" fontId="12" fillId="0" borderId="0" xfId="0" applyFont="1" applyAlignment="1">
      <alignment horizontal="center" wrapText="1"/>
    </xf>
    <xf numFmtId="0" fontId="17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</cellXfs>
  <cellStyles count="2">
    <cellStyle name="Обычный" xfId="0" builtinId="0"/>
    <cellStyle name="Обычный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L1636"/>
  <sheetViews>
    <sheetView tabSelected="1" zoomScaleNormal="100" workbookViewId="0">
      <selection activeCell="H300" sqref="H300:I300"/>
    </sheetView>
  </sheetViews>
  <sheetFormatPr defaultRowHeight="12.75" x14ac:dyDescent="0.2"/>
  <cols>
    <col min="1" max="1" width="5.7109375" customWidth="1"/>
    <col min="2" max="2" width="11.7109375" customWidth="1"/>
    <col min="3" max="3" width="40.7109375" customWidth="1"/>
    <col min="4" max="4" width="11.7109375" customWidth="1"/>
    <col min="5" max="6" width="11.28515625" bestFit="1" customWidth="1"/>
    <col min="8" max="8" width="8.28515625" bestFit="1" customWidth="1"/>
    <col min="9" max="9" width="11.42578125" bestFit="1" customWidth="1"/>
    <col min="10" max="10" width="10.140625" bestFit="1" customWidth="1"/>
    <col min="11" max="11" width="13.140625" bestFit="1" customWidth="1"/>
    <col min="14" max="36" width="0" hidden="1" customWidth="1"/>
    <col min="37" max="37" width="129.7109375" hidden="1" customWidth="1"/>
    <col min="38" max="38" width="97" hidden="1" customWidth="1"/>
    <col min="39" max="42" width="0" hidden="1" customWidth="1"/>
  </cols>
  <sheetData>
    <row r="1" spans="1:11" x14ac:dyDescent="0.2">
      <c r="A1" s="9" t="str">
        <f>Source!B1</f>
        <v>Smeta.RU Flash  (495) 974-1589</v>
      </c>
    </row>
    <row r="2" spans="1:11" ht="14.25" x14ac:dyDescent="0.2">
      <c r="A2" s="10"/>
      <c r="B2" s="10"/>
      <c r="C2" s="10"/>
      <c r="D2" s="10"/>
      <c r="E2" s="10"/>
      <c r="F2" s="10"/>
      <c r="G2" s="10"/>
      <c r="H2" s="10"/>
      <c r="I2" s="10"/>
      <c r="J2" s="61" t="s">
        <v>1623</v>
      </c>
      <c r="K2" s="61"/>
    </row>
    <row r="3" spans="1:11" ht="15.75" x14ac:dyDescent="0.25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</row>
    <row r="4" spans="1:11" x14ac:dyDescent="0.2">
      <c r="A4" s="48" t="s">
        <v>1601</v>
      </c>
      <c r="B4" s="48"/>
      <c r="C4" s="48"/>
      <c r="D4" s="48"/>
      <c r="E4" s="48"/>
      <c r="F4" s="48"/>
      <c r="G4" s="48"/>
      <c r="H4" s="48"/>
      <c r="I4" s="48"/>
      <c r="J4" s="48"/>
      <c r="K4" s="48"/>
    </row>
    <row r="5" spans="1:11" ht="14.25" x14ac:dyDescent="0.2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</row>
    <row r="6" spans="1:11" ht="15.75" x14ac:dyDescent="0.25">
      <c r="A6" s="64" t="str">
        <f>CONCATENATE( "ЛОКАЛЬНАЯ СМЕТА № ",IF(Source!F12&lt;&gt;"Новый объект", Source!F12, ""))</f>
        <v xml:space="preserve">ЛОКАЛЬНАЯ СМЕТА № </v>
      </c>
      <c r="B6" s="65"/>
      <c r="C6" s="65"/>
      <c r="D6" s="65"/>
      <c r="E6" s="65"/>
      <c r="F6" s="65"/>
      <c r="G6" s="65"/>
      <c r="H6" s="65"/>
      <c r="I6" s="65"/>
      <c r="J6" s="65"/>
      <c r="K6" s="65"/>
    </row>
    <row r="7" spans="1:11" x14ac:dyDescent="0.2">
      <c r="A7" s="62" t="s">
        <v>1602</v>
      </c>
      <c r="B7" s="62"/>
      <c r="C7" s="62"/>
      <c r="D7" s="62"/>
      <c r="E7" s="62"/>
      <c r="F7" s="62"/>
      <c r="G7" s="62"/>
      <c r="H7" s="62"/>
      <c r="I7" s="62"/>
      <c r="J7" s="62"/>
      <c r="K7" s="62"/>
    </row>
    <row r="8" spans="1:11" ht="14.25" x14ac:dyDescent="0.2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</row>
    <row r="9" spans="1:11" ht="18" hidden="1" x14ac:dyDescent="0.25">
      <c r="A9" s="66"/>
      <c r="B9" s="66"/>
      <c r="C9" s="66"/>
      <c r="D9" s="66"/>
      <c r="E9" s="66"/>
      <c r="F9" s="66"/>
      <c r="G9" s="66"/>
      <c r="H9" s="66"/>
      <c r="I9" s="66"/>
      <c r="J9" s="66"/>
      <c r="K9" s="66"/>
    </row>
    <row r="10" spans="1:11" ht="14.25" hidden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</row>
    <row r="11" spans="1:11" ht="18" x14ac:dyDescent="0.25">
      <c r="A11" s="67" t="s">
        <v>1717</v>
      </c>
      <c r="B11" s="67"/>
      <c r="C11" s="67"/>
      <c r="D11" s="67"/>
      <c r="E11" s="67"/>
      <c r="F11" s="67"/>
      <c r="G11" s="67"/>
      <c r="H11" s="67"/>
      <c r="I11" s="67"/>
      <c r="J11" s="67"/>
      <c r="K11" s="67"/>
    </row>
    <row r="12" spans="1:11" x14ac:dyDescent="0.2">
      <c r="A12" s="62" t="s">
        <v>1603</v>
      </c>
      <c r="B12" s="63"/>
      <c r="C12" s="63"/>
      <c r="D12" s="63"/>
      <c r="E12" s="63"/>
      <c r="F12" s="63"/>
      <c r="G12" s="63"/>
      <c r="H12" s="63"/>
      <c r="I12" s="63"/>
      <c r="J12" s="63"/>
      <c r="K12" s="63"/>
    </row>
    <row r="13" spans="1:11" ht="14.25" x14ac:dyDescent="0.2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 spans="1:11" ht="14.25" x14ac:dyDescent="0.2">
      <c r="A14" s="49" t="str">
        <f>CONCATENATE( "Основание: чертежи № ", Source!J12)</f>
        <v xml:space="preserve">Основание: чертежи № </v>
      </c>
      <c r="B14" s="49"/>
      <c r="C14" s="49"/>
      <c r="D14" s="49"/>
      <c r="E14" s="49"/>
      <c r="F14" s="49"/>
      <c r="G14" s="49"/>
      <c r="H14" s="49"/>
      <c r="I14" s="49"/>
      <c r="J14" s="49"/>
      <c r="K14" s="49"/>
    </row>
    <row r="15" spans="1:11" ht="28.5" x14ac:dyDescent="0.2">
      <c r="A15" s="10"/>
      <c r="B15" s="10"/>
      <c r="C15" s="10"/>
      <c r="D15" s="10"/>
      <c r="E15" s="10"/>
      <c r="F15" s="10"/>
      <c r="G15" s="10"/>
      <c r="H15" s="10"/>
      <c r="I15" s="11" t="s">
        <v>1604</v>
      </c>
      <c r="J15" s="11" t="s">
        <v>1605</v>
      </c>
      <c r="K15" s="10"/>
    </row>
    <row r="16" spans="1:11" ht="14.25" x14ac:dyDescent="0.2">
      <c r="A16" s="10"/>
      <c r="B16" s="10"/>
      <c r="C16" s="10"/>
      <c r="D16" s="10"/>
      <c r="E16" s="10"/>
      <c r="F16" s="47" t="s">
        <v>1606</v>
      </c>
      <c r="G16" s="47"/>
      <c r="H16" s="47"/>
      <c r="I16" s="12">
        <f>SUM(O1:O1624)/1000</f>
        <v>3893.0322500000011</v>
      </c>
      <c r="J16" s="12">
        <f>(Source!F1165/1000)</f>
        <v>31155.250010000003</v>
      </c>
      <c r="K16" s="10" t="s">
        <v>1699</v>
      </c>
    </row>
    <row r="17" spans="1:37" ht="14.25" x14ac:dyDescent="0.2">
      <c r="A17" s="10"/>
      <c r="B17" s="10"/>
      <c r="C17" s="10"/>
      <c r="D17" s="10"/>
      <c r="E17" s="10"/>
      <c r="F17" s="47" t="s">
        <v>22</v>
      </c>
      <c r="G17" s="47"/>
      <c r="H17" s="47"/>
      <c r="I17" s="12">
        <f>SUM(X1:X1624)/1000</f>
        <v>3510.2499500000017</v>
      </c>
      <c r="J17" s="12">
        <f>(Source!F1154)/1000</f>
        <v>27612.13435</v>
      </c>
      <c r="K17" s="10" t="s">
        <v>1699</v>
      </c>
    </row>
    <row r="18" spans="1:37" ht="14.25" x14ac:dyDescent="0.2">
      <c r="A18" s="10"/>
      <c r="B18" s="10"/>
      <c r="C18" s="10"/>
      <c r="D18" s="10"/>
      <c r="E18" s="10"/>
      <c r="F18" s="47" t="s">
        <v>1607</v>
      </c>
      <c r="G18" s="47"/>
      <c r="H18" s="47"/>
      <c r="I18" s="12">
        <f>SUM(Y1:Y1624)/1000</f>
        <v>127.61675999999999</v>
      </c>
      <c r="J18" s="12">
        <f>(Source!F1155)/1000</f>
        <v>1020.1972099999999</v>
      </c>
      <c r="K18" s="10" t="s">
        <v>1699</v>
      </c>
    </row>
    <row r="19" spans="1:37" ht="14.25" x14ac:dyDescent="0.2">
      <c r="A19" s="10"/>
      <c r="B19" s="10"/>
      <c r="C19" s="10"/>
      <c r="D19" s="10"/>
      <c r="E19" s="10"/>
      <c r="F19" s="47" t="s">
        <v>1608</v>
      </c>
      <c r="G19" s="47"/>
      <c r="H19" s="47"/>
      <c r="I19" s="12">
        <f>SUM(Z1:Z1624)/1000</f>
        <v>42.888449999999999</v>
      </c>
      <c r="J19" s="12">
        <f>(Source!F1146)/1000</f>
        <v>170.26714999999999</v>
      </c>
      <c r="K19" s="10" t="s">
        <v>1699</v>
      </c>
    </row>
    <row r="20" spans="1:37" ht="14.25" x14ac:dyDescent="0.2">
      <c r="A20" s="10"/>
      <c r="B20" s="10"/>
      <c r="C20" s="10"/>
      <c r="D20" s="10"/>
      <c r="E20" s="10"/>
      <c r="F20" s="47" t="s">
        <v>1609</v>
      </c>
      <c r="G20" s="47"/>
      <c r="H20" s="47"/>
      <c r="I20" s="12">
        <f>SUM(AA1:AA1624)/1000</f>
        <v>212.27709000000004</v>
      </c>
      <c r="J20" s="12">
        <f>(Source!F1156+Source!F1157)/1000</f>
        <v>2352.6513</v>
      </c>
      <c r="K20" s="10" t="s">
        <v>1699</v>
      </c>
    </row>
    <row r="21" spans="1:37" ht="14.25" x14ac:dyDescent="0.2">
      <c r="A21" s="10"/>
      <c r="B21" s="10"/>
      <c r="C21" s="10"/>
      <c r="D21" s="10"/>
      <c r="E21" s="10"/>
      <c r="F21" s="47" t="s">
        <v>1610</v>
      </c>
      <c r="G21" s="47"/>
      <c r="H21" s="47"/>
      <c r="I21" s="12">
        <f>SUM(W1:W1624)/1000</f>
        <v>152.12802999999994</v>
      </c>
      <c r="J21" s="12">
        <f>(Source!F1152+ Source!F1151)/1000</f>
        <v>3866.3071099999997</v>
      </c>
      <c r="K21" s="10" t="s">
        <v>1699</v>
      </c>
    </row>
    <row r="22" spans="1:37" ht="14.25" hidden="1" x14ac:dyDescent="0.2">
      <c r="A22" s="10"/>
      <c r="B22" s="10"/>
      <c r="C22" s="10"/>
      <c r="D22" s="10"/>
      <c r="E22" s="10"/>
      <c r="F22" s="57" t="s">
        <v>1611</v>
      </c>
      <c r="G22" s="57"/>
      <c r="H22" s="57"/>
      <c r="I22" s="12"/>
      <c r="J22" s="12"/>
      <c r="K22" s="10"/>
    </row>
    <row r="23" spans="1:37" ht="14.25" hidden="1" x14ac:dyDescent="0.2">
      <c r="A23" s="10"/>
      <c r="B23" s="10"/>
      <c r="C23" s="10"/>
      <c r="D23" s="10"/>
      <c r="E23" s="10"/>
      <c r="F23" s="58" t="s">
        <v>252</v>
      </c>
      <c r="G23" s="59"/>
      <c r="H23" s="59"/>
      <c r="I23" s="12">
        <f>SUM(AE1:AE1624)/1000</f>
        <v>0</v>
      </c>
      <c r="J23" s="12">
        <f>SUM(AF1:AF1624)/1000</f>
        <v>0</v>
      </c>
      <c r="K23" s="10" t="s">
        <v>1699</v>
      </c>
    </row>
    <row r="24" spans="1:37" ht="14.25" x14ac:dyDescent="0.2">
      <c r="A24" s="60" t="s">
        <v>1624</v>
      </c>
      <c r="B24" s="60"/>
      <c r="C24" s="60"/>
      <c r="D24" s="60"/>
      <c r="E24" s="60"/>
      <c r="F24" s="60"/>
      <c r="G24" s="60"/>
      <c r="H24" s="60"/>
      <c r="I24" s="60"/>
      <c r="J24" s="60"/>
      <c r="K24" s="60"/>
      <c r="AK24" s="15" t="s">
        <v>1624</v>
      </c>
    </row>
    <row r="25" spans="1:37" ht="71.25" x14ac:dyDescent="0.2">
      <c r="A25" s="13" t="s">
        <v>1612</v>
      </c>
      <c r="B25" s="13" t="s">
        <v>1613</v>
      </c>
      <c r="C25" s="13" t="s">
        <v>1614</v>
      </c>
      <c r="D25" s="13" t="s">
        <v>1615</v>
      </c>
      <c r="E25" s="13" t="s">
        <v>1616</v>
      </c>
      <c r="F25" s="13" t="s">
        <v>1617</v>
      </c>
      <c r="G25" s="14" t="s">
        <v>1618</v>
      </c>
      <c r="H25" s="14" t="s">
        <v>1619</v>
      </c>
      <c r="I25" s="13" t="s">
        <v>1620</v>
      </c>
      <c r="J25" s="13" t="s">
        <v>1621</v>
      </c>
      <c r="K25" s="13" t="s">
        <v>1622</v>
      </c>
    </row>
    <row r="26" spans="1:37" ht="14.25" x14ac:dyDescent="0.2">
      <c r="A26" s="13">
        <v>1</v>
      </c>
      <c r="B26" s="13">
        <v>2</v>
      </c>
      <c r="C26" s="13">
        <v>3</v>
      </c>
      <c r="D26" s="13">
        <v>4</v>
      </c>
      <c r="E26" s="13">
        <v>5</v>
      </c>
      <c r="F26" s="13">
        <v>6</v>
      </c>
      <c r="G26" s="13">
        <v>7</v>
      </c>
      <c r="H26" s="13">
        <v>8</v>
      </c>
      <c r="I26" s="13">
        <v>9</v>
      </c>
      <c r="J26" s="13">
        <v>10</v>
      </c>
      <c r="K26" s="13">
        <v>11</v>
      </c>
    </row>
    <row r="28" spans="1:37" ht="16.5" x14ac:dyDescent="0.25">
      <c r="A28" s="55" t="str">
        <f>CONCATENATE("Локальная смета: ",IF(Source!G20&lt;&gt;"Новая локальная смета", Source!G20, ""))</f>
        <v xml:space="preserve">Локальная смета: </v>
      </c>
      <c r="B28" s="55"/>
      <c r="C28" s="55"/>
      <c r="D28" s="55"/>
      <c r="E28" s="55"/>
      <c r="F28" s="55"/>
      <c r="G28" s="55"/>
      <c r="H28" s="55"/>
      <c r="I28" s="55"/>
      <c r="J28" s="55"/>
      <c r="K28" s="55"/>
    </row>
    <row r="30" spans="1:37" ht="16.5" x14ac:dyDescent="0.25">
      <c r="A30" s="55" t="str">
        <f>CONCATENATE("Раздел: ",IF(Source!G24&lt;&gt;"Новый раздел", Source!G24, ""))</f>
        <v>Раздел: Покрытие "Искусственная трава" 13 мм, на площади 787 кв.м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</row>
    <row r="31" spans="1:37" ht="14.25" x14ac:dyDescent="0.2">
      <c r="A31" s="16" t="str">
        <f>Source!E28</f>
        <v>1</v>
      </c>
      <c r="B31" s="17" t="str">
        <f>Source!F28</f>
        <v>3.47-1-3</v>
      </c>
      <c r="C31" s="17" t="s">
        <v>17</v>
      </c>
      <c r="D31" s="19" t="str">
        <f>Source!H28</f>
        <v>100 м2</v>
      </c>
      <c r="E31" s="18">
        <f>Source!I28</f>
        <v>7.87</v>
      </c>
      <c r="F31" s="21"/>
      <c r="G31" s="20"/>
      <c r="H31" s="18"/>
      <c r="I31" s="22"/>
      <c r="J31" s="18"/>
      <c r="K31" s="22"/>
      <c r="Q31">
        <f>ROUND((Source!DN28/100)*ROUND((ROUND((Source!AF28*Source!AV28*Source!I28),2)),2), 2)</f>
        <v>1214.6300000000001</v>
      </c>
      <c r="R31">
        <f>Source!X28</f>
        <v>17827.060000000001</v>
      </c>
      <c r="S31">
        <f>ROUND((Source!DO28/100)*ROUND((ROUND((Source!AF28*Source!AV28*Source!I28),2)),2), 2)</f>
        <v>654.03</v>
      </c>
      <c r="T31">
        <f>Source!Y28</f>
        <v>8121.21</v>
      </c>
      <c r="U31">
        <f>ROUND((175/100)*ROUND((ROUND((Source!AE28*Source!AV28*Source!I28),2)),2), 2)</f>
        <v>0</v>
      </c>
      <c r="V31">
        <f>ROUND((157/100)*ROUND(ROUND((ROUND((Source!AE28*Source!AV28*Source!I28),2)*Source!BS28),2), 2), 2)</f>
        <v>0</v>
      </c>
    </row>
    <row r="32" spans="1:37" x14ac:dyDescent="0.2">
      <c r="C32" s="23" t="str">
        <f>"Объем: "&amp;Source!I28&amp;"=787/"&amp;"100"</f>
        <v>Объем: 7,87=787/100</v>
      </c>
    </row>
    <row r="33" spans="1:27" ht="14.25" x14ac:dyDescent="0.2">
      <c r="A33" s="16"/>
      <c r="B33" s="17"/>
      <c r="C33" s="17" t="s">
        <v>1625</v>
      </c>
      <c r="D33" s="19"/>
      <c r="E33" s="18"/>
      <c r="F33" s="21">
        <f>Source!AO28</f>
        <v>86.03</v>
      </c>
      <c r="G33" s="20" t="str">
        <f>Source!DG28</f>
        <v>)*1,15</v>
      </c>
      <c r="H33" s="18">
        <f>Source!AV28</f>
        <v>1</v>
      </c>
      <c r="I33" s="22">
        <f>ROUND((ROUND((Source!AF28*Source!AV28*Source!I28),2)),2)</f>
        <v>778.61</v>
      </c>
      <c r="J33" s="18">
        <f>IF(Source!BA28&lt;&gt; 0, Source!BA28, 1)</f>
        <v>25.44</v>
      </c>
      <c r="K33" s="22">
        <f>Source!S28</f>
        <v>19807.84</v>
      </c>
      <c r="W33">
        <f>I33</f>
        <v>778.61</v>
      </c>
    </row>
    <row r="34" spans="1:27" ht="14.25" x14ac:dyDescent="0.2">
      <c r="A34" s="16"/>
      <c r="B34" s="17"/>
      <c r="C34" s="17" t="s">
        <v>1626</v>
      </c>
      <c r="D34" s="19" t="s">
        <v>1627</v>
      </c>
      <c r="E34" s="18">
        <f>Source!DN28</f>
        <v>156</v>
      </c>
      <c r="F34" s="21"/>
      <c r="G34" s="20"/>
      <c r="H34" s="18"/>
      <c r="I34" s="22">
        <f>SUM(Q31:Q33)</f>
        <v>1214.6300000000001</v>
      </c>
      <c r="J34" s="18">
        <f>Source!BZ28</f>
        <v>90</v>
      </c>
      <c r="K34" s="22">
        <f>SUM(R31:R33)</f>
        <v>17827.060000000001</v>
      </c>
    </row>
    <row r="35" spans="1:27" ht="14.25" x14ac:dyDescent="0.2">
      <c r="A35" s="16"/>
      <c r="B35" s="17"/>
      <c r="C35" s="17" t="s">
        <v>1628</v>
      </c>
      <c r="D35" s="19" t="s">
        <v>1627</v>
      </c>
      <c r="E35" s="18">
        <f>Source!DO28</f>
        <v>84</v>
      </c>
      <c r="F35" s="21"/>
      <c r="G35" s="20"/>
      <c r="H35" s="18"/>
      <c r="I35" s="22">
        <f>SUM(S31:S34)</f>
        <v>654.03</v>
      </c>
      <c r="J35" s="18">
        <f>Source!CA28</f>
        <v>41</v>
      </c>
      <c r="K35" s="22">
        <f>SUM(T31:T34)</f>
        <v>8121.21</v>
      </c>
    </row>
    <row r="36" spans="1:27" ht="14.25" x14ac:dyDescent="0.2">
      <c r="A36" s="16"/>
      <c r="B36" s="17"/>
      <c r="C36" s="17" t="s">
        <v>1629</v>
      </c>
      <c r="D36" s="19" t="s">
        <v>1630</v>
      </c>
      <c r="E36" s="18">
        <f>Source!AQ28</f>
        <v>7.41</v>
      </c>
      <c r="F36" s="21"/>
      <c r="G36" s="20" t="str">
        <f>Source!DI28</f>
        <v>)*1,15</v>
      </c>
      <c r="H36" s="18">
        <f>Source!AV28</f>
        <v>1</v>
      </c>
      <c r="I36" s="22">
        <f>Source!U28</f>
        <v>67.064205000000001</v>
      </c>
      <c r="J36" s="18"/>
      <c r="K36" s="22"/>
    </row>
    <row r="37" spans="1:27" ht="15" x14ac:dyDescent="0.25">
      <c r="A37" s="25"/>
      <c r="B37" s="25"/>
      <c r="C37" s="25"/>
      <c r="D37" s="25"/>
      <c r="E37" s="25"/>
      <c r="F37" s="25"/>
      <c r="G37" s="25"/>
      <c r="H37" s="54">
        <f>I33+I34+I35</f>
        <v>2647.2700000000004</v>
      </c>
      <c r="I37" s="54"/>
      <c r="J37" s="54">
        <f>K33+K34+K35</f>
        <v>45756.11</v>
      </c>
      <c r="K37" s="54"/>
      <c r="O37" s="24">
        <f>I33+I34+I35</f>
        <v>2647.2700000000004</v>
      </c>
      <c r="P37" s="24">
        <f>K33+K34+K35</f>
        <v>45756.11</v>
      </c>
      <c r="X37">
        <f>IF(Source!BI28&lt;=1,I33+I34+I35-0, 0)</f>
        <v>2647.2700000000004</v>
      </c>
      <c r="Y37">
        <f>IF(Source!BI28=2,I33+I34+I35-0, 0)</f>
        <v>0</v>
      </c>
      <c r="Z37">
        <f>IF(Source!BI28=3,I33+I34+I35-0, 0)</f>
        <v>0</v>
      </c>
      <c r="AA37">
        <f>IF(Source!BI28=4,I33+I34+I35,0)</f>
        <v>0</v>
      </c>
    </row>
    <row r="38" spans="1:27" ht="28.5" x14ac:dyDescent="0.2">
      <c r="A38" s="16" t="str">
        <f>Source!E29</f>
        <v>2</v>
      </c>
      <c r="B38" s="17" t="str">
        <f>Source!F29</f>
        <v>3.47-74-1</v>
      </c>
      <c r="C38" s="17" t="s">
        <v>28</v>
      </c>
      <c r="D38" s="19" t="str">
        <f>Source!H29</f>
        <v>100 м2</v>
      </c>
      <c r="E38" s="18">
        <f>Source!I29</f>
        <v>7.87</v>
      </c>
      <c r="F38" s="21"/>
      <c r="G38" s="20"/>
      <c r="H38" s="18"/>
      <c r="I38" s="22"/>
      <c r="J38" s="18"/>
      <c r="K38" s="22"/>
      <c r="Q38">
        <f>ROUND((Source!DN29/100)*ROUND((ROUND((Source!AF29*Source!AV29*Source!I29),2)),2), 2)</f>
        <v>923.93</v>
      </c>
      <c r="R38">
        <f>Source!X29</f>
        <v>13560.38</v>
      </c>
      <c r="S38">
        <f>ROUND((Source!DO29/100)*ROUND((ROUND((Source!AF29*Source!AV29*Source!I29),2)),2), 2)</f>
        <v>497.5</v>
      </c>
      <c r="T38">
        <f>Source!Y29</f>
        <v>6177.51</v>
      </c>
      <c r="U38">
        <f>ROUND((175/100)*ROUND((ROUND((Source!AE29*Source!AV29*Source!I29),2)),2), 2)</f>
        <v>3.52</v>
      </c>
      <c r="V38">
        <f>ROUND((157/100)*ROUND(ROUND((ROUND((Source!AE29*Source!AV29*Source!I29),2)*Source!BS29),2), 2), 2)</f>
        <v>80.27</v>
      </c>
    </row>
    <row r="39" spans="1:27" x14ac:dyDescent="0.2">
      <c r="C39" s="23" t="str">
        <f>"Объем: "&amp;Source!I29&amp;"=787/"&amp;"100"</f>
        <v>Объем: 7,87=787/100</v>
      </c>
    </row>
    <row r="40" spans="1:27" ht="14.25" x14ac:dyDescent="0.2">
      <c r="A40" s="16"/>
      <c r="B40" s="17"/>
      <c r="C40" s="17" t="s">
        <v>1625</v>
      </c>
      <c r="D40" s="19"/>
      <c r="E40" s="18"/>
      <c r="F40" s="21">
        <f>Source!AO29</f>
        <v>94.07</v>
      </c>
      <c r="G40" s="20" t="str">
        <f>Source!DG29</f>
        <v>*0,8</v>
      </c>
      <c r="H40" s="18">
        <f>Source!AV29</f>
        <v>1</v>
      </c>
      <c r="I40" s="22">
        <f>ROUND((ROUND((Source!AF29*Source!AV29*Source!I29),2)),2)</f>
        <v>592.26</v>
      </c>
      <c r="J40" s="18">
        <f>IF(Source!BA29&lt;&gt; 0, Source!BA29, 1)</f>
        <v>25.44</v>
      </c>
      <c r="K40" s="22">
        <f>Source!S29</f>
        <v>15067.09</v>
      </c>
      <c r="W40">
        <f>I40</f>
        <v>592.26</v>
      </c>
    </row>
    <row r="41" spans="1:27" ht="14.25" x14ac:dyDescent="0.2">
      <c r="A41" s="16"/>
      <c r="B41" s="17"/>
      <c r="C41" s="17" t="s">
        <v>1631</v>
      </c>
      <c r="D41" s="19"/>
      <c r="E41" s="18"/>
      <c r="F41" s="21">
        <f>Source!AM29</f>
        <v>1.58</v>
      </c>
      <c r="G41" s="20" t="str">
        <f>Source!DE29</f>
        <v>*0,8</v>
      </c>
      <c r="H41" s="18">
        <f>Source!AV29</f>
        <v>1</v>
      </c>
      <c r="I41" s="22">
        <f>(ROUND((ROUND((((Source!ET29*0.8))*Source!AV29*Source!I29),2)),2)+ROUND((ROUND(((Source!AE29-((Source!EU29*0.8)))*Source!AV29*Source!I29),2)),2))</f>
        <v>9.9499999999999993</v>
      </c>
      <c r="J41" s="18">
        <f>IF(Source!BB29&lt;&gt; 0, Source!BB29, 1)</f>
        <v>9.1300000000000008</v>
      </c>
      <c r="K41" s="22">
        <f>Source!Q29</f>
        <v>90.84</v>
      </c>
    </row>
    <row r="42" spans="1:27" ht="14.25" x14ac:dyDescent="0.2">
      <c r="A42" s="16"/>
      <c r="B42" s="17"/>
      <c r="C42" s="17" t="s">
        <v>1632</v>
      </c>
      <c r="D42" s="19"/>
      <c r="E42" s="18"/>
      <c r="F42" s="21">
        <f>Source!AN29</f>
        <v>0.32</v>
      </c>
      <c r="G42" s="20" t="str">
        <f>Source!DF29</f>
        <v>*0,8</v>
      </c>
      <c r="H42" s="18">
        <f>Source!AV29</f>
        <v>1</v>
      </c>
      <c r="I42" s="26">
        <f>ROUND((ROUND((Source!AE29*Source!AV29*Source!I29),2)),2)</f>
        <v>2.0099999999999998</v>
      </c>
      <c r="J42" s="18">
        <f>IF(Source!BS29&lt;&gt; 0, Source!BS29, 1)</f>
        <v>25.44</v>
      </c>
      <c r="K42" s="26">
        <f>Source!R29</f>
        <v>51.13</v>
      </c>
      <c r="W42">
        <f>I42</f>
        <v>2.0099999999999998</v>
      </c>
    </row>
    <row r="43" spans="1:27" ht="14.25" x14ac:dyDescent="0.2">
      <c r="A43" s="16"/>
      <c r="B43" s="17"/>
      <c r="C43" s="17" t="s">
        <v>1626</v>
      </c>
      <c r="D43" s="19" t="s">
        <v>1627</v>
      </c>
      <c r="E43" s="18">
        <f>Source!DN29</f>
        <v>156</v>
      </c>
      <c r="F43" s="21"/>
      <c r="G43" s="20"/>
      <c r="H43" s="18"/>
      <c r="I43" s="22">
        <f>SUM(Q38:Q42)</f>
        <v>923.93</v>
      </c>
      <c r="J43" s="18">
        <f>Source!BZ29</f>
        <v>90</v>
      </c>
      <c r="K43" s="22">
        <f>SUM(R38:R42)</f>
        <v>13560.38</v>
      </c>
    </row>
    <row r="44" spans="1:27" ht="14.25" x14ac:dyDescent="0.2">
      <c r="A44" s="16"/>
      <c r="B44" s="17"/>
      <c r="C44" s="17" t="s">
        <v>1628</v>
      </c>
      <c r="D44" s="19" t="s">
        <v>1627</v>
      </c>
      <c r="E44" s="18">
        <f>Source!DO29</f>
        <v>84</v>
      </c>
      <c r="F44" s="21"/>
      <c r="G44" s="20"/>
      <c r="H44" s="18"/>
      <c r="I44" s="22">
        <f>SUM(S38:S43)</f>
        <v>497.5</v>
      </c>
      <c r="J44" s="18">
        <f>Source!CA29</f>
        <v>41</v>
      </c>
      <c r="K44" s="22">
        <f>SUM(T38:T43)</f>
        <v>6177.51</v>
      </c>
    </row>
    <row r="45" spans="1:27" ht="14.25" x14ac:dyDescent="0.2">
      <c r="A45" s="16"/>
      <c r="B45" s="17"/>
      <c r="C45" s="17" t="s">
        <v>1633</v>
      </c>
      <c r="D45" s="19" t="s">
        <v>1627</v>
      </c>
      <c r="E45" s="18">
        <f>175</f>
        <v>175</v>
      </c>
      <c r="F45" s="21"/>
      <c r="G45" s="20"/>
      <c r="H45" s="18"/>
      <c r="I45" s="22">
        <f>SUM(U38:U44)</f>
        <v>3.52</v>
      </c>
      <c r="J45" s="18">
        <f>157</f>
        <v>157</v>
      </c>
      <c r="K45" s="22">
        <f>SUM(V38:V44)</f>
        <v>80.27</v>
      </c>
    </row>
    <row r="46" spans="1:27" ht="14.25" x14ac:dyDescent="0.2">
      <c r="A46" s="16"/>
      <c r="B46" s="17"/>
      <c r="C46" s="17" t="s">
        <v>1629</v>
      </c>
      <c r="D46" s="19" t="s">
        <v>1630</v>
      </c>
      <c r="E46" s="18">
        <f>Source!AQ29</f>
        <v>8.1300000000000008</v>
      </c>
      <c r="F46" s="21"/>
      <c r="G46" s="20" t="str">
        <f>Source!DI29</f>
        <v>*0,8</v>
      </c>
      <c r="H46" s="18">
        <f>Source!AV29</f>
        <v>1</v>
      </c>
      <c r="I46" s="22">
        <f>Source!U29</f>
        <v>51.18648000000001</v>
      </c>
      <c r="J46" s="18"/>
      <c r="K46" s="22"/>
    </row>
    <row r="47" spans="1:27" ht="15" x14ac:dyDescent="0.25">
      <c r="A47" s="25"/>
      <c r="B47" s="25"/>
      <c r="C47" s="25"/>
      <c r="D47" s="25"/>
      <c r="E47" s="25"/>
      <c r="F47" s="25"/>
      <c r="G47" s="25"/>
      <c r="H47" s="54">
        <f>I40+I41+I43+I44+I45</f>
        <v>2027.1599999999999</v>
      </c>
      <c r="I47" s="54"/>
      <c r="J47" s="54">
        <f>K40+K41+K43+K44+K45</f>
        <v>34976.089999999997</v>
      </c>
      <c r="K47" s="54"/>
      <c r="O47" s="24">
        <f>I40+I41+I43+I44+I45</f>
        <v>2027.1599999999999</v>
      </c>
      <c r="P47" s="24">
        <f>K40+K41+K43+K44+K45</f>
        <v>34976.089999999997</v>
      </c>
      <c r="X47">
        <f>IF(Source!BI29&lt;=1,I40+I41+I43+I44+I45-0, 0)</f>
        <v>2027.1599999999999</v>
      </c>
      <c r="Y47">
        <f>IF(Source!BI29=2,I40+I41+I43+I44+I45-0, 0)</f>
        <v>0</v>
      </c>
      <c r="Z47">
        <f>IF(Source!BI29=3,I40+I41+I43+I44+I45-0, 0)</f>
        <v>0</v>
      </c>
      <c r="AA47">
        <f>IF(Source!BI29=4,I40+I41+I43+I44+I45,0)</f>
        <v>0</v>
      </c>
    </row>
    <row r="48" spans="1:27" ht="42.75" x14ac:dyDescent="0.2">
      <c r="A48" s="16" t="str">
        <f>Source!E30</f>
        <v>3</v>
      </c>
      <c r="B48" s="17" t="str">
        <f>Source!F30</f>
        <v>6.68-51-5</v>
      </c>
      <c r="C48" s="17" t="s">
        <v>37</v>
      </c>
      <c r="D48" s="19" t="str">
        <f>Source!H30</f>
        <v>100 м3 конструкций</v>
      </c>
      <c r="E48" s="18">
        <f>Source!I30</f>
        <v>1.5740000000000001</v>
      </c>
      <c r="F48" s="21"/>
      <c r="G48" s="20"/>
      <c r="H48" s="18"/>
      <c r="I48" s="22"/>
      <c r="J48" s="18"/>
      <c r="K48" s="22"/>
      <c r="Q48">
        <f>ROUND((Source!DN30/100)*ROUND((ROUND((Source!AF30*Source!AV30*Source!I30),2)),2), 2)</f>
        <v>786.61</v>
      </c>
      <c r="R48">
        <f>Source!X30</f>
        <v>17009.61</v>
      </c>
      <c r="S48">
        <f>ROUND((Source!DO30/100)*ROUND((ROUND((Source!AF30*Source!AV30*Source!I30),2)),2), 2)</f>
        <v>540.79</v>
      </c>
      <c r="T48">
        <f>Source!Y30</f>
        <v>10255.790000000001</v>
      </c>
      <c r="U48">
        <f>ROUND((175/100)*ROUND((ROUND((Source!AE30*Source!AV30*Source!I30),2)),2), 2)</f>
        <v>521.9</v>
      </c>
      <c r="V48">
        <f>ROUND((157/100)*ROUND(ROUND((ROUND((Source!AE30*Source!AV30*Source!I30),2)*Source!BS30),2), 2), 2)</f>
        <v>11911.54</v>
      </c>
    </row>
    <row r="49" spans="1:27" x14ac:dyDescent="0.2">
      <c r="C49" s="23" t="str">
        <f>"Объем: "&amp;Source!I30&amp;"=157,4/"&amp;"100"</f>
        <v>Объем: 1,574=157,4/100</v>
      </c>
    </row>
    <row r="50" spans="1:27" ht="14.25" x14ac:dyDescent="0.2">
      <c r="A50" s="16"/>
      <c r="B50" s="17"/>
      <c r="C50" s="17" t="s">
        <v>1625</v>
      </c>
      <c r="D50" s="19"/>
      <c r="E50" s="18"/>
      <c r="F50" s="21">
        <f>Source!AO30</f>
        <v>624.69000000000005</v>
      </c>
      <c r="G50" s="20" t="str">
        <f>Source!DG30</f>
        <v/>
      </c>
      <c r="H50" s="18">
        <f>Source!AV30</f>
        <v>1</v>
      </c>
      <c r="I50" s="22">
        <f>ROUND((ROUND((Source!AF30*Source!AV30*Source!I30),2)),2)</f>
        <v>983.26</v>
      </c>
      <c r="J50" s="18">
        <f>IF(Source!BA30&lt;&gt; 0, Source!BA30, 1)</f>
        <v>25.44</v>
      </c>
      <c r="K50" s="22">
        <f>Source!S30</f>
        <v>25014.13</v>
      </c>
      <c r="W50">
        <f>I50</f>
        <v>983.26</v>
      </c>
    </row>
    <row r="51" spans="1:27" ht="14.25" x14ac:dyDescent="0.2">
      <c r="A51" s="16"/>
      <c r="B51" s="17"/>
      <c r="C51" s="17" t="s">
        <v>1631</v>
      </c>
      <c r="D51" s="19"/>
      <c r="E51" s="18"/>
      <c r="F51" s="21">
        <f>Source!AM30</f>
        <v>2205.7199999999998</v>
      </c>
      <c r="G51" s="20" t="str">
        <f>Source!DE30</f>
        <v/>
      </c>
      <c r="H51" s="18">
        <f>Source!AV30</f>
        <v>1</v>
      </c>
      <c r="I51" s="22">
        <f>(ROUND((ROUND(((Source!ET30)*Source!AV30*Source!I30),2)),2)+ROUND((ROUND(((Source!AE30-(Source!EU30))*Source!AV30*Source!I30),2)),2))</f>
        <v>3471.8</v>
      </c>
      <c r="J51" s="18">
        <f>IF(Source!BB30&lt;&gt; 0, Source!BB30, 1)</f>
        <v>8.1999999999999993</v>
      </c>
      <c r="K51" s="22">
        <f>Source!Q30</f>
        <v>28468.76</v>
      </c>
    </row>
    <row r="52" spans="1:27" ht="14.25" x14ac:dyDescent="0.2">
      <c r="A52" s="16"/>
      <c r="B52" s="17"/>
      <c r="C52" s="17" t="s">
        <v>1632</v>
      </c>
      <c r="D52" s="19"/>
      <c r="E52" s="18"/>
      <c r="F52" s="21">
        <f>Source!AN30</f>
        <v>189.47</v>
      </c>
      <c r="G52" s="20" t="str">
        <f>Source!DF30</f>
        <v/>
      </c>
      <c r="H52" s="18">
        <f>Source!AV30</f>
        <v>1</v>
      </c>
      <c r="I52" s="26">
        <f>ROUND((ROUND((Source!AE30*Source!AV30*Source!I30),2)),2)</f>
        <v>298.23</v>
      </c>
      <c r="J52" s="18">
        <f>IF(Source!BS30&lt;&gt; 0, Source!BS30, 1)</f>
        <v>25.44</v>
      </c>
      <c r="K52" s="26">
        <f>Source!R30</f>
        <v>7586.97</v>
      </c>
      <c r="W52">
        <f>I52</f>
        <v>298.23</v>
      </c>
    </row>
    <row r="53" spans="1:27" ht="14.25" x14ac:dyDescent="0.2">
      <c r="A53" s="16"/>
      <c r="B53" s="17"/>
      <c r="C53" s="17" t="s">
        <v>1626</v>
      </c>
      <c r="D53" s="19" t="s">
        <v>1627</v>
      </c>
      <c r="E53" s="18">
        <f>Source!DN30</f>
        <v>80</v>
      </c>
      <c r="F53" s="21"/>
      <c r="G53" s="20"/>
      <c r="H53" s="18"/>
      <c r="I53" s="22">
        <f>SUM(Q48:Q52)</f>
        <v>786.61</v>
      </c>
      <c r="J53" s="18">
        <f>Source!BZ30</f>
        <v>68</v>
      </c>
      <c r="K53" s="22">
        <f>SUM(R48:R52)</f>
        <v>17009.61</v>
      </c>
    </row>
    <row r="54" spans="1:27" ht="14.25" x14ac:dyDescent="0.2">
      <c r="A54" s="16"/>
      <c r="B54" s="17"/>
      <c r="C54" s="17" t="s">
        <v>1628</v>
      </c>
      <c r="D54" s="19" t="s">
        <v>1627</v>
      </c>
      <c r="E54" s="18">
        <f>Source!DO30</f>
        <v>55</v>
      </c>
      <c r="F54" s="21"/>
      <c r="G54" s="20"/>
      <c r="H54" s="18"/>
      <c r="I54" s="22">
        <f>SUM(S48:S53)</f>
        <v>540.79</v>
      </c>
      <c r="J54" s="18">
        <f>Source!CA30</f>
        <v>41</v>
      </c>
      <c r="K54" s="22">
        <f>SUM(T48:T53)</f>
        <v>10255.790000000001</v>
      </c>
    </row>
    <row r="55" spans="1:27" ht="14.25" x14ac:dyDescent="0.2">
      <c r="A55" s="16"/>
      <c r="B55" s="17"/>
      <c r="C55" s="17" t="s">
        <v>1633</v>
      </c>
      <c r="D55" s="19" t="s">
        <v>1627</v>
      </c>
      <c r="E55" s="18">
        <f>175</f>
        <v>175</v>
      </c>
      <c r="F55" s="21"/>
      <c r="G55" s="20"/>
      <c r="H55" s="18"/>
      <c r="I55" s="22">
        <f>SUM(U48:U54)</f>
        <v>521.9</v>
      </c>
      <c r="J55" s="18">
        <f>157</f>
        <v>157</v>
      </c>
      <c r="K55" s="22">
        <f>SUM(V48:V54)</f>
        <v>11911.54</v>
      </c>
    </row>
    <row r="56" spans="1:27" ht="14.25" x14ac:dyDescent="0.2">
      <c r="A56" s="16"/>
      <c r="B56" s="17"/>
      <c r="C56" s="17" t="s">
        <v>1629</v>
      </c>
      <c r="D56" s="19" t="s">
        <v>1630</v>
      </c>
      <c r="E56" s="18">
        <f>Source!AQ30</f>
        <v>49.5</v>
      </c>
      <c r="F56" s="21"/>
      <c r="G56" s="20" t="str">
        <f>Source!DI30</f>
        <v/>
      </c>
      <c r="H56" s="18">
        <f>Source!AV30</f>
        <v>1</v>
      </c>
      <c r="I56" s="22">
        <f>Source!U30</f>
        <v>77.912999999999997</v>
      </c>
      <c r="J56" s="18"/>
      <c r="K56" s="22"/>
    </row>
    <row r="57" spans="1:27" ht="15" x14ac:dyDescent="0.25">
      <c r="A57" s="25"/>
      <c r="B57" s="25"/>
      <c r="C57" s="25"/>
      <c r="D57" s="25"/>
      <c r="E57" s="25"/>
      <c r="F57" s="25"/>
      <c r="G57" s="25"/>
      <c r="H57" s="54">
        <f>I50+I51+I53+I54+I55</f>
        <v>6304.36</v>
      </c>
      <c r="I57" s="54"/>
      <c r="J57" s="54">
        <f>K50+K51+K53+K54+K55</f>
        <v>92659.830000000016</v>
      </c>
      <c r="K57" s="54"/>
      <c r="O57" s="24">
        <f>I50+I51+I53+I54+I55</f>
        <v>6304.36</v>
      </c>
      <c r="P57" s="24">
        <f>K50+K51+K53+K54+K55</f>
        <v>92659.830000000016</v>
      </c>
      <c r="X57">
        <f>IF(Source!BI30&lt;=1,I50+I51+I53+I54+I55-0, 0)</f>
        <v>6304.36</v>
      </c>
      <c r="Y57">
        <f>IF(Source!BI30=2,I50+I51+I53+I54+I55-0, 0)</f>
        <v>0</v>
      </c>
      <c r="Z57">
        <f>IF(Source!BI30=3,I50+I51+I53+I54+I55-0, 0)</f>
        <v>0</v>
      </c>
      <c r="AA57">
        <f>IF(Source!BI30=4,I50+I51+I53+I54+I55,0)</f>
        <v>0</v>
      </c>
    </row>
    <row r="58" spans="1:27" ht="14.25" x14ac:dyDescent="0.2">
      <c r="A58" s="16" t="str">
        <f>Source!E31</f>
        <v>4</v>
      </c>
      <c r="B58" s="17" t="str">
        <f>Source!F31</f>
        <v>3.47-1-2</v>
      </c>
      <c r="C58" s="17" t="s">
        <v>45</v>
      </c>
      <c r="D58" s="19" t="str">
        <f>Source!H31</f>
        <v>100 м2</v>
      </c>
      <c r="E58" s="18">
        <f>Source!I31</f>
        <v>7.87</v>
      </c>
      <c r="F58" s="21"/>
      <c r="G58" s="20"/>
      <c r="H58" s="18"/>
      <c r="I58" s="22"/>
      <c r="J58" s="18"/>
      <c r="K58" s="22"/>
      <c r="Q58">
        <f>ROUND((Source!DN31/100)*ROUND((ROUND((Source!AF31*Source!AV31*Source!I31),2)),2), 2)</f>
        <v>367.94</v>
      </c>
      <c r="R58">
        <f>Source!X31</f>
        <v>5400.25</v>
      </c>
      <c r="S58">
        <f>ROUND((Source!DO31/100)*ROUND((ROUND((Source!AF31*Source!AV31*Source!I31),2)),2), 2)</f>
        <v>198.12</v>
      </c>
      <c r="T58">
        <f>Source!Y31</f>
        <v>2460.11</v>
      </c>
      <c r="U58">
        <f>ROUND((175/100)*ROUND((ROUND((Source!AE31*Source!AV31*Source!I31),2)),2), 2)</f>
        <v>0</v>
      </c>
      <c r="V58">
        <f>ROUND((157/100)*ROUND(ROUND((ROUND((Source!AE31*Source!AV31*Source!I31),2)*Source!BS31),2), 2), 2)</f>
        <v>0</v>
      </c>
    </row>
    <row r="59" spans="1:27" x14ac:dyDescent="0.2">
      <c r="C59" s="23" t="str">
        <f>"Объем: "&amp;Source!I31&amp;"=787/"&amp;"100"</f>
        <v>Объем: 7,87=787/100</v>
      </c>
    </row>
    <row r="60" spans="1:27" ht="28.5" x14ac:dyDescent="0.2">
      <c r="A60" s="16"/>
      <c r="B60" s="17"/>
      <c r="C60" s="17" t="s">
        <v>1625</v>
      </c>
      <c r="D60" s="19"/>
      <c r="E60" s="18"/>
      <c r="F60" s="21">
        <f>Source!AO31</f>
        <v>104.24</v>
      </c>
      <c r="G60" s="20" t="str">
        <f>Source!DG31</f>
        <v>*0,25)*1,15)</v>
      </c>
      <c r="H60" s="18">
        <f>Source!AV31</f>
        <v>1</v>
      </c>
      <c r="I60" s="22">
        <f>ROUND((ROUND((Source!AF31*Source!AV31*Source!I31),2)),2)</f>
        <v>235.86</v>
      </c>
      <c r="J60" s="18">
        <f>IF(Source!BA31&lt;&gt; 0, Source!BA31, 1)</f>
        <v>25.44</v>
      </c>
      <c r="K60" s="22">
        <f>Source!S31</f>
        <v>6000.28</v>
      </c>
      <c r="W60">
        <f>I60</f>
        <v>235.86</v>
      </c>
    </row>
    <row r="61" spans="1:27" ht="14.25" x14ac:dyDescent="0.2">
      <c r="A61" s="16"/>
      <c r="B61" s="17"/>
      <c r="C61" s="17" t="s">
        <v>1626</v>
      </c>
      <c r="D61" s="19" t="s">
        <v>1627</v>
      </c>
      <c r="E61" s="18">
        <f>Source!DN31</f>
        <v>156</v>
      </c>
      <c r="F61" s="21"/>
      <c r="G61" s="20"/>
      <c r="H61" s="18"/>
      <c r="I61" s="22">
        <f>SUM(Q58:Q60)</f>
        <v>367.94</v>
      </c>
      <c r="J61" s="18">
        <f>Source!BZ31</f>
        <v>90</v>
      </c>
      <c r="K61" s="22">
        <f>SUM(R58:R60)</f>
        <v>5400.25</v>
      </c>
    </row>
    <row r="62" spans="1:27" ht="14.25" x14ac:dyDescent="0.2">
      <c r="A62" s="16"/>
      <c r="B62" s="17"/>
      <c r="C62" s="17" t="s">
        <v>1628</v>
      </c>
      <c r="D62" s="19" t="s">
        <v>1627</v>
      </c>
      <c r="E62" s="18">
        <f>Source!DO31</f>
        <v>84</v>
      </c>
      <c r="F62" s="21"/>
      <c r="G62" s="20"/>
      <c r="H62" s="18"/>
      <c r="I62" s="22">
        <f>SUM(S58:S61)</f>
        <v>198.12</v>
      </c>
      <c r="J62" s="18">
        <f>Source!CA31</f>
        <v>41</v>
      </c>
      <c r="K62" s="22">
        <f>SUM(T58:T61)</f>
        <v>2460.11</v>
      </c>
    </row>
    <row r="63" spans="1:27" ht="28.5" x14ac:dyDescent="0.2">
      <c r="A63" s="16"/>
      <c r="B63" s="17"/>
      <c r="C63" s="17" t="s">
        <v>1629</v>
      </c>
      <c r="D63" s="19" t="s">
        <v>1630</v>
      </c>
      <c r="E63" s="18">
        <f>Source!AQ31</f>
        <v>10.199999999999999</v>
      </c>
      <c r="F63" s="21"/>
      <c r="G63" s="20" t="str">
        <f>Source!DI31</f>
        <v>*0,25)*1,15)</v>
      </c>
      <c r="H63" s="18">
        <f>Source!AV31</f>
        <v>1</v>
      </c>
      <c r="I63" s="22">
        <f>Source!U31</f>
        <v>23.078774999999997</v>
      </c>
      <c r="J63" s="18"/>
      <c r="K63" s="22"/>
    </row>
    <row r="64" spans="1:27" ht="15" x14ac:dyDescent="0.25">
      <c r="A64" s="25"/>
      <c r="B64" s="25"/>
      <c r="C64" s="25"/>
      <c r="D64" s="25"/>
      <c r="E64" s="25"/>
      <c r="F64" s="25"/>
      <c r="G64" s="25"/>
      <c r="H64" s="54">
        <f>I60+I61+I62</f>
        <v>801.92</v>
      </c>
      <c r="I64" s="54"/>
      <c r="J64" s="54">
        <f>K60+K61+K62</f>
        <v>13860.64</v>
      </c>
      <c r="K64" s="54"/>
      <c r="O64" s="24">
        <f>I60+I61+I62</f>
        <v>801.92</v>
      </c>
      <c r="P64" s="24">
        <f>K60+K61+K62</f>
        <v>13860.64</v>
      </c>
      <c r="X64">
        <f>IF(Source!BI31&lt;=1,I60+I61+I62-0, 0)</f>
        <v>801.92</v>
      </c>
      <c r="Y64">
        <f>IF(Source!BI31=2,I60+I61+I62-0, 0)</f>
        <v>0</v>
      </c>
      <c r="Z64">
        <f>IF(Source!BI31=3,I60+I61+I62-0, 0)</f>
        <v>0</v>
      </c>
      <c r="AA64">
        <f>IF(Source!BI31=4,I60+I61+I62,0)</f>
        <v>0</v>
      </c>
    </row>
    <row r="65" spans="1:27" ht="57" x14ac:dyDescent="0.2">
      <c r="A65" s="16" t="str">
        <f>Source!E32</f>
        <v>5</v>
      </c>
      <c r="B65" s="17" t="str">
        <f>Source!F32</f>
        <v>3.1-81-1</v>
      </c>
      <c r="C65" s="17" t="s">
        <v>52</v>
      </c>
      <c r="D65" s="19" t="str">
        <f>Source!H32</f>
        <v>100 м2 спланированного покрытия</v>
      </c>
      <c r="E65" s="18">
        <f>Source!I32</f>
        <v>7.87</v>
      </c>
      <c r="F65" s="21"/>
      <c r="G65" s="20"/>
      <c r="H65" s="18"/>
      <c r="I65" s="22"/>
      <c r="J65" s="18"/>
      <c r="K65" s="22"/>
      <c r="Q65">
        <f>ROUND((Source!DN32/100)*ROUND((ROUND((Source!AF32*Source!AV32*Source!I32),2)),2), 2)</f>
        <v>0</v>
      </c>
      <c r="R65">
        <f>Source!X32</f>
        <v>0</v>
      </c>
      <c r="S65">
        <f>ROUND((Source!DO32/100)*ROUND((ROUND((Source!AF32*Source!AV32*Source!I32),2)),2), 2)</f>
        <v>0</v>
      </c>
      <c r="T65">
        <f>Source!Y32</f>
        <v>0</v>
      </c>
      <c r="U65">
        <f>ROUND((175/100)*ROUND((ROUND((Source!AE32*Source!AV32*Source!I32),2)),2), 2)</f>
        <v>151.06</v>
      </c>
      <c r="V65">
        <f>ROUND((157/100)*ROUND(ROUND((ROUND((Source!AE32*Source!AV32*Source!I32),2)*Source!BS32),2), 2), 2)</f>
        <v>3447.69</v>
      </c>
    </row>
    <row r="66" spans="1:27" x14ac:dyDescent="0.2">
      <c r="C66" s="23" t="str">
        <f>"Объем: "&amp;Source!I32&amp;"=787/"&amp;"100"</f>
        <v>Объем: 7,87=787/100</v>
      </c>
    </row>
    <row r="67" spans="1:27" ht="28.5" x14ac:dyDescent="0.2">
      <c r="A67" s="16"/>
      <c r="B67" s="17"/>
      <c r="C67" s="17" t="s">
        <v>1631</v>
      </c>
      <c r="D67" s="19"/>
      <c r="E67" s="18"/>
      <c r="F67" s="21">
        <f>Source!AM32</f>
        <v>60.01</v>
      </c>
      <c r="G67" s="20" t="str">
        <f>Source!DE32</f>
        <v>*0,75)*1,25</v>
      </c>
      <c r="H67" s="18">
        <f>Source!AV32</f>
        <v>1</v>
      </c>
      <c r="I67" s="22">
        <f>(ROUND((ROUND(((((Source!ET32*0.75)*1.25))*Source!AV32*Source!I32),2)),2)+ROUND((ROUND(((Source!AE32-(((Source!EU32*0.75)*1.25)))*Source!AV32*Source!I32),2)),2))</f>
        <v>442.76</v>
      </c>
      <c r="J67" s="18">
        <f>IF(Source!BB32&lt;&gt; 0, Source!BB32, 1)</f>
        <v>9.3800000000000008</v>
      </c>
      <c r="K67" s="22">
        <f>Source!Q32</f>
        <v>4153.09</v>
      </c>
    </row>
    <row r="68" spans="1:27" ht="28.5" x14ac:dyDescent="0.2">
      <c r="A68" s="16"/>
      <c r="B68" s="17"/>
      <c r="C68" s="17" t="s">
        <v>1632</v>
      </c>
      <c r="D68" s="19"/>
      <c r="E68" s="18"/>
      <c r="F68" s="21">
        <f>Source!AN32</f>
        <v>11.7</v>
      </c>
      <c r="G68" s="20" t="str">
        <f>Source!DF32</f>
        <v>*0,75)*1,25</v>
      </c>
      <c r="H68" s="18">
        <f>Source!AV32</f>
        <v>1</v>
      </c>
      <c r="I68" s="26">
        <f>ROUND((ROUND((Source!AE32*Source!AV32*Source!I32),2)),2)</f>
        <v>86.32</v>
      </c>
      <c r="J68" s="18">
        <f>IF(Source!BS32&lt;&gt; 0, Source!BS32, 1)</f>
        <v>25.44</v>
      </c>
      <c r="K68" s="26">
        <f>Source!R32</f>
        <v>2195.98</v>
      </c>
      <c r="W68">
        <f>I68</f>
        <v>86.32</v>
      </c>
    </row>
    <row r="69" spans="1:27" ht="14.25" x14ac:dyDescent="0.2">
      <c r="A69" s="16"/>
      <c r="B69" s="17"/>
      <c r="C69" s="17" t="s">
        <v>1633</v>
      </c>
      <c r="D69" s="19" t="s">
        <v>1627</v>
      </c>
      <c r="E69" s="18">
        <f>175</f>
        <v>175</v>
      </c>
      <c r="F69" s="21"/>
      <c r="G69" s="20"/>
      <c r="H69" s="18"/>
      <c r="I69" s="22">
        <f>SUM(U65:U68)</f>
        <v>151.06</v>
      </c>
      <c r="J69" s="18">
        <f>157</f>
        <v>157</v>
      </c>
      <c r="K69" s="22">
        <f>SUM(V65:V68)</f>
        <v>3447.69</v>
      </c>
    </row>
    <row r="70" spans="1:27" ht="15" x14ac:dyDescent="0.25">
      <c r="A70" s="25"/>
      <c r="B70" s="25"/>
      <c r="C70" s="25"/>
      <c r="D70" s="25"/>
      <c r="E70" s="25"/>
      <c r="F70" s="25"/>
      <c r="G70" s="25"/>
      <c r="H70" s="54">
        <f>I67+I69</f>
        <v>593.81999999999994</v>
      </c>
      <c r="I70" s="54"/>
      <c r="J70" s="54">
        <f>K67+K69</f>
        <v>7600.7800000000007</v>
      </c>
      <c r="K70" s="54"/>
      <c r="O70" s="24">
        <f>I67+I69</f>
        <v>593.81999999999994</v>
      </c>
      <c r="P70" s="24">
        <f>K67+K69</f>
        <v>7600.7800000000007</v>
      </c>
      <c r="X70">
        <f>IF(Source!BI32&lt;=1,I67+I69-0, 0)</f>
        <v>593.81999999999994</v>
      </c>
      <c r="Y70">
        <f>IF(Source!BI32=2,I67+I69-0, 0)</f>
        <v>0</v>
      </c>
      <c r="Z70">
        <f>IF(Source!BI32=3,I67+I69-0, 0)</f>
        <v>0</v>
      </c>
      <c r="AA70">
        <f>IF(Source!BI32=4,I67+I69,0)</f>
        <v>0</v>
      </c>
    </row>
    <row r="71" spans="1:27" ht="57" x14ac:dyDescent="0.2">
      <c r="A71" s="16" t="str">
        <f>Source!E33</f>
        <v>6</v>
      </c>
      <c r="B71" s="17" t="str">
        <f>Source!F33</f>
        <v>3.1-51-1</v>
      </c>
      <c r="C71" s="17" t="s">
        <v>62</v>
      </c>
      <c r="D71" s="19" t="str">
        <f>Source!H33</f>
        <v>100 м3 грунта</v>
      </c>
      <c r="E71" s="18">
        <f>Source!I33</f>
        <v>1.5740000000000001</v>
      </c>
      <c r="F71" s="21"/>
      <c r="G71" s="20"/>
      <c r="H71" s="18"/>
      <c r="I71" s="22"/>
      <c r="J71" s="18"/>
      <c r="K71" s="22"/>
      <c r="Q71">
        <f>ROUND((Source!DN33/100)*ROUND((ROUND((Source!AF33*Source!AV33*Source!I33),2)),2), 2)</f>
        <v>841.15</v>
      </c>
      <c r="R71">
        <f>Source!X33</f>
        <v>17166.099999999999</v>
      </c>
      <c r="S71">
        <f>ROUND((Source!DO33/100)*ROUND((ROUND((Source!AF33*Source!AV33*Source!I33),2)),2), 2)</f>
        <v>619.30999999999995</v>
      </c>
      <c r="T71">
        <f>Source!Y33</f>
        <v>9641.24</v>
      </c>
      <c r="U71">
        <f>ROUND((175/100)*ROUND((ROUND((Source!AE33*Source!AV33*Source!I33),2)),2), 2)</f>
        <v>0</v>
      </c>
      <c r="V71">
        <f>ROUND((157/100)*ROUND(ROUND((ROUND((Source!AE33*Source!AV33*Source!I33),2)*Source!BS33),2), 2), 2)</f>
        <v>0</v>
      </c>
    </row>
    <row r="72" spans="1:27" x14ac:dyDescent="0.2">
      <c r="C72" s="23" t="str">
        <f>"Объем: "&amp;Source!I33&amp;"=157,4/"&amp;"100"</f>
        <v>Объем: 1,574=157,4/100</v>
      </c>
    </row>
    <row r="73" spans="1:27" ht="28.5" x14ac:dyDescent="0.2">
      <c r="A73" s="16"/>
      <c r="B73" s="17"/>
      <c r="C73" s="17" t="s">
        <v>1625</v>
      </c>
      <c r="D73" s="19"/>
      <c r="E73" s="18"/>
      <c r="F73" s="21">
        <f>Source!AO33</f>
        <v>2042.62</v>
      </c>
      <c r="G73" s="20" t="str">
        <f>Source!DG33</f>
        <v>*0,25)*1,15</v>
      </c>
      <c r="H73" s="18">
        <f>Source!AV33</f>
        <v>1</v>
      </c>
      <c r="I73" s="22">
        <f>ROUND((ROUND((Source!AF33*Source!AV33*Source!I33),2)),2)</f>
        <v>924.34</v>
      </c>
      <c r="J73" s="18">
        <f>IF(Source!BA33&lt;&gt; 0, Source!BA33, 1)</f>
        <v>25.44</v>
      </c>
      <c r="K73" s="22">
        <f>Source!S33</f>
        <v>23515.21</v>
      </c>
      <c r="W73">
        <f>I73</f>
        <v>924.34</v>
      </c>
    </row>
    <row r="74" spans="1:27" ht="14.25" x14ac:dyDescent="0.2">
      <c r="A74" s="16"/>
      <c r="B74" s="17"/>
      <c r="C74" s="17" t="s">
        <v>1626</v>
      </c>
      <c r="D74" s="19" t="s">
        <v>1627</v>
      </c>
      <c r="E74" s="18">
        <f>Source!DN33</f>
        <v>91</v>
      </c>
      <c r="F74" s="21"/>
      <c r="G74" s="20"/>
      <c r="H74" s="18"/>
      <c r="I74" s="22">
        <f>SUM(Q71:Q73)</f>
        <v>841.15</v>
      </c>
      <c r="J74" s="18">
        <f>Source!BZ33</f>
        <v>73</v>
      </c>
      <c r="K74" s="22">
        <f>SUM(R71:R73)</f>
        <v>17166.099999999999</v>
      </c>
    </row>
    <row r="75" spans="1:27" ht="14.25" x14ac:dyDescent="0.2">
      <c r="A75" s="16"/>
      <c r="B75" s="17"/>
      <c r="C75" s="17" t="s">
        <v>1628</v>
      </c>
      <c r="D75" s="19" t="s">
        <v>1627</v>
      </c>
      <c r="E75" s="18">
        <f>Source!DO33</f>
        <v>67</v>
      </c>
      <c r="F75" s="21"/>
      <c r="G75" s="20"/>
      <c r="H75" s="18"/>
      <c r="I75" s="22">
        <f>SUM(S71:S74)</f>
        <v>619.30999999999995</v>
      </c>
      <c r="J75" s="18">
        <f>Source!CA33</f>
        <v>41</v>
      </c>
      <c r="K75" s="22">
        <f>SUM(T71:T74)</f>
        <v>9641.24</v>
      </c>
    </row>
    <row r="76" spans="1:27" ht="28.5" x14ac:dyDescent="0.2">
      <c r="A76" s="16"/>
      <c r="B76" s="17"/>
      <c r="C76" s="17" t="s">
        <v>1629</v>
      </c>
      <c r="D76" s="19" t="s">
        <v>1630</v>
      </c>
      <c r="E76" s="18">
        <f>Source!AQ33</f>
        <v>192.7</v>
      </c>
      <c r="F76" s="21"/>
      <c r="G76" s="20" t="str">
        <f>Source!DI33</f>
        <v>*0,25)*1,15</v>
      </c>
      <c r="H76" s="18">
        <f>Source!AV33</f>
        <v>1</v>
      </c>
      <c r="I76" s="22">
        <f>Source!U33</f>
        <v>87.201567499999982</v>
      </c>
      <c r="J76" s="18"/>
      <c r="K76" s="22"/>
    </row>
    <row r="77" spans="1:27" ht="15" x14ac:dyDescent="0.25">
      <c r="A77" s="25"/>
      <c r="B77" s="25"/>
      <c r="C77" s="25"/>
      <c r="D77" s="25"/>
      <c r="E77" s="25"/>
      <c r="F77" s="25"/>
      <c r="G77" s="25"/>
      <c r="H77" s="54">
        <f>I73+I74+I75</f>
        <v>2384.8000000000002</v>
      </c>
      <c r="I77" s="54"/>
      <c r="J77" s="54">
        <f>K73+K74+K75</f>
        <v>50322.549999999996</v>
      </c>
      <c r="K77" s="54"/>
      <c r="O77" s="24">
        <f>I73+I74+I75</f>
        <v>2384.8000000000002</v>
      </c>
      <c r="P77" s="24">
        <f>K73+K74+K75</f>
        <v>50322.549999999996</v>
      </c>
      <c r="X77">
        <f>IF(Source!BI33&lt;=1,I73+I74+I75-0, 0)</f>
        <v>2384.8000000000002</v>
      </c>
      <c r="Y77">
        <f>IF(Source!BI33=2,I73+I74+I75-0, 0)</f>
        <v>0</v>
      </c>
      <c r="Z77">
        <f>IF(Source!BI33=3,I73+I74+I75-0, 0)</f>
        <v>0</v>
      </c>
      <c r="AA77">
        <f>IF(Source!BI33=4,I73+I74+I75,0)</f>
        <v>0</v>
      </c>
    </row>
    <row r="78" spans="1:27" ht="57" x14ac:dyDescent="0.2">
      <c r="A78" s="16" t="str">
        <f>Source!E34</f>
        <v>7</v>
      </c>
      <c r="B78" s="17" t="str">
        <f>Source!F34</f>
        <v>3.1-6-10</v>
      </c>
      <c r="C78" s="17" t="s">
        <v>70</v>
      </c>
      <c r="D78" s="19" t="str">
        <f>Source!H34</f>
        <v>100 м3 грунта</v>
      </c>
      <c r="E78" s="18">
        <f>Source!I34</f>
        <v>1.5740000000000001</v>
      </c>
      <c r="F78" s="21"/>
      <c r="G78" s="20"/>
      <c r="H78" s="18"/>
      <c r="I78" s="22"/>
      <c r="J78" s="18"/>
      <c r="K78" s="22"/>
      <c r="Q78">
        <f>ROUND((Source!DN34/100)*ROUND((ROUND((Source!AF34*Source!AV34*Source!I34),2)),2), 2)</f>
        <v>18.760000000000002</v>
      </c>
      <c r="R78">
        <f>Source!X34</f>
        <v>447.97</v>
      </c>
      <c r="S78">
        <f>ROUND((Source!DO34/100)*ROUND((ROUND((Source!AF34*Source!AV34*Source!I34),2)),2), 2)</f>
        <v>14.74</v>
      </c>
      <c r="T78">
        <f>Source!Y34</f>
        <v>243.46</v>
      </c>
      <c r="U78">
        <f>ROUND((175/100)*ROUND((ROUND((Source!AE34*Source!AV34*Source!I34),2)),2), 2)</f>
        <v>225.87</v>
      </c>
      <c r="V78">
        <f>ROUND((157/100)*ROUND(ROUND((ROUND((Source!AE34*Source!AV34*Source!I34),2)*Source!BS34),2), 2), 2)</f>
        <v>5155.16</v>
      </c>
    </row>
    <row r="79" spans="1:27" x14ac:dyDescent="0.2">
      <c r="C79" s="23" t="str">
        <f>"Объем: "&amp;Source!I34&amp;"=157,4/"&amp;"100"</f>
        <v>Объем: 1,574=157,4/100</v>
      </c>
    </row>
    <row r="80" spans="1:27" ht="28.5" x14ac:dyDescent="0.2">
      <c r="A80" s="16"/>
      <c r="B80" s="17"/>
      <c r="C80" s="17" t="s">
        <v>1625</v>
      </c>
      <c r="D80" s="19"/>
      <c r="E80" s="18"/>
      <c r="F80" s="21">
        <f>Source!AO34</f>
        <v>14.1</v>
      </c>
      <c r="G80" s="20" t="str">
        <f>Source!DG34</f>
        <v>*0,75)*1,15</v>
      </c>
      <c r="H80" s="18">
        <f>Source!AV34</f>
        <v>1</v>
      </c>
      <c r="I80" s="22">
        <f>ROUND((ROUND((Source!AF34*Source!AV34*Source!I34),2)),2)</f>
        <v>19.14</v>
      </c>
      <c r="J80" s="18">
        <f>IF(Source!BA34&lt;&gt; 0, Source!BA34, 1)</f>
        <v>25.44</v>
      </c>
      <c r="K80" s="22">
        <f>Source!S34</f>
        <v>486.92</v>
      </c>
      <c r="W80">
        <f>I80</f>
        <v>19.14</v>
      </c>
    </row>
    <row r="81" spans="1:27" ht="28.5" x14ac:dyDescent="0.2">
      <c r="A81" s="16"/>
      <c r="B81" s="17"/>
      <c r="C81" s="17" t="s">
        <v>1631</v>
      </c>
      <c r="D81" s="19"/>
      <c r="E81" s="18"/>
      <c r="F81" s="21">
        <f>Source!AM34</f>
        <v>881.63</v>
      </c>
      <c r="G81" s="20" t="str">
        <f>Source!DE34</f>
        <v>*0,75)*1,25</v>
      </c>
      <c r="H81" s="18">
        <f>Source!AV34</f>
        <v>1</v>
      </c>
      <c r="I81" s="22">
        <f>(ROUND((ROUND(((((Source!ET34*0.75)*1.25))*Source!AV34*Source!I34),2)),2)+ROUND((ROUND(((Source!AE34-(((Source!EU34*0.75)*1.25)))*Source!AV34*Source!I34),2)),2))</f>
        <v>1300.96</v>
      </c>
      <c r="J81" s="18">
        <f>IF(Source!BB34&lt;&gt; 0, Source!BB34, 1)</f>
        <v>8.93</v>
      </c>
      <c r="K81" s="22">
        <f>Source!Q34</f>
        <v>11617.57</v>
      </c>
    </row>
    <row r="82" spans="1:27" ht="28.5" x14ac:dyDescent="0.2">
      <c r="A82" s="16"/>
      <c r="B82" s="17"/>
      <c r="C82" s="17" t="s">
        <v>1632</v>
      </c>
      <c r="D82" s="19"/>
      <c r="E82" s="18"/>
      <c r="F82" s="21">
        <f>Source!AN34</f>
        <v>87.47</v>
      </c>
      <c r="G82" s="20" t="str">
        <f>Source!DF34</f>
        <v>*0,75)*1,25</v>
      </c>
      <c r="H82" s="18">
        <f>Source!AV34</f>
        <v>1</v>
      </c>
      <c r="I82" s="26">
        <f>ROUND((ROUND((Source!AE34*Source!AV34*Source!I34),2)),2)</f>
        <v>129.07</v>
      </c>
      <c r="J82" s="18">
        <f>IF(Source!BS34&lt;&gt; 0, Source!BS34, 1)</f>
        <v>25.44</v>
      </c>
      <c r="K82" s="26">
        <f>Source!R34</f>
        <v>3283.54</v>
      </c>
      <c r="W82">
        <f>I82</f>
        <v>129.07</v>
      </c>
    </row>
    <row r="83" spans="1:27" ht="14.25" x14ac:dyDescent="0.2">
      <c r="A83" s="16"/>
      <c r="B83" s="17"/>
      <c r="C83" s="17" t="s">
        <v>1626</v>
      </c>
      <c r="D83" s="19" t="s">
        <v>1627</v>
      </c>
      <c r="E83" s="18">
        <f>Source!DN34</f>
        <v>98</v>
      </c>
      <c r="F83" s="21"/>
      <c r="G83" s="20"/>
      <c r="H83" s="18"/>
      <c r="I83" s="22">
        <f>SUM(Q78:Q82)</f>
        <v>18.760000000000002</v>
      </c>
      <c r="J83" s="18">
        <f>Source!BZ34</f>
        <v>92</v>
      </c>
      <c r="K83" s="22">
        <f>SUM(R78:R82)</f>
        <v>447.97</v>
      </c>
    </row>
    <row r="84" spans="1:27" ht="14.25" x14ac:dyDescent="0.2">
      <c r="A84" s="16"/>
      <c r="B84" s="17"/>
      <c r="C84" s="17" t="s">
        <v>1628</v>
      </c>
      <c r="D84" s="19" t="s">
        <v>1627</v>
      </c>
      <c r="E84" s="18">
        <f>Source!DO34</f>
        <v>77</v>
      </c>
      <c r="F84" s="21"/>
      <c r="G84" s="20"/>
      <c r="H84" s="18"/>
      <c r="I84" s="22">
        <f>SUM(S78:S83)</f>
        <v>14.74</v>
      </c>
      <c r="J84" s="18">
        <f>Source!CA34</f>
        <v>50</v>
      </c>
      <c r="K84" s="22">
        <f>SUM(T78:T83)</f>
        <v>243.46</v>
      </c>
    </row>
    <row r="85" spans="1:27" ht="14.25" x14ac:dyDescent="0.2">
      <c r="A85" s="16"/>
      <c r="B85" s="17"/>
      <c r="C85" s="17" t="s">
        <v>1633</v>
      </c>
      <c r="D85" s="19" t="s">
        <v>1627</v>
      </c>
      <c r="E85" s="18">
        <f>175</f>
        <v>175</v>
      </c>
      <c r="F85" s="21"/>
      <c r="G85" s="20"/>
      <c r="H85" s="18"/>
      <c r="I85" s="22">
        <f>SUM(U78:U84)</f>
        <v>225.87</v>
      </c>
      <c r="J85" s="18">
        <f>157</f>
        <v>157</v>
      </c>
      <c r="K85" s="22">
        <f>SUM(V78:V84)</f>
        <v>5155.16</v>
      </c>
    </row>
    <row r="86" spans="1:27" ht="28.5" x14ac:dyDescent="0.2">
      <c r="A86" s="16"/>
      <c r="B86" s="17"/>
      <c r="C86" s="17" t="s">
        <v>1629</v>
      </c>
      <c r="D86" s="19" t="s">
        <v>1630</v>
      </c>
      <c r="E86" s="18">
        <f>Source!AQ34</f>
        <v>1.38</v>
      </c>
      <c r="F86" s="21"/>
      <c r="G86" s="20" t="str">
        <f>Source!DI34</f>
        <v>*0,75)*1,15</v>
      </c>
      <c r="H86" s="18">
        <f>Source!AV34</f>
        <v>1</v>
      </c>
      <c r="I86" s="22">
        <f>Source!U34</f>
        <v>1.8734534999999999</v>
      </c>
      <c r="J86" s="18"/>
      <c r="K86" s="22"/>
    </row>
    <row r="87" spans="1:27" ht="15" x14ac:dyDescent="0.25">
      <c r="A87" s="25"/>
      <c r="B87" s="25"/>
      <c r="C87" s="25"/>
      <c r="D87" s="25"/>
      <c r="E87" s="25"/>
      <c r="F87" s="25"/>
      <c r="G87" s="25"/>
      <c r="H87" s="54">
        <f>I80+I81+I83+I84+I85</f>
        <v>1579.4700000000003</v>
      </c>
      <c r="I87" s="54"/>
      <c r="J87" s="54">
        <f>K80+K81+K83+K84+K85</f>
        <v>17951.079999999998</v>
      </c>
      <c r="K87" s="54"/>
      <c r="O87" s="24">
        <f>I80+I81+I83+I84+I85</f>
        <v>1579.4700000000003</v>
      </c>
      <c r="P87" s="24">
        <f>K80+K81+K83+K84+K85</f>
        <v>17951.079999999998</v>
      </c>
      <c r="X87">
        <f>IF(Source!BI34&lt;=1,I80+I81+I83+I84+I85-0, 0)</f>
        <v>1579.4700000000003</v>
      </c>
      <c r="Y87">
        <f>IF(Source!BI34=2,I80+I81+I83+I84+I85-0, 0)</f>
        <v>0</v>
      </c>
      <c r="Z87">
        <f>IF(Source!BI34=3,I80+I81+I83+I84+I85-0, 0)</f>
        <v>0</v>
      </c>
      <c r="AA87">
        <f>IF(Source!BI34=4,I80+I81+I83+I84+I85,0)</f>
        <v>0</v>
      </c>
    </row>
    <row r="88" spans="1:27" ht="99.75" x14ac:dyDescent="0.2">
      <c r="A88" s="16" t="str">
        <f>Source!E35</f>
        <v>8</v>
      </c>
      <c r="B88" s="17" t="str">
        <f>Source!F35</f>
        <v>3.27-12-2</v>
      </c>
      <c r="C88" s="17" t="s">
        <v>76</v>
      </c>
      <c r="D88" s="19" t="str">
        <f>Source!H35</f>
        <v>100 м3 материала основания (в плотном теле)</v>
      </c>
      <c r="E88" s="18">
        <f>Source!I35</f>
        <v>1.5740000000000001</v>
      </c>
      <c r="F88" s="21"/>
      <c r="G88" s="20"/>
      <c r="H88" s="18"/>
      <c r="I88" s="22"/>
      <c r="J88" s="18"/>
      <c r="K88" s="22"/>
      <c r="Q88">
        <f>ROUND((Source!DN35/100)*ROUND((ROUND((Source!AF35*Source!AV35*Source!I35),2)),2), 2)</f>
        <v>575.83000000000004</v>
      </c>
      <c r="R88">
        <f>Source!X35</f>
        <v>11719.38</v>
      </c>
      <c r="S88">
        <f>ROUND((Source!DO35/100)*ROUND((ROUND((Source!AF35*Source!AV35*Source!I35),2)),2), 2)</f>
        <v>324.93</v>
      </c>
      <c r="T88">
        <f>Source!Y35</f>
        <v>4290.13</v>
      </c>
      <c r="U88">
        <f>ROUND((175/100)*ROUND((ROUND((Source!AE35*Source!AV35*Source!I35),2)),2), 2)</f>
        <v>1601.78</v>
      </c>
      <c r="V88">
        <f>ROUND((157/100)*ROUND(ROUND((ROUND((Source!AE35*Source!AV35*Source!I35),2)*Source!BS35),2), 2), 2)</f>
        <v>36557.81</v>
      </c>
    </row>
    <row r="89" spans="1:27" x14ac:dyDescent="0.2">
      <c r="C89" s="23" t="str">
        <f>"Объем: "&amp;Source!I35&amp;"=157,4/"&amp;"100"</f>
        <v>Объем: 1,574=157,4/100</v>
      </c>
    </row>
    <row r="90" spans="1:27" ht="14.25" x14ac:dyDescent="0.2">
      <c r="A90" s="16"/>
      <c r="B90" s="17"/>
      <c r="C90" s="17" t="s">
        <v>1625</v>
      </c>
      <c r="D90" s="19"/>
      <c r="E90" s="18"/>
      <c r="F90" s="21">
        <f>Source!AO35</f>
        <v>227.23</v>
      </c>
      <c r="G90" s="20" t="str">
        <f>Source!DG35</f>
        <v>)*1,15</v>
      </c>
      <c r="H90" s="18">
        <f>Source!AV35</f>
        <v>1</v>
      </c>
      <c r="I90" s="22">
        <f>ROUND((ROUND((Source!AF35*Source!AV35*Source!I35),2)),2)</f>
        <v>411.31</v>
      </c>
      <c r="J90" s="18">
        <f>IF(Source!BA35&lt;&gt; 0, Source!BA35, 1)</f>
        <v>25.44</v>
      </c>
      <c r="K90" s="22">
        <f>Source!S35</f>
        <v>10463.73</v>
      </c>
      <c r="W90">
        <f>I90</f>
        <v>411.31</v>
      </c>
    </row>
    <row r="91" spans="1:27" ht="14.25" x14ac:dyDescent="0.2">
      <c r="A91" s="16"/>
      <c r="B91" s="17"/>
      <c r="C91" s="17" t="s">
        <v>1631</v>
      </c>
      <c r="D91" s="19"/>
      <c r="E91" s="18"/>
      <c r="F91" s="21">
        <f>Source!AM35</f>
        <v>5344.54</v>
      </c>
      <c r="G91" s="20" t="str">
        <f>Source!DE35</f>
        <v>)*1,25</v>
      </c>
      <c r="H91" s="18">
        <f>Source!AV35</f>
        <v>1</v>
      </c>
      <c r="I91" s="22">
        <f>(ROUND((ROUND((((Source!ET35*1.25))*Source!AV35*Source!I35),2)),2)+ROUND((ROUND(((Source!AE35-((Source!EU35*1.25)))*Source!AV35*Source!I35),2)),2))</f>
        <v>10515.38</v>
      </c>
      <c r="J91" s="18">
        <f>IF(Source!BB35&lt;&gt; 0, Source!BB35, 1)</f>
        <v>8.73</v>
      </c>
      <c r="K91" s="22">
        <f>Source!Q35</f>
        <v>91799.27</v>
      </c>
    </row>
    <row r="92" spans="1:27" ht="14.25" x14ac:dyDescent="0.2">
      <c r="A92" s="16"/>
      <c r="B92" s="17"/>
      <c r="C92" s="17" t="s">
        <v>1632</v>
      </c>
      <c r="D92" s="19"/>
      <c r="E92" s="18"/>
      <c r="F92" s="21">
        <f>Source!AN35</f>
        <v>465.21</v>
      </c>
      <c r="G92" s="20" t="str">
        <f>Source!DF35</f>
        <v>)*1,25</v>
      </c>
      <c r="H92" s="18">
        <f>Source!AV35</f>
        <v>1</v>
      </c>
      <c r="I92" s="26">
        <f>ROUND((ROUND((Source!AE35*Source!AV35*Source!I35),2)),2)</f>
        <v>915.3</v>
      </c>
      <c r="J92" s="18">
        <f>IF(Source!BS35&lt;&gt; 0, Source!BS35, 1)</f>
        <v>25.44</v>
      </c>
      <c r="K92" s="26">
        <f>Source!R35</f>
        <v>23285.23</v>
      </c>
      <c r="W92">
        <f>I92</f>
        <v>915.3</v>
      </c>
    </row>
    <row r="93" spans="1:27" ht="14.25" x14ac:dyDescent="0.2">
      <c r="A93" s="16"/>
      <c r="B93" s="17"/>
      <c r="C93" s="17" t="s">
        <v>1634</v>
      </c>
      <c r="D93" s="19"/>
      <c r="E93" s="18"/>
      <c r="F93" s="21">
        <f>Source!AL35</f>
        <v>49.49</v>
      </c>
      <c r="G93" s="20" t="str">
        <f>Source!DD35</f>
        <v/>
      </c>
      <c r="H93" s="18">
        <f>Source!AW35</f>
        <v>1</v>
      </c>
      <c r="I93" s="22">
        <f>ROUND((ROUND((Source!AC35*Source!AW35*Source!I35),2)),2)</f>
        <v>77.900000000000006</v>
      </c>
      <c r="J93" s="18">
        <f>IF(Source!BC35&lt;&gt; 0, Source!BC35, 1)</f>
        <v>5.14</v>
      </c>
      <c r="K93" s="22">
        <f>Source!P35</f>
        <v>400.41</v>
      </c>
    </row>
    <row r="94" spans="1:27" ht="42.75" x14ac:dyDescent="0.2">
      <c r="A94" s="16" t="str">
        <f>Source!E36</f>
        <v>8,1</v>
      </c>
      <c r="B94" s="17" t="str">
        <f>Source!F36</f>
        <v>1.1-1-1557</v>
      </c>
      <c r="C94" s="17" t="s">
        <v>83</v>
      </c>
      <c r="D94" s="19" t="str">
        <f>Source!H36</f>
        <v>м3</v>
      </c>
      <c r="E94" s="18">
        <f>Source!I36</f>
        <v>157.4</v>
      </c>
      <c r="F94" s="21">
        <f>Source!AK36</f>
        <v>158.22</v>
      </c>
      <c r="G94" s="27" t="s">
        <v>3</v>
      </c>
      <c r="H94" s="18">
        <f>Source!AW36</f>
        <v>1</v>
      </c>
      <c r="I94" s="22">
        <f>ROUND((ROUND((Source!AC36*Source!AW36*Source!I36),2)),2)+(ROUND((ROUND(((Source!ET36)*Source!AV36*Source!I36),2)),2)+ROUND((ROUND(((Source!AE36-(Source!EU36))*Source!AV36*Source!I36),2)),2))+ROUND((ROUND((Source!AF36*Source!AV36*Source!I36),2)),2)</f>
        <v>24903.83</v>
      </c>
      <c r="J94" s="18">
        <f>IF(Source!BC36&lt;&gt; 0, Source!BC36, 1)</f>
        <v>14.49</v>
      </c>
      <c r="K94" s="22">
        <f>Source!O36</f>
        <v>360856.5</v>
      </c>
      <c r="Q94">
        <f>ROUND((Source!DN36/100)*ROUND((ROUND((Source!AF36*Source!AV36*Source!I36),2)),2), 2)</f>
        <v>0</v>
      </c>
      <c r="R94">
        <f>Source!X36</f>
        <v>0</v>
      </c>
      <c r="S94">
        <f>ROUND((Source!DO36/100)*ROUND((ROUND((Source!AF36*Source!AV36*Source!I36),2)),2), 2)</f>
        <v>0</v>
      </c>
      <c r="T94">
        <f>Source!Y36</f>
        <v>0</v>
      </c>
      <c r="U94">
        <f>ROUND((175/100)*ROUND((ROUND((Source!AE36*Source!AV36*Source!I36),2)),2), 2)</f>
        <v>0</v>
      </c>
      <c r="V94">
        <f>ROUND((157/100)*ROUND(ROUND((ROUND((Source!AE36*Source!AV36*Source!I36),2)*Source!BS36),2), 2), 2)</f>
        <v>0</v>
      </c>
      <c r="X94">
        <f>IF(Source!BI36&lt;=1,I94, 0)</f>
        <v>24903.83</v>
      </c>
      <c r="Y94">
        <f>IF(Source!BI36=2,I94, 0)</f>
        <v>0</v>
      </c>
      <c r="Z94">
        <f>IF(Source!BI36=3,I94, 0)</f>
        <v>0</v>
      </c>
      <c r="AA94">
        <f>IF(Source!BI36=4,I94, 0)</f>
        <v>0</v>
      </c>
    </row>
    <row r="95" spans="1:27" ht="14.25" x14ac:dyDescent="0.2">
      <c r="A95" s="16"/>
      <c r="B95" s="17"/>
      <c r="C95" s="17" t="s">
        <v>1626</v>
      </c>
      <c r="D95" s="19" t="s">
        <v>1627</v>
      </c>
      <c r="E95" s="18">
        <f>Source!DN35</f>
        <v>140</v>
      </c>
      <c r="F95" s="21"/>
      <c r="G95" s="20"/>
      <c r="H95" s="18"/>
      <c r="I95" s="22">
        <f>SUM(Q88:Q94)</f>
        <v>575.83000000000004</v>
      </c>
      <c r="J95" s="18">
        <f>Source!BZ35</f>
        <v>112</v>
      </c>
      <c r="K95" s="22">
        <f>SUM(R88:R94)</f>
        <v>11719.38</v>
      </c>
    </row>
    <row r="96" spans="1:27" ht="14.25" x14ac:dyDescent="0.2">
      <c r="A96" s="16"/>
      <c r="B96" s="17"/>
      <c r="C96" s="17" t="s">
        <v>1628</v>
      </c>
      <c r="D96" s="19" t="s">
        <v>1627</v>
      </c>
      <c r="E96" s="18">
        <f>Source!DO35</f>
        <v>79</v>
      </c>
      <c r="F96" s="21"/>
      <c r="G96" s="20"/>
      <c r="H96" s="18"/>
      <c r="I96" s="22">
        <f>SUM(S88:S95)</f>
        <v>324.93</v>
      </c>
      <c r="J96" s="18">
        <f>Source!CA35</f>
        <v>41</v>
      </c>
      <c r="K96" s="22">
        <f>SUM(T88:T95)</f>
        <v>4290.13</v>
      </c>
    </row>
    <row r="97" spans="1:27" ht="14.25" x14ac:dyDescent="0.2">
      <c r="A97" s="16"/>
      <c r="B97" s="17"/>
      <c r="C97" s="17" t="s">
        <v>1633</v>
      </c>
      <c r="D97" s="19" t="s">
        <v>1627</v>
      </c>
      <c r="E97" s="18">
        <f>175</f>
        <v>175</v>
      </c>
      <c r="F97" s="21"/>
      <c r="G97" s="20"/>
      <c r="H97" s="18"/>
      <c r="I97" s="22">
        <f>SUM(U88:U96)</f>
        <v>1601.78</v>
      </c>
      <c r="J97" s="18">
        <f>157</f>
        <v>157</v>
      </c>
      <c r="K97" s="22">
        <f>SUM(V88:V96)</f>
        <v>36557.81</v>
      </c>
    </row>
    <row r="98" spans="1:27" ht="14.25" x14ac:dyDescent="0.2">
      <c r="A98" s="16"/>
      <c r="B98" s="17"/>
      <c r="C98" s="17" t="s">
        <v>1629</v>
      </c>
      <c r="D98" s="19" t="s">
        <v>1630</v>
      </c>
      <c r="E98" s="18">
        <f>Source!AQ35</f>
        <v>21.6</v>
      </c>
      <c r="F98" s="21"/>
      <c r="G98" s="20" t="str">
        <f>Source!DI35</f>
        <v>)*1,15</v>
      </c>
      <c r="H98" s="18">
        <f>Source!AV35</f>
        <v>1</v>
      </c>
      <c r="I98" s="22">
        <f>Source!U35</f>
        <v>39.09816</v>
      </c>
      <c r="J98" s="18"/>
      <c r="K98" s="22"/>
    </row>
    <row r="99" spans="1:27" ht="15" x14ac:dyDescent="0.25">
      <c r="A99" s="25"/>
      <c r="B99" s="25"/>
      <c r="C99" s="25"/>
      <c r="D99" s="25"/>
      <c r="E99" s="25"/>
      <c r="F99" s="25"/>
      <c r="G99" s="25"/>
      <c r="H99" s="54">
        <f>I90+I91+I93+I95+I96+I97+SUM(I94:I94)</f>
        <v>38410.959999999999</v>
      </c>
      <c r="I99" s="54"/>
      <c r="J99" s="54">
        <f>K90+K91+K93+K95+K96+K97+SUM(K94:K94)</f>
        <v>516087.23</v>
      </c>
      <c r="K99" s="54"/>
      <c r="O99" s="24">
        <f>I90+I91+I93+I95+I96+I97+SUM(I94:I94)</f>
        <v>38410.959999999999</v>
      </c>
      <c r="P99" s="24">
        <f>K90+K91+K93+K95+K96+K97+SUM(K94:K94)</f>
        <v>516087.23</v>
      </c>
      <c r="X99">
        <f>IF(Source!BI35&lt;=1,I90+I91+I93+I95+I96+I97-0, 0)</f>
        <v>13507.13</v>
      </c>
      <c r="Y99">
        <f>IF(Source!BI35=2,I90+I91+I93+I95+I96+I97-0, 0)</f>
        <v>0</v>
      </c>
      <c r="Z99">
        <f>IF(Source!BI35=3,I90+I91+I93+I95+I96+I97-0, 0)</f>
        <v>0</v>
      </c>
      <c r="AA99">
        <f>IF(Source!BI35=4,I90+I91+I93+I95+I96+I97,0)</f>
        <v>0</v>
      </c>
    </row>
    <row r="100" spans="1:27" ht="99.75" x14ac:dyDescent="0.2">
      <c r="A100" s="16" t="str">
        <f>Source!E37</f>
        <v>9</v>
      </c>
      <c r="B100" s="17" t="str">
        <f>Source!F37</f>
        <v>3.27-12-1</v>
      </c>
      <c r="C100" s="17" t="s">
        <v>88</v>
      </c>
      <c r="D100" s="19" t="str">
        <f>Source!H37</f>
        <v>100 м3 материала основания (в плотном теле)</v>
      </c>
      <c r="E100" s="18">
        <f>Source!I37</f>
        <v>1.5740000000000001</v>
      </c>
      <c r="F100" s="21"/>
      <c r="G100" s="20"/>
      <c r="H100" s="18"/>
      <c r="I100" s="22"/>
      <c r="J100" s="18"/>
      <c r="K100" s="22"/>
      <c r="Q100">
        <f>ROUND((Source!DN37/100)*ROUND((ROUND((Source!AF37*Source!AV37*Source!I37),2)),2), 2)</f>
        <v>383.89</v>
      </c>
      <c r="R100">
        <f>Source!X37</f>
        <v>7813.01</v>
      </c>
      <c r="S100">
        <f>ROUND((Source!DO37/100)*ROUND((ROUND((Source!AF37*Source!AV37*Source!I37),2)),2), 2)</f>
        <v>216.63</v>
      </c>
      <c r="T100">
        <f>Source!Y37</f>
        <v>2860.12</v>
      </c>
      <c r="U100">
        <f>ROUND((175/100)*ROUND((ROUND((Source!AE37*Source!AV37*Source!I37),2)),2), 2)</f>
        <v>364.95</v>
      </c>
      <c r="V100">
        <f>ROUND((157/100)*ROUND(ROUND((ROUND((Source!AE37*Source!AV37*Source!I37),2)*Source!BS37),2), 2), 2)</f>
        <v>8329.26</v>
      </c>
    </row>
    <row r="101" spans="1:27" x14ac:dyDescent="0.2">
      <c r="C101" s="23" t="str">
        <f>"Объем: "&amp;Source!I37&amp;"=157,4/"&amp;"100"</f>
        <v>Объем: 1,574=157,4/100</v>
      </c>
    </row>
    <row r="102" spans="1:27" ht="14.25" x14ac:dyDescent="0.2">
      <c r="A102" s="16"/>
      <c r="B102" s="17"/>
      <c r="C102" s="17" t="s">
        <v>1625</v>
      </c>
      <c r="D102" s="19"/>
      <c r="E102" s="18"/>
      <c r="F102" s="21">
        <f>Source!AO37</f>
        <v>151.49</v>
      </c>
      <c r="G102" s="20" t="str">
        <f>Source!DG37</f>
        <v>)*1,15</v>
      </c>
      <c r="H102" s="18">
        <f>Source!AV37</f>
        <v>1</v>
      </c>
      <c r="I102" s="22">
        <f>ROUND((ROUND((Source!AF37*Source!AV37*Source!I37),2)),2)</f>
        <v>274.20999999999998</v>
      </c>
      <c r="J102" s="18">
        <f>IF(Source!BA37&lt;&gt; 0, Source!BA37, 1)</f>
        <v>25.44</v>
      </c>
      <c r="K102" s="22">
        <f>Source!S37</f>
        <v>6975.9</v>
      </c>
      <c r="W102">
        <f>I102</f>
        <v>274.20999999999998</v>
      </c>
    </row>
    <row r="103" spans="1:27" ht="14.25" x14ac:dyDescent="0.2">
      <c r="A103" s="16"/>
      <c r="B103" s="17"/>
      <c r="C103" s="17" t="s">
        <v>1631</v>
      </c>
      <c r="D103" s="19"/>
      <c r="E103" s="18"/>
      <c r="F103" s="21">
        <f>Source!AM37</f>
        <v>745.18</v>
      </c>
      <c r="G103" s="20" t="str">
        <f>Source!DE37</f>
        <v>)*1,25</v>
      </c>
      <c r="H103" s="18">
        <f>Source!AV37</f>
        <v>1</v>
      </c>
      <c r="I103" s="22">
        <f>(ROUND((ROUND((((Source!ET37*1.25))*Source!AV37*Source!I37),2)),2)+ROUND((ROUND(((Source!AE37-((Source!EU37*1.25)))*Source!AV37*Source!I37),2)),2))</f>
        <v>1466.14</v>
      </c>
      <c r="J103" s="18">
        <f>IF(Source!BB37&lt;&gt; 0, Source!BB37, 1)</f>
        <v>9.77</v>
      </c>
      <c r="K103" s="22">
        <f>Source!Q37</f>
        <v>14324.19</v>
      </c>
    </row>
    <row r="104" spans="1:27" ht="14.25" x14ac:dyDescent="0.2">
      <c r="A104" s="16"/>
      <c r="B104" s="17"/>
      <c r="C104" s="17" t="s">
        <v>1632</v>
      </c>
      <c r="D104" s="19"/>
      <c r="E104" s="18"/>
      <c r="F104" s="21">
        <f>Source!AN37</f>
        <v>105.99</v>
      </c>
      <c r="G104" s="20" t="str">
        <f>Source!DF37</f>
        <v>)*1,25</v>
      </c>
      <c r="H104" s="18">
        <f>Source!AV37</f>
        <v>1</v>
      </c>
      <c r="I104" s="26">
        <f>ROUND((ROUND((Source!AE37*Source!AV37*Source!I37),2)),2)</f>
        <v>208.54</v>
      </c>
      <c r="J104" s="18">
        <f>IF(Source!BS37&lt;&gt; 0, Source!BS37, 1)</f>
        <v>25.44</v>
      </c>
      <c r="K104" s="26">
        <f>Source!R37</f>
        <v>5305.26</v>
      </c>
      <c r="W104">
        <f>I104</f>
        <v>208.54</v>
      </c>
    </row>
    <row r="105" spans="1:27" ht="14.25" x14ac:dyDescent="0.2">
      <c r="A105" s="16"/>
      <c r="B105" s="17"/>
      <c r="C105" s="17" t="s">
        <v>1634</v>
      </c>
      <c r="D105" s="19"/>
      <c r="E105" s="18"/>
      <c r="F105" s="21">
        <f>Source!AL37</f>
        <v>35.35</v>
      </c>
      <c r="G105" s="20" t="str">
        <f>Source!DD37</f>
        <v/>
      </c>
      <c r="H105" s="18">
        <f>Source!AW37</f>
        <v>1</v>
      </c>
      <c r="I105" s="22">
        <f>ROUND((ROUND((Source!AC37*Source!AW37*Source!I37),2)),2)</f>
        <v>55.64</v>
      </c>
      <c r="J105" s="18">
        <f>IF(Source!BC37&lt;&gt; 0, Source!BC37, 1)</f>
        <v>5.14</v>
      </c>
      <c r="K105" s="22">
        <f>Source!P37</f>
        <v>285.99</v>
      </c>
    </row>
    <row r="106" spans="1:27" ht="28.5" x14ac:dyDescent="0.2">
      <c r="A106" s="16" t="str">
        <f>Source!E38</f>
        <v>9,1</v>
      </c>
      <c r="B106" s="17" t="str">
        <f>Source!F38</f>
        <v>1.1-1-766</v>
      </c>
      <c r="C106" s="17" t="s">
        <v>92</v>
      </c>
      <c r="D106" s="19" t="str">
        <f>Source!H38</f>
        <v>м3</v>
      </c>
      <c r="E106" s="18">
        <f>Source!I38</f>
        <v>157.4</v>
      </c>
      <c r="F106" s="21">
        <f>Source!AK38</f>
        <v>104.99</v>
      </c>
      <c r="G106" s="27" t="s">
        <v>3</v>
      </c>
      <c r="H106" s="18">
        <f>Source!AW38</f>
        <v>1</v>
      </c>
      <c r="I106" s="22">
        <f>ROUND((ROUND((Source!AC38*Source!AW38*Source!I38),2)),2)+(ROUND((ROUND(((Source!ET38)*Source!AV38*Source!I38),2)),2)+ROUND((ROUND(((Source!AE38-(Source!EU38))*Source!AV38*Source!I38),2)),2))+ROUND((ROUND((Source!AF38*Source!AV38*Source!I38),2)),2)</f>
        <v>16525.43</v>
      </c>
      <c r="J106" s="18">
        <f>IF(Source!BC38&lt;&gt; 0, Source!BC38, 1)</f>
        <v>5.51</v>
      </c>
      <c r="K106" s="22">
        <f>Source!O38</f>
        <v>91055.12</v>
      </c>
      <c r="Q106">
        <f>ROUND((Source!DN38/100)*ROUND((ROUND((Source!AF38*Source!AV38*Source!I38),2)),2), 2)</f>
        <v>0</v>
      </c>
      <c r="R106">
        <f>Source!X38</f>
        <v>0</v>
      </c>
      <c r="S106">
        <f>ROUND((Source!DO38/100)*ROUND((ROUND((Source!AF38*Source!AV38*Source!I38),2)),2), 2)</f>
        <v>0</v>
      </c>
      <c r="T106">
        <f>Source!Y38</f>
        <v>0</v>
      </c>
      <c r="U106">
        <f>ROUND((175/100)*ROUND((ROUND((Source!AE38*Source!AV38*Source!I38),2)),2), 2)</f>
        <v>0</v>
      </c>
      <c r="V106">
        <f>ROUND((157/100)*ROUND(ROUND((ROUND((Source!AE38*Source!AV38*Source!I38),2)*Source!BS38),2), 2), 2)</f>
        <v>0</v>
      </c>
      <c r="X106">
        <f>IF(Source!BI38&lt;=1,I106, 0)</f>
        <v>16525.43</v>
      </c>
      <c r="Y106">
        <f>IF(Source!BI38=2,I106, 0)</f>
        <v>0</v>
      </c>
      <c r="Z106">
        <f>IF(Source!BI38=3,I106, 0)</f>
        <v>0</v>
      </c>
      <c r="AA106">
        <f>IF(Source!BI38=4,I106, 0)</f>
        <v>0</v>
      </c>
    </row>
    <row r="107" spans="1:27" ht="14.25" x14ac:dyDescent="0.2">
      <c r="A107" s="16"/>
      <c r="B107" s="17"/>
      <c r="C107" s="17" t="s">
        <v>1626</v>
      </c>
      <c r="D107" s="19" t="s">
        <v>1627</v>
      </c>
      <c r="E107" s="18">
        <f>Source!DN37</f>
        <v>140</v>
      </c>
      <c r="F107" s="21"/>
      <c r="G107" s="20"/>
      <c r="H107" s="18"/>
      <c r="I107" s="22">
        <f>SUM(Q100:Q106)</f>
        <v>383.89</v>
      </c>
      <c r="J107" s="18">
        <f>Source!BZ37</f>
        <v>112</v>
      </c>
      <c r="K107" s="22">
        <f>SUM(R100:R106)</f>
        <v>7813.01</v>
      </c>
    </row>
    <row r="108" spans="1:27" ht="14.25" x14ac:dyDescent="0.2">
      <c r="A108" s="16"/>
      <c r="B108" s="17"/>
      <c r="C108" s="17" t="s">
        <v>1628</v>
      </c>
      <c r="D108" s="19" t="s">
        <v>1627</v>
      </c>
      <c r="E108" s="18">
        <f>Source!DO37</f>
        <v>79</v>
      </c>
      <c r="F108" s="21"/>
      <c r="G108" s="20"/>
      <c r="H108" s="18"/>
      <c r="I108" s="22">
        <f>SUM(S100:S107)</f>
        <v>216.63</v>
      </c>
      <c r="J108" s="18">
        <f>Source!CA37</f>
        <v>41</v>
      </c>
      <c r="K108" s="22">
        <f>SUM(T100:T107)</f>
        <v>2860.12</v>
      </c>
    </row>
    <row r="109" spans="1:27" ht="14.25" x14ac:dyDescent="0.2">
      <c r="A109" s="16"/>
      <c r="B109" s="17"/>
      <c r="C109" s="17" t="s">
        <v>1633</v>
      </c>
      <c r="D109" s="19" t="s">
        <v>1627</v>
      </c>
      <c r="E109" s="18">
        <f>175</f>
        <v>175</v>
      </c>
      <c r="F109" s="21"/>
      <c r="G109" s="20"/>
      <c r="H109" s="18"/>
      <c r="I109" s="22">
        <f>SUM(U100:U108)</f>
        <v>364.95</v>
      </c>
      <c r="J109" s="18">
        <f>157</f>
        <v>157</v>
      </c>
      <c r="K109" s="22">
        <f>SUM(V100:V108)</f>
        <v>8329.26</v>
      </c>
    </row>
    <row r="110" spans="1:27" ht="14.25" x14ac:dyDescent="0.2">
      <c r="A110" s="16"/>
      <c r="B110" s="17"/>
      <c r="C110" s="17" t="s">
        <v>1629</v>
      </c>
      <c r="D110" s="19" t="s">
        <v>1630</v>
      </c>
      <c r="E110" s="18">
        <f>Source!AQ37</f>
        <v>14.4</v>
      </c>
      <c r="F110" s="21"/>
      <c r="G110" s="20" t="str">
        <f>Source!DI37</f>
        <v>)*1,15</v>
      </c>
      <c r="H110" s="18">
        <f>Source!AV37</f>
        <v>1</v>
      </c>
      <c r="I110" s="22">
        <f>Source!U37</f>
        <v>26.065439999999999</v>
      </c>
      <c r="J110" s="18"/>
      <c r="K110" s="22"/>
    </row>
    <row r="111" spans="1:27" ht="15" x14ac:dyDescent="0.25">
      <c r="A111" s="25"/>
      <c r="B111" s="25"/>
      <c r="C111" s="25"/>
      <c r="D111" s="25"/>
      <c r="E111" s="25"/>
      <c r="F111" s="25"/>
      <c r="G111" s="25"/>
      <c r="H111" s="54">
        <f>I102+I103+I105+I107+I108+I109+SUM(I106:I106)</f>
        <v>19286.89</v>
      </c>
      <c r="I111" s="54"/>
      <c r="J111" s="54">
        <f>K102+K103+K105+K107+K108+K109+SUM(K106:K106)</f>
        <v>131643.59</v>
      </c>
      <c r="K111" s="54"/>
      <c r="O111" s="24">
        <f>I102+I103+I105+I107+I108+I109+SUM(I106:I106)</f>
        <v>19286.89</v>
      </c>
      <c r="P111" s="24">
        <f>K102+K103+K105+K107+K108+K109+SUM(K106:K106)</f>
        <v>131643.59</v>
      </c>
      <c r="X111">
        <f>IF(Source!BI37&lt;=1,I102+I103+I105+I107+I108+I109-0, 0)</f>
        <v>2761.46</v>
      </c>
      <c r="Y111">
        <f>IF(Source!BI37=2,I102+I103+I105+I107+I108+I109-0, 0)</f>
        <v>0</v>
      </c>
      <c r="Z111">
        <f>IF(Source!BI37=3,I102+I103+I105+I107+I108+I109-0, 0)</f>
        <v>0</v>
      </c>
      <c r="AA111">
        <f>IF(Source!BI37=4,I102+I103+I105+I107+I108+I109,0)</f>
        <v>0</v>
      </c>
    </row>
    <row r="112" spans="1:27" ht="42.75" x14ac:dyDescent="0.2">
      <c r="A112" s="16" t="str">
        <f>Source!E39</f>
        <v>10</v>
      </c>
      <c r="B112" s="17" t="str">
        <f>Source!F39</f>
        <v>3.6-1-15</v>
      </c>
      <c r="C112" s="17" t="s">
        <v>96</v>
      </c>
      <c r="D112" s="19" t="str">
        <f>Source!H39</f>
        <v>100 м3 в деле</v>
      </c>
      <c r="E112" s="18">
        <f>Source!I39</f>
        <v>1.18</v>
      </c>
      <c r="F112" s="21"/>
      <c r="G112" s="20"/>
      <c r="H112" s="18"/>
      <c r="I112" s="22"/>
      <c r="J112" s="18"/>
      <c r="K112" s="22"/>
      <c r="Q112">
        <f>ROUND((Source!DN39/100)*ROUND((ROUND((Source!AF39*Source!AV39*Source!I39),2)),2), 2)</f>
        <v>2308.31</v>
      </c>
      <c r="R112">
        <f>Source!X39</f>
        <v>46978.75</v>
      </c>
      <c r="S112">
        <f>ROUND((Source!DO39/100)*ROUND((ROUND((Source!AF39*Source!AV39*Source!I39),2)),2), 2)</f>
        <v>1900.96</v>
      </c>
      <c r="T112">
        <f>Source!Y39</f>
        <v>28325.42</v>
      </c>
      <c r="U112">
        <f>ROUND((175/100)*ROUND((ROUND((Source!AE39*Source!AV39*Source!I39),2)),2), 2)</f>
        <v>111.41</v>
      </c>
      <c r="V112">
        <f>ROUND((157/100)*ROUND(ROUND((ROUND((Source!AE39*Source!AV39*Source!I39),2)*Source!BS39),2), 2), 2)</f>
        <v>2542.63</v>
      </c>
    </row>
    <row r="113" spans="1:27" x14ac:dyDescent="0.2">
      <c r="C113" s="23" t="str">
        <f>"Объем: "&amp;Source!I39&amp;"=118/"&amp;"100"</f>
        <v>Объем: 1,18=118/100</v>
      </c>
    </row>
    <row r="114" spans="1:27" ht="14.25" x14ac:dyDescent="0.2">
      <c r="A114" s="16"/>
      <c r="B114" s="17"/>
      <c r="C114" s="17" t="s">
        <v>1625</v>
      </c>
      <c r="D114" s="19"/>
      <c r="E114" s="18"/>
      <c r="F114" s="21">
        <f>Source!AO39</f>
        <v>2001.22</v>
      </c>
      <c r="G114" s="20" t="str">
        <f>Source!DG39</f>
        <v>)*1,15</v>
      </c>
      <c r="H114" s="18">
        <f>Source!AV39</f>
        <v>1</v>
      </c>
      <c r="I114" s="22">
        <f>ROUND((ROUND((Source!AF39*Source!AV39*Source!I39),2)),2)</f>
        <v>2715.66</v>
      </c>
      <c r="J114" s="18">
        <f>IF(Source!BA39&lt;&gt; 0, Source!BA39, 1)</f>
        <v>25.44</v>
      </c>
      <c r="K114" s="22">
        <f>Source!S39</f>
        <v>69086.39</v>
      </c>
      <c r="W114">
        <f>I114</f>
        <v>2715.66</v>
      </c>
    </row>
    <row r="115" spans="1:27" ht="14.25" x14ac:dyDescent="0.2">
      <c r="A115" s="16"/>
      <c r="B115" s="17"/>
      <c r="C115" s="17" t="s">
        <v>1631</v>
      </c>
      <c r="D115" s="19"/>
      <c r="E115" s="18"/>
      <c r="F115" s="21">
        <f>Source!AM39</f>
        <v>1050.3699999999999</v>
      </c>
      <c r="G115" s="20" t="str">
        <f>Source!DE39</f>
        <v>)*1,25</v>
      </c>
      <c r="H115" s="18">
        <f>Source!AV39</f>
        <v>1</v>
      </c>
      <c r="I115" s="22">
        <f>(ROUND((ROUND((((Source!ET39*1.25))*Source!AV39*Source!I39),2)),2)+ROUND((ROUND(((Source!AE39-((Source!EU39*1.25)))*Source!AV39*Source!I39),2)),2))</f>
        <v>1549.3</v>
      </c>
      <c r="J115" s="18">
        <f>IF(Source!BB39&lt;&gt; 0, Source!BB39, 1)</f>
        <v>9.02</v>
      </c>
      <c r="K115" s="22">
        <f>Source!Q39</f>
        <v>13974.69</v>
      </c>
    </row>
    <row r="116" spans="1:27" ht="14.25" x14ac:dyDescent="0.2">
      <c r="A116" s="16"/>
      <c r="B116" s="17"/>
      <c r="C116" s="17" t="s">
        <v>1632</v>
      </c>
      <c r="D116" s="19"/>
      <c r="E116" s="18"/>
      <c r="F116" s="21">
        <f>Source!AN39</f>
        <v>43.16</v>
      </c>
      <c r="G116" s="20" t="str">
        <f>Source!DF39</f>
        <v>)*1,25</v>
      </c>
      <c r="H116" s="18">
        <f>Source!AV39</f>
        <v>1</v>
      </c>
      <c r="I116" s="26">
        <f>ROUND((ROUND((Source!AE39*Source!AV39*Source!I39),2)),2)</f>
        <v>63.66</v>
      </c>
      <c r="J116" s="18">
        <f>IF(Source!BS39&lt;&gt; 0, Source!BS39, 1)</f>
        <v>25.44</v>
      </c>
      <c r="K116" s="26">
        <f>Source!R39</f>
        <v>1619.51</v>
      </c>
      <c r="W116">
        <f>I116</f>
        <v>63.66</v>
      </c>
    </row>
    <row r="117" spans="1:27" ht="14.25" x14ac:dyDescent="0.2">
      <c r="A117" s="16"/>
      <c r="B117" s="17"/>
      <c r="C117" s="17" t="s">
        <v>1634</v>
      </c>
      <c r="D117" s="19"/>
      <c r="E117" s="18"/>
      <c r="F117" s="21">
        <f>Source!AL39</f>
        <v>1800.88</v>
      </c>
      <c r="G117" s="20" t="str">
        <f>Source!DD39</f>
        <v/>
      </c>
      <c r="H117" s="18">
        <f>Source!AW39</f>
        <v>1</v>
      </c>
      <c r="I117" s="22">
        <f>ROUND((ROUND((Source!AC39*Source!AW39*Source!I39),2)),2)</f>
        <v>2125.04</v>
      </c>
      <c r="J117" s="18">
        <f>IF(Source!BC39&lt;&gt; 0, Source!BC39, 1)</f>
        <v>11.88</v>
      </c>
      <c r="K117" s="22">
        <f>Source!P39</f>
        <v>25245.48</v>
      </c>
    </row>
    <row r="118" spans="1:27" ht="71.25" x14ac:dyDescent="0.2">
      <c r="A118" s="16" t="str">
        <f>Source!E40</f>
        <v>10,1</v>
      </c>
      <c r="B118" s="17" t="str">
        <f>Source!F40</f>
        <v>1.3-4-3</v>
      </c>
      <c r="C118" s="17" t="s">
        <v>103</v>
      </c>
      <c r="D118" s="19" t="str">
        <f>Source!H40</f>
        <v>т</v>
      </c>
      <c r="E118" s="18">
        <f>Source!I40</f>
        <v>9.1044999999999998</v>
      </c>
      <c r="F118" s="21">
        <f>Source!AK40</f>
        <v>5681.92</v>
      </c>
      <c r="G118" s="27" t="s">
        <v>3</v>
      </c>
      <c r="H118" s="18">
        <f>Source!AW40</f>
        <v>1</v>
      </c>
      <c r="I118" s="22">
        <f>ROUND((ROUND((Source!AC40*Source!AW40*Source!I40),2)),2)+(ROUND((ROUND(((Source!ET40)*Source!AV40*Source!I40),2)),2)+ROUND((ROUND(((Source!AE40-(Source!EU40))*Source!AV40*Source!I40),2)),2))+ROUND((ROUND((Source!AF40*Source!AV40*Source!I40),2)),2)</f>
        <v>51731.040000000001</v>
      </c>
      <c r="J118" s="18">
        <f>IF(Source!BC40&lt;&gt; 0, Source!BC40, 1)</f>
        <v>14.87</v>
      </c>
      <c r="K118" s="22">
        <f>Source!O40</f>
        <v>769240.56</v>
      </c>
      <c r="Q118">
        <f>ROUND((Source!DN40/100)*ROUND((ROUND((Source!AF40*Source!AV40*Source!I40),2)),2), 2)</f>
        <v>0</v>
      </c>
      <c r="R118">
        <f>Source!X40</f>
        <v>0</v>
      </c>
      <c r="S118">
        <f>ROUND((Source!DO40/100)*ROUND((ROUND((Source!AF40*Source!AV40*Source!I40),2)),2), 2)</f>
        <v>0</v>
      </c>
      <c r="T118">
        <f>Source!Y40</f>
        <v>0</v>
      </c>
      <c r="U118">
        <f>ROUND((175/100)*ROUND((ROUND((Source!AE40*Source!AV40*Source!I40),2)),2), 2)</f>
        <v>0</v>
      </c>
      <c r="V118">
        <f>ROUND((157/100)*ROUND(ROUND((ROUND((Source!AE40*Source!AV40*Source!I40),2)*Source!BS40),2), 2), 2)</f>
        <v>0</v>
      </c>
      <c r="X118">
        <f>IF(Source!BI40&lt;=1,I118, 0)</f>
        <v>51731.040000000001</v>
      </c>
      <c r="Y118">
        <f>IF(Source!BI40=2,I118, 0)</f>
        <v>0</v>
      </c>
      <c r="Z118">
        <f>IF(Source!BI40=3,I118, 0)</f>
        <v>0</v>
      </c>
      <c r="AA118">
        <f>IF(Source!BI40=4,I118, 0)</f>
        <v>0</v>
      </c>
    </row>
    <row r="119" spans="1:27" ht="57" x14ac:dyDescent="0.2">
      <c r="A119" s="16" t="str">
        <f>Source!E41</f>
        <v>10,2</v>
      </c>
      <c r="B119" s="17" t="str">
        <f>Source!F41</f>
        <v>1.3-1-38</v>
      </c>
      <c r="C119" s="17" t="s">
        <v>108</v>
      </c>
      <c r="D119" s="19" t="str">
        <f>Source!H41</f>
        <v>м3</v>
      </c>
      <c r="E119" s="18">
        <f>Source!I41</f>
        <v>119.77</v>
      </c>
      <c r="F119" s="21">
        <f>Source!AK41</f>
        <v>704.89</v>
      </c>
      <c r="G119" s="27" t="s">
        <v>3</v>
      </c>
      <c r="H119" s="18">
        <f>Source!AW41</f>
        <v>1</v>
      </c>
      <c r="I119" s="22">
        <f>ROUND((ROUND((Source!AC41*Source!AW41*Source!I41),2)),2)+(ROUND((ROUND(((Source!ET41)*Source!AV41*Source!I41),2)),2)+ROUND((ROUND(((Source!AE41-(Source!EU41))*Source!AV41*Source!I41),2)),2))+ROUND((ROUND((Source!AF41*Source!AV41*Source!I41),2)),2)</f>
        <v>84424.68</v>
      </c>
      <c r="J119" s="18">
        <f>IF(Source!BC41&lt;&gt; 0, Source!BC41, 1)</f>
        <v>6.01</v>
      </c>
      <c r="K119" s="22">
        <f>Source!O41</f>
        <v>507392.33</v>
      </c>
      <c r="Q119">
        <f>ROUND((Source!DN41/100)*ROUND((ROUND((Source!AF41*Source!AV41*Source!I41),2)),2), 2)</f>
        <v>0</v>
      </c>
      <c r="R119">
        <f>Source!X41</f>
        <v>0</v>
      </c>
      <c r="S119">
        <f>ROUND((Source!DO41/100)*ROUND((ROUND((Source!AF41*Source!AV41*Source!I41),2)),2), 2)</f>
        <v>0</v>
      </c>
      <c r="T119">
        <f>Source!Y41</f>
        <v>0</v>
      </c>
      <c r="U119">
        <f>ROUND((175/100)*ROUND((ROUND((Source!AE41*Source!AV41*Source!I41),2)),2), 2)</f>
        <v>0</v>
      </c>
      <c r="V119">
        <f>ROUND((157/100)*ROUND(ROUND((ROUND((Source!AE41*Source!AV41*Source!I41),2)*Source!BS41),2), 2), 2)</f>
        <v>0</v>
      </c>
      <c r="X119">
        <f>IF(Source!BI41&lt;=1,I119, 0)</f>
        <v>84424.68</v>
      </c>
      <c r="Y119">
        <f>IF(Source!BI41=2,I119, 0)</f>
        <v>0</v>
      </c>
      <c r="Z119">
        <f>IF(Source!BI41=3,I119, 0)</f>
        <v>0</v>
      </c>
      <c r="AA119">
        <f>IF(Source!BI41=4,I119, 0)</f>
        <v>0</v>
      </c>
    </row>
    <row r="120" spans="1:27" ht="14.25" x14ac:dyDescent="0.2">
      <c r="A120" s="16"/>
      <c r="B120" s="17"/>
      <c r="C120" s="17" t="s">
        <v>1626</v>
      </c>
      <c r="D120" s="19" t="s">
        <v>1627</v>
      </c>
      <c r="E120" s="18">
        <f>Source!DN39</f>
        <v>85</v>
      </c>
      <c r="F120" s="21"/>
      <c r="G120" s="20"/>
      <c r="H120" s="18"/>
      <c r="I120" s="22">
        <f>SUM(Q112:Q119)</f>
        <v>2308.31</v>
      </c>
      <c r="J120" s="18">
        <f>Source!BZ39</f>
        <v>68</v>
      </c>
      <c r="K120" s="22">
        <f>SUM(R112:R119)</f>
        <v>46978.75</v>
      </c>
    </row>
    <row r="121" spans="1:27" ht="14.25" x14ac:dyDescent="0.2">
      <c r="A121" s="16"/>
      <c r="B121" s="17"/>
      <c r="C121" s="17" t="s">
        <v>1628</v>
      </c>
      <c r="D121" s="19" t="s">
        <v>1627</v>
      </c>
      <c r="E121" s="18">
        <f>Source!DO39</f>
        <v>70</v>
      </c>
      <c r="F121" s="21"/>
      <c r="G121" s="20"/>
      <c r="H121" s="18"/>
      <c r="I121" s="22">
        <f>SUM(S112:S120)</f>
        <v>1900.96</v>
      </c>
      <c r="J121" s="18">
        <f>Source!CA39</f>
        <v>41</v>
      </c>
      <c r="K121" s="22">
        <f>SUM(T112:T120)</f>
        <v>28325.42</v>
      </c>
    </row>
    <row r="122" spans="1:27" ht="14.25" x14ac:dyDescent="0.2">
      <c r="A122" s="16"/>
      <c r="B122" s="17"/>
      <c r="C122" s="17" t="s">
        <v>1633</v>
      </c>
      <c r="D122" s="19" t="s">
        <v>1627</v>
      </c>
      <c r="E122" s="18">
        <f>175</f>
        <v>175</v>
      </c>
      <c r="F122" s="21"/>
      <c r="G122" s="20"/>
      <c r="H122" s="18"/>
      <c r="I122" s="22">
        <f>SUM(U112:U121)</f>
        <v>111.41</v>
      </c>
      <c r="J122" s="18">
        <f>157</f>
        <v>157</v>
      </c>
      <c r="K122" s="22">
        <f>SUM(V112:V121)</f>
        <v>2542.63</v>
      </c>
    </row>
    <row r="123" spans="1:27" ht="14.25" x14ac:dyDescent="0.2">
      <c r="A123" s="16"/>
      <c r="B123" s="17"/>
      <c r="C123" s="17" t="s">
        <v>1629</v>
      </c>
      <c r="D123" s="19" t="s">
        <v>1630</v>
      </c>
      <c r="E123" s="18">
        <f>Source!AQ39</f>
        <v>179</v>
      </c>
      <c r="F123" s="21"/>
      <c r="G123" s="20" t="str">
        <f>Source!DI39</f>
        <v>)*1,15</v>
      </c>
      <c r="H123" s="18">
        <f>Source!AV39</f>
        <v>1</v>
      </c>
      <c r="I123" s="22">
        <f>Source!U39</f>
        <v>242.90299999999999</v>
      </c>
      <c r="J123" s="18"/>
      <c r="K123" s="22"/>
    </row>
    <row r="124" spans="1:27" ht="15" x14ac:dyDescent="0.25">
      <c r="A124" s="25"/>
      <c r="B124" s="25"/>
      <c r="C124" s="25"/>
      <c r="D124" s="25"/>
      <c r="E124" s="25"/>
      <c r="F124" s="25"/>
      <c r="G124" s="25"/>
      <c r="H124" s="54">
        <f>I114+I115+I117+I120+I121+I122+SUM(I118:I119)</f>
        <v>146866.4</v>
      </c>
      <c r="I124" s="54"/>
      <c r="J124" s="54">
        <f>K114+K115+K117+K120+K121+K122+SUM(K118:K119)</f>
        <v>1462786.25</v>
      </c>
      <c r="K124" s="54"/>
      <c r="O124" s="24">
        <f>I114+I115+I117+I120+I121+I122+SUM(I118:I119)</f>
        <v>146866.4</v>
      </c>
      <c r="P124" s="24">
        <f>K114+K115+K117+K120+K121+K122+SUM(K118:K119)</f>
        <v>1462786.25</v>
      </c>
      <c r="X124">
        <f>IF(Source!BI39&lt;=1,I114+I115+I117+I120+I121+I122-0, 0)</f>
        <v>10710.68</v>
      </c>
      <c r="Y124">
        <f>IF(Source!BI39=2,I114+I115+I117+I120+I121+I122-0, 0)</f>
        <v>0</v>
      </c>
      <c r="Z124">
        <f>IF(Source!BI39=3,I114+I115+I117+I120+I121+I122-0, 0)</f>
        <v>0</v>
      </c>
      <c r="AA124">
        <f>IF(Source!BI39=4,I114+I115+I117+I120+I121+I122,0)</f>
        <v>0</v>
      </c>
    </row>
    <row r="125" spans="1:27" ht="42.75" x14ac:dyDescent="0.2">
      <c r="A125" s="16" t="str">
        <f>Source!E42</f>
        <v>11</v>
      </c>
      <c r="B125" s="17" t="str">
        <f>Source!F42</f>
        <v>3.27-69-1</v>
      </c>
      <c r="C125" s="17" t="s">
        <v>112</v>
      </c>
      <c r="D125" s="19" t="str">
        <f>Source!H42</f>
        <v>1000 м2 поверхности</v>
      </c>
      <c r="E125" s="18">
        <f>Source!I42</f>
        <v>0.78700000000000003</v>
      </c>
      <c r="F125" s="21"/>
      <c r="G125" s="20"/>
      <c r="H125" s="18"/>
      <c r="I125" s="22"/>
      <c r="J125" s="18"/>
      <c r="K125" s="22"/>
      <c r="Q125">
        <f>ROUND((Source!DN42/100)*ROUND((ROUND((Source!AF42*Source!AV42*Source!I42),2)),2), 2)</f>
        <v>361.51</v>
      </c>
      <c r="R125">
        <f>Source!X42</f>
        <v>7357.41</v>
      </c>
      <c r="S125">
        <f>ROUND((Source!DO42/100)*ROUND((ROUND((Source!AF42*Source!AV42*Source!I42),2)),2), 2)</f>
        <v>203.99</v>
      </c>
      <c r="T125">
        <f>Source!Y42</f>
        <v>2693.34</v>
      </c>
      <c r="U125">
        <f>ROUND((175/100)*ROUND((ROUND((Source!AE42*Source!AV42*Source!I42),2)),2), 2)</f>
        <v>107.24</v>
      </c>
      <c r="V125">
        <f>ROUND((157/100)*ROUND(ROUND((ROUND((Source!AE42*Source!AV42*Source!I42),2)*Source!BS42),2), 2), 2)</f>
        <v>2447.5700000000002</v>
      </c>
    </row>
    <row r="126" spans="1:27" x14ac:dyDescent="0.2">
      <c r="C126" s="23" t="str">
        <f>"Объем: "&amp;Source!I42&amp;"=787/"&amp;"1000"</f>
        <v>Объем: 0,787=787/1000</v>
      </c>
    </row>
    <row r="127" spans="1:27" ht="14.25" x14ac:dyDescent="0.2">
      <c r="A127" s="16"/>
      <c r="B127" s="17"/>
      <c r="C127" s="17" t="s">
        <v>1625</v>
      </c>
      <c r="D127" s="19"/>
      <c r="E127" s="18"/>
      <c r="F127" s="21">
        <f>Source!AO42</f>
        <v>285.31</v>
      </c>
      <c r="G127" s="20" t="str">
        <f>Source!DG42</f>
        <v>)*1,15</v>
      </c>
      <c r="H127" s="18">
        <f>Source!AV42</f>
        <v>1</v>
      </c>
      <c r="I127" s="22">
        <f>ROUND((ROUND((Source!AF42*Source!AV42*Source!I42),2)),2)</f>
        <v>258.22000000000003</v>
      </c>
      <c r="J127" s="18">
        <f>IF(Source!BA42&lt;&gt; 0, Source!BA42, 1)</f>
        <v>25.44</v>
      </c>
      <c r="K127" s="22">
        <f>Source!S42</f>
        <v>6569.12</v>
      </c>
      <c r="W127">
        <f>I127</f>
        <v>258.22000000000003</v>
      </c>
    </row>
    <row r="128" spans="1:27" ht="14.25" x14ac:dyDescent="0.2">
      <c r="A128" s="16"/>
      <c r="B128" s="17"/>
      <c r="C128" s="17" t="s">
        <v>1631</v>
      </c>
      <c r="D128" s="19"/>
      <c r="E128" s="18"/>
      <c r="F128" s="21">
        <f>Source!AM42</f>
        <v>670.35</v>
      </c>
      <c r="G128" s="20" t="str">
        <f>Source!DE42</f>
        <v>)*1,25</v>
      </c>
      <c r="H128" s="18">
        <f>Source!AV42</f>
        <v>1</v>
      </c>
      <c r="I128" s="22">
        <f>(ROUND((ROUND((((Source!ET42*1.25))*Source!AV42*Source!I42),2)),2)+ROUND((ROUND(((Source!AE42-((Source!EU42*1.25)))*Source!AV42*Source!I42),2)),2))</f>
        <v>659.46</v>
      </c>
      <c r="J128" s="18">
        <f>IF(Source!BB42&lt;&gt; 0, Source!BB42, 1)</f>
        <v>8.7799999999999994</v>
      </c>
      <c r="K128" s="22">
        <f>Source!Q42</f>
        <v>5790.06</v>
      </c>
    </row>
    <row r="129" spans="1:27" ht="14.25" x14ac:dyDescent="0.2">
      <c r="A129" s="16"/>
      <c r="B129" s="17"/>
      <c r="C129" s="17" t="s">
        <v>1632</v>
      </c>
      <c r="D129" s="19"/>
      <c r="E129" s="18"/>
      <c r="F129" s="21">
        <f>Source!AN42</f>
        <v>62.29</v>
      </c>
      <c r="G129" s="20" t="str">
        <f>Source!DF42</f>
        <v>)*1,25</v>
      </c>
      <c r="H129" s="18">
        <f>Source!AV42</f>
        <v>1</v>
      </c>
      <c r="I129" s="26">
        <f>ROUND((ROUND((Source!AE42*Source!AV42*Source!I42),2)),2)</f>
        <v>61.28</v>
      </c>
      <c r="J129" s="18">
        <f>IF(Source!BS42&lt;&gt; 0, Source!BS42, 1)</f>
        <v>25.44</v>
      </c>
      <c r="K129" s="26">
        <f>Source!R42</f>
        <v>1558.96</v>
      </c>
      <c r="W129">
        <f>I129</f>
        <v>61.28</v>
      </c>
    </row>
    <row r="130" spans="1:27" ht="14.25" x14ac:dyDescent="0.2">
      <c r="A130" s="16"/>
      <c r="B130" s="17"/>
      <c r="C130" s="17" t="s">
        <v>1634</v>
      </c>
      <c r="D130" s="19"/>
      <c r="E130" s="18"/>
      <c r="F130" s="21">
        <f>Source!AL42</f>
        <v>0.49</v>
      </c>
      <c r="G130" s="20" t="str">
        <f>Source!DD42</f>
        <v/>
      </c>
      <c r="H130" s="18">
        <f>Source!AW42</f>
        <v>1</v>
      </c>
      <c r="I130" s="22">
        <f>ROUND((ROUND((Source!AC42*Source!AW42*Source!I42),2)),2)</f>
        <v>0.39</v>
      </c>
      <c r="J130" s="18">
        <f>IF(Source!BC42&lt;&gt; 0, Source!BC42, 1)</f>
        <v>6.57</v>
      </c>
      <c r="K130" s="22">
        <f>Source!P42</f>
        <v>2.56</v>
      </c>
    </row>
    <row r="131" spans="1:27" ht="55.5" x14ac:dyDescent="0.2">
      <c r="A131" s="16" t="str">
        <f>Source!E43</f>
        <v>11,1</v>
      </c>
      <c r="B131" s="17" t="str">
        <f>Source!F43</f>
        <v>Цена поставщика</v>
      </c>
      <c r="C131" s="17" t="s">
        <v>1635</v>
      </c>
      <c r="D131" s="19" t="str">
        <f>Source!H43</f>
        <v>м2</v>
      </c>
      <c r="E131" s="18">
        <f>Source!I43</f>
        <v>912.00000000000011</v>
      </c>
      <c r="F131" s="21">
        <f>Source!AK43</f>
        <v>43.57</v>
      </c>
      <c r="G131" s="27" t="s">
        <v>3</v>
      </c>
      <c r="H131" s="18">
        <f>Source!AW43</f>
        <v>1</v>
      </c>
      <c r="I131" s="22">
        <f>ROUND((ROUND((Source!AC43*Source!AW43*Source!I43),2)),2)+(ROUND((ROUND(((Source!ET43)*Source!AV43*Source!I43),2)),2)+ROUND((ROUND(((Source!AE43-(Source!EU43))*Source!AV43*Source!I43),2)),2))+ROUND((ROUND((Source!AF43*Source!AV43*Source!I43),2)),2)</f>
        <v>39735.839999999997</v>
      </c>
      <c r="J131" s="18">
        <f>IF(Source!BC43&lt;&gt; 0, Source!BC43, 1)</f>
        <v>6.34</v>
      </c>
      <c r="K131" s="22">
        <f>Source!O43</f>
        <v>251925.23</v>
      </c>
      <c r="Q131">
        <f>ROUND((Source!DN43/100)*ROUND((ROUND((Source!AF43*Source!AV43*Source!I43),2)),2), 2)</f>
        <v>0</v>
      </c>
      <c r="R131">
        <f>Source!X43</f>
        <v>0</v>
      </c>
      <c r="S131">
        <f>ROUND((Source!DO43/100)*ROUND((ROUND((Source!AF43*Source!AV43*Source!I43),2)),2), 2)</f>
        <v>0</v>
      </c>
      <c r="T131">
        <f>Source!Y43</f>
        <v>0</v>
      </c>
      <c r="U131">
        <f>ROUND((175/100)*ROUND((ROUND((Source!AE43*Source!AV43*Source!I43),2)),2), 2)</f>
        <v>0</v>
      </c>
      <c r="V131">
        <f>ROUND((157/100)*ROUND(ROUND((ROUND((Source!AE43*Source!AV43*Source!I43),2)*Source!BS43),2), 2), 2)</f>
        <v>0</v>
      </c>
      <c r="X131">
        <f>IF(Source!BI43&lt;=1,I131, 0)</f>
        <v>39735.839999999997</v>
      </c>
      <c r="Y131">
        <f>IF(Source!BI43=2,I131, 0)</f>
        <v>0</v>
      </c>
      <c r="Z131">
        <f>IF(Source!BI43=3,I131, 0)</f>
        <v>0</v>
      </c>
      <c r="AA131">
        <f>IF(Source!BI43=4,I131, 0)</f>
        <v>0</v>
      </c>
    </row>
    <row r="132" spans="1:27" ht="14.25" x14ac:dyDescent="0.2">
      <c r="A132" s="16"/>
      <c r="B132" s="17"/>
      <c r="C132" s="17" t="s">
        <v>1626</v>
      </c>
      <c r="D132" s="19" t="s">
        <v>1627</v>
      </c>
      <c r="E132" s="18">
        <f>Source!DN42</f>
        <v>140</v>
      </c>
      <c r="F132" s="21"/>
      <c r="G132" s="20"/>
      <c r="H132" s="18"/>
      <c r="I132" s="22">
        <f>SUM(Q125:Q131)</f>
        <v>361.51</v>
      </c>
      <c r="J132" s="18">
        <f>Source!BZ42</f>
        <v>112</v>
      </c>
      <c r="K132" s="22">
        <f>SUM(R125:R131)</f>
        <v>7357.41</v>
      </c>
    </row>
    <row r="133" spans="1:27" ht="14.25" x14ac:dyDescent="0.2">
      <c r="A133" s="16"/>
      <c r="B133" s="17"/>
      <c r="C133" s="17" t="s">
        <v>1628</v>
      </c>
      <c r="D133" s="19" t="s">
        <v>1627</v>
      </c>
      <c r="E133" s="18">
        <f>Source!DO42</f>
        <v>79</v>
      </c>
      <c r="F133" s="21"/>
      <c r="G133" s="20"/>
      <c r="H133" s="18"/>
      <c r="I133" s="22">
        <f>SUM(S125:S132)</f>
        <v>203.99</v>
      </c>
      <c r="J133" s="18">
        <f>Source!CA42</f>
        <v>41</v>
      </c>
      <c r="K133" s="22">
        <f>SUM(T125:T132)</f>
        <v>2693.34</v>
      </c>
    </row>
    <row r="134" spans="1:27" ht="14.25" x14ac:dyDescent="0.2">
      <c r="A134" s="16"/>
      <c r="B134" s="17"/>
      <c r="C134" s="17" t="s">
        <v>1633</v>
      </c>
      <c r="D134" s="19" t="s">
        <v>1627</v>
      </c>
      <c r="E134" s="18">
        <f>175</f>
        <v>175</v>
      </c>
      <c r="F134" s="21"/>
      <c r="G134" s="20"/>
      <c r="H134" s="18"/>
      <c r="I134" s="22">
        <f>SUM(U125:U133)</f>
        <v>107.24</v>
      </c>
      <c r="J134" s="18">
        <f>157</f>
        <v>157</v>
      </c>
      <c r="K134" s="22">
        <f>SUM(V125:V133)</f>
        <v>2447.5700000000002</v>
      </c>
    </row>
    <row r="135" spans="1:27" ht="14.25" x14ac:dyDescent="0.2">
      <c r="A135" s="16"/>
      <c r="B135" s="17"/>
      <c r="C135" s="17" t="s">
        <v>1629</v>
      </c>
      <c r="D135" s="19" t="s">
        <v>1630</v>
      </c>
      <c r="E135" s="18">
        <f>Source!AQ42</f>
        <v>27.7</v>
      </c>
      <c r="F135" s="21"/>
      <c r="G135" s="20" t="str">
        <f>Source!DI42</f>
        <v>)*1,15</v>
      </c>
      <c r="H135" s="18">
        <f>Source!AV42</f>
        <v>1</v>
      </c>
      <c r="I135" s="22">
        <f>Source!U42</f>
        <v>25.069884999999999</v>
      </c>
      <c r="J135" s="18"/>
      <c r="K135" s="22"/>
    </row>
    <row r="136" spans="1:27" ht="15" x14ac:dyDescent="0.25">
      <c r="A136" s="25"/>
      <c r="B136" s="25"/>
      <c r="C136" s="25"/>
      <c r="D136" s="25"/>
      <c r="E136" s="25"/>
      <c r="F136" s="25"/>
      <c r="G136" s="25"/>
      <c r="H136" s="54">
        <f>I127+I128+I130+I132+I133+I134+SUM(I131:I131)</f>
        <v>41326.649999999994</v>
      </c>
      <c r="I136" s="54"/>
      <c r="J136" s="54">
        <f>K127+K128+K130+K132+K133+K134+SUM(K131:K131)</f>
        <v>276785.29000000004</v>
      </c>
      <c r="K136" s="54"/>
      <c r="O136" s="24">
        <f>I127+I128+I130+I132+I133+I134+SUM(I131:I131)</f>
        <v>41326.649999999994</v>
      </c>
      <c r="P136" s="24">
        <f>K127+K128+K130+K132+K133+K134+SUM(K131:K131)</f>
        <v>276785.29000000004</v>
      </c>
      <c r="X136">
        <f>IF(Source!BI42&lt;=1,I127+I128+I130+I132+I133+I134-0, 0)</f>
        <v>1590.81</v>
      </c>
      <c r="Y136">
        <f>IF(Source!BI42=2,I127+I128+I130+I132+I133+I134-0, 0)</f>
        <v>0</v>
      </c>
      <c r="Z136">
        <f>IF(Source!BI42=3,I127+I128+I130+I132+I133+I134-0, 0)</f>
        <v>0</v>
      </c>
      <c r="AA136">
        <f>IF(Source!BI42=4,I127+I128+I130+I132+I133+I134,0)</f>
        <v>0</v>
      </c>
    </row>
    <row r="137" spans="1:27" ht="28.5" x14ac:dyDescent="0.2">
      <c r="A137" s="16" t="str">
        <f>Source!E44</f>
        <v>12</v>
      </c>
      <c r="B137" s="17" t="str">
        <f>Source!F44</f>
        <v>3.47-74-1</v>
      </c>
      <c r="C137" s="17" t="s">
        <v>124</v>
      </c>
      <c r="D137" s="19" t="str">
        <f>Source!H44</f>
        <v>100 м2</v>
      </c>
      <c r="E137" s="18">
        <f>Source!I44</f>
        <v>7.87</v>
      </c>
      <c r="F137" s="21"/>
      <c r="G137" s="20"/>
      <c r="H137" s="18"/>
      <c r="I137" s="22"/>
      <c r="J137" s="18"/>
      <c r="K137" s="22"/>
      <c r="Q137">
        <f>ROUND((Source!DN44/100)*ROUND((ROUND((Source!AF44*Source!AV44*Source!I44),2)),2), 2)</f>
        <v>1328.15</v>
      </c>
      <c r="R137">
        <f>Source!X44</f>
        <v>19493.2</v>
      </c>
      <c r="S137">
        <f>ROUND((Source!DO44/100)*ROUND((ROUND((Source!AF44*Source!AV44*Source!I44),2)),2), 2)</f>
        <v>715.16</v>
      </c>
      <c r="T137">
        <f>Source!Y44</f>
        <v>8880.24</v>
      </c>
      <c r="U137">
        <f>ROUND((175/100)*ROUND((ROUND((Source!AE44*Source!AV44*Source!I44),2)),2), 2)</f>
        <v>5.51</v>
      </c>
      <c r="V137">
        <f>ROUND((157/100)*ROUND(ROUND((ROUND((Source!AE44*Source!AV44*Source!I44),2)*Source!BS44),2), 2), 2)</f>
        <v>125.82</v>
      </c>
    </row>
    <row r="138" spans="1:27" x14ac:dyDescent="0.2">
      <c r="C138" s="23" t="str">
        <f>"Объем: "&amp;Source!I44&amp;"=787/"&amp;"100"</f>
        <v>Объем: 7,87=787/100</v>
      </c>
    </row>
    <row r="139" spans="1:27" ht="14.25" x14ac:dyDescent="0.2">
      <c r="A139" s="16"/>
      <c r="B139" s="17"/>
      <c r="C139" s="17" t="s">
        <v>1625</v>
      </c>
      <c r="D139" s="19"/>
      <c r="E139" s="18"/>
      <c r="F139" s="21">
        <f>Source!AO44</f>
        <v>94.07</v>
      </c>
      <c r="G139" s="20" t="str">
        <f>Source!DG44</f>
        <v>)*1,15</v>
      </c>
      <c r="H139" s="18">
        <f>Source!AV44</f>
        <v>1</v>
      </c>
      <c r="I139" s="22">
        <f>ROUND((ROUND((Source!AF44*Source!AV44*Source!I44),2)),2)</f>
        <v>851.38</v>
      </c>
      <c r="J139" s="18">
        <f>IF(Source!BA44&lt;&gt; 0, Source!BA44, 1)</f>
        <v>25.44</v>
      </c>
      <c r="K139" s="22">
        <f>Source!S44</f>
        <v>21659.11</v>
      </c>
      <c r="W139">
        <f>I139</f>
        <v>851.38</v>
      </c>
    </row>
    <row r="140" spans="1:27" ht="14.25" x14ac:dyDescent="0.2">
      <c r="A140" s="16"/>
      <c r="B140" s="17"/>
      <c r="C140" s="17" t="s">
        <v>1631</v>
      </c>
      <c r="D140" s="19"/>
      <c r="E140" s="18"/>
      <c r="F140" s="21">
        <f>Source!AM44</f>
        <v>1.58</v>
      </c>
      <c r="G140" s="20" t="str">
        <f>Source!DE44</f>
        <v>)*1,25</v>
      </c>
      <c r="H140" s="18">
        <f>Source!AV44</f>
        <v>1</v>
      </c>
      <c r="I140" s="22">
        <f>(ROUND((ROUND((((Source!ET44*1.25))*Source!AV44*Source!I44),2)),2)+ROUND((ROUND(((Source!AE44-((Source!EU44*1.25)))*Source!AV44*Source!I44),2)),2))</f>
        <v>15.54</v>
      </c>
      <c r="J140" s="18">
        <f>IF(Source!BB44&lt;&gt; 0, Source!BB44, 1)</f>
        <v>9.1300000000000008</v>
      </c>
      <c r="K140" s="22">
        <f>Source!Q44</f>
        <v>141.88</v>
      </c>
    </row>
    <row r="141" spans="1:27" ht="14.25" x14ac:dyDescent="0.2">
      <c r="A141" s="16"/>
      <c r="B141" s="17"/>
      <c r="C141" s="17" t="s">
        <v>1632</v>
      </c>
      <c r="D141" s="19"/>
      <c r="E141" s="18"/>
      <c r="F141" s="21">
        <f>Source!AN44</f>
        <v>0.32</v>
      </c>
      <c r="G141" s="20" t="str">
        <f>Source!DF44</f>
        <v>)*1,25</v>
      </c>
      <c r="H141" s="18">
        <f>Source!AV44</f>
        <v>1</v>
      </c>
      <c r="I141" s="26">
        <f>ROUND((ROUND((Source!AE44*Source!AV44*Source!I44),2)),2)</f>
        <v>3.15</v>
      </c>
      <c r="J141" s="18">
        <f>IF(Source!BS44&lt;&gt; 0, Source!BS44, 1)</f>
        <v>25.44</v>
      </c>
      <c r="K141" s="26">
        <f>Source!R44</f>
        <v>80.14</v>
      </c>
      <c r="W141">
        <f>I141</f>
        <v>3.15</v>
      </c>
    </row>
    <row r="142" spans="1:27" ht="14.25" x14ac:dyDescent="0.2">
      <c r="A142" s="16"/>
      <c r="B142" s="17"/>
      <c r="C142" s="17" t="s">
        <v>1634</v>
      </c>
      <c r="D142" s="19"/>
      <c r="E142" s="18"/>
      <c r="F142" s="21">
        <f>Source!AL44</f>
        <v>584.91999999999996</v>
      </c>
      <c r="G142" s="20" t="str">
        <f>Source!DD44</f>
        <v/>
      </c>
      <c r="H142" s="18">
        <f>Source!AW44</f>
        <v>1</v>
      </c>
      <c r="I142" s="22">
        <f>ROUND((ROUND((Source!AC44*Source!AW44*Source!I44),2)),2)</f>
        <v>4603.32</v>
      </c>
      <c r="J142" s="18">
        <f>IF(Source!BC44&lt;&gt; 0, Source!BC44, 1)</f>
        <v>4.09</v>
      </c>
      <c r="K142" s="22">
        <f>Source!P44</f>
        <v>18827.580000000002</v>
      </c>
    </row>
    <row r="143" spans="1:27" ht="42.75" x14ac:dyDescent="0.2">
      <c r="A143" s="16" t="str">
        <f>Source!E45</f>
        <v>12,1</v>
      </c>
      <c r="B143" s="17" t="str">
        <f>Source!F45</f>
        <v>Цена поставщика</v>
      </c>
      <c r="C143" s="17" t="s">
        <v>1636</v>
      </c>
      <c r="D143" s="19" t="str">
        <f>Source!H45</f>
        <v>м2</v>
      </c>
      <c r="E143" s="18">
        <f>Source!I45</f>
        <v>802.69</v>
      </c>
      <c r="F143" s="21">
        <f>Source!AK45</f>
        <v>251.38</v>
      </c>
      <c r="G143" s="27" t="s">
        <v>3</v>
      </c>
      <c r="H143" s="18">
        <f>Source!AW45</f>
        <v>1</v>
      </c>
      <c r="I143" s="22">
        <f>ROUND((ROUND((Source!AC45*Source!AW45*Source!I45),2)),2)+(ROUND((ROUND(((Source!ET45)*Source!AV45*Source!I45),2)),2)+ROUND((ROUND(((Source!AE45-(Source!EU45))*Source!AV45*Source!I45),2)),2))+ROUND((ROUND((Source!AF45*Source!AV45*Source!I45),2)),2)</f>
        <v>201780.21</v>
      </c>
      <c r="J143" s="18">
        <f>IF(Source!BC45&lt;&gt; 0, Source!BC45, 1)</f>
        <v>6.34</v>
      </c>
      <c r="K143" s="22">
        <f>Source!O45</f>
        <v>1279286.53</v>
      </c>
      <c r="Q143">
        <f>ROUND((Source!DN45/100)*ROUND((ROUND((Source!AF45*Source!AV45*Source!I45),2)),2), 2)</f>
        <v>0</v>
      </c>
      <c r="R143">
        <f>Source!X45</f>
        <v>0</v>
      </c>
      <c r="S143">
        <f>ROUND((Source!DO45/100)*ROUND((ROUND((Source!AF45*Source!AV45*Source!I45),2)),2), 2)</f>
        <v>0</v>
      </c>
      <c r="T143">
        <f>Source!Y45</f>
        <v>0</v>
      </c>
      <c r="U143">
        <f>ROUND((175/100)*ROUND((ROUND((Source!AE45*Source!AV45*Source!I45),2)),2), 2)</f>
        <v>0</v>
      </c>
      <c r="V143">
        <f>ROUND((157/100)*ROUND(ROUND((ROUND((Source!AE45*Source!AV45*Source!I45),2)*Source!BS45),2), 2), 2)</f>
        <v>0</v>
      </c>
      <c r="X143">
        <f>IF(Source!BI45&lt;=1,I143, 0)</f>
        <v>201780.21</v>
      </c>
      <c r="Y143">
        <f>IF(Source!BI45=2,I143, 0)</f>
        <v>0</v>
      </c>
      <c r="Z143">
        <f>IF(Source!BI45=3,I143, 0)</f>
        <v>0</v>
      </c>
      <c r="AA143">
        <f>IF(Source!BI45=4,I143, 0)</f>
        <v>0</v>
      </c>
    </row>
    <row r="144" spans="1:27" ht="42.75" x14ac:dyDescent="0.2">
      <c r="A144" s="16" t="str">
        <f>Source!E46</f>
        <v>12,2</v>
      </c>
      <c r="B144" s="17" t="str">
        <f>Source!F46</f>
        <v>1.1-1-3466</v>
      </c>
      <c r="C144" s="17" t="s">
        <v>130</v>
      </c>
      <c r="D144" s="19" t="str">
        <f>Source!H46</f>
        <v>кг</v>
      </c>
      <c r="E144" s="18">
        <f>Source!I46</f>
        <v>-37.933399999999999</v>
      </c>
      <c r="F144" s="21">
        <f>Source!AK46</f>
        <v>83.79</v>
      </c>
      <c r="G144" s="27" t="s">
        <v>3</v>
      </c>
      <c r="H144" s="18">
        <f>Source!AW46</f>
        <v>1</v>
      </c>
      <c r="I144" s="22">
        <f>ROUND((ROUND((Source!AC46*Source!AW46*Source!I46),2)),2)+(ROUND((ROUND(((Source!ET46)*Source!AV46*Source!I46),2)),2)+ROUND((ROUND(((Source!AE46-(Source!EU46))*Source!AV46*Source!I46),2)),2))+ROUND((ROUND((Source!AF46*Source!AV46*Source!I46),2)),2)</f>
        <v>-3178.44</v>
      </c>
      <c r="J144" s="18">
        <f>IF(Source!BC46&lt;&gt; 0, Source!BC46, 1)</f>
        <v>2.7</v>
      </c>
      <c r="K144" s="22">
        <f>Source!O46</f>
        <v>-8581.7900000000009</v>
      </c>
      <c r="Q144">
        <f>ROUND((Source!DN46/100)*ROUND((ROUND((Source!AF46*Source!AV46*Source!I46),2)),2), 2)</f>
        <v>0</v>
      </c>
      <c r="R144">
        <f>Source!X46</f>
        <v>0</v>
      </c>
      <c r="S144">
        <f>ROUND((Source!DO46/100)*ROUND((ROUND((Source!AF46*Source!AV46*Source!I46),2)),2), 2)</f>
        <v>0</v>
      </c>
      <c r="T144">
        <f>Source!Y46</f>
        <v>0</v>
      </c>
      <c r="U144">
        <f>ROUND((175/100)*ROUND((ROUND((Source!AE46*Source!AV46*Source!I46),2)),2), 2)</f>
        <v>0</v>
      </c>
      <c r="V144">
        <f>ROUND((157/100)*ROUND(ROUND((ROUND((Source!AE46*Source!AV46*Source!I46),2)*Source!BS46),2), 2), 2)</f>
        <v>0</v>
      </c>
      <c r="X144">
        <f>IF(Source!BI46&lt;=1,I144, 0)</f>
        <v>-3178.44</v>
      </c>
      <c r="Y144">
        <f>IF(Source!BI46=2,I144, 0)</f>
        <v>0</v>
      </c>
      <c r="Z144">
        <f>IF(Source!BI46=3,I144, 0)</f>
        <v>0</v>
      </c>
      <c r="AA144">
        <f>IF(Source!BI46=4,I144, 0)</f>
        <v>0</v>
      </c>
    </row>
    <row r="145" spans="1:27" ht="28.5" x14ac:dyDescent="0.2">
      <c r="A145" s="16" t="str">
        <f>Source!E47</f>
        <v>12,3</v>
      </c>
      <c r="B145" s="17" t="str">
        <f>Source!F47</f>
        <v>1.1-1-3467</v>
      </c>
      <c r="C145" s="17" t="s">
        <v>135</v>
      </c>
      <c r="D145" s="19" t="str">
        <f>Source!H47</f>
        <v>м</v>
      </c>
      <c r="E145" s="18">
        <f>Source!I47</f>
        <v>-194.38900000000001</v>
      </c>
      <c r="F145" s="21">
        <f>Source!AK47</f>
        <v>7.33</v>
      </c>
      <c r="G145" s="27" t="s">
        <v>3</v>
      </c>
      <c r="H145" s="18">
        <f>Source!AW47</f>
        <v>1</v>
      </c>
      <c r="I145" s="22">
        <f>ROUND((ROUND((Source!AC47*Source!AW47*Source!I47),2)),2)+(ROUND((ROUND(((Source!ET47)*Source!AV47*Source!I47),2)),2)+ROUND((ROUND(((Source!AE47-(Source!EU47))*Source!AV47*Source!I47),2)),2))+ROUND((ROUND((Source!AF47*Source!AV47*Source!I47),2)),2)</f>
        <v>-1424.87</v>
      </c>
      <c r="J145" s="18">
        <f>IF(Source!BC47&lt;&gt; 0, Source!BC47, 1)</f>
        <v>7.2</v>
      </c>
      <c r="K145" s="22">
        <f>Source!O47</f>
        <v>-10259.06</v>
      </c>
      <c r="Q145">
        <f>ROUND((Source!DN47/100)*ROUND((ROUND((Source!AF47*Source!AV47*Source!I47),2)),2), 2)</f>
        <v>0</v>
      </c>
      <c r="R145">
        <f>Source!X47</f>
        <v>0</v>
      </c>
      <c r="S145">
        <f>ROUND((Source!DO47/100)*ROUND((ROUND((Source!AF47*Source!AV47*Source!I47),2)),2), 2)</f>
        <v>0</v>
      </c>
      <c r="T145">
        <f>Source!Y47</f>
        <v>0</v>
      </c>
      <c r="U145">
        <f>ROUND((175/100)*ROUND((ROUND((Source!AE47*Source!AV47*Source!I47),2)),2), 2)</f>
        <v>0</v>
      </c>
      <c r="V145">
        <f>ROUND((157/100)*ROUND(ROUND((ROUND((Source!AE47*Source!AV47*Source!I47),2)*Source!BS47),2), 2), 2)</f>
        <v>0</v>
      </c>
      <c r="X145">
        <f>IF(Source!BI47&lt;=1,I145, 0)</f>
        <v>-1424.87</v>
      </c>
      <c r="Y145">
        <f>IF(Source!BI47=2,I145, 0)</f>
        <v>0</v>
      </c>
      <c r="Z145">
        <f>IF(Source!BI47=3,I145, 0)</f>
        <v>0</v>
      </c>
      <c r="AA145">
        <f>IF(Source!BI47=4,I145, 0)</f>
        <v>0</v>
      </c>
    </row>
    <row r="146" spans="1:27" ht="69.75" x14ac:dyDescent="0.2">
      <c r="A146" s="16" t="str">
        <f>Source!E48</f>
        <v>12,4</v>
      </c>
      <c r="B146" s="17" t="str">
        <f>Source!F48</f>
        <v>Цена поставщика</v>
      </c>
      <c r="C146" s="17" t="s">
        <v>1637</v>
      </c>
      <c r="D146" s="19" t="str">
        <f>Source!H48</f>
        <v>кг</v>
      </c>
      <c r="E146" s="18">
        <f>Source!I48</f>
        <v>60</v>
      </c>
      <c r="F146" s="21">
        <f>Source!AK48</f>
        <v>53.629999999999995</v>
      </c>
      <c r="G146" s="27" t="s">
        <v>3</v>
      </c>
      <c r="H146" s="18">
        <f>Source!AW48</f>
        <v>1</v>
      </c>
      <c r="I146" s="22">
        <f>ROUND((ROUND((Source!AC48*Source!AW48*Source!I48),2)),2)+(ROUND((ROUND(((Source!ET48)*Source!AV48*Source!I48),2)),2)+ROUND((ROUND(((Source!AE48-(Source!EU48))*Source!AV48*Source!I48),2)),2))+ROUND((ROUND((Source!AF48*Source!AV48*Source!I48),2)),2)</f>
        <v>3217.8</v>
      </c>
      <c r="J146" s="18">
        <f>IF(Source!BC48&lt;&gt; 0, Source!BC48, 1)</f>
        <v>6.34</v>
      </c>
      <c r="K146" s="22">
        <f>Source!O48</f>
        <v>20400.849999999999</v>
      </c>
      <c r="Q146">
        <f>ROUND((Source!DN48/100)*ROUND((ROUND((Source!AF48*Source!AV48*Source!I48),2)),2), 2)</f>
        <v>0</v>
      </c>
      <c r="R146">
        <f>Source!X48</f>
        <v>0</v>
      </c>
      <c r="S146">
        <f>ROUND((Source!DO48/100)*ROUND((ROUND((Source!AF48*Source!AV48*Source!I48),2)),2), 2)</f>
        <v>0</v>
      </c>
      <c r="T146">
        <f>Source!Y48</f>
        <v>0</v>
      </c>
      <c r="U146">
        <f>ROUND((175/100)*ROUND((ROUND((Source!AE48*Source!AV48*Source!I48),2)),2), 2)</f>
        <v>0</v>
      </c>
      <c r="V146">
        <f>ROUND((157/100)*ROUND(ROUND((ROUND((Source!AE48*Source!AV48*Source!I48),2)*Source!BS48),2), 2), 2)</f>
        <v>0</v>
      </c>
      <c r="X146">
        <f>IF(Source!BI48&lt;=1,I146, 0)</f>
        <v>3217.8</v>
      </c>
      <c r="Y146">
        <f>IF(Source!BI48=2,I146, 0)</f>
        <v>0</v>
      </c>
      <c r="Z146">
        <f>IF(Source!BI48=3,I146, 0)</f>
        <v>0</v>
      </c>
      <c r="AA146">
        <f>IF(Source!BI48=4,I146, 0)</f>
        <v>0</v>
      </c>
    </row>
    <row r="147" spans="1:27" ht="42.75" x14ac:dyDescent="0.2">
      <c r="A147" s="16" t="str">
        <f>Source!E49</f>
        <v>12,5</v>
      </c>
      <c r="B147" s="17" t="str">
        <f>Source!F49</f>
        <v>Цена поставщика</v>
      </c>
      <c r="C147" s="17" t="s">
        <v>1638</v>
      </c>
      <c r="D147" s="19" t="str">
        <f>Source!H49</f>
        <v>кг</v>
      </c>
      <c r="E147" s="18">
        <f>Source!I49</f>
        <v>3125</v>
      </c>
      <c r="F147" s="21">
        <f>Source!AK49</f>
        <v>6.97</v>
      </c>
      <c r="G147" s="27" t="s">
        <v>3</v>
      </c>
      <c r="H147" s="18">
        <f>Source!AW49</f>
        <v>1</v>
      </c>
      <c r="I147" s="22">
        <f>ROUND((ROUND((Source!AC49*Source!AW49*Source!I49),2)),2)+(ROUND((ROUND(((Source!ET49)*Source!AV49*Source!I49),2)),2)+ROUND((ROUND(((Source!AE49-(Source!EU49))*Source!AV49*Source!I49),2)),2))+ROUND((ROUND((Source!AF49*Source!AV49*Source!I49),2)),2)</f>
        <v>21781.25</v>
      </c>
      <c r="J147" s="18">
        <f>IF(Source!BC49&lt;&gt; 0, Source!BC49, 1)</f>
        <v>6.34</v>
      </c>
      <c r="K147" s="22">
        <f>Source!O49</f>
        <v>138093.13</v>
      </c>
      <c r="Q147">
        <f>ROUND((Source!DN49/100)*ROUND((ROUND((Source!AF49*Source!AV49*Source!I49),2)),2), 2)</f>
        <v>0</v>
      </c>
      <c r="R147">
        <f>Source!X49</f>
        <v>0</v>
      </c>
      <c r="S147">
        <f>ROUND((Source!DO49/100)*ROUND((ROUND((Source!AF49*Source!AV49*Source!I49),2)),2), 2)</f>
        <v>0</v>
      </c>
      <c r="T147">
        <f>Source!Y49</f>
        <v>0</v>
      </c>
      <c r="U147">
        <f>ROUND((175/100)*ROUND((ROUND((Source!AE49*Source!AV49*Source!I49),2)),2), 2)</f>
        <v>0</v>
      </c>
      <c r="V147">
        <f>ROUND((157/100)*ROUND(ROUND((ROUND((Source!AE49*Source!AV49*Source!I49),2)*Source!BS49),2), 2), 2)</f>
        <v>0</v>
      </c>
      <c r="X147">
        <f>IF(Source!BI49&lt;=1,I147, 0)</f>
        <v>21781.25</v>
      </c>
      <c r="Y147">
        <f>IF(Source!BI49=2,I147, 0)</f>
        <v>0</v>
      </c>
      <c r="Z147">
        <f>IF(Source!BI49=3,I147, 0)</f>
        <v>0</v>
      </c>
      <c r="AA147">
        <f>IF(Source!BI49=4,I147, 0)</f>
        <v>0</v>
      </c>
    </row>
    <row r="148" spans="1:27" ht="42.75" x14ac:dyDescent="0.2">
      <c r="A148" s="16" t="str">
        <f>Source!E50</f>
        <v>12,6</v>
      </c>
      <c r="B148" s="17" t="str">
        <f>Source!F50</f>
        <v>Цена поставщика</v>
      </c>
      <c r="C148" s="17" t="s">
        <v>1639</v>
      </c>
      <c r="D148" s="19" t="str">
        <f>Source!H50</f>
        <v>м</v>
      </c>
      <c r="E148" s="18">
        <f>Source!I50</f>
        <v>200</v>
      </c>
      <c r="F148" s="21">
        <f>Source!AK50</f>
        <v>10.319999999999999</v>
      </c>
      <c r="G148" s="27" t="s">
        <v>3</v>
      </c>
      <c r="H148" s="18">
        <f>Source!AW50</f>
        <v>1</v>
      </c>
      <c r="I148" s="22">
        <f>ROUND((ROUND((Source!AC50*Source!AW50*Source!I50),2)),2)+(ROUND((ROUND(((Source!ET50)*Source!AV50*Source!I50),2)),2)+ROUND((ROUND(((Source!AE50-(Source!EU50))*Source!AV50*Source!I50),2)),2))+ROUND((ROUND((Source!AF50*Source!AV50*Source!I50),2)),2)</f>
        <v>2064</v>
      </c>
      <c r="J148" s="18">
        <f>IF(Source!BC50&lt;&gt; 0, Source!BC50, 1)</f>
        <v>6.34</v>
      </c>
      <c r="K148" s="22">
        <f>Source!O50</f>
        <v>13085.76</v>
      </c>
      <c r="Q148">
        <f>ROUND((Source!DN50/100)*ROUND((ROUND((Source!AF50*Source!AV50*Source!I50),2)),2), 2)</f>
        <v>0</v>
      </c>
      <c r="R148">
        <f>Source!X50</f>
        <v>0</v>
      </c>
      <c r="S148">
        <f>ROUND((Source!DO50/100)*ROUND((ROUND((Source!AF50*Source!AV50*Source!I50),2)),2), 2)</f>
        <v>0</v>
      </c>
      <c r="T148">
        <f>Source!Y50</f>
        <v>0</v>
      </c>
      <c r="U148">
        <f>ROUND((175/100)*ROUND((ROUND((Source!AE50*Source!AV50*Source!I50),2)),2), 2)</f>
        <v>0</v>
      </c>
      <c r="V148">
        <f>ROUND((157/100)*ROUND(ROUND((ROUND((Source!AE50*Source!AV50*Source!I50),2)*Source!BS50),2), 2), 2)</f>
        <v>0</v>
      </c>
      <c r="X148">
        <f>IF(Source!BI50&lt;=1,I148, 0)</f>
        <v>2064</v>
      </c>
      <c r="Y148">
        <f>IF(Source!BI50=2,I148, 0)</f>
        <v>0</v>
      </c>
      <c r="Z148">
        <f>IF(Source!BI50=3,I148, 0)</f>
        <v>0</v>
      </c>
      <c r="AA148">
        <f>IF(Source!BI50=4,I148, 0)</f>
        <v>0</v>
      </c>
    </row>
    <row r="149" spans="1:27" ht="14.25" x14ac:dyDescent="0.2">
      <c r="A149" s="16"/>
      <c r="B149" s="17"/>
      <c r="C149" s="17" t="s">
        <v>1626</v>
      </c>
      <c r="D149" s="19" t="s">
        <v>1627</v>
      </c>
      <c r="E149" s="18">
        <f>Source!DN44</f>
        <v>156</v>
      </c>
      <c r="F149" s="21"/>
      <c r="G149" s="20"/>
      <c r="H149" s="18"/>
      <c r="I149" s="22">
        <f>SUM(Q137:Q148)</f>
        <v>1328.15</v>
      </c>
      <c r="J149" s="18">
        <f>Source!BZ44</f>
        <v>90</v>
      </c>
      <c r="K149" s="22">
        <f>SUM(R137:R148)</f>
        <v>19493.2</v>
      </c>
    </row>
    <row r="150" spans="1:27" ht="14.25" x14ac:dyDescent="0.2">
      <c r="A150" s="16"/>
      <c r="B150" s="17"/>
      <c r="C150" s="17" t="s">
        <v>1628</v>
      </c>
      <c r="D150" s="19" t="s">
        <v>1627</v>
      </c>
      <c r="E150" s="18">
        <f>Source!DO44</f>
        <v>84</v>
      </c>
      <c r="F150" s="21"/>
      <c r="G150" s="20"/>
      <c r="H150" s="18"/>
      <c r="I150" s="22">
        <f>SUM(S137:S149)</f>
        <v>715.16</v>
      </c>
      <c r="J150" s="18">
        <f>Source!CA44</f>
        <v>41</v>
      </c>
      <c r="K150" s="22">
        <f>SUM(T137:T149)</f>
        <v>8880.24</v>
      </c>
    </row>
    <row r="151" spans="1:27" ht="14.25" x14ac:dyDescent="0.2">
      <c r="A151" s="16"/>
      <c r="B151" s="17"/>
      <c r="C151" s="17" t="s">
        <v>1633</v>
      </c>
      <c r="D151" s="19" t="s">
        <v>1627</v>
      </c>
      <c r="E151" s="18">
        <f>175</f>
        <v>175</v>
      </c>
      <c r="F151" s="21"/>
      <c r="G151" s="20"/>
      <c r="H151" s="18"/>
      <c r="I151" s="22">
        <f>SUM(U137:U150)</f>
        <v>5.51</v>
      </c>
      <c r="J151" s="18">
        <f>157</f>
        <v>157</v>
      </c>
      <c r="K151" s="22">
        <f>SUM(V137:V150)</f>
        <v>125.82</v>
      </c>
    </row>
    <row r="152" spans="1:27" ht="14.25" x14ac:dyDescent="0.2">
      <c r="A152" s="16"/>
      <c r="B152" s="17"/>
      <c r="C152" s="17" t="s">
        <v>1629</v>
      </c>
      <c r="D152" s="19" t="s">
        <v>1630</v>
      </c>
      <c r="E152" s="18">
        <f>Source!AQ44</f>
        <v>8.1300000000000008</v>
      </c>
      <c r="F152" s="21"/>
      <c r="G152" s="20" t="str">
        <f>Source!DI44</f>
        <v>)*1,15</v>
      </c>
      <c r="H152" s="18">
        <f>Source!AV44</f>
        <v>1</v>
      </c>
      <c r="I152" s="22">
        <f>Source!U44</f>
        <v>73.580565000000007</v>
      </c>
      <c r="J152" s="18"/>
      <c r="K152" s="22"/>
    </row>
    <row r="153" spans="1:27" ht="15" x14ac:dyDescent="0.25">
      <c r="A153" s="25"/>
      <c r="B153" s="25"/>
      <c r="C153" s="25"/>
      <c r="D153" s="25"/>
      <c r="E153" s="25"/>
      <c r="F153" s="25"/>
      <c r="G153" s="25"/>
      <c r="H153" s="54">
        <f>I139+I140+I142+I149+I150+I151+SUM(I143:I148)</f>
        <v>231759.00999999998</v>
      </c>
      <c r="I153" s="54"/>
      <c r="J153" s="54">
        <f>K139+K140+K142+K149+K150+K151+SUM(K143:K148)</f>
        <v>1501153.2500000002</v>
      </c>
      <c r="K153" s="54"/>
      <c r="O153" s="24">
        <f>I139+I140+I142+I149+I150+I151+SUM(I143:I148)</f>
        <v>231759.00999999998</v>
      </c>
      <c r="P153" s="24">
        <f>K139+K140+K142+K149+K150+K151+SUM(K143:K148)</f>
        <v>1501153.2500000002</v>
      </c>
      <c r="X153">
        <f>IF(Source!BI44&lt;=1,I139+I140+I142+I149+I150+I151-0, 0)</f>
        <v>7519.0599999999995</v>
      </c>
      <c r="Y153">
        <f>IF(Source!BI44=2,I139+I140+I142+I149+I150+I151-0, 0)</f>
        <v>0</v>
      </c>
      <c r="Z153">
        <f>IF(Source!BI44=3,I139+I140+I142+I149+I150+I151-0, 0)</f>
        <v>0</v>
      </c>
      <c r="AA153">
        <f>IF(Source!BI44=4,I139+I140+I142+I149+I150+I151,0)</f>
        <v>0</v>
      </c>
    </row>
    <row r="154" spans="1:27" ht="42.75" x14ac:dyDescent="0.2">
      <c r="A154" s="16" t="str">
        <f>Source!E51</f>
        <v>13</v>
      </c>
      <c r="B154" s="17" t="str">
        <f>Source!F51</f>
        <v>3.23-47-2</v>
      </c>
      <c r="C154" s="17" t="s">
        <v>151</v>
      </c>
      <c r="D154" s="19" t="str">
        <f>Source!H51</f>
        <v>100 м</v>
      </c>
      <c r="E154" s="18">
        <f>Source!I51</f>
        <v>9.5</v>
      </c>
      <c r="F154" s="21"/>
      <c r="G154" s="20"/>
      <c r="H154" s="18"/>
      <c r="I154" s="22"/>
      <c r="J154" s="18"/>
      <c r="K154" s="22"/>
      <c r="Q154">
        <f>ROUND((Source!DN51/100)*ROUND((ROUND((Source!AF51*Source!AV51*Source!I51),2)),2), 2)</f>
        <v>3806.84</v>
      </c>
      <c r="R154">
        <f>Source!X51</f>
        <v>78478.69</v>
      </c>
      <c r="S154">
        <f>ROUND((Source!DO51/100)*ROUND((ROUND((Source!AF51*Source!AV51*Source!I51),2)),2), 2)</f>
        <v>2231.6</v>
      </c>
      <c r="T154">
        <f>Source!Y51</f>
        <v>34230.07</v>
      </c>
      <c r="U154">
        <f>ROUND((175/100)*ROUND((ROUND((Source!AE51*Source!AV51*Source!I51),2)),2), 2)</f>
        <v>72.33</v>
      </c>
      <c r="V154">
        <f>ROUND((157/100)*ROUND(ROUND((ROUND((Source!AE51*Source!AV51*Source!I51),2)*Source!BS51),2), 2), 2)</f>
        <v>1650.76</v>
      </c>
    </row>
    <row r="155" spans="1:27" x14ac:dyDescent="0.2">
      <c r="C155" s="23" t="str">
        <f>"Объем: "&amp;Source!I51&amp;"=950/"&amp;"100"</f>
        <v>Объем: 9,5=950/100</v>
      </c>
    </row>
    <row r="156" spans="1:27" ht="14.25" x14ac:dyDescent="0.2">
      <c r="A156" s="16"/>
      <c r="B156" s="17"/>
      <c r="C156" s="17" t="s">
        <v>1625</v>
      </c>
      <c r="D156" s="19"/>
      <c r="E156" s="18"/>
      <c r="F156" s="21">
        <f>Source!AO51</f>
        <v>300.39</v>
      </c>
      <c r="G156" s="20" t="str">
        <f>Source!DG51</f>
        <v>)*1,15</v>
      </c>
      <c r="H156" s="18">
        <f>Source!AV51</f>
        <v>1</v>
      </c>
      <c r="I156" s="22">
        <f>ROUND((ROUND((Source!AF51*Source!AV51*Source!I51),2)),2)</f>
        <v>3281.76</v>
      </c>
      <c r="J156" s="18">
        <f>IF(Source!BA51&lt;&gt; 0, Source!BA51, 1)</f>
        <v>25.44</v>
      </c>
      <c r="K156" s="22">
        <f>Source!S51</f>
        <v>83487.97</v>
      </c>
      <c r="W156">
        <f>I156</f>
        <v>3281.76</v>
      </c>
    </row>
    <row r="157" spans="1:27" ht="14.25" x14ac:dyDescent="0.2">
      <c r="A157" s="16"/>
      <c r="B157" s="17"/>
      <c r="C157" s="17" t="s">
        <v>1631</v>
      </c>
      <c r="D157" s="19"/>
      <c r="E157" s="18"/>
      <c r="F157" s="21">
        <f>Source!AM51</f>
        <v>22.43</v>
      </c>
      <c r="G157" s="20" t="str">
        <f>Source!DE51</f>
        <v>)*1,25</v>
      </c>
      <c r="H157" s="18">
        <f>Source!AV51</f>
        <v>1</v>
      </c>
      <c r="I157" s="22">
        <f>(ROUND((ROUND((((Source!ET51*1.25))*Source!AV51*Source!I51),2)),2)+ROUND((ROUND(((Source!AE51-((Source!EU51*1.25)))*Source!AV51*Source!I51),2)),2))</f>
        <v>266.36</v>
      </c>
      <c r="J157" s="18">
        <f>IF(Source!BB51&lt;&gt; 0, Source!BB51, 1)</f>
        <v>9.93</v>
      </c>
      <c r="K157" s="22">
        <f>Source!Q51</f>
        <v>2644.95</v>
      </c>
    </row>
    <row r="158" spans="1:27" ht="14.25" x14ac:dyDescent="0.2">
      <c r="A158" s="16"/>
      <c r="B158" s="17"/>
      <c r="C158" s="17" t="s">
        <v>1632</v>
      </c>
      <c r="D158" s="19"/>
      <c r="E158" s="18"/>
      <c r="F158" s="21">
        <f>Source!AN51</f>
        <v>3.48</v>
      </c>
      <c r="G158" s="20" t="str">
        <f>Source!DF51</f>
        <v>)*1,25</v>
      </c>
      <c r="H158" s="18">
        <f>Source!AV51</f>
        <v>1</v>
      </c>
      <c r="I158" s="26">
        <f>ROUND((ROUND((Source!AE51*Source!AV51*Source!I51),2)),2)</f>
        <v>41.33</v>
      </c>
      <c r="J158" s="18">
        <f>IF(Source!BS51&lt;&gt; 0, Source!BS51, 1)</f>
        <v>25.44</v>
      </c>
      <c r="K158" s="26">
        <f>Source!R51</f>
        <v>1051.44</v>
      </c>
      <c r="W158">
        <f>I158</f>
        <v>41.33</v>
      </c>
    </row>
    <row r="159" spans="1:27" ht="14.25" x14ac:dyDescent="0.2">
      <c r="A159" s="16"/>
      <c r="B159" s="17"/>
      <c r="C159" s="17" t="s">
        <v>1634</v>
      </c>
      <c r="D159" s="19"/>
      <c r="E159" s="18"/>
      <c r="F159" s="21">
        <f>Source!AL51</f>
        <v>12029.92</v>
      </c>
      <c r="G159" s="20" t="str">
        <f>Source!DD51</f>
        <v/>
      </c>
      <c r="H159" s="18">
        <f>Source!AW51</f>
        <v>1</v>
      </c>
      <c r="I159" s="22">
        <f>ROUND((ROUND((Source!AC51*Source!AW51*Source!I51),2)),2)</f>
        <v>114284.24</v>
      </c>
      <c r="J159" s="18">
        <f>IF(Source!BC51&lt;&gt; 0, Source!BC51, 1)</f>
        <v>6.71</v>
      </c>
      <c r="K159" s="22">
        <f>Source!P51</f>
        <v>766847.25</v>
      </c>
    </row>
    <row r="160" spans="1:27" ht="55.5" x14ac:dyDescent="0.2">
      <c r="A160" s="16" t="str">
        <f>Source!E52</f>
        <v>13,1</v>
      </c>
      <c r="B160" s="17" t="str">
        <f>Source!F52</f>
        <v>Цена поставщика</v>
      </c>
      <c r="C160" s="17" t="s">
        <v>1640</v>
      </c>
      <c r="D160" s="19" t="str">
        <f>Source!H52</f>
        <v>м</v>
      </c>
      <c r="E160" s="18">
        <f>Source!I52</f>
        <v>950</v>
      </c>
      <c r="F160" s="21">
        <f>Source!AK52</f>
        <v>230.87</v>
      </c>
      <c r="G160" s="27" t="s">
        <v>3</v>
      </c>
      <c r="H160" s="18">
        <f>Source!AW52</f>
        <v>1</v>
      </c>
      <c r="I160" s="22">
        <f>ROUND((ROUND((Source!AC52*Source!AW52*Source!I52),2)),2)+(ROUND((ROUND(((Source!ET52)*Source!AV52*Source!I52),2)),2)+ROUND((ROUND(((Source!AE52-(Source!EU52))*Source!AV52*Source!I52),2)),2))+ROUND((ROUND((Source!AF52*Source!AV52*Source!I52),2)),2)</f>
        <v>219326.5</v>
      </c>
      <c r="J160" s="18">
        <f>IF(Source!BC52&lt;&gt; 0, Source!BC52, 1)</f>
        <v>6.34</v>
      </c>
      <c r="K160" s="22">
        <f>Source!O52</f>
        <v>1390530.01</v>
      </c>
      <c r="Q160">
        <f>ROUND((Source!DN52/100)*ROUND((ROUND((Source!AF52*Source!AV52*Source!I52),2)),2), 2)</f>
        <v>0</v>
      </c>
      <c r="R160">
        <f>Source!X52</f>
        <v>0</v>
      </c>
      <c r="S160">
        <f>ROUND((Source!DO52/100)*ROUND((ROUND((Source!AF52*Source!AV52*Source!I52),2)),2), 2)</f>
        <v>0</v>
      </c>
      <c r="T160">
        <f>Source!Y52</f>
        <v>0</v>
      </c>
      <c r="U160">
        <f>ROUND((175/100)*ROUND((ROUND((Source!AE52*Source!AV52*Source!I52),2)),2), 2)</f>
        <v>0</v>
      </c>
      <c r="V160">
        <f>ROUND((157/100)*ROUND(ROUND((ROUND((Source!AE52*Source!AV52*Source!I52),2)*Source!BS52),2), 2), 2)</f>
        <v>0</v>
      </c>
      <c r="X160">
        <f>IF(Source!BI52&lt;=1,I160, 0)</f>
        <v>219326.5</v>
      </c>
      <c r="Y160">
        <f>IF(Source!BI52=2,I160, 0)</f>
        <v>0</v>
      </c>
      <c r="Z160">
        <f>IF(Source!BI52=3,I160, 0)</f>
        <v>0</v>
      </c>
      <c r="AA160">
        <f>IF(Source!BI52=4,I160, 0)</f>
        <v>0</v>
      </c>
    </row>
    <row r="161" spans="1:27" ht="14.25" x14ac:dyDescent="0.2">
      <c r="A161" s="16"/>
      <c r="B161" s="17"/>
      <c r="C161" s="17" t="s">
        <v>1626</v>
      </c>
      <c r="D161" s="19" t="s">
        <v>1627</v>
      </c>
      <c r="E161" s="18">
        <f>Source!DN51</f>
        <v>116</v>
      </c>
      <c r="F161" s="21"/>
      <c r="G161" s="20"/>
      <c r="H161" s="18"/>
      <c r="I161" s="22">
        <f>SUM(Q154:Q160)</f>
        <v>3806.84</v>
      </c>
      <c r="J161" s="18">
        <f>Source!BZ51</f>
        <v>94</v>
      </c>
      <c r="K161" s="22">
        <f>SUM(R154:R160)</f>
        <v>78478.69</v>
      </c>
    </row>
    <row r="162" spans="1:27" ht="14.25" x14ac:dyDescent="0.2">
      <c r="A162" s="16"/>
      <c r="B162" s="17"/>
      <c r="C162" s="17" t="s">
        <v>1628</v>
      </c>
      <c r="D162" s="19" t="s">
        <v>1627</v>
      </c>
      <c r="E162" s="18">
        <f>Source!DO51</f>
        <v>68</v>
      </c>
      <c r="F162" s="21"/>
      <c r="G162" s="20"/>
      <c r="H162" s="18"/>
      <c r="I162" s="22">
        <f>SUM(S154:S161)</f>
        <v>2231.6</v>
      </c>
      <c r="J162" s="18">
        <f>Source!CA51</f>
        <v>41</v>
      </c>
      <c r="K162" s="22">
        <f>SUM(T154:T161)</f>
        <v>34230.07</v>
      </c>
    </row>
    <row r="163" spans="1:27" ht="14.25" x14ac:dyDescent="0.2">
      <c r="A163" s="16"/>
      <c r="B163" s="17"/>
      <c r="C163" s="17" t="s">
        <v>1633</v>
      </c>
      <c r="D163" s="19" t="s">
        <v>1627</v>
      </c>
      <c r="E163" s="18">
        <f>175</f>
        <v>175</v>
      </c>
      <c r="F163" s="21"/>
      <c r="G163" s="20"/>
      <c r="H163" s="18"/>
      <c r="I163" s="22">
        <f>SUM(U154:U162)</f>
        <v>72.33</v>
      </c>
      <c r="J163" s="18">
        <f>157</f>
        <v>157</v>
      </c>
      <c r="K163" s="22">
        <f>SUM(V154:V162)</f>
        <v>1650.76</v>
      </c>
    </row>
    <row r="164" spans="1:27" ht="14.25" x14ac:dyDescent="0.2">
      <c r="A164" s="16"/>
      <c r="B164" s="17"/>
      <c r="C164" s="17" t="s">
        <v>1629</v>
      </c>
      <c r="D164" s="19" t="s">
        <v>1630</v>
      </c>
      <c r="E164" s="18">
        <f>Source!AQ51</f>
        <v>26.08</v>
      </c>
      <c r="F164" s="21"/>
      <c r="G164" s="20" t="str">
        <f>Source!DI51</f>
        <v>)*1,15</v>
      </c>
      <c r="H164" s="18">
        <f>Source!AV51</f>
        <v>1</v>
      </c>
      <c r="I164" s="22">
        <f>Source!U51</f>
        <v>284.92399999999998</v>
      </c>
      <c r="J164" s="18"/>
      <c r="K164" s="22"/>
    </row>
    <row r="165" spans="1:27" ht="15" x14ac:dyDescent="0.25">
      <c r="A165" s="25"/>
      <c r="B165" s="25"/>
      <c r="C165" s="25"/>
      <c r="D165" s="25"/>
      <c r="E165" s="25"/>
      <c r="F165" s="25"/>
      <c r="G165" s="25"/>
      <c r="H165" s="54">
        <f>I156+I157+I159+I161+I162+I163+SUM(I160:I160)</f>
        <v>343269.63</v>
      </c>
      <c r="I165" s="54"/>
      <c r="J165" s="54">
        <f>K156+K157+K159+K161+K162+K163+SUM(K160:K160)</f>
        <v>2357869.7000000002</v>
      </c>
      <c r="K165" s="54"/>
      <c r="O165" s="24">
        <f>I156+I157+I159+I161+I162+I163+SUM(I160:I160)</f>
        <v>343269.63</v>
      </c>
      <c r="P165" s="24">
        <f>K156+K157+K159+K161+K162+K163+SUM(K160:K160)</f>
        <v>2357869.7000000002</v>
      </c>
      <c r="X165">
        <f>IF(Source!BI51&lt;=1,I156+I157+I159+I161+I162+I163-0, 0)</f>
        <v>123943.13</v>
      </c>
      <c r="Y165">
        <f>IF(Source!BI51=2,I156+I157+I159+I161+I162+I163-0, 0)</f>
        <v>0</v>
      </c>
      <c r="Z165">
        <f>IF(Source!BI51=3,I156+I157+I159+I161+I162+I163-0, 0)</f>
        <v>0</v>
      </c>
      <c r="AA165">
        <f>IF(Source!BI51=4,I156+I157+I159+I161+I162+I163,0)</f>
        <v>0</v>
      </c>
    </row>
    <row r="166" spans="1:27" ht="57" x14ac:dyDescent="0.2">
      <c r="A166" s="16" t="str">
        <f>Source!E53</f>
        <v>14</v>
      </c>
      <c r="B166" s="17" t="str">
        <f>Source!F53</f>
        <v>3.23-36-1</v>
      </c>
      <c r="C166" s="17" t="s">
        <v>161</v>
      </c>
      <c r="D166" s="19" t="str">
        <f>Source!H53</f>
        <v>1  ШТ.</v>
      </c>
      <c r="E166" s="18">
        <f>Source!I53</f>
        <v>1</v>
      </c>
      <c r="F166" s="21"/>
      <c r="G166" s="20"/>
      <c r="H166" s="18"/>
      <c r="I166" s="22"/>
      <c r="J166" s="18"/>
      <c r="K166" s="22"/>
      <c r="Q166">
        <f>ROUND((Source!DN53/100)*ROUND((ROUND((Source!AF53*Source!AV53*Source!I53),2)),2), 2)</f>
        <v>85.1</v>
      </c>
      <c r="R166">
        <f>Source!X53</f>
        <v>1754.3</v>
      </c>
      <c r="S166">
        <f>ROUND((Source!DO53/100)*ROUND((ROUND((Source!AF53*Source!AV53*Source!I53),2)),2), 2)</f>
        <v>49.88</v>
      </c>
      <c r="T166">
        <f>Source!Y53</f>
        <v>765.17</v>
      </c>
      <c r="U166">
        <f>ROUND((175/100)*ROUND((ROUND((Source!AE53*Source!AV53*Source!I53),2)),2), 2)</f>
        <v>1.49</v>
      </c>
      <c r="V166">
        <f>ROUND((157/100)*ROUND(ROUND((ROUND((Source!AE53*Source!AV53*Source!I53),2)*Source!BS53),2), 2), 2)</f>
        <v>33.94</v>
      </c>
    </row>
    <row r="167" spans="1:27" ht="14.25" x14ac:dyDescent="0.2">
      <c r="A167" s="16"/>
      <c r="B167" s="17"/>
      <c r="C167" s="17" t="s">
        <v>1625</v>
      </c>
      <c r="D167" s="19"/>
      <c r="E167" s="18"/>
      <c r="F167" s="21">
        <f>Source!AO53</f>
        <v>63.79</v>
      </c>
      <c r="G167" s="20" t="str">
        <f>Source!DG53</f>
        <v>)*1,15</v>
      </c>
      <c r="H167" s="18">
        <f>Source!AV53</f>
        <v>1</v>
      </c>
      <c r="I167" s="22">
        <f>ROUND((ROUND((Source!AF53*Source!AV53*Source!I53),2)),2)</f>
        <v>73.36</v>
      </c>
      <c r="J167" s="18">
        <f>IF(Source!BA53&lt;&gt; 0, Source!BA53, 1)</f>
        <v>25.44</v>
      </c>
      <c r="K167" s="22">
        <f>Source!S53</f>
        <v>1866.28</v>
      </c>
      <c r="W167">
        <f>I167</f>
        <v>73.36</v>
      </c>
    </row>
    <row r="168" spans="1:27" ht="14.25" x14ac:dyDescent="0.2">
      <c r="A168" s="16"/>
      <c r="B168" s="17"/>
      <c r="C168" s="17" t="s">
        <v>1631</v>
      </c>
      <c r="D168" s="19"/>
      <c r="E168" s="18"/>
      <c r="F168" s="21">
        <f>Source!AM53</f>
        <v>6.35</v>
      </c>
      <c r="G168" s="20" t="str">
        <f>Source!DE53</f>
        <v>)*1,25</v>
      </c>
      <c r="H168" s="18">
        <f>Source!AV53</f>
        <v>1</v>
      </c>
      <c r="I168" s="22">
        <f>(ROUND((ROUND((((Source!ET53*1.25))*Source!AV53*Source!I53),2)),2)+ROUND((ROUND(((Source!AE53-((Source!EU53*1.25)))*Source!AV53*Source!I53),2)),2))</f>
        <v>7.94</v>
      </c>
      <c r="J168" s="18">
        <f>IF(Source!BB53&lt;&gt; 0, Source!BB53, 1)</f>
        <v>8.5399999999999991</v>
      </c>
      <c r="K168" s="22">
        <f>Source!Q53</f>
        <v>67.81</v>
      </c>
    </row>
    <row r="169" spans="1:27" ht="14.25" x14ac:dyDescent="0.2">
      <c r="A169" s="16"/>
      <c r="B169" s="17"/>
      <c r="C169" s="17" t="s">
        <v>1632</v>
      </c>
      <c r="D169" s="19"/>
      <c r="E169" s="18"/>
      <c r="F169" s="21">
        <f>Source!AN53</f>
        <v>0.68</v>
      </c>
      <c r="G169" s="20" t="str">
        <f>Source!DF53</f>
        <v>)*1,25</v>
      </c>
      <c r="H169" s="18">
        <f>Source!AV53</f>
        <v>1</v>
      </c>
      <c r="I169" s="26">
        <f>ROUND((ROUND((Source!AE53*Source!AV53*Source!I53),2)),2)</f>
        <v>0.85</v>
      </c>
      <c r="J169" s="18">
        <f>IF(Source!BS53&lt;&gt; 0, Source!BS53, 1)</f>
        <v>25.44</v>
      </c>
      <c r="K169" s="26">
        <f>Source!R53</f>
        <v>21.62</v>
      </c>
      <c r="W169">
        <f>I169</f>
        <v>0.85</v>
      </c>
    </row>
    <row r="170" spans="1:27" ht="14.25" x14ac:dyDescent="0.2">
      <c r="A170" s="16"/>
      <c r="B170" s="17"/>
      <c r="C170" s="17" t="s">
        <v>1634</v>
      </c>
      <c r="D170" s="19"/>
      <c r="E170" s="18"/>
      <c r="F170" s="21">
        <f>Source!AL53</f>
        <v>149.85</v>
      </c>
      <c r="G170" s="20" t="str">
        <f>Source!DD53</f>
        <v/>
      </c>
      <c r="H170" s="18">
        <f>Source!AW53</f>
        <v>1</v>
      </c>
      <c r="I170" s="22">
        <f>ROUND((ROUND((Source!AC53*Source!AW53*Source!I53),2)),2)</f>
        <v>149.85</v>
      </c>
      <c r="J170" s="18">
        <f>IF(Source!BC53&lt;&gt; 0, Source!BC53, 1)</f>
        <v>6.21</v>
      </c>
      <c r="K170" s="22">
        <f>Source!P53</f>
        <v>930.57</v>
      </c>
    </row>
    <row r="171" spans="1:27" ht="57" x14ac:dyDescent="0.2">
      <c r="A171" s="16" t="str">
        <f>Source!E54</f>
        <v>14,1</v>
      </c>
      <c r="B171" s="17" t="str">
        <f>Source!F54</f>
        <v>1.17-8-23</v>
      </c>
      <c r="C171" s="17" t="s">
        <v>168</v>
      </c>
      <c r="D171" s="19" t="str">
        <f>Source!H54</f>
        <v>шт.</v>
      </c>
      <c r="E171" s="18">
        <f>Source!I54</f>
        <v>1</v>
      </c>
      <c r="F171" s="21">
        <f>Source!AK54</f>
        <v>1732.62</v>
      </c>
      <c r="G171" s="27" t="s">
        <v>3</v>
      </c>
      <c r="H171" s="18">
        <f>Source!AW54</f>
        <v>1</v>
      </c>
      <c r="I171" s="22">
        <f>ROUND((ROUND((Source!AC54*Source!AW54*Source!I54),2)),2)+(ROUND((ROUND(((Source!ET54)*Source!AV54*Source!I54),2)),2)+ROUND((ROUND(((Source!AE54-(Source!EU54))*Source!AV54*Source!I54),2)),2))+ROUND((ROUND((Source!AF54*Source!AV54*Source!I54),2)),2)</f>
        <v>1732.62</v>
      </c>
      <c r="J171" s="18">
        <f>IF(Source!BC54&lt;&gt; 0, Source!BC54, 1)</f>
        <v>6.13</v>
      </c>
      <c r="K171" s="22">
        <f>Source!O54</f>
        <v>10620.96</v>
      </c>
      <c r="Q171">
        <f>ROUND((Source!DN54/100)*ROUND((ROUND((Source!AF54*Source!AV54*Source!I54),2)),2), 2)</f>
        <v>0</v>
      </c>
      <c r="R171">
        <f>Source!X54</f>
        <v>0</v>
      </c>
      <c r="S171">
        <f>ROUND((Source!DO54/100)*ROUND((ROUND((Source!AF54*Source!AV54*Source!I54),2)),2), 2)</f>
        <v>0</v>
      </c>
      <c r="T171">
        <f>Source!Y54</f>
        <v>0</v>
      </c>
      <c r="U171">
        <f>ROUND((175/100)*ROUND((ROUND((Source!AE54*Source!AV54*Source!I54),2)),2), 2)</f>
        <v>0</v>
      </c>
      <c r="V171">
        <f>ROUND((157/100)*ROUND(ROUND((ROUND((Source!AE54*Source!AV54*Source!I54),2)*Source!BS54),2), 2), 2)</f>
        <v>0</v>
      </c>
      <c r="X171">
        <f>IF(Source!BI54&lt;=1,I171, 0)</f>
        <v>1732.62</v>
      </c>
      <c r="Y171">
        <f>IF(Source!BI54=2,I171, 0)</f>
        <v>0</v>
      </c>
      <c r="Z171">
        <f>IF(Source!BI54=3,I171, 0)</f>
        <v>0</v>
      </c>
      <c r="AA171">
        <f>IF(Source!BI54=4,I171, 0)</f>
        <v>0</v>
      </c>
    </row>
    <row r="172" spans="1:27" ht="71.25" x14ac:dyDescent="0.2">
      <c r="A172" s="16" t="str">
        <f>Source!E55</f>
        <v>14,2</v>
      </c>
      <c r="B172" s="17" t="str">
        <f>Source!F55</f>
        <v>1.17-8-17</v>
      </c>
      <c r="C172" s="17" t="s">
        <v>173</v>
      </c>
      <c r="D172" s="19" t="str">
        <f>Source!H55</f>
        <v>шт.</v>
      </c>
      <c r="E172" s="18">
        <f>Source!I55</f>
        <v>0.5</v>
      </c>
      <c r="F172" s="21">
        <f>Source!AK55</f>
        <v>1902.4</v>
      </c>
      <c r="G172" s="27" t="s">
        <v>3</v>
      </c>
      <c r="H172" s="18">
        <f>Source!AW55</f>
        <v>1</v>
      </c>
      <c r="I172" s="22">
        <f>ROUND((ROUND((Source!AC55*Source!AW55*Source!I55),2)),2)+(ROUND((ROUND(((Source!ET55)*Source!AV55*Source!I55),2)),2)+ROUND((ROUND(((Source!AE55-(Source!EU55))*Source!AV55*Source!I55),2)),2))+ROUND((ROUND((Source!AF55*Source!AV55*Source!I55),2)),2)</f>
        <v>951.2</v>
      </c>
      <c r="J172" s="18">
        <f>IF(Source!BC55&lt;&gt; 0, Source!BC55, 1)</f>
        <v>11.28</v>
      </c>
      <c r="K172" s="22">
        <f>Source!O55</f>
        <v>10729.54</v>
      </c>
      <c r="Q172">
        <f>ROUND((Source!DN55/100)*ROUND((ROUND((Source!AF55*Source!AV55*Source!I55),2)),2), 2)</f>
        <v>0</v>
      </c>
      <c r="R172">
        <f>Source!X55</f>
        <v>0</v>
      </c>
      <c r="S172">
        <f>ROUND((Source!DO55/100)*ROUND((ROUND((Source!AF55*Source!AV55*Source!I55),2)),2), 2)</f>
        <v>0</v>
      </c>
      <c r="T172">
        <f>Source!Y55</f>
        <v>0</v>
      </c>
      <c r="U172">
        <f>ROUND((175/100)*ROUND((ROUND((Source!AE55*Source!AV55*Source!I55),2)),2), 2)</f>
        <v>0</v>
      </c>
      <c r="V172">
        <f>ROUND((157/100)*ROUND(ROUND((ROUND((Source!AE55*Source!AV55*Source!I55),2)*Source!BS55),2), 2), 2)</f>
        <v>0</v>
      </c>
      <c r="X172">
        <f>IF(Source!BI55&lt;=1,I172, 0)</f>
        <v>951.2</v>
      </c>
      <c r="Y172">
        <f>IF(Source!BI55=2,I172, 0)</f>
        <v>0</v>
      </c>
      <c r="Z172">
        <f>IF(Source!BI55=3,I172, 0)</f>
        <v>0</v>
      </c>
      <c r="AA172">
        <f>IF(Source!BI55=4,I172, 0)</f>
        <v>0</v>
      </c>
    </row>
    <row r="173" spans="1:27" ht="71.25" x14ac:dyDescent="0.2">
      <c r="A173" s="16" t="str">
        <f>Source!E56</f>
        <v>14,3</v>
      </c>
      <c r="B173" s="17" t="str">
        <f>Source!F56</f>
        <v>1.17-8-20</v>
      </c>
      <c r="C173" s="17" t="s">
        <v>177</v>
      </c>
      <c r="D173" s="19" t="str">
        <f>Source!H56</f>
        <v>шт.</v>
      </c>
      <c r="E173" s="18">
        <f>Source!I56</f>
        <v>1</v>
      </c>
      <c r="F173" s="21">
        <f>Source!AK56</f>
        <v>7360.97</v>
      </c>
      <c r="G173" s="27" t="s">
        <v>3</v>
      </c>
      <c r="H173" s="18">
        <f>Source!AW56</f>
        <v>1</v>
      </c>
      <c r="I173" s="22">
        <f>ROUND((ROUND((Source!AC56*Source!AW56*Source!I56),2)),2)+(ROUND((ROUND(((Source!ET56)*Source!AV56*Source!I56),2)),2)+ROUND((ROUND(((Source!AE56-(Source!EU56))*Source!AV56*Source!I56),2)),2))+ROUND((ROUND((Source!AF56*Source!AV56*Source!I56),2)),2)</f>
        <v>7360.97</v>
      </c>
      <c r="J173" s="18">
        <f>IF(Source!BC56&lt;&gt; 0, Source!BC56, 1)</f>
        <v>10.07</v>
      </c>
      <c r="K173" s="22">
        <f>Source!O56</f>
        <v>74124.97</v>
      </c>
      <c r="Q173">
        <f>ROUND((Source!DN56/100)*ROUND((ROUND((Source!AF56*Source!AV56*Source!I56),2)),2), 2)</f>
        <v>0</v>
      </c>
      <c r="R173">
        <f>Source!X56</f>
        <v>0</v>
      </c>
      <c r="S173">
        <f>ROUND((Source!DO56/100)*ROUND((ROUND((Source!AF56*Source!AV56*Source!I56),2)),2), 2)</f>
        <v>0</v>
      </c>
      <c r="T173">
        <f>Source!Y56</f>
        <v>0</v>
      </c>
      <c r="U173">
        <f>ROUND((175/100)*ROUND((ROUND((Source!AE56*Source!AV56*Source!I56),2)),2), 2)</f>
        <v>0</v>
      </c>
      <c r="V173">
        <f>ROUND((157/100)*ROUND(ROUND((ROUND((Source!AE56*Source!AV56*Source!I56),2)*Source!BS56),2), 2), 2)</f>
        <v>0</v>
      </c>
      <c r="X173">
        <f>IF(Source!BI56&lt;=1,I173, 0)</f>
        <v>7360.97</v>
      </c>
      <c r="Y173">
        <f>IF(Source!BI56=2,I173, 0)</f>
        <v>0</v>
      </c>
      <c r="Z173">
        <f>IF(Source!BI56=3,I173, 0)</f>
        <v>0</v>
      </c>
      <c r="AA173">
        <f>IF(Source!BI56=4,I173, 0)</f>
        <v>0</v>
      </c>
    </row>
    <row r="174" spans="1:27" ht="14.25" x14ac:dyDescent="0.2">
      <c r="A174" s="16"/>
      <c r="B174" s="17"/>
      <c r="C174" s="17" t="s">
        <v>1626</v>
      </c>
      <c r="D174" s="19" t="s">
        <v>1627</v>
      </c>
      <c r="E174" s="18">
        <f>Source!DN53</f>
        <v>116</v>
      </c>
      <c r="F174" s="21"/>
      <c r="G174" s="20"/>
      <c r="H174" s="18"/>
      <c r="I174" s="22">
        <f>SUM(Q166:Q173)</f>
        <v>85.1</v>
      </c>
      <c r="J174" s="18">
        <f>Source!BZ53</f>
        <v>94</v>
      </c>
      <c r="K174" s="22">
        <f>SUM(R166:R173)</f>
        <v>1754.3</v>
      </c>
    </row>
    <row r="175" spans="1:27" ht="14.25" x14ac:dyDescent="0.2">
      <c r="A175" s="16"/>
      <c r="B175" s="17"/>
      <c r="C175" s="17" t="s">
        <v>1628</v>
      </c>
      <c r="D175" s="19" t="s">
        <v>1627</v>
      </c>
      <c r="E175" s="18">
        <f>Source!DO53</f>
        <v>68</v>
      </c>
      <c r="F175" s="21"/>
      <c r="G175" s="20"/>
      <c r="H175" s="18"/>
      <c r="I175" s="22">
        <f>SUM(S166:S174)</f>
        <v>49.88</v>
      </c>
      <c r="J175" s="18">
        <f>Source!CA53</f>
        <v>41</v>
      </c>
      <c r="K175" s="22">
        <f>SUM(T166:T174)</f>
        <v>765.17</v>
      </c>
    </row>
    <row r="176" spans="1:27" ht="14.25" x14ac:dyDescent="0.2">
      <c r="A176" s="16"/>
      <c r="B176" s="17"/>
      <c r="C176" s="17" t="s">
        <v>1633</v>
      </c>
      <c r="D176" s="19" t="s">
        <v>1627</v>
      </c>
      <c r="E176" s="18">
        <f>175</f>
        <v>175</v>
      </c>
      <c r="F176" s="21"/>
      <c r="G176" s="20"/>
      <c r="H176" s="18"/>
      <c r="I176" s="22">
        <f>SUM(U166:U175)</f>
        <v>1.49</v>
      </c>
      <c r="J176" s="18">
        <f>157</f>
        <v>157</v>
      </c>
      <c r="K176" s="22">
        <f>SUM(V166:V175)</f>
        <v>33.94</v>
      </c>
    </row>
    <row r="177" spans="1:27" ht="14.25" x14ac:dyDescent="0.2">
      <c r="A177" s="16"/>
      <c r="B177" s="17"/>
      <c r="C177" s="17" t="s">
        <v>1629</v>
      </c>
      <c r="D177" s="19" t="s">
        <v>1630</v>
      </c>
      <c r="E177" s="18">
        <f>Source!AQ53</f>
        <v>5.32</v>
      </c>
      <c r="F177" s="21"/>
      <c r="G177" s="20" t="str">
        <f>Source!DI53</f>
        <v>)*1,15</v>
      </c>
      <c r="H177" s="18">
        <f>Source!AV53</f>
        <v>1</v>
      </c>
      <c r="I177" s="22">
        <f>Source!U53</f>
        <v>6.1179999999999994</v>
      </c>
      <c r="J177" s="18"/>
      <c r="K177" s="22"/>
    </row>
    <row r="178" spans="1:27" ht="15" x14ac:dyDescent="0.25">
      <c r="A178" s="25"/>
      <c r="B178" s="25"/>
      <c r="C178" s="25"/>
      <c r="D178" s="25"/>
      <c r="E178" s="25"/>
      <c r="F178" s="25"/>
      <c r="G178" s="25"/>
      <c r="H178" s="54">
        <f>I167+I168+I170+I174+I175+I176+SUM(I171:I173)</f>
        <v>10412.410000000002</v>
      </c>
      <c r="I178" s="54"/>
      <c r="J178" s="54">
        <f>K167+K168+K170+K174+K175+K176+SUM(K171:K173)</f>
        <v>100893.54000000001</v>
      </c>
      <c r="K178" s="54"/>
      <c r="O178" s="24">
        <f>I167+I168+I170+I174+I175+I176+SUM(I171:I173)</f>
        <v>10412.410000000002</v>
      </c>
      <c r="P178" s="24">
        <f>K167+K168+K170+K174+K175+K176+SUM(K171:K173)</f>
        <v>100893.54000000001</v>
      </c>
      <c r="X178">
        <f>IF(Source!BI53&lt;=1,I167+I168+I170+I174+I175+I176-0, 0)</f>
        <v>367.62</v>
      </c>
      <c r="Y178">
        <f>IF(Source!BI53=2,I167+I168+I170+I174+I175+I176-0, 0)</f>
        <v>0</v>
      </c>
      <c r="Z178">
        <f>IF(Source!BI53=3,I167+I168+I170+I174+I175+I176-0, 0)</f>
        <v>0</v>
      </c>
      <c r="AA178">
        <f>IF(Source!BI53=4,I167+I168+I170+I174+I175+I176,0)</f>
        <v>0</v>
      </c>
    </row>
    <row r="179" spans="1:27" ht="42.75" x14ac:dyDescent="0.2">
      <c r="A179" s="16" t="str">
        <f>Source!E57</f>
        <v>15</v>
      </c>
      <c r="B179" s="17" t="str">
        <f>Source!F57</f>
        <v>6.68-13-1</v>
      </c>
      <c r="C179" s="17" t="s">
        <v>181</v>
      </c>
      <c r="D179" s="19" t="str">
        <f>Source!H57</f>
        <v>1 Т</v>
      </c>
      <c r="E179" s="18">
        <f>Source!I57</f>
        <v>383</v>
      </c>
      <c r="F179" s="21"/>
      <c r="G179" s="20"/>
      <c r="H179" s="18"/>
      <c r="I179" s="22"/>
      <c r="J179" s="18"/>
      <c r="K179" s="22"/>
      <c r="Q179">
        <f>ROUND((Source!DN57/100)*ROUND((ROUND((Source!AF57*Source!AV57*Source!I57),2)),2), 2)</f>
        <v>0</v>
      </c>
      <c r="R179">
        <f>Source!X57</f>
        <v>0</v>
      </c>
      <c r="S179">
        <f>ROUND((Source!DO57/100)*ROUND((ROUND((Source!AF57*Source!AV57*Source!I57),2)),2), 2)</f>
        <v>0</v>
      </c>
      <c r="T179">
        <f>Source!Y57</f>
        <v>0</v>
      </c>
      <c r="U179">
        <f>ROUND((175/100)*ROUND((ROUND((Source!AE57*Source!AV57*Source!I57),2)),2), 2)</f>
        <v>991.97</v>
      </c>
      <c r="V179">
        <f>ROUND((157/100)*ROUND(ROUND((ROUND((Source!AE57*Source!AV57*Source!I57),2)*Source!BS57),2), 2), 2)</f>
        <v>22640.04</v>
      </c>
    </row>
    <row r="180" spans="1:27" ht="14.25" x14ac:dyDescent="0.2">
      <c r="A180" s="16"/>
      <c r="B180" s="17"/>
      <c r="C180" s="17" t="s">
        <v>1631</v>
      </c>
      <c r="D180" s="19"/>
      <c r="E180" s="18"/>
      <c r="F180" s="21">
        <f>Source!AM57</f>
        <v>8.86</v>
      </c>
      <c r="G180" s="20" t="str">
        <f>Source!DE57</f>
        <v/>
      </c>
      <c r="H180" s="18">
        <f>Source!AV57</f>
        <v>1</v>
      </c>
      <c r="I180" s="22">
        <f>(ROUND((ROUND(((Source!ET57)*Source!AV57*Source!I57),2)),2)+ROUND((ROUND(((Source!AE57-(Source!EU57))*Source!AV57*Source!I57),2)),2))</f>
        <v>3393.38</v>
      </c>
      <c r="J180" s="18">
        <f>IF(Source!BB57&lt;&gt; 0, Source!BB57, 1)</f>
        <v>9.1199999999999992</v>
      </c>
      <c r="K180" s="22">
        <f>Source!Q57</f>
        <v>30947.63</v>
      </c>
    </row>
    <row r="181" spans="1:27" ht="14.25" x14ac:dyDescent="0.2">
      <c r="A181" s="16"/>
      <c r="B181" s="17"/>
      <c r="C181" s="17" t="s">
        <v>1632</v>
      </c>
      <c r="D181" s="19"/>
      <c r="E181" s="18"/>
      <c r="F181" s="21">
        <f>Source!AN57</f>
        <v>1.48</v>
      </c>
      <c r="G181" s="20" t="str">
        <f>Source!DF57</f>
        <v/>
      </c>
      <c r="H181" s="18">
        <f>Source!AV57</f>
        <v>1</v>
      </c>
      <c r="I181" s="26">
        <f>ROUND((ROUND((Source!AE57*Source!AV57*Source!I57),2)),2)</f>
        <v>566.84</v>
      </c>
      <c r="J181" s="18">
        <f>IF(Source!BS57&lt;&gt; 0, Source!BS57, 1)</f>
        <v>25.44</v>
      </c>
      <c r="K181" s="26">
        <f>Source!R57</f>
        <v>14420.41</v>
      </c>
      <c r="W181">
        <f>I181</f>
        <v>566.84</v>
      </c>
    </row>
    <row r="182" spans="1:27" ht="14.25" x14ac:dyDescent="0.2">
      <c r="A182" s="16"/>
      <c r="B182" s="17"/>
      <c r="C182" s="17" t="s">
        <v>1633</v>
      </c>
      <c r="D182" s="19" t="s">
        <v>1627</v>
      </c>
      <c r="E182" s="18">
        <f>175</f>
        <v>175</v>
      </c>
      <c r="F182" s="21"/>
      <c r="G182" s="20"/>
      <c r="H182" s="18"/>
      <c r="I182" s="22">
        <f>SUM(U179:U181)</f>
        <v>991.97</v>
      </c>
      <c r="J182" s="18">
        <f>157</f>
        <v>157</v>
      </c>
      <c r="K182" s="22">
        <f>SUM(V179:V181)</f>
        <v>22640.04</v>
      </c>
    </row>
    <row r="183" spans="1:27" ht="15" x14ac:dyDescent="0.25">
      <c r="A183" s="25"/>
      <c r="B183" s="25"/>
      <c r="C183" s="25"/>
      <c r="D183" s="25"/>
      <c r="E183" s="25"/>
      <c r="F183" s="25"/>
      <c r="G183" s="25"/>
      <c r="H183" s="54">
        <f>I180+I182</f>
        <v>4385.3500000000004</v>
      </c>
      <c r="I183" s="54"/>
      <c r="J183" s="54">
        <f>K180+K182</f>
        <v>53587.67</v>
      </c>
      <c r="K183" s="54"/>
      <c r="O183" s="24">
        <f>I180+I182</f>
        <v>4385.3500000000004</v>
      </c>
      <c r="P183" s="24">
        <f>K180+K182</f>
        <v>53587.67</v>
      </c>
      <c r="X183">
        <f>IF(Source!BI57&lt;=1,I180+I182-0, 0)</f>
        <v>4385.3500000000004</v>
      </c>
      <c r="Y183">
        <f>IF(Source!BI57=2,I180+I182-0, 0)</f>
        <v>0</v>
      </c>
      <c r="Z183">
        <f>IF(Source!BI57=3,I180+I182-0, 0)</f>
        <v>0</v>
      </c>
      <c r="AA183">
        <f>IF(Source!BI57=4,I180+I182,0)</f>
        <v>0</v>
      </c>
    </row>
    <row r="184" spans="1:27" ht="42.75" x14ac:dyDescent="0.2">
      <c r="A184" s="16" t="str">
        <f>Source!E58</f>
        <v>16</v>
      </c>
      <c r="B184" s="17" t="str">
        <f>Source!F58</f>
        <v>15.2-43-10</v>
      </c>
      <c r="C184" s="17" t="s">
        <v>188</v>
      </c>
      <c r="D184" s="19" t="str">
        <f>Source!H58</f>
        <v>т</v>
      </c>
      <c r="E184" s="18">
        <f>Source!I58</f>
        <v>383</v>
      </c>
      <c r="F184" s="21"/>
      <c r="G184" s="20"/>
      <c r="H184" s="18"/>
      <c r="I184" s="22"/>
      <c r="J184" s="18"/>
      <c r="K184" s="22"/>
      <c r="Q184">
        <f>ROUND((Source!DN58/100)*ROUND((ROUND((Source!AF58*Source!AV58*Source!I58),2)),2), 2)</f>
        <v>0</v>
      </c>
      <c r="R184">
        <f>Source!X58</f>
        <v>0</v>
      </c>
      <c r="S184">
        <f>ROUND((Source!DO58/100)*ROUND((ROUND((Source!AF58*Source!AV58*Source!I58),2)),2), 2)</f>
        <v>0</v>
      </c>
      <c r="T184">
        <f>Source!Y58</f>
        <v>0</v>
      </c>
      <c r="U184">
        <f>ROUND((175/100)*ROUND((ROUND((Source!AE58*Source!AV58*Source!I58),2)),2), 2)</f>
        <v>0</v>
      </c>
      <c r="V184">
        <f>ROUND((157/100)*ROUND(ROUND((ROUND((Source!AE58*Source!AV58*Source!I58),2)*Source!BS58),2), 2), 2)</f>
        <v>0</v>
      </c>
    </row>
    <row r="185" spans="1:27" ht="14.25" x14ac:dyDescent="0.2">
      <c r="A185" s="16"/>
      <c r="B185" s="17"/>
      <c r="C185" s="17" t="s">
        <v>1631</v>
      </c>
      <c r="D185" s="19"/>
      <c r="E185" s="18"/>
      <c r="F185" s="21">
        <f>Source!AM58</f>
        <v>38.92</v>
      </c>
      <c r="G185" s="20" t="str">
        <f>Source!DE58</f>
        <v/>
      </c>
      <c r="H185" s="18">
        <f>Source!AV58</f>
        <v>1</v>
      </c>
      <c r="I185" s="22">
        <f>(ROUND((ROUND(((Source!ET58)*Source!AV58*Source!I58),2)),2)+ROUND((ROUND(((Source!AE58-(Source!EU58))*Source!AV58*Source!I58),2)),2))</f>
        <v>14906.36</v>
      </c>
      <c r="J185" s="18">
        <f>IF(Source!BB58&lt;&gt; 0, Source!BB58, 1)</f>
        <v>11.64</v>
      </c>
      <c r="K185" s="22">
        <f>Source!Q58</f>
        <v>173510.03</v>
      </c>
    </row>
    <row r="186" spans="1:27" ht="15" x14ac:dyDescent="0.25">
      <c r="A186" s="25"/>
      <c r="B186" s="25"/>
      <c r="C186" s="25"/>
      <c r="D186" s="25"/>
      <c r="E186" s="25"/>
      <c r="F186" s="25"/>
      <c r="G186" s="25"/>
      <c r="H186" s="54">
        <f>I185</f>
        <v>14906.36</v>
      </c>
      <c r="I186" s="54"/>
      <c r="J186" s="54">
        <f>K185</f>
        <v>173510.03</v>
      </c>
      <c r="K186" s="54"/>
      <c r="O186" s="24">
        <f>I185</f>
        <v>14906.36</v>
      </c>
      <c r="P186" s="24">
        <f>K185</f>
        <v>173510.03</v>
      </c>
      <c r="X186">
        <f>IF(Source!BI58&lt;=1,I185-0, 0)</f>
        <v>0</v>
      </c>
      <c r="Y186">
        <f>IF(Source!BI58=2,I185-0, 0)</f>
        <v>0</v>
      </c>
      <c r="Z186">
        <f>IF(Source!BI58=3,I185-0, 0)</f>
        <v>0</v>
      </c>
      <c r="AA186">
        <f>IF(Source!BI58=4,I185,0)</f>
        <v>14906.36</v>
      </c>
    </row>
    <row r="187" spans="1:27" ht="57" x14ac:dyDescent="0.2">
      <c r="A187" s="16" t="str">
        <f>Source!E59</f>
        <v>17</v>
      </c>
      <c r="B187" s="17" t="str">
        <f>Source!F59</f>
        <v>15.1-1106-02</v>
      </c>
      <c r="C187" s="17" t="s">
        <v>195</v>
      </c>
      <c r="D187" s="19" t="str">
        <f>Source!H59</f>
        <v>1 Т</v>
      </c>
      <c r="E187" s="18">
        <f>Source!I59</f>
        <v>283.32</v>
      </c>
      <c r="F187" s="21"/>
      <c r="G187" s="20"/>
      <c r="H187" s="18"/>
      <c r="I187" s="22"/>
      <c r="J187" s="18"/>
      <c r="K187" s="22"/>
      <c r="Q187">
        <f>ROUND((Source!DN59/100)*ROUND((ROUND((Source!AF59*Source!AV59*Source!I59),2)),2), 2)</f>
        <v>0</v>
      </c>
      <c r="R187">
        <f>Source!X59</f>
        <v>0</v>
      </c>
      <c r="S187">
        <f>ROUND((Source!DO59/100)*ROUND((ROUND((Source!AF59*Source!AV59*Source!I59),2)),2), 2)</f>
        <v>0</v>
      </c>
      <c r="T187">
        <f>Source!Y59</f>
        <v>0</v>
      </c>
      <c r="U187">
        <f>ROUND((175/100)*ROUND((ROUND((Source!AE59*Source!AV59*Source!I59),2)),2), 2)</f>
        <v>0</v>
      </c>
      <c r="V187">
        <f>ROUND((157/100)*ROUND(ROUND((ROUND((Source!AE59*Source!AV59*Source!I59),2)*Source!BS59),2), 2), 2)</f>
        <v>0</v>
      </c>
    </row>
    <row r="188" spans="1:27" ht="14.25" x14ac:dyDescent="0.2">
      <c r="A188" s="16"/>
      <c r="B188" s="17"/>
      <c r="C188" s="17" t="s">
        <v>1631</v>
      </c>
      <c r="D188" s="19"/>
      <c r="E188" s="18"/>
      <c r="F188" s="21">
        <f>Source!AM59</f>
        <v>17.84</v>
      </c>
      <c r="G188" s="20" t="str">
        <f>Source!DE59</f>
        <v/>
      </c>
      <c r="H188" s="18">
        <f>Source!AV59</f>
        <v>1</v>
      </c>
      <c r="I188" s="22">
        <f>(ROUND((ROUND(((Source!ET59)*Source!AV59*Source!I59),2)),2)+ROUND((ROUND(((Source!AE59-(Source!EU59))*Source!AV59*Source!I59),2)),2))</f>
        <v>5054.43</v>
      </c>
      <c r="J188" s="18">
        <f>IF(Source!BB59&lt;&gt; 0, Source!BB59, 1)</f>
        <v>7.63</v>
      </c>
      <c r="K188" s="22">
        <f>Source!Q59</f>
        <v>38565.300000000003</v>
      </c>
    </row>
    <row r="189" spans="1:27" ht="15" x14ac:dyDescent="0.25">
      <c r="A189" s="25"/>
      <c r="B189" s="25"/>
      <c r="C189" s="25"/>
      <c r="D189" s="25"/>
      <c r="E189" s="25"/>
      <c r="F189" s="25"/>
      <c r="G189" s="25"/>
      <c r="H189" s="54">
        <f>I188</f>
        <v>5054.43</v>
      </c>
      <c r="I189" s="54"/>
      <c r="J189" s="54">
        <f>K188</f>
        <v>38565.300000000003</v>
      </c>
      <c r="K189" s="54"/>
      <c r="O189" s="24">
        <f>I188</f>
        <v>5054.43</v>
      </c>
      <c r="P189" s="24">
        <f>K188</f>
        <v>38565.300000000003</v>
      </c>
      <c r="X189">
        <f>IF(Source!BI59&lt;=1,I188-0, 0)</f>
        <v>0</v>
      </c>
      <c r="Y189">
        <f>IF(Source!BI59=2,I188-0, 0)</f>
        <v>0</v>
      </c>
      <c r="Z189">
        <f>IF(Source!BI59=3,I188-0, 0)</f>
        <v>0</v>
      </c>
      <c r="AA189">
        <f>IF(Source!BI59=4,I188,0)</f>
        <v>5054.43</v>
      </c>
    </row>
    <row r="190" spans="1:27" ht="28.5" x14ac:dyDescent="0.2">
      <c r="A190" s="16" t="str">
        <f>Source!E60</f>
        <v>18</v>
      </c>
      <c r="B190" s="17" t="str">
        <f>Source!F60</f>
        <v>6.51-6-1</v>
      </c>
      <c r="C190" s="17" t="s">
        <v>199</v>
      </c>
      <c r="D190" s="19" t="str">
        <f>Source!H60</f>
        <v>100 м3 грунта</v>
      </c>
      <c r="E190" s="18">
        <f>Source!I60</f>
        <v>0.39350000000000002</v>
      </c>
      <c r="F190" s="21"/>
      <c r="G190" s="20"/>
      <c r="H190" s="18"/>
      <c r="I190" s="22"/>
      <c r="J190" s="18"/>
      <c r="K190" s="22"/>
      <c r="Q190">
        <f>ROUND((Source!DN60/100)*ROUND((ROUND((Source!AF60*Source!AV60*Source!I60),2)),2), 2)</f>
        <v>284.73</v>
      </c>
      <c r="R190">
        <f>Source!X60</f>
        <v>5810.74</v>
      </c>
      <c r="S190">
        <f>ROUND((Source!DO60/100)*ROUND((ROUND((Source!AF60*Source!AV60*Source!I60),2)),2), 2)</f>
        <v>209.64</v>
      </c>
      <c r="T190">
        <f>Source!Y60</f>
        <v>3263.57</v>
      </c>
      <c r="U190">
        <f>ROUND((175/100)*ROUND((ROUND((Source!AE60*Source!AV60*Source!I60),2)),2), 2)</f>
        <v>0</v>
      </c>
      <c r="V190">
        <f>ROUND((157/100)*ROUND(ROUND((ROUND((Source!AE60*Source!AV60*Source!I60),2)*Source!BS60),2), 2), 2)</f>
        <v>0</v>
      </c>
    </row>
    <row r="191" spans="1:27" x14ac:dyDescent="0.2">
      <c r="C191" s="23" t="str">
        <f>"Объем: "&amp;Source!I60&amp;"=39,35/"&amp;"100"</f>
        <v>Объем: 0,3935=39,35/100</v>
      </c>
    </row>
    <row r="192" spans="1:27" ht="14.25" x14ac:dyDescent="0.2">
      <c r="A192" s="16"/>
      <c r="B192" s="17"/>
      <c r="C192" s="17" t="s">
        <v>1625</v>
      </c>
      <c r="D192" s="19"/>
      <c r="E192" s="18"/>
      <c r="F192" s="21">
        <f>Source!AO60</f>
        <v>795.14</v>
      </c>
      <c r="G192" s="20" t="str">
        <f>Source!DG60</f>
        <v/>
      </c>
      <c r="H192" s="18">
        <f>Source!AV60</f>
        <v>1</v>
      </c>
      <c r="I192" s="22">
        <f>ROUND((ROUND((Source!AF60*Source!AV60*Source!I60),2)),2)</f>
        <v>312.89</v>
      </c>
      <c r="J192" s="18">
        <f>IF(Source!BA60&lt;&gt; 0, Source!BA60, 1)</f>
        <v>25.44</v>
      </c>
      <c r="K192" s="22">
        <f>Source!S60</f>
        <v>7959.92</v>
      </c>
      <c r="W192">
        <f>I192</f>
        <v>312.89</v>
      </c>
    </row>
    <row r="193" spans="1:38" ht="14.25" x14ac:dyDescent="0.2">
      <c r="A193" s="16"/>
      <c r="B193" s="17"/>
      <c r="C193" s="17" t="s">
        <v>1626</v>
      </c>
      <c r="D193" s="19" t="s">
        <v>1627</v>
      </c>
      <c r="E193" s="18">
        <f>Source!DN60</f>
        <v>91</v>
      </c>
      <c r="F193" s="21"/>
      <c r="G193" s="20"/>
      <c r="H193" s="18"/>
      <c r="I193" s="22">
        <f>SUM(Q190:Q192)</f>
        <v>284.73</v>
      </c>
      <c r="J193" s="18">
        <f>Source!BZ60</f>
        <v>73</v>
      </c>
      <c r="K193" s="22">
        <f>SUM(R190:R192)</f>
        <v>5810.74</v>
      </c>
    </row>
    <row r="194" spans="1:38" ht="14.25" x14ac:dyDescent="0.2">
      <c r="A194" s="16"/>
      <c r="B194" s="17"/>
      <c r="C194" s="17" t="s">
        <v>1628</v>
      </c>
      <c r="D194" s="19" t="s">
        <v>1627</v>
      </c>
      <c r="E194" s="18">
        <f>Source!DO60</f>
        <v>67</v>
      </c>
      <c r="F194" s="21"/>
      <c r="G194" s="20"/>
      <c r="H194" s="18"/>
      <c r="I194" s="22">
        <f>SUM(S190:S193)</f>
        <v>209.64</v>
      </c>
      <c r="J194" s="18">
        <f>Source!CA60</f>
        <v>41</v>
      </c>
      <c r="K194" s="22">
        <f>SUM(T190:T193)</f>
        <v>3263.57</v>
      </c>
    </row>
    <row r="195" spans="1:38" ht="14.25" x14ac:dyDescent="0.2">
      <c r="A195" s="16"/>
      <c r="B195" s="17"/>
      <c r="C195" s="17" t="s">
        <v>1629</v>
      </c>
      <c r="D195" s="19" t="s">
        <v>1630</v>
      </c>
      <c r="E195" s="18">
        <f>Source!AQ60</f>
        <v>83</v>
      </c>
      <c r="F195" s="21"/>
      <c r="G195" s="20" t="str">
        <f>Source!DI60</f>
        <v/>
      </c>
      <c r="H195" s="18">
        <f>Source!AV60</f>
        <v>1</v>
      </c>
      <c r="I195" s="22">
        <f>Source!U60</f>
        <v>32.660499999999999</v>
      </c>
      <c r="J195" s="18"/>
      <c r="K195" s="22"/>
    </row>
    <row r="196" spans="1:38" ht="15" x14ac:dyDescent="0.25">
      <c r="A196" s="25"/>
      <c r="B196" s="25"/>
      <c r="C196" s="25"/>
      <c r="D196" s="25"/>
      <c r="E196" s="25"/>
      <c r="F196" s="25"/>
      <c r="G196" s="25"/>
      <c r="H196" s="54">
        <f>I192+I193+I194</f>
        <v>807.26</v>
      </c>
      <c r="I196" s="54"/>
      <c r="J196" s="54">
        <f>K192+K193+K194</f>
        <v>17034.23</v>
      </c>
      <c r="K196" s="54"/>
      <c r="O196" s="24">
        <f>I192+I193+I194</f>
        <v>807.26</v>
      </c>
      <c r="P196" s="24">
        <f>K192+K193+K194</f>
        <v>17034.23</v>
      </c>
      <c r="X196">
        <f>IF(Source!BI60&lt;=1,I192+I193+I194-0, 0)</f>
        <v>807.26</v>
      </c>
      <c r="Y196">
        <f>IF(Source!BI60=2,I192+I193+I194-0, 0)</f>
        <v>0</v>
      </c>
      <c r="Z196">
        <f>IF(Source!BI60=3,I192+I193+I194-0, 0)</f>
        <v>0</v>
      </c>
      <c r="AA196">
        <f>IF(Source!BI60=4,I192+I193+I194,0)</f>
        <v>0</v>
      </c>
    </row>
    <row r="197" spans="1:38" ht="57" x14ac:dyDescent="0.2">
      <c r="A197" s="16" t="str">
        <f>Source!E61</f>
        <v>19</v>
      </c>
      <c r="B197" s="17" t="str">
        <f>Source!F61</f>
        <v>15.2-46-1</v>
      </c>
      <c r="C197" s="17" t="s">
        <v>205</v>
      </c>
      <c r="D197" s="19" t="str">
        <f>Source!H61</f>
        <v>т</v>
      </c>
      <c r="E197" s="18">
        <f>Source!I61</f>
        <v>236.1</v>
      </c>
      <c r="F197" s="21"/>
      <c r="G197" s="20"/>
      <c r="H197" s="18"/>
      <c r="I197" s="22"/>
      <c r="J197" s="18"/>
      <c r="K197" s="22"/>
      <c r="Q197">
        <f>ROUND((Source!DN61/100)*ROUND((ROUND((Source!AF61*Source!AV61*Source!I61),2)),2), 2)</f>
        <v>0</v>
      </c>
      <c r="R197">
        <f>Source!X61</f>
        <v>0</v>
      </c>
      <c r="S197">
        <f>ROUND((Source!DO61/100)*ROUND((ROUND((Source!AF61*Source!AV61*Source!I61),2)),2), 2)</f>
        <v>0</v>
      </c>
      <c r="T197">
        <f>Source!Y61</f>
        <v>0</v>
      </c>
      <c r="U197">
        <f>ROUND((175/100)*ROUND((ROUND((Source!AE61*Source!AV61*Source!I61),2)),2), 2)</f>
        <v>0</v>
      </c>
      <c r="V197">
        <f>ROUND((157/100)*ROUND(ROUND((ROUND((Source!AE61*Source!AV61*Source!I61),2)*Source!BS61),2), 2), 2)</f>
        <v>0</v>
      </c>
    </row>
    <row r="198" spans="1:38" ht="14.25" x14ac:dyDescent="0.2">
      <c r="A198" s="16"/>
      <c r="B198" s="17"/>
      <c r="C198" s="17" t="s">
        <v>1631</v>
      </c>
      <c r="D198" s="19"/>
      <c r="E198" s="18"/>
      <c r="F198" s="21">
        <f>Source!AM61</f>
        <v>46</v>
      </c>
      <c r="G198" s="20" t="str">
        <f>Source!DE61</f>
        <v/>
      </c>
      <c r="H198" s="18">
        <f>Source!AV61</f>
        <v>1</v>
      </c>
      <c r="I198" s="22">
        <f>(ROUND((ROUND(((Source!ET61)*Source!AV61*Source!I61),2)),2)+ROUND((ROUND(((Source!AE61-(Source!EU61))*Source!AV61*Source!I61),2)),2))</f>
        <v>10860.6</v>
      </c>
      <c r="J198" s="18">
        <f>IF(Source!BB61&lt;&gt; 0, Source!BB61, 1)</f>
        <v>12.21</v>
      </c>
      <c r="K198" s="22">
        <f>Source!Q61</f>
        <v>132607.93</v>
      </c>
    </row>
    <row r="199" spans="1:38" ht="15" x14ac:dyDescent="0.25">
      <c r="A199" s="25"/>
      <c r="B199" s="25"/>
      <c r="C199" s="25"/>
      <c r="D199" s="25"/>
      <c r="E199" s="25"/>
      <c r="F199" s="25"/>
      <c r="G199" s="25"/>
      <c r="H199" s="54">
        <f>I198</f>
        <v>10860.6</v>
      </c>
      <c r="I199" s="54"/>
      <c r="J199" s="54">
        <f>K198</f>
        <v>132607.93</v>
      </c>
      <c r="K199" s="54"/>
      <c r="O199" s="24">
        <f>I198</f>
        <v>10860.6</v>
      </c>
      <c r="P199" s="24">
        <f>K198</f>
        <v>132607.93</v>
      </c>
      <c r="X199">
        <f>IF(Source!BI61&lt;=1,I198-0, 0)</f>
        <v>0</v>
      </c>
      <c r="Y199">
        <f>IF(Source!BI61=2,I198-0, 0)</f>
        <v>0</v>
      </c>
      <c r="Z199">
        <f>IF(Source!BI61=3,I198-0, 0)</f>
        <v>0</v>
      </c>
      <c r="AA199">
        <f>IF(Source!BI61=4,I198,0)</f>
        <v>10860.6</v>
      </c>
    </row>
    <row r="200" spans="1:38" ht="42.75" x14ac:dyDescent="0.2">
      <c r="A200" s="16" t="str">
        <f>Source!E62</f>
        <v>20</v>
      </c>
      <c r="B200" s="17" t="str">
        <f>Source!F62</f>
        <v>15.1-1102-01</v>
      </c>
      <c r="C200" s="17" t="s">
        <v>211</v>
      </c>
      <c r="D200" s="19" t="str">
        <f>Source!H62</f>
        <v>1 Т</v>
      </c>
      <c r="E200" s="18">
        <f>Source!I62</f>
        <v>236.1</v>
      </c>
      <c r="F200" s="21"/>
      <c r="G200" s="20"/>
      <c r="H200" s="18"/>
      <c r="I200" s="22"/>
      <c r="J200" s="18"/>
      <c r="K200" s="22"/>
      <c r="Q200">
        <f>ROUND((Source!DN62/100)*ROUND((ROUND((Source!AF62*Source!AV62*Source!I62),2)),2), 2)</f>
        <v>0</v>
      </c>
      <c r="R200">
        <f>Source!X62</f>
        <v>0</v>
      </c>
      <c r="S200">
        <f>ROUND((Source!DO62/100)*ROUND((ROUND((Source!AF62*Source!AV62*Source!I62),2)),2), 2)</f>
        <v>0</v>
      </c>
      <c r="T200">
        <f>Source!Y62</f>
        <v>0</v>
      </c>
      <c r="U200">
        <f>ROUND((175/100)*ROUND((ROUND((Source!AE62*Source!AV62*Source!I62),2)),2), 2)</f>
        <v>0</v>
      </c>
      <c r="V200">
        <f>ROUND((157/100)*ROUND(ROUND((ROUND((Source!AE62*Source!AV62*Source!I62),2)*Source!BS62),2), 2), 2)</f>
        <v>0</v>
      </c>
    </row>
    <row r="201" spans="1:38" ht="14.25" x14ac:dyDescent="0.2">
      <c r="A201" s="16"/>
      <c r="B201" s="17"/>
      <c r="C201" s="17" t="s">
        <v>1631</v>
      </c>
      <c r="D201" s="19"/>
      <c r="E201" s="18"/>
      <c r="F201" s="21">
        <f>Source!AM62</f>
        <v>12.61</v>
      </c>
      <c r="G201" s="20" t="str">
        <f>Source!DE62</f>
        <v/>
      </c>
      <c r="H201" s="18">
        <f>Source!AV62</f>
        <v>1</v>
      </c>
      <c r="I201" s="22">
        <f>(ROUND((ROUND(((Source!ET62)*Source!AV62*Source!I62),2)),2)+ROUND((ROUND(((Source!AE62-(Source!EU62))*Source!AV62*Source!I62),2)),2))</f>
        <v>2977.22</v>
      </c>
      <c r="J201" s="18">
        <f>IF(Source!BB62&lt;&gt; 0, Source!BB62, 1)</f>
        <v>7.63</v>
      </c>
      <c r="K201" s="22">
        <f>Source!Q62</f>
        <v>22716.19</v>
      </c>
    </row>
    <row r="202" spans="1:38" ht="15" x14ac:dyDescent="0.25">
      <c r="A202" s="25"/>
      <c r="B202" s="25"/>
      <c r="C202" s="25"/>
      <c r="D202" s="25"/>
      <c r="E202" s="25"/>
      <c r="F202" s="25"/>
      <c r="G202" s="25"/>
      <c r="H202" s="54">
        <f>I201</f>
        <v>2977.22</v>
      </c>
      <c r="I202" s="54"/>
      <c r="J202" s="54">
        <f>K201</f>
        <v>22716.19</v>
      </c>
      <c r="K202" s="54"/>
      <c r="O202" s="24">
        <f>I201</f>
        <v>2977.22</v>
      </c>
      <c r="P202" s="24">
        <f>K201</f>
        <v>22716.19</v>
      </c>
      <c r="X202">
        <f>IF(Source!BI62&lt;=1,I201-0, 0)</f>
        <v>0</v>
      </c>
      <c r="Y202">
        <f>IF(Source!BI62=2,I201-0, 0)</f>
        <v>0</v>
      </c>
      <c r="Z202">
        <f>IF(Source!BI62=3,I201-0, 0)</f>
        <v>0</v>
      </c>
      <c r="AA202">
        <f>IF(Source!BI62=4,I201,0)</f>
        <v>2977.22</v>
      </c>
    </row>
    <row r="204" spans="1:38" ht="15" x14ac:dyDescent="0.25">
      <c r="A204" s="53" t="str">
        <f>CONCATENATE("Итого по разделу: ",IF(Source!G64&lt;&gt;"Новый раздел", Source!G64, ""))</f>
        <v>Итого по разделу: Покрытие "Искусственная трава" 13 мм, на площади 787 кв.м</v>
      </c>
      <c r="B204" s="53"/>
      <c r="C204" s="53"/>
      <c r="D204" s="53"/>
      <c r="E204" s="53"/>
      <c r="F204" s="53"/>
      <c r="G204" s="53"/>
      <c r="H204" s="51">
        <f>SUM(O30:O203)</f>
        <v>886661.97</v>
      </c>
      <c r="I204" s="52"/>
      <c r="J204" s="51">
        <f>SUM(P30:P203)</f>
        <v>7048367.2800000012</v>
      </c>
      <c r="K204" s="52"/>
      <c r="AL204" s="30" t="str">
        <f>CONCATENATE("Итого по разделу: ",IF(Source!G64&lt;&gt;"Новый раздел", Source!G64, ""))</f>
        <v>Итого по разделу: Покрытие "Искусственная трава" 13 мм, на площади 787 кв.м</v>
      </c>
    </row>
    <row r="205" spans="1:38" hidden="1" x14ac:dyDescent="0.2">
      <c r="A205" t="s">
        <v>1641</v>
      </c>
      <c r="H205">
        <f>SUM(AC30:AC204)</f>
        <v>0</v>
      </c>
      <c r="J205">
        <f>SUM(AD30:AD204)</f>
        <v>0</v>
      </c>
    </row>
    <row r="206" spans="1:38" hidden="1" x14ac:dyDescent="0.2">
      <c r="A206" t="s">
        <v>1642</v>
      </c>
      <c r="H206">
        <f>SUM(AE30:AE205)</f>
        <v>0</v>
      </c>
      <c r="J206">
        <f>SUM(AF30:AF205)</f>
        <v>0</v>
      </c>
    </row>
    <row r="208" spans="1:38" ht="16.5" x14ac:dyDescent="0.25">
      <c r="A208" s="56" t="str">
        <f>CONCATENATE("Раздел: ",IF(Source!G94&lt;&gt;"Новый раздел", Source!G94, ""))</f>
        <v>Раздел: Ремонт покрытия из тратуарной плитки 320 кв.м</v>
      </c>
      <c r="B208" s="56"/>
      <c r="C208" s="56"/>
      <c r="D208" s="56"/>
      <c r="E208" s="56"/>
      <c r="F208" s="56"/>
      <c r="G208" s="56"/>
      <c r="H208" s="56"/>
      <c r="I208" s="56"/>
      <c r="J208" s="56"/>
      <c r="K208" s="56"/>
    </row>
    <row r="209" spans="1:27" ht="57" x14ac:dyDescent="0.2">
      <c r="A209" s="16" t="str">
        <f>Source!E98</f>
        <v>21</v>
      </c>
      <c r="B209" s="17" t="str">
        <f>Source!F98</f>
        <v>6.68-68-1</v>
      </c>
      <c r="C209" s="17" t="s">
        <v>270</v>
      </c>
      <c r="D209" s="19" t="str">
        <f>Source!H98</f>
        <v>100 м2</v>
      </c>
      <c r="E209" s="18">
        <f>Source!I98</f>
        <v>3.2</v>
      </c>
      <c r="F209" s="21"/>
      <c r="G209" s="20"/>
      <c r="H209" s="18"/>
      <c r="I209" s="22"/>
      <c r="J209" s="18"/>
      <c r="K209" s="22"/>
      <c r="Q209">
        <f>ROUND((Source!DN98/100)*ROUND((ROUND((Source!AF98*Source!AV98*Source!I98),2)),2), 2)</f>
        <v>477.26</v>
      </c>
      <c r="R209">
        <f>Source!X98</f>
        <v>10320.36</v>
      </c>
      <c r="S209">
        <f>ROUND((Source!DO98/100)*ROUND((ROUND((Source!AF98*Source!AV98*Source!I98),2)),2), 2)</f>
        <v>328.12</v>
      </c>
      <c r="T209">
        <f>Source!Y98</f>
        <v>6222.57</v>
      </c>
      <c r="U209">
        <f>ROUND((175/100)*ROUND((ROUND((Source!AE98*Source!AV98*Source!I98),2)),2), 2)</f>
        <v>0</v>
      </c>
      <c r="V209">
        <f>ROUND((157/100)*ROUND(ROUND((ROUND((Source!AE98*Source!AV98*Source!I98),2)*Source!BS98),2), 2), 2)</f>
        <v>0</v>
      </c>
    </row>
    <row r="210" spans="1:27" x14ac:dyDescent="0.2">
      <c r="C210" s="23" t="str">
        <f>"Объем: "&amp;Source!I98&amp;"=320/"&amp;"100"</f>
        <v>Объем: 3,2=320/100</v>
      </c>
    </row>
    <row r="211" spans="1:27" ht="14.25" x14ac:dyDescent="0.2">
      <c r="A211" s="16"/>
      <c r="B211" s="17"/>
      <c r="C211" s="17" t="s">
        <v>1625</v>
      </c>
      <c r="D211" s="19"/>
      <c r="E211" s="18"/>
      <c r="F211" s="21">
        <f>Source!AO98</f>
        <v>186.43</v>
      </c>
      <c r="G211" s="20" t="str">
        <f>Source!DG98</f>
        <v/>
      </c>
      <c r="H211" s="18">
        <f>Source!AV98</f>
        <v>1</v>
      </c>
      <c r="I211" s="22">
        <f>ROUND((ROUND((Source!AF98*Source!AV98*Source!I98),2)),2)</f>
        <v>596.58000000000004</v>
      </c>
      <c r="J211" s="18">
        <f>IF(Source!BA98&lt;&gt; 0, Source!BA98, 1)</f>
        <v>25.44</v>
      </c>
      <c r="K211" s="22">
        <f>Source!S98</f>
        <v>15177</v>
      </c>
      <c r="W211">
        <f>I211</f>
        <v>596.58000000000004</v>
      </c>
    </row>
    <row r="212" spans="1:27" ht="14.25" x14ac:dyDescent="0.2">
      <c r="A212" s="16"/>
      <c r="B212" s="17"/>
      <c r="C212" s="17" t="s">
        <v>1626</v>
      </c>
      <c r="D212" s="19" t="s">
        <v>1627</v>
      </c>
      <c r="E212" s="18">
        <f>Source!DN98</f>
        <v>80</v>
      </c>
      <c r="F212" s="21"/>
      <c r="G212" s="20"/>
      <c r="H212" s="18"/>
      <c r="I212" s="22">
        <f>SUM(Q209:Q211)</f>
        <v>477.26</v>
      </c>
      <c r="J212" s="18">
        <f>Source!BZ98</f>
        <v>68</v>
      </c>
      <c r="K212" s="22">
        <f>SUM(R209:R211)</f>
        <v>10320.36</v>
      </c>
    </row>
    <row r="213" spans="1:27" ht="14.25" x14ac:dyDescent="0.2">
      <c r="A213" s="16"/>
      <c r="B213" s="17"/>
      <c r="C213" s="17" t="s">
        <v>1628</v>
      </c>
      <c r="D213" s="19" t="s">
        <v>1627</v>
      </c>
      <c r="E213" s="18">
        <f>Source!DO98</f>
        <v>55</v>
      </c>
      <c r="F213" s="21"/>
      <c r="G213" s="20"/>
      <c r="H213" s="18"/>
      <c r="I213" s="22">
        <f>SUM(S209:S212)</f>
        <v>328.12</v>
      </c>
      <c r="J213" s="18">
        <f>Source!CA98</f>
        <v>41</v>
      </c>
      <c r="K213" s="22">
        <f>SUM(T209:T212)</f>
        <v>6222.57</v>
      </c>
    </row>
    <row r="214" spans="1:27" ht="14.25" x14ac:dyDescent="0.2">
      <c r="A214" s="16"/>
      <c r="B214" s="17"/>
      <c r="C214" s="17" t="s">
        <v>1629</v>
      </c>
      <c r="D214" s="19" t="s">
        <v>1630</v>
      </c>
      <c r="E214" s="18">
        <f>Source!AQ98</f>
        <v>18.68</v>
      </c>
      <c r="F214" s="21"/>
      <c r="G214" s="20" t="str">
        <f>Source!DI98</f>
        <v/>
      </c>
      <c r="H214" s="18">
        <f>Source!AV98</f>
        <v>1</v>
      </c>
      <c r="I214" s="22">
        <f>Source!U98</f>
        <v>59.776000000000003</v>
      </c>
      <c r="J214" s="18"/>
      <c r="K214" s="22"/>
    </row>
    <row r="215" spans="1:27" ht="15" x14ac:dyDescent="0.25">
      <c r="A215" s="25"/>
      <c r="B215" s="25"/>
      <c r="C215" s="25"/>
      <c r="D215" s="25"/>
      <c r="E215" s="25"/>
      <c r="F215" s="25"/>
      <c r="G215" s="25"/>
      <c r="H215" s="54">
        <f>I211+I212+I213</f>
        <v>1401.96</v>
      </c>
      <c r="I215" s="54"/>
      <c r="J215" s="54">
        <f>K211+K212+K213</f>
        <v>31719.93</v>
      </c>
      <c r="K215" s="54"/>
      <c r="O215" s="24">
        <f>I211+I212+I213</f>
        <v>1401.96</v>
      </c>
      <c r="P215" s="24">
        <f>K211+K212+K213</f>
        <v>31719.93</v>
      </c>
      <c r="X215">
        <f>IF(Source!BI98&lt;=1,I211+I212+I213-0, 0)</f>
        <v>1401.96</v>
      </c>
      <c r="Y215">
        <f>IF(Source!BI98=2,I211+I212+I213-0, 0)</f>
        <v>0</v>
      </c>
      <c r="Z215">
        <f>IF(Source!BI98=3,I211+I212+I213-0, 0)</f>
        <v>0</v>
      </c>
      <c r="AA215">
        <f>IF(Source!BI98=4,I211+I212+I213,0)</f>
        <v>0</v>
      </c>
    </row>
    <row r="216" spans="1:27" ht="14.25" x14ac:dyDescent="0.2">
      <c r="A216" s="16" t="str">
        <f>Source!E99</f>
        <v>22</v>
      </c>
      <c r="B216" s="17" t="str">
        <f>Source!F99</f>
        <v>3.47-1-2</v>
      </c>
      <c r="C216" s="17" t="s">
        <v>45</v>
      </c>
      <c r="D216" s="19" t="str">
        <f>Source!H99</f>
        <v>100 м2</v>
      </c>
      <c r="E216" s="18">
        <f>Source!I99</f>
        <v>3.2</v>
      </c>
      <c r="F216" s="21"/>
      <c r="G216" s="20"/>
      <c r="H216" s="18"/>
      <c r="I216" s="22"/>
      <c r="J216" s="18"/>
      <c r="K216" s="22"/>
      <c r="Q216">
        <f>ROUND((Source!DN99/100)*ROUND((ROUND((Source!AF99*Source!AV99*Source!I99),2)),2), 2)</f>
        <v>598.41999999999996</v>
      </c>
      <c r="R216">
        <f>Source!X99</f>
        <v>8782.9</v>
      </c>
      <c r="S216">
        <f>ROUND((Source!DO99/100)*ROUND((ROUND((Source!AF99*Source!AV99*Source!I99),2)),2), 2)</f>
        <v>322.22000000000003</v>
      </c>
      <c r="T216">
        <f>Source!Y99</f>
        <v>4001.1</v>
      </c>
      <c r="U216">
        <f>ROUND((175/100)*ROUND((ROUND((Source!AE99*Source!AV99*Source!I99),2)),2), 2)</f>
        <v>0</v>
      </c>
      <c r="V216">
        <f>ROUND((157/100)*ROUND(ROUND((ROUND((Source!AE99*Source!AV99*Source!I99),2)*Source!BS99),2), 2), 2)</f>
        <v>0</v>
      </c>
    </row>
    <row r="217" spans="1:27" x14ac:dyDescent="0.2">
      <c r="C217" s="23" t="str">
        <f>"Объем: "&amp;Source!I99&amp;"=320/"&amp;"100"</f>
        <v>Объем: 3,2=320/100</v>
      </c>
    </row>
    <row r="218" spans="1:27" ht="14.25" x14ac:dyDescent="0.2">
      <c r="A218" s="16"/>
      <c r="B218" s="17"/>
      <c r="C218" s="17" t="s">
        <v>1625</v>
      </c>
      <c r="D218" s="19"/>
      <c r="E218" s="18"/>
      <c r="F218" s="21">
        <f>Source!AO99</f>
        <v>104.24</v>
      </c>
      <c r="G218" s="20" t="str">
        <f>Source!DG99</f>
        <v>)*1,15</v>
      </c>
      <c r="H218" s="18">
        <f>Source!AV99</f>
        <v>1</v>
      </c>
      <c r="I218" s="22">
        <f>ROUND((ROUND((Source!AF99*Source!AV99*Source!I99),2)),2)</f>
        <v>383.6</v>
      </c>
      <c r="J218" s="18">
        <f>IF(Source!BA99&lt;&gt; 0, Source!BA99, 1)</f>
        <v>25.44</v>
      </c>
      <c r="K218" s="22">
        <f>Source!S99</f>
        <v>9758.7800000000007</v>
      </c>
      <c r="W218">
        <f>I218</f>
        <v>383.6</v>
      </c>
    </row>
    <row r="219" spans="1:27" ht="14.25" x14ac:dyDescent="0.2">
      <c r="A219" s="16"/>
      <c r="B219" s="17"/>
      <c r="C219" s="17" t="s">
        <v>1626</v>
      </c>
      <c r="D219" s="19" t="s">
        <v>1627</v>
      </c>
      <c r="E219" s="18">
        <f>Source!DN99</f>
        <v>156</v>
      </c>
      <c r="F219" s="21"/>
      <c r="G219" s="20"/>
      <c r="H219" s="18"/>
      <c r="I219" s="22">
        <f>SUM(Q216:Q218)</f>
        <v>598.41999999999996</v>
      </c>
      <c r="J219" s="18">
        <f>Source!BZ99</f>
        <v>90</v>
      </c>
      <c r="K219" s="22">
        <f>SUM(R216:R218)</f>
        <v>8782.9</v>
      </c>
    </row>
    <row r="220" spans="1:27" ht="14.25" x14ac:dyDescent="0.2">
      <c r="A220" s="16"/>
      <c r="B220" s="17"/>
      <c r="C220" s="17" t="s">
        <v>1628</v>
      </c>
      <c r="D220" s="19" t="s">
        <v>1627</v>
      </c>
      <c r="E220" s="18">
        <f>Source!DO99</f>
        <v>84</v>
      </c>
      <c r="F220" s="21"/>
      <c r="G220" s="20"/>
      <c r="H220" s="18"/>
      <c r="I220" s="22">
        <f>SUM(S216:S219)</f>
        <v>322.22000000000003</v>
      </c>
      <c r="J220" s="18">
        <f>Source!CA99</f>
        <v>41</v>
      </c>
      <c r="K220" s="22">
        <f>SUM(T216:T219)</f>
        <v>4001.1</v>
      </c>
    </row>
    <row r="221" spans="1:27" ht="14.25" x14ac:dyDescent="0.2">
      <c r="A221" s="16"/>
      <c r="B221" s="17"/>
      <c r="C221" s="17" t="s">
        <v>1629</v>
      </c>
      <c r="D221" s="19" t="s">
        <v>1630</v>
      </c>
      <c r="E221" s="18">
        <f>Source!AQ99</f>
        <v>10.199999999999999</v>
      </c>
      <c r="F221" s="21"/>
      <c r="G221" s="20" t="str">
        <f>Source!DI99</f>
        <v>)*1,15</v>
      </c>
      <c r="H221" s="18">
        <f>Source!AV99</f>
        <v>1</v>
      </c>
      <c r="I221" s="22">
        <f>Source!U99</f>
        <v>37.535999999999994</v>
      </c>
      <c r="J221" s="18"/>
      <c r="K221" s="22"/>
    </row>
    <row r="222" spans="1:27" ht="15" x14ac:dyDescent="0.25">
      <c r="A222" s="25"/>
      <c r="B222" s="25"/>
      <c r="C222" s="25"/>
      <c r="D222" s="25"/>
      <c r="E222" s="25"/>
      <c r="F222" s="25"/>
      <c r="G222" s="25"/>
      <c r="H222" s="54">
        <f>I218+I219+I220</f>
        <v>1304.24</v>
      </c>
      <c r="I222" s="54"/>
      <c r="J222" s="54">
        <f>K218+K219+K220</f>
        <v>22542.78</v>
      </c>
      <c r="K222" s="54"/>
      <c r="O222" s="24">
        <f>I218+I219+I220</f>
        <v>1304.24</v>
      </c>
      <c r="P222" s="24">
        <f>K218+K219+K220</f>
        <v>22542.78</v>
      </c>
      <c r="X222">
        <f>IF(Source!BI99&lt;=1,I218+I219+I220-0, 0)</f>
        <v>1304.24</v>
      </c>
      <c r="Y222">
        <f>IF(Source!BI99=2,I218+I219+I220-0, 0)</f>
        <v>0</v>
      </c>
      <c r="Z222">
        <f>IF(Source!BI99=3,I218+I219+I220-0, 0)</f>
        <v>0</v>
      </c>
      <c r="AA222">
        <f>IF(Source!BI99=4,I218+I219+I220,0)</f>
        <v>0</v>
      </c>
    </row>
    <row r="223" spans="1:27" ht="57" x14ac:dyDescent="0.2">
      <c r="A223" s="16" t="str">
        <f>Source!E100</f>
        <v>23</v>
      </c>
      <c r="B223" s="17" t="str">
        <f>Source!F100</f>
        <v>3.1-6-10</v>
      </c>
      <c r="C223" s="17" t="s">
        <v>276</v>
      </c>
      <c r="D223" s="19" t="str">
        <f>Source!H100</f>
        <v>100 м3 грунта</v>
      </c>
      <c r="E223" s="18">
        <f>Source!I100</f>
        <v>0.8</v>
      </c>
      <c r="F223" s="21"/>
      <c r="G223" s="20"/>
      <c r="H223" s="18"/>
      <c r="I223" s="22"/>
      <c r="J223" s="18"/>
      <c r="K223" s="22"/>
      <c r="Q223">
        <f>ROUND((Source!DN100/100)*ROUND((ROUND((Source!AF100*Source!AV100*Source!I100),2)),2), 2)</f>
        <v>12.71</v>
      </c>
      <c r="R223">
        <f>Source!X100</f>
        <v>303.56</v>
      </c>
      <c r="S223">
        <f>ROUND((Source!DO100/100)*ROUND((ROUND((Source!AF100*Source!AV100*Source!I100),2)),2), 2)</f>
        <v>9.99</v>
      </c>
      <c r="T223">
        <f>Source!Y100</f>
        <v>164.98</v>
      </c>
      <c r="U223">
        <f>ROUND((175/100)*ROUND((ROUND((Source!AE100*Source!AV100*Source!I100),2)),2), 2)</f>
        <v>153.07</v>
      </c>
      <c r="V223">
        <f>ROUND((157/100)*ROUND(ROUND((ROUND((Source!AE100*Source!AV100*Source!I100),2)*Source!BS100),2), 2), 2)</f>
        <v>3493.63</v>
      </c>
    </row>
    <row r="224" spans="1:27" x14ac:dyDescent="0.2">
      <c r="C224" s="23" t="str">
        <f>"Объем: "&amp;Source!I100&amp;"=80/"&amp;"100"</f>
        <v>Объем: 0,8=80/100</v>
      </c>
    </row>
    <row r="225" spans="1:27" ht="14.25" x14ac:dyDescent="0.2">
      <c r="A225" s="16"/>
      <c r="B225" s="17"/>
      <c r="C225" s="17" t="s">
        <v>1625</v>
      </c>
      <c r="D225" s="19"/>
      <c r="E225" s="18"/>
      <c r="F225" s="21">
        <f>Source!AO100</f>
        <v>14.1</v>
      </c>
      <c r="G225" s="20" t="str">
        <f>Source!DG100</f>
        <v>)*1,15</v>
      </c>
      <c r="H225" s="18">
        <f>Source!AV100</f>
        <v>1</v>
      </c>
      <c r="I225" s="22">
        <f>ROUND((ROUND((Source!AF100*Source!AV100*Source!I100),2)),2)</f>
        <v>12.97</v>
      </c>
      <c r="J225" s="18">
        <f>IF(Source!BA100&lt;&gt; 0, Source!BA100, 1)</f>
        <v>25.44</v>
      </c>
      <c r="K225" s="22">
        <f>Source!S100</f>
        <v>329.96</v>
      </c>
      <c r="W225">
        <f>I225</f>
        <v>12.97</v>
      </c>
    </row>
    <row r="226" spans="1:27" ht="14.25" x14ac:dyDescent="0.2">
      <c r="A226" s="16"/>
      <c r="B226" s="17"/>
      <c r="C226" s="17" t="s">
        <v>1631</v>
      </c>
      <c r="D226" s="19"/>
      <c r="E226" s="18"/>
      <c r="F226" s="21">
        <f>Source!AM100</f>
        <v>881.63</v>
      </c>
      <c r="G226" s="20" t="str">
        <f>Source!DE100</f>
        <v>)*1,25</v>
      </c>
      <c r="H226" s="18">
        <f>Source!AV100</f>
        <v>1</v>
      </c>
      <c r="I226" s="22">
        <f>(ROUND((ROUND((((Source!ET100*1.25))*Source!AV100*Source!I100),2)),2)+ROUND((ROUND(((Source!AE100-((Source!EU100*1.25)))*Source!AV100*Source!I100),2)),2))</f>
        <v>881.63</v>
      </c>
      <c r="J226" s="18">
        <f>IF(Source!BB100&lt;&gt; 0, Source!BB100, 1)</f>
        <v>8.93</v>
      </c>
      <c r="K226" s="22">
        <f>Source!Q100</f>
        <v>7872.96</v>
      </c>
    </row>
    <row r="227" spans="1:27" ht="14.25" x14ac:dyDescent="0.2">
      <c r="A227" s="16"/>
      <c r="B227" s="17"/>
      <c r="C227" s="17" t="s">
        <v>1632</v>
      </c>
      <c r="D227" s="19"/>
      <c r="E227" s="18"/>
      <c r="F227" s="21">
        <f>Source!AN100</f>
        <v>87.47</v>
      </c>
      <c r="G227" s="20" t="str">
        <f>Source!DF100</f>
        <v>)*1,25</v>
      </c>
      <c r="H227" s="18">
        <f>Source!AV100</f>
        <v>1</v>
      </c>
      <c r="I227" s="26">
        <f>ROUND((ROUND((Source!AE100*Source!AV100*Source!I100),2)),2)</f>
        <v>87.47</v>
      </c>
      <c r="J227" s="18">
        <f>IF(Source!BS100&lt;&gt; 0, Source!BS100, 1)</f>
        <v>25.44</v>
      </c>
      <c r="K227" s="26">
        <f>Source!R100</f>
        <v>2225.2399999999998</v>
      </c>
      <c r="W227">
        <f>I227</f>
        <v>87.47</v>
      </c>
    </row>
    <row r="228" spans="1:27" ht="14.25" x14ac:dyDescent="0.2">
      <c r="A228" s="16"/>
      <c r="B228" s="17"/>
      <c r="C228" s="17" t="s">
        <v>1626</v>
      </c>
      <c r="D228" s="19" t="s">
        <v>1627</v>
      </c>
      <c r="E228" s="18">
        <f>Source!DN100</f>
        <v>98</v>
      </c>
      <c r="F228" s="21"/>
      <c r="G228" s="20"/>
      <c r="H228" s="18"/>
      <c r="I228" s="22">
        <f>SUM(Q223:Q227)</f>
        <v>12.71</v>
      </c>
      <c r="J228" s="18">
        <f>Source!BZ100</f>
        <v>92</v>
      </c>
      <c r="K228" s="22">
        <f>SUM(R223:R227)</f>
        <v>303.56</v>
      </c>
    </row>
    <row r="229" spans="1:27" ht="14.25" x14ac:dyDescent="0.2">
      <c r="A229" s="16"/>
      <c r="B229" s="17"/>
      <c r="C229" s="17" t="s">
        <v>1628</v>
      </c>
      <c r="D229" s="19" t="s">
        <v>1627</v>
      </c>
      <c r="E229" s="18">
        <f>Source!DO100</f>
        <v>77</v>
      </c>
      <c r="F229" s="21"/>
      <c r="G229" s="20"/>
      <c r="H229" s="18"/>
      <c r="I229" s="22">
        <f>SUM(S223:S228)</f>
        <v>9.99</v>
      </c>
      <c r="J229" s="18">
        <f>Source!CA100</f>
        <v>50</v>
      </c>
      <c r="K229" s="22">
        <f>SUM(T223:T228)</f>
        <v>164.98</v>
      </c>
    </row>
    <row r="230" spans="1:27" ht="14.25" x14ac:dyDescent="0.2">
      <c r="A230" s="16"/>
      <c r="B230" s="17"/>
      <c r="C230" s="17" t="s">
        <v>1633</v>
      </c>
      <c r="D230" s="19" t="s">
        <v>1627</v>
      </c>
      <c r="E230" s="18">
        <f>175</f>
        <v>175</v>
      </c>
      <c r="F230" s="21"/>
      <c r="G230" s="20"/>
      <c r="H230" s="18"/>
      <c r="I230" s="22">
        <f>SUM(U223:U229)</f>
        <v>153.07</v>
      </c>
      <c r="J230" s="18">
        <f>157</f>
        <v>157</v>
      </c>
      <c r="K230" s="22">
        <f>SUM(V223:V229)</f>
        <v>3493.63</v>
      </c>
    </row>
    <row r="231" spans="1:27" ht="14.25" x14ac:dyDescent="0.2">
      <c r="A231" s="16"/>
      <c r="B231" s="17"/>
      <c r="C231" s="17" t="s">
        <v>1629</v>
      </c>
      <c r="D231" s="19" t="s">
        <v>1630</v>
      </c>
      <c r="E231" s="18">
        <f>Source!AQ100</f>
        <v>1.38</v>
      </c>
      <c r="F231" s="21"/>
      <c r="G231" s="20" t="str">
        <f>Source!DI100</f>
        <v>)*1,15</v>
      </c>
      <c r="H231" s="18">
        <f>Source!AV100</f>
        <v>1</v>
      </c>
      <c r="I231" s="22">
        <f>Source!U100</f>
        <v>1.2695999999999998</v>
      </c>
      <c r="J231" s="18"/>
      <c r="K231" s="22"/>
    </row>
    <row r="232" spans="1:27" ht="15" x14ac:dyDescent="0.25">
      <c r="A232" s="25"/>
      <c r="B232" s="25"/>
      <c r="C232" s="25"/>
      <c r="D232" s="25"/>
      <c r="E232" s="25"/>
      <c r="F232" s="25"/>
      <c r="G232" s="25"/>
      <c r="H232" s="54">
        <f>I225+I226+I228+I229+I230</f>
        <v>1070.3700000000001</v>
      </c>
      <c r="I232" s="54"/>
      <c r="J232" s="54">
        <f>K225+K226+K228+K229+K230</f>
        <v>12165.09</v>
      </c>
      <c r="K232" s="54"/>
      <c r="O232" s="24">
        <f>I225+I226+I228+I229+I230</f>
        <v>1070.3700000000001</v>
      </c>
      <c r="P232" s="24">
        <f>K225+K226+K228+K229+K230</f>
        <v>12165.09</v>
      </c>
      <c r="X232">
        <f>IF(Source!BI100&lt;=1,I225+I226+I228+I229+I230-0, 0)</f>
        <v>1070.3700000000001</v>
      </c>
      <c r="Y232">
        <f>IF(Source!BI100=2,I225+I226+I228+I229+I230-0, 0)</f>
        <v>0</v>
      </c>
      <c r="Z232">
        <f>IF(Source!BI100=3,I225+I226+I228+I229+I230-0, 0)</f>
        <v>0</v>
      </c>
      <c r="AA232">
        <f>IF(Source!BI100=4,I225+I226+I228+I229+I230,0)</f>
        <v>0</v>
      </c>
    </row>
    <row r="233" spans="1:27" ht="99.75" x14ac:dyDescent="0.2">
      <c r="A233" s="16" t="str">
        <f>Source!E101</f>
        <v>24</v>
      </c>
      <c r="B233" s="17" t="str">
        <f>Source!F101</f>
        <v>3.27-12-2</v>
      </c>
      <c r="C233" s="17" t="s">
        <v>278</v>
      </c>
      <c r="D233" s="19" t="str">
        <f>Source!H101</f>
        <v>100 м3 материала основания (в плотном теле)</v>
      </c>
      <c r="E233" s="18">
        <f>Source!I101</f>
        <v>0.64</v>
      </c>
      <c r="F233" s="21"/>
      <c r="G233" s="20"/>
      <c r="H233" s="18"/>
      <c r="I233" s="22"/>
      <c r="J233" s="18"/>
      <c r="K233" s="22"/>
      <c r="Q233">
        <f>ROUND((Source!DN101/100)*ROUND((ROUND((Source!AF101*Source!AV101*Source!I101),2)),2), 2)</f>
        <v>234.14</v>
      </c>
      <c r="R233">
        <f>Source!X101</f>
        <v>4765.1400000000003</v>
      </c>
      <c r="S233">
        <f>ROUND((Source!DO101/100)*ROUND((ROUND((Source!AF101*Source!AV101*Source!I101),2)),2), 2)</f>
        <v>132.12</v>
      </c>
      <c r="T233">
        <f>Source!Y101</f>
        <v>1744.38</v>
      </c>
      <c r="U233">
        <f>ROUND((175/100)*ROUND((ROUND((Source!AE101*Source!AV101*Source!I101),2)),2), 2)</f>
        <v>651.29999999999995</v>
      </c>
      <c r="V233">
        <f>ROUND((157/100)*ROUND(ROUND((ROUND((Source!AE101*Source!AV101*Source!I101),2)*Source!BS101),2), 2), 2)</f>
        <v>14864.76</v>
      </c>
    </row>
    <row r="234" spans="1:27" x14ac:dyDescent="0.2">
      <c r="C234" s="23" t="str">
        <f>"Объем: "&amp;Source!I101&amp;"=64/"&amp;"100"</f>
        <v>Объем: 0,64=64/100</v>
      </c>
    </row>
    <row r="235" spans="1:27" ht="14.25" x14ac:dyDescent="0.2">
      <c r="A235" s="16"/>
      <c r="B235" s="17"/>
      <c r="C235" s="17" t="s">
        <v>1625</v>
      </c>
      <c r="D235" s="19"/>
      <c r="E235" s="18"/>
      <c r="F235" s="21">
        <f>Source!AO101</f>
        <v>227.23</v>
      </c>
      <c r="G235" s="20" t="str">
        <f>Source!DG101</f>
        <v>)*1,15</v>
      </c>
      <c r="H235" s="18">
        <f>Source!AV101</f>
        <v>1</v>
      </c>
      <c r="I235" s="22">
        <f>ROUND((ROUND((Source!AF101*Source!AV101*Source!I101),2)),2)</f>
        <v>167.24</v>
      </c>
      <c r="J235" s="18">
        <f>IF(Source!BA101&lt;&gt; 0, Source!BA101, 1)</f>
        <v>25.44</v>
      </c>
      <c r="K235" s="22">
        <f>Source!S101</f>
        <v>4254.59</v>
      </c>
      <c r="W235">
        <f>I235</f>
        <v>167.24</v>
      </c>
    </row>
    <row r="236" spans="1:27" ht="14.25" x14ac:dyDescent="0.2">
      <c r="A236" s="16"/>
      <c r="B236" s="17"/>
      <c r="C236" s="17" t="s">
        <v>1631</v>
      </c>
      <c r="D236" s="19"/>
      <c r="E236" s="18"/>
      <c r="F236" s="21">
        <f>Source!AM101</f>
        <v>5344.54</v>
      </c>
      <c r="G236" s="20" t="str">
        <f>Source!DE101</f>
        <v>)*1,25</v>
      </c>
      <c r="H236" s="18">
        <f>Source!AV101</f>
        <v>1</v>
      </c>
      <c r="I236" s="22">
        <f>(ROUND((ROUND((((Source!ET101*1.25))*Source!AV101*Source!I101),2)),2)+ROUND((ROUND(((Source!AE101-((Source!EU101*1.25)))*Source!AV101*Source!I101),2)),2))</f>
        <v>4275.63</v>
      </c>
      <c r="J236" s="18">
        <f>IF(Source!BB101&lt;&gt; 0, Source!BB101, 1)</f>
        <v>8.73</v>
      </c>
      <c r="K236" s="22">
        <f>Source!Q101</f>
        <v>37326.25</v>
      </c>
    </row>
    <row r="237" spans="1:27" ht="14.25" x14ac:dyDescent="0.2">
      <c r="A237" s="16"/>
      <c r="B237" s="17"/>
      <c r="C237" s="17" t="s">
        <v>1632</v>
      </c>
      <c r="D237" s="19"/>
      <c r="E237" s="18"/>
      <c r="F237" s="21">
        <f>Source!AN101</f>
        <v>465.21</v>
      </c>
      <c r="G237" s="20" t="str">
        <f>Source!DF101</f>
        <v>)*1,25</v>
      </c>
      <c r="H237" s="18">
        <f>Source!AV101</f>
        <v>1</v>
      </c>
      <c r="I237" s="26">
        <f>ROUND((ROUND((Source!AE101*Source!AV101*Source!I101),2)),2)</f>
        <v>372.17</v>
      </c>
      <c r="J237" s="18">
        <f>IF(Source!BS101&lt;&gt; 0, Source!BS101, 1)</f>
        <v>25.44</v>
      </c>
      <c r="K237" s="26">
        <f>Source!R101</f>
        <v>9468</v>
      </c>
      <c r="W237">
        <f>I237</f>
        <v>372.17</v>
      </c>
    </row>
    <row r="238" spans="1:27" ht="14.25" x14ac:dyDescent="0.2">
      <c r="A238" s="16"/>
      <c r="B238" s="17"/>
      <c r="C238" s="17" t="s">
        <v>1634</v>
      </c>
      <c r="D238" s="19"/>
      <c r="E238" s="18"/>
      <c r="F238" s="21">
        <f>Source!AL101</f>
        <v>49.49</v>
      </c>
      <c r="G238" s="20" t="str">
        <f>Source!DD101</f>
        <v/>
      </c>
      <c r="H238" s="18">
        <f>Source!AW101</f>
        <v>1</v>
      </c>
      <c r="I238" s="22">
        <f>ROUND((ROUND((Source!AC101*Source!AW101*Source!I101),2)),2)</f>
        <v>31.67</v>
      </c>
      <c r="J238" s="18">
        <f>IF(Source!BC101&lt;&gt; 0, Source!BC101, 1)</f>
        <v>5.14</v>
      </c>
      <c r="K238" s="22">
        <f>Source!P101</f>
        <v>162.78</v>
      </c>
    </row>
    <row r="239" spans="1:27" ht="42.75" x14ac:dyDescent="0.2">
      <c r="A239" s="16" t="str">
        <f>Source!E102</f>
        <v>24,1</v>
      </c>
      <c r="B239" s="17" t="str">
        <f>Source!F102</f>
        <v>1.1-1-1519</v>
      </c>
      <c r="C239" s="17" t="s">
        <v>281</v>
      </c>
      <c r="D239" s="19" t="str">
        <f>Source!H102</f>
        <v>м3</v>
      </c>
      <c r="E239" s="18">
        <f>Source!I102</f>
        <v>64</v>
      </c>
      <c r="F239" s="21">
        <f>Source!AK102</f>
        <v>183.09</v>
      </c>
      <c r="G239" s="27" t="s">
        <v>3</v>
      </c>
      <c r="H239" s="18">
        <f>Source!AW102</f>
        <v>1</v>
      </c>
      <c r="I239" s="22">
        <f>ROUND((ROUND((Source!AC102*Source!AW102*Source!I102),2)),2)+(ROUND((ROUND(((Source!ET102)*Source!AV102*Source!I102),2)),2)+ROUND((ROUND(((Source!AE102-(Source!EU102))*Source!AV102*Source!I102),2)),2))+ROUND((ROUND((Source!AF102*Source!AV102*Source!I102),2)),2)</f>
        <v>11717.76</v>
      </c>
      <c r="J239" s="18">
        <f>IF(Source!BC102&lt;&gt; 0, Source!BC102, 1)</f>
        <v>9.0399999999999991</v>
      </c>
      <c r="K239" s="22">
        <f>Source!O102</f>
        <v>105928.55</v>
      </c>
      <c r="Q239">
        <f>ROUND((Source!DN102/100)*ROUND((ROUND((Source!AF102*Source!AV102*Source!I102),2)),2), 2)</f>
        <v>0</v>
      </c>
      <c r="R239">
        <f>Source!X102</f>
        <v>0</v>
      </c>
      <c r="S239">
        <f>ROUND((Source!DO102/100)*ROUND((ROUND((Source!AF102*Source!AV102*Source!I102),2)),2), 2)</f>
        <v>0</v>
      </c>
      <c r="T239">
        <f>Source!Y102</f>
        <v>0</v>
      </c>
      <c r="U239">
        <f>ROUND((175/100)*ROUND((ROUND((Source!AE102*Source!AV102*Source!I102),2)),2), 2)</f>
        <v>0</v>
      </c>
      <c r="V239">
        <f>ROUND((157/100)*ROUND(ROUND((ROUND((Source!AE102*Source!AV102*Source!I102),2)*Source!BS102),2), 2), 2)</f>
        <v>0</v>
      </c>
      <c r="X239">
        <f>IF(Source!BI102&lt;=1,I239, 0)</f>
        <v>11717.76</v>
      </c>
      <c r="Y239">
        <f>IF(Source!BI102=2,I239, 0)</f>
        <v>0</v>
      </c>
      <c r="Z239">
        <f>IF(Source!BI102=3,I239, 0)</f>
        <v>0</v>
      </c>
      <c r="AA239">
        <f>IF(Source!BI102=4,I239, 0)</f>
        <v>0</v>
      </c>
    </row>
    <row r="240" spans="1:27" ht="14.25" x14ac:dyDescent="0.2">
      <c r="A240" s="16"/>
      <c r="B240" s="17"/>
      <c r="C240" s="17" t="s">
        <v>1626</v>
      </c>
      <c r="D240" s="19" t="s">
        <v>1627</v>
      </c>
      <c r="E240" s="18">
        <f>Source!DN101</f>
        <v>140</v>
      </c>
      <c r="F240" s="21"/>
      <c r="G240" s="20"/>
      <c r="H240" s="18"/>
      <c r="I240" s="22">
        <f>SUM(Q233:Q239)</f>
        <v>234.14</v>
      </c>
      <c r="J240" s="18">
        <f>Source!BZ101</f>
        <v>112</v>
      </c>
      <c r="K240" s="22">
        <f>SUM(R233:R239)</f>
        <v>4765.1400000000003</v>
      </c>
    </row>
    <row r="241" spans="1:27" ht="14.25" x14ac:dyDescent="0.2">
      <c r="A241" s="16"/>
      <c r="B241" s="17"/>
      <c r="C241" s="17" t="s">
        <v>1628</v>
      </c>
      <c r="D241" s="19" t="s">
        <v>1627</v>
      </c>
      <c r="E241" s="18">
        <f>Source!DO101</f>
        <v>79</v>
      </c>
      <c r="F241" s="21"/>
      <c r="G241" s="20"/>
      <c r="H241" s="18"/>
      <c r="I241" s="22">
        <f>SUM(S233:S240)</f>
        <v>132.12</v>
      </c>
      <c r="J241" s="18">
        <f>Source!CA101</f>
        <v>41</v>
      </c>
      <c r="K241" s="22">
        <f>SUM(T233:T240)</f>
        <v>1744.38</v>
      </c>
    </row>
    <row r="242" spans="1:27" ht="14.25" x14ac:dyDescent="0.2">
      <c r="A242" s="16"/>
      <c r="B242" s="17"/>
      <c r="C242" s="17" t="s">
        <v>1633</v>
      </c>
      <c r="D242" s="19" t="s">
        <v>1627</v>
      </c>
      <c r="E242" s="18">
        <f>175</f>
        <v>175</v>
      </c>
      <c r="F242" s="21"/>
      <c r="G242" s="20"/>
      <c r="H242" s="18"/>
      <c r="I242" s="22">
        <f>SUM(U233:U241)</f>
        <v>651.29999999999995</v>
      </c>
      <c r="J242" s="18">
        <f>157</f>
        <v>157</v>
      </c>
      <c r="K242" s="22">
        <f>SUM(V233:V241)</f>
        <v>14864.76</v>
      </c>
    </row>
    <row r="243" spans="1:27" ht="14.25" x14ac:dyDescent="0.2">
      <c r="A243" s="16"/>
      <c r="B243" s="17"/>
      <c r="C243" s="17" t="s">
        <v>1629</v>
      </c>
      <c r="D243" s="19" t="s">
        <v>1630</v>
      </c>
      <c r="E243" s="18">
        <f>Source!AQ101</f>
        <v>21.6</v>
      </c>
      <c r="F243" s="21"/>
      <c r="G243" s="20" t="str">
        <f>Source!DI101</f>
        <v>)*1,15</v>
      </c>
      <c r="H243" s="18">
        <f>Source!AV101</f>
        <v>1</v>
      </c>
      <c r="I243" s="22">
        <f>Source!U101</f>
        <v>15.897600000000001</v>
      </c>
      <c r="J243" s="18"/>
      <c r="K243" s="22"/>
    </row>
    <row r="244" spans="1:27" ht="15" x14ac:dyDescent="0.25">
      <c r="A244" s="25"/>
      <c r="B244" s="25"/>
      <c r="C244" s="25"/>
      <c r="D244" s="25"/>
      <c r="E244" s="25"/>
      <c r="F244" s="25"/>
      <c r="G244" s="25"/>
      <c r="H244" s="54">
        <f>I235+I236+I238+I240+I241+I242+SUM(I239:I239)</f>
        <v>17209.86</v>
      </c>
      <c r="I244" s="54"/>
      <c r="J244" s="54">
        <f>K235+K236+K238+K240+K241+K242+SUM(K239:K239)</f>
        <v>169046.45</v>
      </c>
      <c r="K244" s="54"/>
      <c r="O244" s="24">
        <f>I235+I236+I238+I240+I241+I242+SUM(I239:I239)</f>
        <v>17209.86</v>
      </c>
      <c r="P244" s="24">
        <f>K235+K236+K238+K240+K241+K242+SUM(K239:K239)</f>
        <v>169046.45</v>
      </c>
      <c r="X244">
        <f>IF(Source!BI101&lt;=1,I235+I236+I238+I240+I241+I242-0, 0)</f>
        <v>5492.1</v>
      </c>
      <c r="Y244">
        <f>IF(Source!BI101=2,I235+I236+I238+I240+I241+I242-0, 0)</f>
        <v>0</v>
      </c>
      <c r="Z244">
        <f>IF(Source!BI101=3,I235+I236+I238+I240+I241+I242-0, 0)</f>
        <v>0</v>
      </c>
      <c r="AA244">
        <f>IF(Source!BI101=4,I235+I236+I238+I240+I241+I242,0)</f>
        <v>0</v>
      </c>
    </row>
    <row r="245" spans="1:27" ht="99.75" x14ac:dyDescent="0.2">
      <c r="A245" s="16" t="str">
        <f>Source!E103</f>
        <v>25</v>
      </c>
      <c r="B245" s="17" t="str">
        <f>Source!F103</f>
        <v>3.27-12-1</v>
      </c>
      <c r="C245" s="17" t="s">
        <v>88</v>
      </c>
      <c r="D245" s="19" t="str">
        <f>Source!H103</f>
        <v>100 м3 материала основания (в плотном теле)</v>
      </c>
      <c r="E245" s="18">
        <f>Source!I103</f>
        <v>0.64</v>
      </c>
      <c r="F245" s="21"/>
      <c r="G245" s="20"/>
      <c r="H245" s="18"/>
      <c r="I245" s="22"/>
      <c r="J245" s="18"/>
      <c r="K245" s="22"/>
      <c r="Q245">
        <f>ROUND((Source!DN103/100)*ROUND((ROUND((Source!AF103*Source!AV103*Source!I103),2)),2), 2)</f>
        <v>156.1</v>
      </c>
      <c r="R245">
        <f>Source!X103</f>
        <v>3176.95</v>
      </c>
      <c r="S245">
        <f>ROUND((Source!DO103/100)*ROUND((ROUND((Source!AF103*Source!AV103*Source!I103),2)),2), 2)</f>
        <v>88.09</v>
      </c>
      <c r="T245">
        <f>Source!Y103</f>
        <v>1162.99</v>
      </c>
      <c r="U245">
        <f>ROUND((175/100)*ROUND((ROUND((Source!AE103*Source!AV103*Source!I103),2)),2), 2)</f>
        <v>148.38</v>
      </c>
      <c r="V245">
        <f>ROUND((157/100)*ROUND(ROUND((ROUND((Source!AE103*Source!AV103*Source!I103),2)*Source!BS103),2), 2), 2)</f>
        <v>3386.58</v>
      </c>
    </row>
    <row r="246" spans="1:27" x14ac:dyDescent="0.2">
      <c r="C246" s="23" t="str">
        <f>"Объем: "&amp;Source!I103&amp;"=64/"&amp;"100"</f>
        <v>Объем: 0,64=64/100</v>
      </c>
    </row>
    <row r="247" spans="1:27" ht="14.25" x14ac:dyDescent="0.2">
      <c r="A247" s="16"/>
      <c r="B247" s="17"/>
      <c r="C247" s="17" t="s">
        <v>1625</v>
      </c>
      <c r="D247" s="19"/>
      <c r="E247" s="18"/>
      <c r="F247" s="21">
        <f>Source!AO103</f>
        <v>151.49</v>
      </c>
      <c r="G247" s="20" t="str">
        <f>Source!DG103</f>
        <v>)*1,15</v>
      </c>
      <c r="H247" s="18">
        <f>Source!AV103</f>
        <v>1</v>
      </c>
      <c r="I247" s="22">
        <f>ROUND((ROUND((Source!AF103*Source!AV103*Source!I103),2)),2)</f>
        <v>111.5</v>
      </c>
      <c r="J247" s="18">
        <f>IF(Source!BA103&lt;&gt; 0, Source!BA103, 1)</f>
        <v>25.44</v>
      </c>
      <c r="K247" s="22">
        <f>Source!S103</f>
        <v>2836.56</v>
      </c>
      <c r="W247">
        <f>I247</f>
        <v>111.5</v>
      </c>
    </row>
    <row r="248" spans="1:27" ht="14.25" x14ac:dyDescent="0.2">
      <c r="A248" s="16"/>
      <c r="B248" s="17"/>
      <c r="C248" s="17" t="s">
        <v>1631</v>
      </c>
      <c r="D248" s="19"/>
      <c r="E248" s="18"/>
      <c r="F248" s="21">
        <f>Source!AM103</f>
        <v>745.18</v>
      </c>
      <c r="G248" s="20" t="str">
        <f>Source!DE103</f>
        <v>)*1,25</v>
      </c>
      <c r="H248" s="18">
        <f>Source!AV103</f>
        <v>1</v>
      </c>
      <c r="I248" s="22">
        <f>(ROUND((ROUND((((Source!ET103*1.25))*Source!AV103*Source!I103),2)),2)+ROUND((ROUND(((Source!AE103-((Source!EU103*1.25)))*Source!AV103*Source!I103),2)),2))</f>
        <v>596.14</v>
      </c>
      <c r="J248" s="18">
        <f>IF(Source!BB103&lt;&gt; 0, Source!BB103, 1)</f>
        <v>9.77</v>
      </c>
      <c r="K248" s="22">
        <f>Source!Q103</f>
        <v>5824.29</v>
      </c>
    </row>
    <row r="249" spans="1:27" ht="14.25" x14ac:dyDescent="0.2">
      <c r="A249" s="16"/>
      <c r="B249" s="17"/>
      <c r="C249" s="17" t="s">
        <v>1632</v>
      </c>
      <c r="D249" s="19"/>
      <c r="E249" s="18"/>
      <c r="F249" s="21">
        <f>Source!AN103</f>
        <v>105.99</v>
      </c>
      <c r="G249" s="20" t="str">
        <f>Source!DF103</f>
        <v>)*1,25</v>
      </c>
      <c r="H249" s="18">
        <f>Source!AV103</f>
        <v>1</v>
      </c>
      <c r="I249" s="26">
        <f>ROUND((ROUND((Source!AE103*Source!AV103*Source!I103),2)),2)</f>
        <v>84.79</v>
      </c>
      <c r="J249" s="18">
        <f>IF(Source!BS103&lt;&gt; 0, Source!BS103, 1)</f>
        <v>25.44</v>
      </c>
      <c r="K249" s="26">
        <f>Source!R103</f>
        <v>2157.06</v>
      </c>
      <c r="W249">
        <f>I249</f>
        <v>84.79</v>
      </c>
    </row>
    <row r="250" spans="1:27" ht="14.25" x14ac:dyDescent="0.2">
      <c r="A250" s="16"/>
      <c r="B250" s="17"/>
      <c r="C250" s="17" t="s">
        <v>1634</v>
      </c>
      <c r="D250" s="19"/>
      <c r="E250" s="18"/>
      <c r="F250" s="21">
        <f>Source!AL103</f>
        <v>35.35</v>
      </c>
      <c r="G250" s="20" t="str">
        <f>Source!DD103</f>
        <v/>
      </c>
      <c r="H250" s="18">
        <f>Source!AW103</f>
        <v>1</v>
      </c>
      <c r="I250" s="22">
        <f>ROUND((ROUND((Source!AC103*Source!AW103*Source!I103),2)),2)</f>
        <v>22.62</v>
      </c>
      <c r="J250" s="18">
        <f>IF(Source!BC103&lt;&gt; 0, Source!BC103, 1)</f>
        <v>5.14</v>
      </c>
      <c r="K250" s="22">
        <f>Source!P103</f>
        <v>116.27</v>
      </c>
    </row>
    <row r="251" spans="1:27" ht="28.5" x14ac:dyDescent="0.2">
      <c r="A251" s="16" t="str">
        <f>Source!E104</f>
        <v>25,1</v>
      </c>
      <c r="B251" s="17" t="str">
        <f>Source!F104</f>
        <v>1.1-1-766</v>
      </c>
      <c r="C251" s="17" t="s">
        <v>92</v>
      </c>
      <c r="D251" s="19" t="str">
        <f>Source!H104</f>
        <v>м3</v>
      </c>
      <c r="E251" s="18">
        <f>Source!I104</f>
        <v>64</v>
      </c>
      <c r="F251" s="21">
        <f>Source!AK104</f>
        <v>104.99</v>
      </c>
      <c r="G251" s="27" t="s">
        <v>3</v>
      </c>
      <c r="H251" s="18">
        <f>Source!AW104</f>
        <v>1</v>
      </c>
      <c r="I251" s="22">
        <f>ROUND((ROUND((Source!AC104*Source!AW104*Source!I104),2)),2)+(ROUND((ROUND(((Source!ET104)*Source!AV104*Source!I104),2)),2)+ROUND((ROUND(((Source!AE104-(Source!EU104))*Source!AV104*Source!I104),2)),2))+ROUND((ROUND((Source!AF104*Source!AV104*Source!I104),2)),2)</f>
        <v>6719.36</v>
      </c>
      <c r="J251" s="18">
        <f>IF(Source!BC104&lt;&gt; 0, Source!BC104, 1)</f>
        <v>5.51</v>
      </c>
      <c r="K251" s="22">
        <f>Source!O104</f>
        <v>37023.67</v>
      </c>
      <c r="Q251">
        <f>ROUND((Source!DN104/100)*ROUND((ROUND((Source!AF104*Source!AV104*Source!I104),2)),2), 2)</f>
        <v>0</v>
      </c>
      <c r="R251">
        <f>Source!X104</f>
        <v>0</v>
      </c>
      <c r="S251">
        <f>ROUND((Source!DO104/100)*ROUND((ROUND((Source!AF104*Source!AV104*Source!I104),2)),2), 2)</f>
        <v>0</v>
      </c>
      <c r="T251">
        <f>Source!Y104</f>
        <v>0</v>
      </c>
      <c r="U251">
        <f>ROUND((175/100)*ROUND((ROUND((Source!AE104*Source!AV104*Source!I104),2)),2), 2)</f>
        <v>0</v>
      </c>
      <c r="V251">
        <f>ROUND((157/100)*ROUND(ROUND((ROUND((Source!AE104*Source!AV104*Source!I104),2)*Source!BS104),2), 2), 2)</f>
        <v>0</v>
      </c>
      <c r="X251">
        <f>IF(Source!BI104&lt;=1,I251, 0)</f>
        <v>6719.36</v>
      </c>
      <c r="Y251">
        <f>IF(Source!BI104=2,I251, 0)</f>
        <v>0</v>
      </c>
      <c r="Z251">
        <f>IF(Source!BI104=3,I251, 0)</f>
        <v>0</v>
      </c>
      <c r="AA251">
        <f>IF(Source!BI104=4,I251, 0)</f>
        <v>0</v>
      </c>
    </row>
    <row r="252" spans="1:27" ht="14.25" x14ac:dyDescent="0.2">
      <c r="A252" s="16"/>
      <c r="B252" s="17"/>
      <c r="C252" s="17" t="s">
        <v>1626</v>
      </c>
      <c r="D252" s="19" t="s">
        <v>1627</v>
      </c>
      <c r="E252" s="18">
        <f>Source!DN103</f>
        <v>140</v>
      </c>
      <c r="F252" s="21"/>
      <c r="G252" s="20"/>
      <c r="H252" s="18"/>
      <c r="I252" s="22">
        <f>SUM(Q245:Q251)</f>
        <v>156.1</v>
      </c>
      <c r="J252" s="18">
        <f>Source!BZ103</f>
        <v>112</v>
      </c>
      <c r="K252" s="22">
        <f>SUM(R245:R251)</f>
        <v>3176.95</v>
      </c>
    </row>
    <row r="253" spans="1:27" ht="14.25" x14ac:dyDescent="0.2">
      <c r="A253" s="16"/>
      <c r="B253" s="17"/>
      <c r="C253" s="17" t="s">
        <v>1628</v>
      </c>
      <c r="D253" s="19" t="s">
        <v>1627</v>
      </c>
      <c r="E253" s="18">
        <f>Source!DO103</f>
        <v>79</v>
      </c>
      <c r="F253" s="21"/>
      <c r="G253" s="20"/>
      <c r="H253" s="18"/>
      <c r="I253" s="22">
        <f>SUM(S245:S252)</f>
        <v>88.09</v>
      </c>
      <c r="J253" s="18">
        <f>Source!CA103</f>
        <v>41</v>
      </c>
      <c r="K253" s="22">
        <f>SUM(T245:T252)</f>
        <v>1162.99</v>
      </c>
    </row>
    <row r="254" spans="1:27" ht="14.25" x14ac:dyDescent="0.2">
      <c r="A254" s="16"/>
      <c r="B254" s="17"/>
      <c r="C254" s="17" t="s">
        <v>1633</v>
      </c>
      <c r="D254" s="19" t="s">
        <v>1627</v>
      </c>
      <c r="E254" s="18">
        <f>175</f>
        <v>175</v>
      </c>
      <c r="F254" s="21"/>
      <c r="G254" s="20"/>
      <c r="H254" s="18"/>
      <c r="I254" s="22">
        <f>SUM(U245:U253)</f>
        <v>148.38</v>
      </c>
      <c r="J254" s="18">
        <f>157</f>
        <v>157</v>
      </c>
      <c r="K254" s="22">
        <f>SUM(V245:V253)</f>
        <v>3386.58</v>
      </c>
    </row>
    <row r="255" spans="1:27" ht="14.25" x14ac:dyDescent="0.2">
      <c r="A255" s="16"/>
      <c r="B255" s="17"/>
      <c r="C255" s="17" t="s">
        <v>1629</v>
      </c>
      <c r="D255" s="19" t="s">
        <v>1630</v>
      </c>
      <c r="E255" s="18">
        <f>Source!AQ103</f>
        <v>14.4</v>
      </c>
      <c r="F255" s="21"/>
      <c r="G255" s="20" t="str">
        <f>Source!DI103</f>
        <v>)*1,15</v>
      </c>
      <c r="H255" s="18">
        <f>Source!AV103</f>
        <v>1</v>
      </c>
      <c r="I255" s="22">
        <f>Source!U103</f>
        <v>10.5984</v>
      </c>
      <c r="J255" s="18"/>
      <c r="K255" s="22"/>
    </row>
    <row r="256" spans="1:27" ht="15" x14ac:dyDescent="0.25">
      <c r="A256" s="25"/>
      <c r="B256" s="25"/>
      <c r="C256" s="25"/>
      <c r="D256" s="25"/>
      <c r="E256" s="25"/>
      <c r="F256" s="25"/>
      <c r="G256" s="25"/>
      <c r="H256" s="54">
        <f>I247+I248+I250+I252+I253+I254+SUM(I251:I251)</f>
        <v>7842.19</v>
      </c>
      <c r="I256" s="54"/>
      <c r="J256" s="54">
        <f>K247+K248+K250+K252+K253+K254+SUM(K251:K251)</f>
        <v>53527.31</v>
      </c>
      <c r="K256" s="54"/>
      <c r="O256" s="24">
        <f>I247+I248+I250+I252+I253+I254+SUM(I251:I251)</f>
        <v>7842.19</v>
      </c>
      <c r="P256" s="24">
        <f>K247+K248+K250+K252+K253+K254+SUM(K251:K251)</f>
        <v>53527.31</v>
      </c>
      <c r="X256">
        <f>IF(Source!BI103&lt;=1,I247+I248+I250+I252+I253+I254-0, 0)</f>
        <v>1122.83</v>
      </c>
      <c r="Y256">
        <f>IF(Source!BI103=2,I247+I248+I250+I252+I253+I254-0, 0)</f>
        <v>0</v>
      </c>
      <c r="Z256">
        <f>IF(Source!BI103=3,I247+I248+I250+I252+I253+I254-0, 0)</f>
        <v>0</v>
      </c>
      <c r="AA256">
        <f>IF(Source!BI103=4,I247+I248+I250+I252+I253+I254,0)</f>
        <v>0</v>
      </c>
    </row>
    <row r="257" spans="1:27" ht="57" x14ac:dyDescent="0.2">
      <c r="A257" s="16" t="str">
        <f>Source!E105</f>
        <v>26</v>
      </c>
      <c r="B257" s="17" t="str">
        <f>Source!F105</f>
        <v>3.1-29-1</v>
      </c>
      <c r="C257" s="17" t="s">
        <v>287</v>
      </c>
      <c r="D257" s="19" t="str">
        <f>Source!H105</f>
        <v>100 м3 уплотненного грунта</v>
      </c>
      <c r="E257" s="18">
        <f>Source!I105</f>
        <v>0.32</v>
      </c>
      <c r="F257" s="21"/>
      <c r="G257" s="20"/>
      <c r="H257" s="18"/>
      <c r="I257" s="22"/>
      <c r="J257" s="18"/>
      <c r="K257" s="22"/>
      <c r="Q257">
        <f>ROUND((Source!DN105/100)*ROUND((ROUND((Source!AF105*Source!AV105*Source!I105),2)),2), 2)</f>
        <v>43.54</v>
      </c>
      <c r="R257">
        <f>Source!X105</f>
        <v>1039.8800000000001</v>
      </c>
      <c r="S257">
        <f>ROUND((Source!DO105/100)*ROUND((ROUND((Source!AF105*Source!AV105*Source!I105),2)),2), 2)</f>
        <v>34.21</v>
      </c>
      <c r="T257">
        <f>Source!Y105</f>
        <v>565.15</v>
      </c>
      <c r="U257">
        <f>ROUND((175/100)*ROUND((ROUND((Source!AE105*Source!AV105*Source!I105),2)),2), 2)</f>
        <v>136.47999999999999</v>
      </c>
      <c r="V257">
        <f>ROUND((157/100)*ROUND(ROUND((ROUND((Source!AE105*Source!AV105*Source!I105),2)*Source!BS105),2), 2), 2)</f>
        <v>3114.99</v>
      </c>
    </row>
    <row r="258" spans="1:27" x14ac:dyDescent="0.2">
      <c r="C258" s="23" t="str">
        <f>"Объем: "&amp;Source!I105&amp;"=32/"&amp;"100"</f>
        <v>Объем: 0,32=32/100</v>
      </c>
    </row>
    <row r="259" spans="1:27" ht="14.25" x14ac:dyDescent="0.2">
      <c r="A259" s="16"/>
      <c r="B259" s="17"/>
      <c r="C259" s="17" t="s">
        <v>1625</v>
      </c>
      <c r="D259" s="19"/>
      <c r="E259" s="18"/>
      <c r="F259" s="21">
        <f>Source!AO105</f>
        <v>120.74</v>
      </c>
      <c r="G259" s="20" t="str">
        <f>Source!DG105</f>
        <v>)*1,15</v>
      </c>
      <c r="H259" s="18">
        <f>Source!AV105</f>
        <v>1</v>
      </c>
      <c r="I259" s="22">
        <f>ROUND((ROUND((Source!AF105*Source!AV105*Source!I105),2)),2)</f>
        <v>44.43</v>
      </c>
      <c r="J259" s="18">
        <f>IF(Source!BA105&lt;&gt; 0, Source!BA105, 1)</f>
        <v>25.44</v>
      </c>
      <c r="K259" s="22">
        <f>Source!S105</f>
        <v>1130.3</v>
      </c>
      <c r="W259">
        <f>I259</f>
        <v>44.43</v>
      </c>
    </row>
    <row r="260" spans="1:27" ht="14.25" x14ac:dyDescent="0.2">
      <c r="A260" s="16"/>
      <c r="B260" s="17"/>
      <c r="C260" s="17" t="s">
        <v>1631</v>
      </c>
      <c r="D260" s="19"/>
      <c r="E260" s="18"/>
      <c r="F260" s="21">
        <f>Source!AM105</f>
        <v>643.97</v>
      </c>
      <c r="G260" s="20" t="str">
        <f>Source!DE105</f>
        <v>)*1,25</v>
      </c>
      <c r="H260" s="18">
        <f>Source!AV105</f>
        <v>1</v>
      </c>
      <c r="I260" s="22">
        <f>(ROUND((ROUND((((Source!ET105*1.25))*Source!AV105*Source!I105),2)),2)+ROUND((ROUND(((Source!AE105-((Source!EU105*1.25)))*Source!AV105*Source!I105),2)),2))</f>
        <v>257.58999999999997</v>
      </c>
      <c r="J260" s="18">
        <f>IF(Source!BB105&lt;&gt; 0, Source!BB105, 1)</f>
        <v>12.49</v>
      </c>
      <c r="K260" s="22">
        <f>Source!Q105</f>
        <v>3217.3</v>
      </c>
    </row>
    <row r="261" spans="1:27" ht="14.25" x14ac:dyDescent="0.2">
      <c r="A261" s="16"/>
      <c r="B261" s="17"/>
      <c r="C261" s="17" t="s">
        <v>1632</v>
      </c>
      <c r="D261" s="19"/>
      <c r="E261" s="18"/>
      <c r="F261" s="21">
        <f>Source!AN105</f>
        <v>194.98</v>
      </c>
      <c r="G261" s="20" t="str">
        <f>Source!DF105</f>
        <v>)*1,25</v>
      </c>
      <c r="H261" s="18">
        <f>Source!AV105</f>
        <v>1</v>
      </c>
      <c r="I261" s="26">
        <f>ROUND((ROUND((Source!AE105*Source!AV105*Source!I105),2)),2)</f>
        <v>77.989999999999995</v>
      </c>
      <c r="J261" s="18">
        <f>IF(Source!BS105&lt;&gt; 0, Source!BS105, 1)</f>
        <v>25.44</v>
      </c>
      <c r="K261" s="26">
        <f>Source!R105</f>
        <v>1984.07</v>
      </c>
      <c r="W261">
        <f>I261</f>
        <v>77.989999999999995</v>
      </c>
    </row>
    <row r="262" spans="1:27" ht="14.25" x14ac:dyDescent="0.2">
      <c r="A262" s="16"/>
      <c r="B262" s="17"/>
      <c r="C262" s="17" t="s">
        <v>1626</v>
      </c>
      <c r="D262" s="19" t="s">
        <v>1627</v>
      </c>
      <c r="E262" s="18">
        <f>Source!DN105</f>
        <v>98</v>
      </c>
      <c r="F262" s="21"/>
      <c r="G262" s="20"/>
      <c r="H262" s="18"/>
      <c r="I262" s="22">
        <f>SUM(Q257:Q261)</f>
        <v>43.54</v>
      </c>
      <c r="J262" s="18">
        <f>Source!BZ105</f>
        <v>92</v>
      </c>
      <c r="K262" s="22">
        <f>SUM(R257:R261)</f>
        <v>1039.8800000000001</v>
      </c>
    </row>
    <row r="263" spans="1:27" ht="14.25" x14ac:dyDescent="0.2">
      <c r="A263" s="16"/>
      <c r="B263" s="17"/>
      <c r="C263" s="17" t="s">
        <v>1628</v>
      </c>
      <c r="D263" s="19" t="s">
        <v>1627</v>
      </c>
      <c r="E263" s="18">
        <f>Source!DO105</f>
        <v>77</v>
      </c>
      <c r="F263" s="21"/>
      <c r="G263" s="20"/>
      <c r="H263" s="18"/>
      <c r="I263" s="22">
        <f>SUM(S257:S262)</f>
        <v>34.21</v>
      </c>
      <c r="J263" s="18">
        <f>Source!CA105</f>
        <v>50</v>
      </c>
      <c r="K263" s="22">
        <f>SUM(T257:T262)</f>
        <v>565.15</v>
      </c>
    </row>
    <row r="264" spans="1:27" ht="14.25" x14ac:dyDescent="0.2">
      <c r="A264" s="16"/>
      <c r="B264" s="17"/>
      <c r="C264" s="17" t="s">
        <v>1633</v>
      </c>
      <c r="D264" s="19" t="s">
        <v>1627</v>
      </c>
      <c r="E264" s="18">
        <f>175</f>
        <v>175</v>
      </c>
      <c r="F264" s="21"/>
      <c r="G264" s="20"/>
      <c r="H264" s="18"/>
      <c r="I264" s="22">
        <f>SUM(U257:U263)</f>
        <v>136.47999999999999</v>
      </c>
      <c r="J264" s="18">
        <f>157</f>
        <v>157</v>
      </c>
      <c r="K264" s="22">
        <f>SUM(V257:V263)</f>
        <v>3114.99</v>
      </c>
    </row>
    <row r="265" spans="1:27" ht="14.25" x14ac:dyDescent="0.2">
      <c r="A265" s="16"/>
      <c r="B265" s="17"/>
      <c r="C265" s="17" t="s">
        <v>1629</v>
      </c>
      <c r="D265" s="19" t="s">
        <v>1630</v>
      </c>
      <c r="E265" s="18">
        <f>Source!AQ105</f>
        <v>10.8</v>
      </c>
      <c r="F265" s="21"/>
      <c r="G265" s="20" t="str">
        <f>Source!DI105</f>
        <v>)*1,15</v>
      </c>
      <c r="H265" s="18">
        <f>Source!AV105</f>
        <v>1</v>
      </c>
      <c r="I265" s="22">
        <f>Source!U105</f>
        <v>3.9744000000000002</v>
      </c>
      <c r="J265" s="18"/>
      <c r="K265" s="22"/>
    </row>
    <row r="266" spans="1:27" ht="15" x14ac:dyDescent="0.25">
      <c r="A266" s="25"/>
      <c r="B266" s="25"/>
      <c r="C266" s="25"/>
      <c r="D266" s="25"/>
      <c r="E266" s="25"/>
      <c r="F266" s="25"/>
      <c r="G266" s="25"/>
      <c r="H266" s="54">
        <f>I259+I260+I262+I263+I264</f>
        <v>516.25</v>
      </c>
      <c r="I266" s="54"/>
      <c r="J266" s="54">
        <f>K259+K260+K262+K263+K264</f>
        <v>9067.619999999999</v>
      </c>
      <c r="K266" s="54"/>
      <c r="O266" s="24">
        <f>I259+I260+I262+I263+I264</f>
        <v>516.25</v>
      </c>
      <c r="P266" s="24">
        <f>K259+K260+K262+K263+K264</f>
        <v>9067.619999999999</v>
      </c>
      <c r="X266">
        <f>IF(Source!BI105&lt;=1,I259+I260+I262+I263+I264-0, 0)</f>
        <v>516.25</v>
      </c>
      <c r="Y266">
        <f>IF(Source!BI105=2,I259+I260+I262+I263+I264-0, 0)</f>
        <v>0</v>
      </c>
      <c r="Z266">
        <f>IF(Source!BI105=3,I259+I260+I262+I263+I264-0, 0)</f>
        <v>0</v>
      </c>
      <c r="AA266">
        <f>IF(Source!BI105=4,I259+I260+I262+I263+I264,0)</f>
        <v>0</v>
      </c>
    </row>
    <row r="267" spans="1:27" ht="42.75" x14ac:dyDescent="0.2">
      <c r="A267" s="16" t="str">
        <f>Source!E106</f>
        <v>27</v>
      </c>
      <c r="B267" s="17" t="str">
        <f>Source!F106</f>
        <v>3.27-69-1</v>
      </c>
      <c r="C267" s="17" t="s">
        <v>112</v>
      </c>
      <c r="D267" s="19" t="str">
        <f>Source!H106</f>
        <v>1000 м2 поверхности</v>
      </c>
      <c r="E267" s="18">
        <f>Source!I106</f>
        <v>0.32</v>
      </c>
      <c r="F267" s="21"/>
      <c r="G267" s="20"/>
      <c r="H267" s="18"/>
      <c r="I267" s="22"/>
      <c r="J267" s="18"/>
      <c r="K267" s="22"/>
      <c r="Q267">
        <f>ROUND((Source!DN106/100)*ROUND((ROUND((Source!AF106*Source!AV106*Source!I106),2)),2), 2)</f>
        <v>146.99</v>
      </c>
      <c r="R267">
        <f>Source!X106</f>
        <v>2991.46</v>
      </c>
      <c r="S267">
        <f>ROUND((Source!DO106/100)*ROUND((ROUND((Source!AF106*Source!AV106*Source!I106),2)),2), 2)</f>
        <v>82.94</v>
      </c>
      <c r="T267">
        <f>Source!Y106</f>
        <v>1095.0899999999999</v>
      </c>
      <c r="U267">
        <f>ROUND((175/100)*ROUND((ROUND((Source!AE106*Source!AV106*Source!I106),2)),2), 2)</f>
        <v>43.61</v>
      </c>
      <c r="V267">
        <f>ROUND((157/100)*ROUND(ROUND((ROUND((Source!AE106*Source!AV106*Source!I106),2)*Source!BS106),2), 2), 2)</f>
        <v>995.32</v>
      </c>
    </row>
    <row r="268" spans="1:27" x14ac:dyDescent="0.2">
      <c r="C268" s="23" t="str">
        <f>"Объем: "&amp;Source!I106&amp;"=320/"&amp;"1000"</f>
        <v>Объем: 0,32=320/1000</v>
      </c>
    </row>
    <row r="269" spans="1:27" ht="14.25" x14ac:dyDescent="0.2">
      <c r="A269" s="16"/>
      <c r="B269" s="17"/>
      <c r="C269" s="17" t="s">
        <v>1625</v>
      </c>
      <c r="D269" s="19"/>
      <c r="E269" s="18"/>
      <c r="F269" s="21">
        <f>Source!AO106</f>
        <v>285.31</v>
      </c>
      <c r="G269" s="20" t="str">
        <f>Source!DG106</f>
        <v>)*1,15</v>
      </c>
      <c r="H269" s="18">
        <f>Source!AV106</f>
        <v>1</v>
      </c>
      <c r="I269" s="22">
        <f>ROUND((ROUND((Source!AF106*Source!AV106*Source!I106),2)),2)</f>
        <v>104.99</v>
      </c>
      <c r="J269" s="18">
        <f>IF(Source!BA106&lt;&gt; 0, Source!BA106, 1)</f>
        <v>25.44</v>
      </c>
      <c r="K269" s="22">
        <f>Source!S106</f>
        <v>2670.95</v>
      </c>
      <c r="W269">
        <f>I269</f>
        <v>104.99</v>
      </c>
    </row>
    <row r="270" spans="1:27" ht="14.25" x14ac:dyDescent="0.2">
      <c r="A270" s="16"/>
      <c r="B270" s="17"/>
      <c r="C270" s="17" t="s">
        <v>1631</v>
      </c>
      <c r="D270" s="19"/>
      <c r="E270" s="18"/>
      <c r="F270" s="21">
        <f>Source!AM106</f>
        <v>670.35</v>
      </c>
      <c r="G270" s="20" t="str">
        <f>Source!DE106</f>
        <v>)*1,25</v>
      </c>
      <c r="H270" s="18">
        <f>Source!AV106</f>
        <v>1</v>
      </c>
      <c r="I270" s="22">
        <f>(ROUND((ROUND((((Source!ET106*1.25))*Source!AV106*Source!I106),2)),2)+ROUND((ROUND(((Source!AE106-((Source!EU106*1.25)))*Source!AV106*Source!I106),2)),2))</f>
        <v>268.14</v>
      </c>
      <c r="J270" s="18">
        <f>IF(Source!BB106&lt;&gt; 0, Source!BB106, 1)</f>
        <v>8.7799999999999994</v>
      </c>
      <c r="K270" s="22">
        <f>Source!Q106</f>
        <v>2354.27</v>
      </c>
    </row>
    <row r="271" spans="1:27" ht="14.25" x14ac:dyDescent="0.2">
      <c r="A271" s="16"/>
      <c r="B271" s="17"/>
      <c r="C271" s="17" t="s">
        <v>1632</v>
      </c>
      <c r="D271" s="19"/>
      <c r="E271" s="18"/>
      <c r="F271" s="21">
        <f>Source!AN106</f>
        <v>62.29</v>
      </c>
      <c r="G271" s="20" t="str">
        <f>Source!DF106</f>
        <v>)*1,25</v>
      </c>
      <c r="H271" s="18">
        <f>Source!AV106</f>
        <v>1</v>
      </c>
      <c r="I271" s="26">
        <f>ROUND((ROUND((Source!AE106*Source!AV106*Source!I106),2)),2)</f>
        <v>24.92</v>
      </c>
      <c r="J271" s="18">
        <f>IF(Source!BS106&lt;&gt; 0, Source!BS106, 1)</f>
        <v>25.44</v>
      </c>
      <c r="K271" s="26">
        <f>Source!R106</f>
        <v>633.96</v>
      </c>
      <c r="W271">
        <f>I271</f>
        <v>24.92</v>
      </c>
    </row>
    <row r="272" spans="1:27" ht="14.25" x14ac:dyDescent="0.2">
      <c r="A272" s="16"/>
      <c r="B272" s="17"/>
      <c r="C272" s="17" t="s">
        <v>1634</v>
      </c>
      <c r="D272" s="19"/>
      <c r="E272" s="18"/>
      <c r="F272" s="21">
        <f>Source!AL106</f>
        <v>0.49</v>
      </c>
      <c r="G272" s="20" t="str">
        <f>Source!DD106</f>
        <v/>
      </c>
      <c r="H272" s="18">
        <f>Source!AW106</f>
        <v>1</v>
      </c>
      <c r="I272" s="22">
        <f>ROUND((ROUND((Source!AC106*Source!AW106*Source!I106),2)),2)</f>
        <v>0.16</v>
      </c>
      <c r="J272" s="18">
        <f>IF(Source!BC106&lt;&gt; 0, Source!BC106, 1)</f>
        <v>6.57</v>
      </c>
      <c r="K272" s="22">
        <f>Source!P106</f>
        <v>1.05</v>
      </c>
    </row>
    <row r="273" spans="1:27" ht="28.5" x14ac:dyDescent="0.2">
      <c r="A273" s="16" t="str">
        <f>Source!E107</f>
        <v>27,1</v>
      </c>
      <c r="B273" s="17" t="str">
        <f>Source!F107</f>
        <v>1.1-1-1605</v>
      </c>
      <c r="C273" s="17" t="s">
        <v>295</v>
      </c>
      <c r="D273" s="19" t="str">
        <f>Source!H107</f>
        <v>м2</v>
      </c>
      <c r="E273" s="18">
        <f>Source!I107</f>
        <v>350</v>
      </c>
      <c r="F273" s="21">
        <f>Source!AK107</f>
        <v>13.87</v>
      </c>
      <c r="G273" s="27" t="s">
        <v>3</v>
      </c>
      <c r="H273" s="18">
        <f>Source!AW107</f>
        <v>1</v>
      </c>
      <c r="I273" s="22">
        <f>ROUND((ROUND((Source!AC107*Source!AW107*Source!I107),2)),2)+(ROUND((ROUND(((Source!ET107)*Source!AV107*Source!I107),2)),2)+ROUND((ROUND(((Source!AE107-(Source!EU107))*Source!AV107*Source!I107),2)),2))+ROUND((ROUND((Source!AF107*Source!AV107*Source!I107),2)),2)</f>
        <v>4854.5</v>
      </c>
      <c r="J273" s="18">
        <f>IF(Source!BC107&lt;&gt; 0, Source!BC107, 1)</f>
        <v>4.26</v>
      </c>
      <c r="K273" s="22">
        <f>Source!O107</f>
        <v>20680.169999999998</v>
      </c>
      <c r="Q273">
        <f>ROUND((Source!DN107/100)*ROUND((ROUND((Source!AF107*Source!AV107*Source!I107),2)),2), 2)</f>
        <v>0</v>
      </c>
      <c r="R273">
        <f>Source!X107</f>
        <v>0</v>
      </c>
      <c r="S273">
        <f>ROUND((Source!DO107/100)*ROUND((ROUND((Source!AF107*Source!AV107*Source!I107),2)),2), 2)</f>
        <v>0</v>
      </c>
      <c r="T273">
        <f>Source!Y107</f>
        <v>0</v>
      </c>
      <c r="U273">
        <f>ROUND((175/100)*ROUND((ROUND((Source!AE107*Source!AV107*Source!I107),2)),2), 2)</f>
        <v>0</v>
      </c>
      <c r="V273">
        <f>ROUND((157/100)*ROUND(ROUND((ROUND((Source!AE107*Source!AV107*Source!I107),2)*Source!BS107),2), 2), 2)</f>
        <v>0</v>
      </c>
      <c r="X273">
        <f>IF(Source!BI107&lt;=1,I273, 0)</f>
        <v>4854.5</v>
      </c>
      <c r="Y273">
        <f>IF(Source!BI107=2,I273, 0)</f>
        <v>0</v>
      </c>
      <c r="Z273">
        <f>IF(Source!BI107=3,I273, 0)</f>
        <v>0</v>
      </c>
      <c r="AA273">
        <f>IF(Source!BI107=4,I273, 0)</f>
        <v>0</v>
      </c>
    </row>
    <row r="274" spans="1:27" ht="14.25" x14ac:dyDescent="0.2">
      <c r="A274" s="16"/>
      <c r="B274" s="17"/>
      <c r="C274" s="17" t="s">
        <v>1626</v>
      </c>
      <c r="D274" s="19" t="s">
        <v>1627</v>
      </c>
      <c r="E274" s="18">
        <f>Source!DN106</f>
        <v>140</v>
      </c>
      <c r="F274" s="21"/>
      <c r="G274" s="20"/>
      <c r="H274" s="18"/>
      <c r="I274" s="22">
        <f>SUM(Q267:Q273)</f>
        <v>146.99</v>
      </c>
      <c r="J274" s="18">
        <f>Source!BZ106</f>
        <v>112</v>
      </c>
      <c r="K274" s="22">
        <f>SUM(R267:R273)</f>
        <v>2991.46</v>
      </c>
    </row>
    <row r="275" spans="1:27" ht="14.25" x14ac:dyDescent="0.2">
      <c r="A275" s="16"/>
      <c r="B275" s="17"/>
      <c r="C275" s="17" t="s">
        <v>1628</v>
      </c>
      <c r="D275" s="19" t="s">
        <v>1627</v>
      </c>
      <c r="E275" s="18">
        <f>Source!DO106</f>
        <v>79</v>
      </c>
      <c r="F275" s="21"/>
      <c r="G275" s="20"/>
      <c r="H275" s="18"/>
      <c r="I275" s="22">
        <f>SUM(S267:S274)</f>
        <v>82.94</v>
      </c>
      <c r="J275" s="18">
        <f>Source!CA106</f>
        <v>41</v>
      </c>
      <c r="K275" s="22">
        <f>SUM(T267:T274)</f>
        <v>1095.0899999999999</v>
      </c>
    </row>
    <row r="276" spans="1:27" ht="14.25" x14ac:dyDescent="0.2">
      <c r="A276" s="16"/>
      <c r="B276" s="17"/>
      <c r="C276" s="17" t="s">
        <v>1633</v>
      </c>
      <c r="D276" s="19" t="s">
        <v>1627</v>
      </c>
      <c r="E276" s="18">
        <f>175</f>
        <v>175</v>
      </c>
      <c r="F276" s="21"/>
      <c r="G276" s="20"/>
      <c r="H276" s="18"/>
      <c r="I276" s="22">
        <f>SUM(U267:U275)</f>
        <v>43.61</v>
      </c>
      <c r="J276" s="18">
        <f>157</f>
        <v>157</v>
      </c>
      <c r="K276" s="22">
        <f>SUM(V267:V275)</f>
        <v>995.32</v>
      </c>
    </row>
    <row r="277" spans="1:27" ht="14.25" x14ac:dyDescent="0.2">
      <c r="A277" s="16"/>
      <c r="B277" s="17"/>
      <c r="C277" s="17" t="s">
        <v>1629</v>
      </c>
      <c r="D277" s="19" t="s">
        <v>1630</v>
      </c>
      <c r="E277" s="18">
        <f>Source!AQ106</f>
        <v>27.7</v>
      </c>
      <c r="F277" s="21"/>
      <c r="G277" s="20" t="str">
        <f>Source!DI106</f>
        <v>)*1,15</v>
      </c>
      <c r="H277" s="18">
        <f>Source!AV106</f>
        <v>1</v>
      </c>
      <c r="I277" s="22">
        <f>Source!U106</f>
        <v>10.1936</v>
      </c>
      <c r="J277" s="18"/>
      <c r="K277" s="22"/>
    </row>
    <row r="278" spans="1:27" ht="15" x14ac:dyDescent="0.25">
      <c r="A278" s="25"/>
      <c r="B278" s="25"/>
      <c r="C278" s="25"/>
      <c r="D278" s="25"/>
      <c r="E278" s="25"/>
      <c r="F278" s="25"/>
      <c r="G278" s="25"/>
      <c r="H278" s="54">
        <f>I269+I270+I272+I274+I275+I276+SUM(I273:I273)</f>
        <v>5501.33</v>
      </c>
      <c r="I278" s="54"/>
      <c r="J278" s="54">
        <f>K269+K270+K272+K274+K275+K276+SUM(K273:K273)</f>
        <v>30788.309999999998</v>
      </c>
      <c r="K278" s="54"/>
      <c r="O278" s="24">
        <f>I269+I270+I272+I274+I275+I276+SUM(I273:I273)</f>
        <v>5501.33</v>
      </c>
      <c r="P278" s="24">
        <f>K269+K270+K272+K274+K275+K276+SUM(K273:K273)</f>
        <v>30788.309999999998</v>
      </c>
      <c r="X278">
        <f>IF(Source!BI106&lt;=1,I269+I270+I272+I274+I275+I276-0, 0)</f>
        <v>646.83000000000004</v>
      </c>
      <c r="Y278">
        <f>IF(Source!BI106=2,I269+I270+I272+I274+I275+I276-0, 0)</f>
        <v>0</v>
      </c>
      <c r="Z278">
        <f>IF(Source!BI106=3,I269+I270+I272+I274+I275+I276-0, 0)</f>
        <v>0</v>
      </c>
      <c r="AA278">
        <f>IF(Source!BI106=4,I269+I270+I272+I274+I275+I276,0)</f>
        <v>0</v>
      </c>
    </row>
    <row r="279" spans="1:27" ht="42.75" x14ac:dyDescent="0.2">
      <c r="A279" s="16" t="str">
        <f>Source!E108</f>
        <v>28</v>
      </c>
      <c r="B279" s="17" t="str">
        <f>Source!F108</f>
        <v>3.47-69-2</v>
      </c>
      <c r="C279" s="17" t="s">
        <v>299</v>
      </c>
      <c r="D279" s="19" t="str">
        <f>Source!H108</f>
        <v>100 м2</v>
      </c>
      <c r="E279" s="18">
        <f>Source!I108</f>
        <v>3.2</v>
      </c>
      <c r="F279" s="21"/>
      <c r="G279" s="20"/>
      <c r="H279" s="18"/>
      <c r="I279" s="22"/>
      <c r="J279" s="18"/>
      <c r="K279" s="22"/>
      <c r="Q279">
        <f>ROUND((Source!DN108/100)*ROUND((ROUND((Source!AF108*Source!AV108*Source!I108),2)),2), 2)</f>
        <v>7657.54</v>
      </c>
      <c r="R279">
        <f>Source!X108</f>
        <v>112389.14</v>
      </c>
      <c r="S279">
        <f>ROUND((Source!DO108/100)*ROUND((ROUND((Source!AF108*Source!AV108*Source!I108),2)),2), 2)</f>
        <v>4123.29</v>
      </c>
      <c r="T279">
        <f>Source!Y108</f>
        <v>51199.5</v>
      </c>
      <c r="U279">
        <f>ROUND((175/100)*ROUND((ROUND((Source!AE108*Source!AV108*Source!I108),2)),2), 2)</f>
        <v>187.88</v>
      </c>
      <c r="V279">
        <f>ROUND((157/100)*ROUND(ROUND((ROUND((Source!AE108*Source!AV108*Source!I108),2)*Source!BS108),2), 2), 2)</f>
        <v>4288.05</v>
      </c>
    </row>
    <row r="280" spans="1:27" x14ac:dyDescent="0.2">
      <c r="C280" s="23" t="str">
        <f>"Объем: "&amp;Source!I108&amp;"=320/"&amp;"100"</f>
        <v>Объем: 3,2=320/100</v>
      </c>
    </row>
    <row r="281" spans="1:27" ht="14.25" x14ac:dyDescent="0.2">
      <c r="A281" s="16"/>
      <c r="B281" s="17"/>
      <c r="C281" s="17" t="s">
        <v>1625</v>
      </c>
      <c r="D281" s="19"/>
      <c r="E281" s="18"/>
      <c r="F281" s="21">
        <f>Source!AO108</f>
        <v>1333.88</v>
      </c>
      <c r="G281" s="20" t="str">
        <f>Source!DG108</f>
        <v>)*1,15</v>
      </c>
      <c r="H281" s="18">
        <f>Source!AV108</f>
        <v>1</v>
      </c>
      <c r="I281" s="22">
        <f>ROUND((ROUND((Source!AF108*Source!AV108*Source!I108),2)),2)</f>
        <v>4908.68</v>
      </c>
      <c r="J281" s="18">
        <f>IF(Source!BA108&lt;&gt; 0, Source!BA108, 1)</f>
        <v>25.44</v>
      </c>
      <c r="K281" s="22">
        <f>Source!S108</f>
        <v>124876.82</v>
      </c>
      <c r="W281">
        <f>I281</f>
        <v>4908.68</v>
      </c>
    </row>
    <row r="282" spans="1:27" ht="14.25" x14ac:dyDescent="0.2">
      <c r="A282" s="16"/>
      <c r="B282" s="17"/>
      <c r="C282" s="17" t="s">
        <v>1631</v>
      </c>
      <c r="D282" s="19"/>
      <c r="E282" s="18"/>
      <c r="F282" s="21">
        <f>Source!AM108</f>
        <v>274.27999999999997</v>
      </c>
      <c r="G282" s="20" t="str">
        <f>Source!DE108</f>
        <v>)*1,25</v>
      </c>
      <c r="H282" s="18">
        <f>Source!AV108</f>
        <v>1</v>
      </c>
      <c r="I282" s="22">
        <f>(ROUND((ROUND((((Source!ET108*1.25))*Source!AV108*Source!I108),2)),2)+ROUND((ROUND(((Source!AE108-((Source!EU108*1.25)))*Source!AV108*Source!I108),2)),2))</f>
        <v>1097.1199999999999</v>
      </c>
      <c r="J282" s="18">
        <f>IF(Source!BB108&lt;&gt; 0, Source!BB108, 1)</f>
        <v>8.2100000000000009</v>
      </c>
      <c r="K282" s="22">
        <f>Source!Q108</f>
        <v>9007.36</v>
      </c>
    </row>
    <row r="283" spans="1:27" ht="14.25" x14ac:dyDescent="0.2">
      <c r="A283" s="16"/>
      <c r="B283" s="17"/>
      <c r="C283" s="17" t="s">
        <v>1632</v>
      </c>
      <c r="D283" s="19"/>
      <c r="E283" s="18"/>
      <c r="F283" s="21">
        <f>Source!AN108</f>
        <v>26.84</v>
      </c>
      <c r="G283" s="20" t="str">
        <f>Source!DF108</f>
        <v>)*1,25</v>
      </c>
      <c r="H283" s="18">
        <f>Source!AV108</f>
        <v>1</v>
      </c>
      <c r="I283" s="26">
        <f>ROUND((ROUND((Source!AE108*Source!AV108*Source!I108),2)),2)</f>
        <v>107.36</v>
      </c>
      <c r="J283" s="18">
        <f>IF(Source!BS108&lt;&gt; 0, Source!BS108, 1)</f>
        <v>25.44</v>
      </c>
      <c r="K283" s="26">
        <f>Source!R108</f>
        <v>2731.24</v>
      </c>
      <c r="W283">
        <f>I283</f>
        <v>107.36</v>
      </c>
    </row>
    <row r="284" spans="1:27" ht="14.25" x14ac:dyDescent="0.2">
      <c r="A284" s="16"/>
      <c r="B284" s="17"/>
      <c r="C284" s="17" t="s">
        <v>1634</v>
      </c>
      <c r="D284" s="19"/>
      <c r="E284" s="18"/>
      <c r="F284" s="21">
        <f>Source!AL108</f>
        <v>26.25</v>
      </c>
      <c r="G284" s="20" t="str">
        <f>Source!DD108</f>
        <v/>
      </c>
      <c r="H284" s="18">
        <f>Source!AW108</f>
        <v>1</v>
      </c>
      <c r="I284" s="22">
        <f>ROUND((ROUND((Source!AC108*Source!AW108*Source!I108),2)),2)</f>
        <v>84</v>
      </c>
      <c r="J284" s="18">
        <f>IF(Source!BC108&lt;&gt; 0, Source!BC108, 1)</f>
        <v>5.5</v>
      </c>
      <c r="K284" s="22">
        <f>Source!P108</f>
        <v>462</v>
      </c>
    </row>
    <row r="285" spans="1:27" ht="57" x14ac:dyDescent="0.2">
      <c r="A285" s="16" t="str">
        <f>Source!E109</f>
        <v>28,1</v>
      </c>
      <c r="B285" s="17" t="str">
        <f>Source!F109</f>
        <v>1.7-3-1</v>
      </c>
      <c r="C285" s="17" t="s">
        <v>306</v>
      </c>
      <c r="D285" s="19" t="str">
        <f>Source!H109</f>
        <v>шт.</v>
      </c>
      <c r="E285" s="18">
        <f>Source!I109</f>
        <v>3.2</v>
      </c>
      <c r="F285" s="21">
        <f>Source!AK109</f>
        <v>2634.9</v>
      </c>
      <c r="G285" s="27" t="s">
        <v>3</v>
      </c>
      <c r="H285" s="18">
        <f>Source!AW109</f>
        <v>1</v>
      </c>
      <c r="I285" s="22">
        <f>ROUND((ROUND((Source!AC109*Source!AW109*Source!I109),2)),2)+(ROUND((ROUND(((Source!ET109)*Source!AV109*Source!I109),2)),2)+ROUND((ROUND(((Source!AE109-(Source!EU109))*Source!AV109*Source!I109),2)),2))+ROUND((ROUND((Source!AF109*Source!AV109*Source!I109),2)),2)</f>
        <v>8431.68</v>
      </c>
      <c r="J285" s="18">
        <f>IF(Source!BC109&lt;&gt; 0, Source!BC109, 1)</f>
        <v>2.2400000000000002</v>
      </c>
      <c r="K285" s="22">
        <f>Source!O109</f>
        <v>18886.96</v>
      </c>
      <c r="Q285">
        <f>ROUND((Source!DN109/100)*ROUND((ROUND((Source!AF109*Source!AV109*Source!I109),2)),2), 2)</f>
        <v>0</v>
      </c>
      <c r="R285">
        <f>Source!X109</f>
        <v>0</v>
      </c>
      <c r="S285">
        <f>ROUND((Source!DO109/100)*ROUND((ROUND((Source!AF109*Source!AV109*Source!I109),2)),2), 2)</f>
        <v>0</v>
      </c>
      <c r="T285">
        <f>Source!Y109</f>
        <v>0</v>
      </c>
      <c r="U285">
        <f>ROUND((175/100)*ROUND((ROUND((Source!AE109*Source!AV109*Source!I109),2)),2), 2)</f>
        <v>0</v>
      </c>
      <c r="V285">
        <f>ROUND((157/100)*ROUND(ROUND((ROUND((Source!AE109*Source!AV109*Source!I109),2)*Source!BS109),2), 2), 2)</f>
        <v>0</v>
      </c>
      <c r="X285">
        <f>IF(Source!BI109&lt;=1,I285, 0)</f>
        <v>8431.68</v>
      </c>
      <c r="Y285">
        <f>IF(Source!BI109=2,I285, 0)</f>
        <v>0</v>
      </c>
      <c r="Z285">
        <f>IF(Source!BI109=3,I285, 0)</f>
        <v>0</v>
      </c>
      <c r="AA285">
        <f>IF(Source!BI109=4,I285, 0)</f>
        <v>0</v>
      </c>
    </row>
    <row r="286" spans="1:27" ht="57" x14ac:dyDescent="0.2">
      <c r="A286" s="16" t="str">
        <f>Source!E110</f>
        <v>28,2</v>
      </c>
      <c r="B286" s="17" t="str">
        <f>Source!F110</f>
        <v>1.3-2-20</v>
      </c>
      <c r="C286" s="17" t="s">
        <v>310</v>
      </c>
      <c r="D286" s="19" t="str">
        <f>Source!H110</f>
        <v>т</v>
      </c>
      <c r="E286" s="18">
        <f>Source!I110</f>
        <v>0.5</v>
      </c>
      <c r="F286" s="21">
        <f>Source!AK110</f>
        <v>504.69</v>
      </c>
      <c r="G286" s="27" t="s">
        <v>3</v>
      </c>
      <c r="H286" s="18">
        <f>Source!AW110</f>
        <v>1</v>
      </c>
      <c r="I286" s="22">
        <f>ROUND((ROUND((Source!AC110*Source!AW110*Source!I110),2)),2)+(ROUND((ROUND(((Source!ET110)*Source!AV110*Source!I110),2)),2)+ROUND((ROUND(((Source!AE110-(Source!EU110))*Source!AV110*Source!I110),2)),2))+ROUND((ROUND((Source!AF110*Source!AV110*Source!I110),2)),2)</f>
        <v>252.35</v>
      </c>
      <c r="J286" s="18">
        <f>IF(Source!BC110&lt;&gt; 0, Source!BC110, 1)</f>
        <v>8.56</v>
      </c>
      <c r="K286" s="22">
        <f>Source!O110</f>
        <v>2160.12</v>
      </c>
      <c r="Q286">
        <f>ROUND((Source!DN110/100)*ROUND((ROUND((Source!AF110*Source!AV110*Source!I110),2)),2), 2)</f>
        <v>0</v>
      </c>
      <c r="R286">
        <f>Source!X110</f>
        <v>0</v>
      </c>
      <c r="S286">
        <f>ROUND((Source!DO110/100)*ROUND((ROUND((Source!AF110*Source!AV110*Source!I110),2)),2), 2)</f>
        <v>0</v>
      </c>
      <c r="T286">
        <f>Source!Y110</f>
        <v>0</v>
      </c>
      <c r="U286">
        <f>ROUND((175/100)*ROUND((ROUND((Source!AE110*Source!AV110*Source!I110),2)),2), 2)</f>
        <v>0</v>
      </c>
      <c r="V286">
        <f>ROUND((157/100)*ROUND(ROUND((ROUND((Source!AE110*Source!AV110*Source!I110),2)*Source!BS110),2), 2), 2)</f>
        <v>0</v>
      </c>
      <c r="X286">
        <f>IF(Source!BI110&lt;=1,I286, 0)</f>
        <v>252.35</v>
      </c>
      <c r="Y286">
        <f>IF(Source!BI110=2,I286, 0)</f>
        <v>0</v>
      </c>
      <c r="Z286">
        <f>IF(Source!BI110=3,I286, 0)</f>
        <v>0</v>
      </c>
      <c r="AA286">
        <f>IF(Source!BI110=4,I286, 0)</f>
        <v>0</v>
      </c>
    </row>
    <row r="287" spans="1:27" ht="42.75" x14ac:dyDescent="0.2">
      <c r="A287" s="16" t="str">
        <f>Source!E111</f>
        <v>28,3</v>
      </c>
      <c r="B287" s="17" t="str">
        <f>Source!F111</f>
        <v>Цена поставщика</v>
      </c>
      <c r="C287" s="17" t="s">
        <v>1643</v>
      </c>
      <c r="D287" s="19" t="str">
        <f>Source!H111</f>
        <v>м2</v>
      </c>
      <c r="E287" s="18">
        <f>Source!I111</f>
        <v>360</v>
      </c>
      <c r="F287" s="21">
        <f>Source!AK111</f>
        <v>134.47</v>
      </c>
      <c r="G287" s="27" t="s">
        <v>3</v>
      </c>
      <c r="H287" s="18">
        <f>Source!AW111</f>
        <v>1</v>
      </c>
      <c r="I287" s="22">
        <f>ROUND((ROUND((Source!AC111*Source!AW111*Source!I111),2)),2)+(ROUND((ROUND(((Source!ET111)*Source!AV111*Source!I111),2)),2)+ROUND((ROUND(((Source!AE111-(Source!EU111))*Source!AV111*Source!I111),2)),2))+ROUND((ROUND((Source!AF111*Source!AV111*Source!I111),2)),2)</f>
        <v>48409.2</v>
      </c>
      <c r="J287" s="18">
        <f>IF(Source!BC111&lt;&gt; 0, Source!BC111, 1)</f>
        <v>6.34</v>
      </c>
      <c r="K287" s="22">
        <f>Source!O111</f>
        <v>306914.33</v>
      </c>
      <c r="Q287">
        <f>ROUND((Source!DN111/100)*ROUND((ROUND((Source!AF111*Source!AV111*Source!I111),2)),2), 2)</f>
        <v>0</v>
      </c>
      <c r="R287">
        <f>Source!X111</f>
        <v>0</v>
      </c>
      <c r="S287">
        <f>ROUND((Source!DO111/100)*ROUND((ROUND((Source!AF111*Source!AV111*Source!I111),2)),2), 2)</f>
        <v>0</v>
      </c>
      <c r="T287">
        <f>Source!Y111</f>
        <v>0</v>
      </c>
      <c r="U287">
        <f>ROUND((175/100)*ROUND((ROUND((Source!AE111*Source!AV111*Source!I111),2)),2), 2)</f>
        <v>0</v>
      </c>
      <c r="V287">
        <f>ROUND((157/100)*ROUND(ROUND((ROUND((Source!AE111*Source!AV111*Source!I111),2)*Source!BS111),2), 2), 2)</f>
        <v>0</v>
      </c>
      <c r="X287">
        <f>IF(Source!BI111&lt;=1,I287, 0)</f>
        <v>48409.2</v>
      </c>
      <c r="Y287">
        <f>IF(Source!BI111=2,I287, 0)</f>
        <v>0</v>
      </c>
      <c r="Z287">
        <f>IF(Source!BI111=3,I287, 0)</f>
        <v>0</v>
      </c>
      <c r="AA287">
        <f>IF(Source!BI111=4,I287, 0)</f>
        <v>0</v>
      </c>
    </row>
    <row r="288" spans="1:27" ht="14.25" x14ac:dyDescent="0.2">
      <c r="A288" s="16"/>
      <c r="B288" s="17"/>
      <c r="C288" s="17" t="s">
        <v>1626</v>
      </c>
      <c r="D288" s="19" t="s">
        <v>1627</v>
      </c>
      <c r="E288" s="18">
        <f>Source!DN108</f>
        <v>156</v>
      </c>
      <c r="F288" s="21"/>
      <c r="G288" s="20"/>
      <c r="H288" s="18"/>
      <c r="I288" s="22">
        <f>SUM(Q279:Q287)</f>
        <v>7657.54</v>
      </c>
      <c r="J288" s="18">
        <f>Source!BZ108</f>
        <v>90</v>
      </c>
      <c r="K288" s="22">
        <f>SUM(R279:R287)</f>
        <v>112389.14</v>
      </c>
    </row>
    <row r="289" spans="1:27" ht="14.25" x14ac:dyDescent="0.2">
      <c r="A289" s="16"/>
      <c r="B289" s="17"/>
      <c r="C289" s="17" t="s">
        <v>1628</v>
      </c>
      <c r="D289" s="19" t="s">
        <v>1627</v>
      </c>
      <c r="E289" s="18">
        <f>Source!DO108</f>
        <v>84</v>
      </c>
      <c r="F289" s="21"/>
      <c r="G289" s="20"/>
      <c r="H289" s="18"/>
      <c r="I289" s="22">
        <f>SUM(S279:S288)</f>
        <v>4123.29</v>
      </c>
      <c r="J289" s="18">
        <f>Source!CA108</f>
        <v>41</v>
      </c>
      <c r="K289" s="22">
        <f>SUM(T279:T288)</f>
        <v>51199.5</v>
      </c>
    </row>
    <row r="290" spans="1:27" ht="14.25" x14ac:dyDescent="0.2">
      <c r="A290" s="16"/>
      <c r="B290" s="17"/>
      <c r="C290" s="17" t="s">
        <v>1633</v>
      </c>
      <c r="D290" s="19" t="s">
        <v>1627</v>
      </c>
      <c r="E290" s="18">
        <f>175</f>
        <v>175</v>
      </c>
      <c r="F290" s="21"/>
      <c r="G290" s="20"/>
      <c r="H290" s="18"/>
      <c r="I290" s="22">
        <f>SUM(U279:U289)</f>
        <v>187.88</v>
      </c>
      <c r="J290" s="18">
        <f>157</f>
        <v>157</v>
      </c>
      <c r="K290" s="22">
        <f>SUM(V279:V289)</f>
        <v>4288.05</v>
      </c>
    </row>
    <row r="291" spans="1:27" ht="14.25" x14ac:dyDescent="0.2">
      <c r="A291" s="16"/>
      <c r="B291" s="17"/>
      <c r="C291" s="17" t="s">
        <v>1629</v>
      </c>
      <c r="D291" s="19" t="s">
        <v>1630</v>
      </c>
      <c r="E291" s="18">
        <f>Source!AQ108</f>
        <v>120.09</v>
      </c>
      <c r="F291" s="21"/>
      <c r="G291" s="20" t="str">
        <f>Source!DI108</f>
        <v>)*1,15</v>
      </c>
      <c r="H291" s="18">
        <f>Source!AV108</f>
        <v>1</v>
      </c>
      <c r="I291" s="22">
        <f>Source!U108</f>
        <v>441.93119999999999</v>
      </c>
      <c r="J291" s="18"/>
      <c r="K291" s="22"/>
    </row>
    <row r="292" spans="1:27" ht="15" x14ac:dyDescent="0.25">
      <c r="A292" s="25"/>
      <c r="B292" s="25"/>
      <c r="C292" s="25"/>
      <c r="D292" s="25"/>
      <c r="E292" s="25"/>
      <c r="F292" s="25"/>
      <c r="G292" s="25"/>
      <c r="H292" s="54">
        <f>I281+I282+I284+I288+I289+I290+SUM(I285:I287)</f>
        <v>75151.739999999991</v>
      </c>
      <c r="I292" s="54"/>
      <c r="J292" s="54">
        <f>K281+K282+K284+K288+K289+K290+SUM(K285:K287)</f>
        <v>630184.28</v>
      </c>
      <c r="K292" s="54"/>
      <c r="O292" s="24">
        <f>I281+I282+I284+I288+I289+I290+SUM(I285:I287)</f>
        <v>75151.739999999991</v>
      </c>
      <c r="P292" s="24">
        <f>K281+K282+K284+K288+K289+K290+SUM(K285:K287)</f>
        <v>630184.28</v>
      </c>
      <c r="X292">
        <f>IF(Source!BI108&lt;=1,I281+I282+I284+I288+I289+I290-0, 0)</f>
        <v>18058.510000000002</v>
      </c>
      <c r="Y292">
        <f>IF(Source!BI108=2,I281+I282+I284+I288+I289+I290-0, 0)</f>
        <v>0</v>
      </c>
      <c r="Z292">
        <f>IF(Source!BI108=3,I281+I282+I284+I288+I289+I290-0, 0)</f>
        <v>0</v>
      </c>
      <c r="AA292">
        <f>IF(Source!BI108=4,I281+I282+I284+I288+I289+I290,0)</f>
        <v>0</v>
      </c>
    </row>
    <row r="293" spans="1:27" ht="42.75" x14ac:dyDescent="0.2">
      <c r="A293" s="16" t="str">
        <f>Source!E112</f>
        <v>29</v>
      </c>
      <c r="B293" s="17" t="str">
        <f>Source!F112</f>
        <v>6.68-13-1</v>
      </c>
      <c r="C293" s="17" t="s">
        <v>316</v>
      </c>
      <c r="D293" s="19" t="str">
        <f>Source!H112</f>
        <v>1 Т</v>
      </c>
      <c r="E293" s="18">
        <f>Source!I112</f>
        <v>61.44</v>
      </c>
      <c r="F293" s="21"/>
      <c r="G293" s="20"/>
      <c r="H293" s="18"/>
      <c r="I293" s="22"/>
      <c r="J293" s="18"/>
      <c r="K293" s="22"/>
      <c r="Q293">
        <f>ROUND((Source!DN112/100)*ROUND((ROUND((Source!AF112*Source!AV112*Source!I112),2)),2), 2)</f>
        <v>0</v>
      </c>
      <c r="R293">
        <f>Source!X112</f>
        <v>0</v>
      </c>
      <c r="S293">
        <f>ROUND((Source!DO112/100)*ROUND((ROUND((Source!AF112*Source!AV112*Source!I112),2)),2), 2)</f>
        <v>0</v>
      </c>
      <c r="T293">
        <f>Source!Y112</f>
        <v>0</v>
      </c>
      <c r="U293">
        <f>ROUND((175/100)*ROUND((ROUND((Source!AE112*Source!AV112*Source!I112),2)),2), 2)</f>
        <v>159.13</v>
      </c>
      <c r="V293">
        <f>ROUND((157/100)*ROUND(ROUND((ROUND((Source!AE112*Source!AV112*Source!I112),2)*Source!BS112),2), 2), 2)</f>
        <v>3631.82</v>
      </c>
    </row>
    <row r="294" spans="1:27" ht="14.25" x14ac:dyDescent="0.2">
      <c r="A294" s="16"/>
      <c r="B294" s="17"/>
      <c r="C294" s="17" t="s">
        <v>1631</v>
      </c>
      <c r="D294" s="19"/>
      <c r="E294" s="18"/>
      <c r="F294" s="21">
        <f>Source!AM112</f>
        <v>8.86</v>
      </c>
      <c r="G294" s="20" t="str">
        <f>Source!DE112</f>
        <v/>
      </c>
      <c r="H294" s="18">
        <f>Source!AV112</f>
        <v>1</v>
      </c>
      <c r="I294" s="22">
        <f>(ROUND((ROUND(((Source!ET112)*Source!AV112*Source!I112),2)),2)+ROUND((ROUND(((Source!AE112-(Source!EU112))*Source!AV112*Source!I112),2)),2))</f>
        <v>544.36</v>
      </c>
      <c r="J294" s="18">
        <f>IF(Source!BB112&lt;&gt; 0, Source!BB112, 1)</f>
        <v>9.1199999999999992</v>
      </c>
      <c r="K294" s="22">
        <f>Source!Q112</f>
        <v>4964.5600000000004</v>
      </c>
    </row>
    <row r="295" spans="1:27" ht="14.25" x14ac:dyDescent="0.2">
      <c r="A295" s="16"/>
      <c r="B295" s="17"/>
      <c r="C295" s="17" t="s">
        <v>1632</v>
      </c>
      <c r="D295" s="19"/>
      <c r="E295" s="18"/>
      <c r="F295" s="21">
        <f>Source!AN112</f>
        <v>1.48</v>
      </c>
      <c r="G295" s="20" t="str">
        <f>Source!DF112</f>
        <v/>
      </c>
      <c r="H295" s="18">
        <f>Source!AV112</f>
        <v>1</v>
      </c>
      <c r="I295" s="26">
        <f>ROUND((ROUND((Source!AE112*Source!AV112*Source!I112),2)),2)</f>
        <v>90.93</v>
      </c>
      <c r="J295" s="18">
        <f>IF(Source!BS112&lt;&gt; 0, Source!BS112, 1)</f>
        <v>25.44</v>
      </c>
      <c r="K295" s="26">
        <f>Source!R112</f>
        <v>2313.2600000000002</v>
      </c>
      <c r="W295">
        <f>I295</f>
        <v>90.93</v>
      </c>
    </row>
    <row r="296" spans="1:27" ht="14.25" x14ac:dyDescent="0.2">
      <c r="A296" s="16"/>
      <c r="B296" s="17"/>
      <c r="C296" s="17" t="s">
        <v>1633</v>
      </c>
      <c r="D296" s="19" t="s">
        <v>1627</v>
      </c>
      <c r="E296" s="18">
        <f>175</f>
        <v>175</v>
      </c>
      <c r="F296" s="21"/>
      <c r="G296" s="20"/>
      <c r="H296" s="18"/>
      <c r="I296" s="22">
        <f>SUM(U293:U295)</f>
        <v>159.13</v>
      </c>
      <c r="J296" s="18">
        <f>157</f>
        <v>157</v>
      </c>
      <c r="K296" s="22">
        <f>SUM(V293:V295)</f>
        <v>3631.82</v>
      </c>
    </row>
    <row r="297" spans="1:27" ht="15" x14ac:dyDescent="0.25">
      <c r="A297" s="25"/>
      <c r="B297" s="25"/>
      <c r="C297" s="25"/>
      <c r="D297" s="25"/>
      <c r="E297" s="25"/>
      <c r="F297" s="25"/>
      <c r="G297" s="25"/>
      <c r="H297" s="54">
        <f>I294+I296</f>
        <v>703.49</v>
      </c>
      <c r="I297" s="54"/>
      <c r="J297" s="54">
        <f>K294+K296</f>
        <v>8596.380000000001</v>
      </c>
      <c r="K297" s="54"/>
      <c r="O297" s="24">
        <f>I294+I296</f>
        <v>703.49</v>
      </c>
      <c r="P297" s="24">
        <f>K294+K296</f>
        <v>8596.380000000001</v>
      </c>
      <c r="X297">
        <f>IF(Source!BI112&lt;=1,I294+I296-0, 0)</f>
        <v>703.49</v>
      </c>
      <c r="Y297">
        <f>IF(Source!BI112=2,I294+I296-0, 0)</f>
        <v>0</v>
      </c>
      <c r="Z297">
        <f>IF(Source!BI112=3,I294+I296-0, 0)</f>
        <v>0</v>
      </c>
      <c r="AA297">
        <f>IF(Source!BI112=4,I294+I296,0)</f>
        <v>0</v>
      </c>
    </row>
    <row r="298" spans="1:27" ht="42.75" x14ac:dyDescent="0.2">
      <c r="A298" s="16" t="str">
        <f>Source!E113</f>
        <v>30</v>
      </c>
      <c r="B298" s="17" t="str">
        <f>Source!F113</f>
        <v>15.2-43-10</v>
      </c>
      <c r="C298" s="17" t="s">
        <v>188</v>
      </c>
      <c r="D298" s="19" t="str">
        <f>Source!H113</f>
        <v>т</v>
      </c>
      <c r="E298" s="18">
        <f>Source!I113</f>
        <v>61.44</v>
      </c>
      <c r="F298" s="21"/>
      <c r="G298" s="20"/>
      <c r="H298" s="18"/>
      <c r="I298" s="22"/>
      <c r="J298" s="18"/>
      <c r="K298" s="22"/>
      <c r="Q298">
        <f>ROUND((Source!DN113/100)*ROUND((ROUND((Source!AF113*Source!AV113*Source!I113),2)),2), 2)</f>
        <v>0</v>
      </c>
      <c r="R298">
        <f>Source!X113</f>
        <v>0</v>
      </c>
      <c r="S298">
        <f>ROUND((Source!DO113/100)*ROUND((ROUND((Source!AF113*Source!AV113*Source!I113),2)),2), 2)</f>
        <v>0</v>
      </c>
      <c r="T298">
        <f>Source!Y113</f>
        <v>0</v>
      </c>
      <c r="U298">
        <f>ROUND((175/100)*ROUND((ROUND((Source!AE113*Source!AV113*Source!I113),2)),2), 2)</f>
        <v>0</v>
      </c>
      <c r="V298">
        <f>ROUND((157/100)*ROUND(ROUND((ROUND((Source!AE113*Source!AV113*Source!I113),2)*Source!BS113),2), 2), 2)</f>
        <v>0</v>
      </c>
    </row>
    <row r="299" spans="1:27" ht="14.25" x14ac:dyDescent="0.2">
      <c r="A299" s="16"/>
      <c r="B299" s="17"/>
      <c r="C299" s="17" t="s">
        <v>1631</v>
      </c>
      <c r="D299" s="19"/>
      <c r="E299" s="18"/>
      <c r="F299" s="21">
        <f>Source!AM113</f>
        <v>38.92</v>
      </c>
      <c r="G299" s="20" t="str">
        <f>Source!DE113</f>
        <v/>
      </c>
      <c r="H299" s="18">
        <f>Source!AV113</f>
        <v>1</v>
      </c>
      <c r="I299" s="22">
        <f>(ROUND((ROUND(((Source!ET113)*Source!AV113*Source!I113),2)),2)+ROUND((ROUND(((Source!AE113-(Source!EU113))*Source!AV113*Source!I113),2)),2))</f>
        <v>2391.2399999999998</v>
      </c>
      <c r="J299" s="18">
        <f>IF(Source!BB113&lt;&gt; 0, Source!BB113, 1)</f>
        <v>11.64</v>
      </c>
      <c r="K299" s="22">
        <f>Source!Q113</f>
        <v>27834.03</v>
      </c>
    </row>
    <row r="300" spans="1:27" ht="15" x14ac:dyDescent="0.25">
      <c r="A300" s="25"/>
      <c r="B300" s="25"/>
      <c r="C300" s="25"/>
      <c r="D300" s="25"/>
      <c r="E300" s="25"/>
      <c r="F300" s="25"/>
      <c r="G300" s="25"/>
      <c r="H300" s="54">
        <f>I299</f>
        <v>2391.2399999999998</v>
      </c>
      <c r="I300" s="54"/>
      <c r="J300" s="54">
        <f>K299</f>
        <v>27834.03</v>
      </c>
      <c r="K300" s="54"/>
      <c r="O300" s="24">
        <f>I299</f>
        <v>2391.2399999999998</v>
      </c>
      <c r="P300" s="24">
        <f>K299</f>
        <v>27834.03</v>
      </c>
      <c r="X300">
        <f>IF(Source!BI113&lt;=1,I299-0, 0)</f>
        <v>0</v>
      </c>
      <c r="Y300">
        <f>IF(Source!BI113=2,I299-0, 0)</f>
        <v>0</v>
      </c>
      <c r="Z300">
        <f>IF(Source!BI113=3,I299-0, 0)</f>
        <v>0</v>
      </c>
      <c r="AA300">
        <f>IF(Source!BI113=4,I299,0)</f>
        <v>2391.2399999999998</v>
      </c>
    </row>
    <row r="301" spans="1:27" ht="57" x14ac:dyDescent="0.2">
      <c r="A301" s="16" t="str">
        <f>Source!E114</f>
        <v>31</v>
      </c>
      <c r="B301" s="17" t="str">
        <f>Source!F114</f>
        <v>15.1-1200-01</v>
      </c>
      <c r="C301" s="17" t="s">
        <v>320</v>
      </c>
      <c r="D301" s="19" t="str">
        <f>Source!H114</f>
        <v>1 Т</v>
      </c>
      <c r="E301" s="18">
        <f>Source!I114</f>
        <v>61.44</v>
      </c>
      <c r="F301" s="21"/>
      <c r="G301" s="20"/>
      <c r="H301" s="18"/>
      <c r="I301" s="22"/>
      <c r="J301" s="18"/>
      <c r="K301" s="22"/>
      <c r="Q301">
        <f>ROUND((Source!DN114/100)*ROUND((ROUND((Source!AF114*Source!AV114*Source!I114),2)),2), 2)</f>
        <v>0</v>
      </c>
      <c r="R301">
        <f>Source!X114</f>
        <v>0</v>
      </c>
      <c r="S301">
        <f>ROUND((Source!DO114/100)*ROUND((ROUND((Source!AF114*Source!AV114*Source!I114),2)),2), 2)</f>
        <v>0</v>
      </c>
      <c r="T301">
        <f>Source!Y114</f>
        <v>0</v>
      </c>
      <c r="U301">
        <f>ROUND((175/100)*ROUND((ROUND((Source!AE114*Source!AV114*Source!I114),2)),2), 2)</f>
        <v>0</v>
      </c>
      <c r="V301">
        <f>ROUND((157/100)*ROUND(ROUND((ROUND((Source!AE114*Source!AV114*Source!I114),2)*Source!BS114),2), 2), 2)</f>
        <v>0</v>
      </c>
    </row>
    <row r="302" spans="1:27" ht="14.25" x14ac:dyDescent="0.2">
      <c r="A302" s="16"/>
      <c r="B302" s="17"/>
      <c r="C302" s="17" t="s">
        <v>1631</v>
      </c>
      <c r="D302" s="19"/>
      <c r="E302" s="18"/>
      <c r="F302" s="21">
        <f>Source!AM114</f>
        <v>21.71</v>
      </c>
      <c r="G302" s="20" t="str">
        <f>Source!DE114</f>
        <v/>
      </c>
      <c r="H302" s="18">
        <f>Source!AV114</f>
        <v>1</v>
      </c>
      <c r="I302" s="22">
        <f>(ROUND((ROUND(((Source!ET114)*Source!AV114*Source!I114),2)),2)+ROUND((ROUND(((Source!AE114-(Source!EU114))*Source!AV114*Source!I114),2)),2))</f>
        <v>1333.86</v>
      </c>
      <c r="J302" s="18">
        <f>IF(Source!BB114&lt;&gt; 0, Source!BB114, 1)</f>
        <v>7.63</v>
      </c>
      <c r="K302" s="22">
        <f>Source!Q114</f>
        <v>10177.35</v>
      </c>
    </row>
    <row r="303" spans="1:27" ht="15" x14ac:dyDescent="0.25">
      <c r="A303" s="25"/>
      <c r="B303" s="25"/>
      <c r="C303" s="25"/>
      <c r="D303" s="25"/>
      <c r="E303" s="25"/>
      <c r="F303" s="25"/>
      <c r="G303" s="25"/>
      <c r="H303" s="54">
        <f>I302</f>
        <v>1333.86</v>
      </c>
      <c r="I303" s="54"/>
      <c r="J303" s="54">
        <f>K302</f>
        <v>10177.35</v>
      </c>
      <c r="K303" s="54"/>
      <c r="O303" s="24">
        <f>I302</f>
        <v>1333.86</v>
      </c>
      <c r="P303" s="24">
        <f>K302</f>
        <v>10177.35</v>
      </c>
      <c r="X303">
        <f>IF(Source!BI114&lt;=1,I302-0, 0)</f>
        <v>0</v>
      </c>
      <c r="Y303">
        <f>IF(Source!BI114=2,I302-0, 0)</f>
        <v>0</v>
      </c>
      <c r="Z303">
        <f>IF(Source!BI114=3,I302-0, 0)</f>
        <v>0</v>
      </c>
      <c r="AA303">
        <f>IF(Source!BI114=4,I302,0)</f>
        <v>1333.86</v>
      </c>
    </row>
    <row r="304" spans="1:27" ht="57" x14ac:dyDescent="0.2">
      <c r="A304" s="16" t="str">
        <f>Source!E115</f>
        <v>32</v>
      </c>
      <c r="B304" s="17" t="str">
        <f>Source!F115</f>
        <v>15.2-46-1</v>
      </c>
      <c r="C304" s="17" t="s">
        <v>205</v>
      </c>
      <c r="D304" s="19" t="str">
        <f>Source!H115</f>
        <v>т</v>
      </c>
      <c r="E304" s="18">
        <f>Source!I115</f>
        <v>120</v>
      </c>
      <c r="F304" s="21"/>
      <c r="G304" s="20"/>
      <c r="H304" s="18"/>
      <c r="I304" s="22"/>
      <c r="J304" s="18"/>
      <c r="K304" s="22"/>
      <c r="Q304">
        <f>ROUND((Source!DN115/100)*ROUND((ROUND((Source!AF115*Source!AV115*Source!I115),2)),2), 2)</f>
        <v>0</v>
      </c>
      <c r="R304">
        <f>Source!X115</f>
        <v>0</v>
      </c>
      <c r="S304">
        <f>ROUND((Source!DO115/100)*ROUND((ROUND((Source!AF115*Source!AV115*Source!I115),2)),2), 2)</f>
        <v>0</v>
      </c>
      <c r="T304">
        <f>Source!Y115</f>
        <v>0</v>
      </c>
      <c r="U304">
        <f>ROUND((175/100)*ROUND((ROUND((Source!AE115*Source!AV115*Source!I115),2)),2), 2)</f>
        <v>0</v>
      </c>
      <c r="V304">
        <f>ROUND((157/100)*ROUND(ROUND((ROUND((Source!AE115*Source!AV115*Source!I115),2)*Source!BS115),2), 2), 2)</f>
        <v>0</v>
      </c>
    </row>
    <row r="305" spans="1:27" ht="14.25" x14ac:dyDescent="0.2">
      <c r="A305" s="16"/>
      <c r="B305" s="17"/>
      <c r="C305" s="17" t="s">
        <v>1631</v>
      </c>
      <c r="D305" s="19"/>
      <c r="E305" s="18"/>
      <c r="F305" s="21">
        <f>Source!AM115</f>
        <v>46</v>
      </c>
      <c r="G305" s="20" t="str">
        <f>Source!DE115</f>
        <v/>
      </c>
      <c r="H305" s="18">
        <f>Source!AV115</f>
        <v>1</v>
      </c>
      <c r="I305" s="22">
        <f>(ROUND((ROUND(((Source!ET115)*Source!AV115*Source!I115),2)),2)+ROUND((ROUND(((Source!AE115-(Source!EU115))*Source!AV115*Source!I115),2)),2))</f>
        <v>5520</v>
      </c>
      <c r="J305" s="18">
        <f>IF(Source!BB115&lt;&gt; 0, Source!BB115, 1)</f>
        <v>12.21</v>
      </c>
      <c r="K305" s="22">
        <f>Source!Q115</f>
        <v>67399.199999999997</v>
      </c>
    </row>
    <row r="306" spans="1:27" ht="15" x14ac:dyDescent="0.25">
      <c r="A306" s="25"/>
      <c r="B306" s="25"/>
      <c r="C306" s="25"/>
      <c r="D306" s="25"/>
      <c r="E306" s="25"/>
      <c r="F306" s="25"/>
      <c r="G306" s="25"/>
      <c r="H306" s="54">
        <f>I305</f>
        <v>5520</v>
      </c>
      <c r="I306" s="54"/>
      <c r="J306" s="54">
        <f>K305</f>
        <v>67399.199999999997</v>
      </c>
      <c r="K306" s="54"/>
      <c r="O306" s="24">
        <f>I305</f>
        <v>5520</v>
      </c>
      <c r="P306" s="24">
        <f>K305</f>
        <v>67399.199999999997</v>
      </c>
      <c r="X306">
        <f>IF(Source!BI115&lt;=1,I305-0, 0)</f>
        <v>0</v>
      </c>
      <c r="Y306">
        <f>IF(Source!BI115=2,I305-0, 0)</f>
        <v>0</v>
      </c>
      <c r="Z306">
        <f>IF(Source!BI115=3,I305-0, 0)</f>
        <v>0</v>
      </c>
      <c r="AA306">
        <f>IF(Source!BI115=4,I305,0)</f>
        <v>5520</v>
      </c>
    </row>
    <row r="307" spans="1:27" ht="42.75" x14ac:dyDescent="0.2">
      <c r="A307" s="16" t="str">
        <f>Source!E116</f>
        <v>33</v>
      </c>
      <c r="B307" s="17" t="str">
        <f>Source!F116</f>
        <v>15.1-1102-01</v>
      </c>
      <c r="C307" s="17" t="s">
        <v>211</v>
      </c>
      <c r="D307" s="19" t="str">
        <f>Source!H116</f>
        <v>1 Т</v>
      </c>
      <c r="E307" s="18">
        <f>Source!I116</f>
        <v>120</v>
      </c>
      <c r="F307" s="21"/>
      <c r="G307" s="20"/>
      <c r="H307" s="18"/>
      <c r="I307" s="22"/>
      <c r="J307" s="18"/>
      <c r="K307" s="22"/>
      <c r="Q307">
        <f>ROUND((Source!DN116/100)*ROUND((ROUND((Source!AF116*Source!AV116*Source!I116),2)),2), 2)</f>
        <v>0</v>
      </c>
      <c r="R307">
        <f>Source!X116</f>
        <v>0</v>
      </c>
      <c r="S307">
        <f>ROUND((Source!DO116/100)*ROUND((ROUND((Source!AF116*Source!AV116*Source!I116),2)),2), 2)</f>
        <v>0</v>
      </c>
      <c r="T307">
        <f>Source!Y116</f>
        <v>0</v>
      </c>
      <c r="U307">
        <f>ROUND((175/100)*ROUND((ROUND((Source!AE116*Source!AV116*Source!I116),2)),2), 2)</f>
        <v>0</v>
      </c>
      <c r="V307">
        <f>ROUND((157/100)*ROUND(ROUND((ROUND((Source!AE116*Source!AV116*Source!I116),2)*Source!BS116),2), 2), 2)</f>
        <v>0</v>
      </c>
    </row>
    <row r="308" spans="1:27" ht="14.25" x14ac:dyDescent="0.2">
      <c r="A308" s="16"/>
      <c r="B308" s="17"/>
      <c r="C308" s="17" t="s">
        <v>1631</v>
      </c>
      <c r="D308" s="19"/>
      <c r="E308" s="18"/>
      <c r="F308" s="21">
        <f>Source!AM116</f>
        <v>12.61</v>
      </c>
      <c r="G308" s="20" t="str">
        <f>Source!DE116</f>
        <v/>
      </c>
      <c r="H308" s="18">
        <f>Source!AV116</f>
        <v>1</v>
      </c>
      <c r="I308" s="22">
        <f>(ROUND((ROUND(((Source!ET116)*Source!AV116*Source!I116),2)),2)+ROUND((ROUND(((Source!AE116-(Source!EU116))*Source!AV116*Source!I116),2)),2))</f>
        <v>1513.2</v>
      </c>
      <c r="J308" s="18">
        <f>IF(Source!BB116&lt;&gt; 0, Source!BB116, 1)</f>
        <v>7.63</v>
      </c>
      <c r="K308" s="22">
        <f>Source!Q116</f>
        <v>11545.72</v>
      </c>
    </row>
    <row r="309" spans="1:27" ht="15" x14ac:dyDescent="0.25">
      <c r="A309" s="25"/>
      <c r="B309" s="25"/>
      <c r="C309" s="25"/>
      <c r="D309" s="25"/>
      <c r="E309" s="25"/>
      <c r="F309" s="25"/>
      <c r="G309" s="25"/>
      <c r="H309" s="54">
        <f>I308</f>
        <v>1513.2</v>
      </c>
      <c r="I309" s="54"/>
      <c r="J309" s="54">
        <f>K308</f>
        <v>11545.72</v>
      </c>
      <c r="K309" s="54"/>
      <c r="O309" s="24">
        <f>I308</f>
        <v>1513.2</v>
      </c>
      <c r="P309" s="24">
        <f>K308</f>
        <v>11545.72</v>
      </c>
      <c r="X309">
        <f>IF(Source!BI116&lt;=1,I308-0, 0)</f>
        <v>0</v>
      </c>
      <c r="Y309">
        <f>IF(Source!BI116=2,I308-0, 0)</f>
        <v>0</v>
      </c>
      <c r="Z309">
        <f>IF(Source!BI116=3,I308-0, 0)</f>
        <v>0</v>
      </c>
      <c r="AA309">
        <f>IF(Source!BI116=4,I308,0)</f>
        <v>1513.2</v>
      </c>
    </row>
    <row r="311" spans="1:27" ht="15" x14ac:dyDescent="0.25">
      <c r="A311" s="53" t="str">
        <f>CONCATENATE("Итого по разделу: ",IF(Source!G118&lt;&gt;"Новый раздел", Source!G118, ""))</f>
        <v>Итого по разделу: Ремонт покрытия из тратуарной плитки 320 кв.м</v>
      </c>
      <c r="B311" s="53"/>
      <c r="C311" s="53"/>
      <c r="D311" s="53"/>
      <c r="E311" s="53"/>
      <c r="F311" s="53"/>
      <c r="G311" s="53"/>
      <c r="H311" s="51">
        <f>SUM(O208:O310)</f>
        <v>121459.73</v>
      </c>
      <c r="I311" s="52"/>
      <c r="J311" s="51">
        <f>SUM(P208:P310)</f>
        <v>1084594.45</v>
      </c>
      <c r="K311" s="52"/>
    </row>
    <row r="312" spans="1:27" hidden="1" x14ac:dyDescent="0.2">
      <c r="A312" t="s">
        <v>1641</v>
      </c>
      <c r="H312">
        <f>SUM(AC208:AC311)</f>
        <v>0</v>
      </c>
      <c r="J312">
        <f>SUM(AD208:AD311)</f>
        <v>0</v>
      </c>
    </row>
    <row r="313" spans="1:27" hidden="1" x14ac:dyDescent="0.2">
      <c r="A313" t="s">
        <v>1642</v>
      </c>
      <c r="H313">
        <f>SUM(AE208:AE312)</f>
        <v>0</v>
      </c>
      <c r="J313">
        <f>SUM(AF208:AF312)</f>
        <v>0</v>
      </c>
    </row>
    <row r="315" spans="1:27" ht="16.5" x14ac:dyDescent="0.25">
      <c r="A315" s="56" t="str">
        <f>CONCATENATE("Раздел: ",IF(Source!G148&lt;&gt;"Новый раздел", Source!G148, ""))</f>
        <v>Раздел: Замена борткамня 953 пог.м</v>
      </c>
      <c r="B315" s="56"/>
      <c r="C315" s="56"/>
      <c r="D315" s="56"/>
      <c r="E315" s="56"/>
      <c r="F315" s="56"/>
      <c r="G315" s="56"/>
      <c r="H315" s="56"/>
      <c r="I315" s="56"/>
      <c r="J315" s="56"/>
      <c r="K315" s="56"/>
    </row>
    <row r="316" spans="1:27" ht="28.5" x14ac:dyDescent="0.2">
      <c r="A316" s="16" t="str">
        <f>Source!E152</f>
        <v>34</v>
      </c>
      <c r="B316" s="17" t="str">
        <f>Source!F152</f>
        <v>6.68-53-1</v>
      </c>
      <c r="C316" s="17" t="s">
        <v>327</v>
      </c>
      <c r="D316" s="19" t="str">
        <f>Source!H152</f>
        <v>100 м</v>
      </c>
      <c r="E316" s="18">
        <f>Source!I152</f>
        <v>9.5299999999999994</v>
      </c>
      <c r="F316" s="21"/>
      <c r="G316" s="20"/>
      <c r="H316" s="18"/>
      <c r="I316" s="22"/>
      <c r="J316" s="18"/>
      <c r="K316" s="22"/>
      <c r="Q316">
        <f>ROUND((Source!DN152/100)*ROUND((ROUND((Source!AF152*Source!AV152*Source!I152),2)),2), 2)</f>
        <v>6537.66</v>
      </c>
      <c r="R316">
        <f>Source!X152</f>
        <v>141370.26999999999</v>
      </c>
      <c r="S316">
        <f>ROUND((Source!DO152/100)*ROUND((ROUND((Source!AF152*Source!AV152*Source!I152),2)),2), 2)</f>
        <v>4494.6400000000003</v>
      </c>
      <c r="T316">
        <f>Source!Y152</f>
        <v>85237.96</v>
      </c>
      <c r="U316">
        <f>ROUND((175/100)*ROUND((ROUND((Source!AE152*Source!AV152*Source!I152),2)),2), 2)</f>
        <v>0</v>
      </c>
      <c r="V316">
        <f>ROUND((157/100)*ROUND(ROUND((ROUND((Source!AE152*Source!AV152*Source!I152),2)*Source!BS152),2), 2), 2)</f>
        <v>0</v>
      </c>
    </row>
    <row r="317" spans="1:27" x14ac:dyDescent="0.2">
      <c r="C317" s="23" t="str">
        <f>"Объем: "&amp;Source!I152&amp;"=953/"&amp;"100"</f>
        <v>Объем: 9,53=953/100</v>
      </c>
    </row>
    <row r="318" spans="1:27" ht="14.25" x14ac:dyDescent="0.2">
      <c r="A318" s="16"/>
      <c r="B318" s="17"/>
      <c r="C318" s="17" t="s">
        <v>1625</v>
      </c>
      <c r="D318" s="19"/>
      <c r="E318" s="18"/>
      <c r="F318" s="21">
        <f>Source!AO152</f>
        <v>857.51</v>
      </c>
      <c r="G318" s="20" t="str">
        <f>Source!DG152</f>
        <v/>
      </c>
      <c r="H318" s="18">
        <f>Source!AV152</f>
        <v>1</v>
      </c>
      <c r="I318" s="22">
        <f>ROUND((ROUND((Source!AF152*Source!AV152*Source!I152),2)),2)</f>
        <v>8172.07</v>
      </c>
      <c r="J318" s="18">
        <f>IF(Source!BA152&lt;&gt; 0, Source!BA152, 1)</f>
        <v>25.44</v>
      </c>
      <c r="K318" s="22">
        <f>Source!S152</f>
        <v>207897.46</v>
      </c>
      <c r="W318">
        <f>I318</f>
        <v>8172.07</v>
      </c>
    </row>
    <row r="319" spans="1:27" ht="14.25" x14ac:dyDescent="0.2">
      <c r="A319" s="16"/>
      <c r="B319" s="17"/>
      <c r="C319" s="17" t="s">
        <v>1626</v>
      </c>
      <c r="D319" s="19" t="s">
        <v>1627</v>
      </c>
      <c r="E319" s="18">
        <f>Source!DN152</f>
        <v>80</v>
      </c>
      <c r="F319" s="21"/>
      <c r="G319" s="20"/>
      <c r="H319" s="18"/>
      <c r="I319" s="22">
        <f>SUM(Q316:Q318)</f>
        <v>6537.66</v>
      </c>
      <c r="J319" s="18">
        <f>Source!BZ152</f>
        <v>68</v>
      </c>
      <c r="K319" s="22">
        <f>SUM(R316:R318)</f>
        <v>141370.26999999999</v>
      </c>
    </row>
    <row r="320" spans="1:27" ht="14.25" x14ac:dyDescent="0.2">
      <c r="A320" s="16"/>
      <c r="B320" s="17"/>
      <c r="C320" s="17" t="s">
        <v>1628</v>
      </c>
      <c r="D320" s="19" t="s">
        <v>1627</v>
      </c>
      <c r="E320" s="18">
        <f>Source!DO152</f>
        <v>55</v>
      </c>
      <c r="F320" s="21"/>
      <c r="G320" s="20"/>
      <c r="H320" s="18"/>
      <c r="I320" s="22">
        <f>SUM(S316:S319)</f>
        <v>4494.6400000000003</v>
      </c>
      <c r="J320" s="18">
        <f>Source!CA152</f>
        <v>41</v>
      </c>
      <c r="K320" s="22">
        <f>SUM(T316:T319)</f>
        <v>85237.96</v>
      </c>
    </row>
    <row r="321" spans="1:27" ht="14.25" x14ac:dyDescent="0.2">
      <c r="A321" s="16"/>
      <c r="B321" s="17"/>
      <c r="C321" s="17" t="s">
        <v>1629</v>
      </c>
      <c r="D321" s="19" t="s">
        <v>1630</v>
      </c>
      <c r="E321" s="18">
        <f>Source!AQ152</f>
        <v>76.7</v>
      </c>
      <c r="F321" s="21"/>
      <c r="G321" s="20" t="str">
        <f>Source!DI152</f>
        <v/>
      </c>
      <c r="H321" s="18">
        <f>Source!AV152</f>
        <v>1</v>
      </c>
      <c r="I321" s="22">
        <f>Source!U152</f>
        <v>730.95100000000002</v>
      </c>
      <c r="J321" s="18"/>
      <c r="K321" s="22"/>
    </row>
    <row r="322" spans="1:27" ht="15" x14ac:dyDescent="0.25">
      <c r="A322" s="25"/>
      <c r="B322" s="25"/>
      <c r="C322" s="25"/>
      <c r="D322" s="25"/>
      <c r="E322" s="25"/>
      <c r="F322" s="25"/>
      <c r="G322" s="25"/>
      <c r="H322" s="54">
        <f>I318+I319+I320</f>
        <v>19204.37</v>
      </c>
      <c r="I322" s="54"/>
      <c r="J322" s="54">
        <f>K318+K319+K320</f>
        <v>434505.69</v>
      </c>
      <c r="K322" s="54"/>
      <c r="O322" s="24">
        <f>I318+I319+I320</f>
        <v>19204.37</v>
      </c>
      <c r="P322" s="24">
        <f>K318+K319+K320</f>
        <v>434505.69</v>
      </c>
      <c r="X322">
        <f>IF(Source!BI152&lt;=1,I318+I319+I320-0, 0)</f>
        <v>19204.37</v>
      </c>
      <c r="Y322">
        <f>IF(Source!BI152=2,I318+I319+I320-0, 0)</f>
        <v>0</v>
      </c>
      <c r="Z322">
        <f>IF(Source!BI152=3,I318+I319+I320-0, 0)</f>
        <v>0</v>
      </c>
      <c r="AA322">
        <f>IF(Source!BI152=4,I318+I319+I320,0)</f>
        <v>0</v>
      </c>
    </row>
    <row r="323" spans="1:27" ht="42.75" x14ac:dyDescent="0.2">
      <c r="A323" s="16" t="str">
        <f>Source!E153</f>
        <v>35</v>
      </c>
      <c r="B323" s="17" t="str">
        <f>Source!F153</f>
        <v>3.1-51-1</v>
      </c>
      <c r="C323" s="17" t="s">
        <v>330</v>
      </c>
      <c r="D323" s="19" t="str">
        <f>Source!H153</f>
        <v>100 м3 грунта</v>
      </c>
      <c r="E323" s="18">
        <f>Source!I153</f>
        <v>0.76239999999999997</v>
      </c>
      <c r="F323" s="21"/>
      <c r="G323" s="20"/>
      <c r="H323" s="18"/>
      <c r="I323" s="22"/>
      <c r="J323" s="18"/>
      <c r="K323" s="22"/>
      <c r="Q323">
        <f>ROUND((Source!DN153/100)*ROUND((ROUND((Source!AF153*Source!AV153*Source!I153),2)),2), 2)</f>
        <v>1629.71</v>
      </c>
      <c r="R323">
        <f>Source!X153</f>
        <v>33258.980000000003</v>
      </c>
      <c r="S323">
        <f>ROUND((Source!DO153/100)*ROUND((ROUND((Source!AF153*Source!AV153*Source!I153),2)),2), 2)</f>
        <v>1199.9000000000001</v>
      </c>
      <c r="T323">
        <f>Source!Y153</f>
        <v>18679.7</v>
      </c>
      <c r="U323">
        <f>ROUND((175/100)*ROUND((ROUND((Source!AE153*Source!AV153*Source!I153),2)),2), 2)</f>
        <v>0</v>
      </c>
      <c r="V323">
        <f>ROUND((157/100)*ROUND(ROUND((ROUND((Source!AE153*Source!AV153*Source!I153),2)*Source!BS153),2), 2), 2)</f>
        <v>0</v>
      </c>
    </row>
    <row r="324" spans="1:27" x14ac:dyDescent="0.2">
      <c r="C324" s="23" t="str">
        <f>"Объем: "&amp;Source!I153&amp;"=76,24/"&amp;"100"</f>
        <v>Объем: 0,7624=76,24/100</v>
      </c>
    </row>
    <row r="325" spans="1:27" ht="14.25" x14ac:dyDescent="0.2">
      <c r="A325" s="16"/>
      <c r="B325" s="17"/>
      <c r="C325" s="17" t="s">
        <v>1625</v>
      </c>
      <c r="D325" s="19"/>
      <c r="E325" s="18"/>
      <c r="F325" s="21">
        <f>Source!AO153</f>
        <v>2042.62</v>
      </c>
      <c r="G325" s="20" t="str">
        <f>Source!DG153</f>
        <v>)*1,15</v>
      </c>
      <c r="H325" s="18">
        <f>Source!AV153</f>
        <v>1</v>
      </c>
      <c r="I325" s="22">
        <f>ROUND((ROUND((Source!AF153*Source!AV153*Source!I153),2)),2)</f>
        <v>1790.89</v>
      </c>
      <c r="J325" s="18">
        <f>IF(Source!BA153&lt;&gt; 0, Source!BA153, 1)</f>
        <v>25.44</v>
      </c>
      <c r="K325" s="22">
        <f>Source!S153</f>
        <v>45560.24</v>
      </c>
      <c r="W325">
        <f>I325</f>
        <v>1790.89</v>
      </c>
    </row>
    <row r="326" spans="1:27" ht="14.25" x14ac:dyDescent="0.2">
      <c r="A326" s="16"/>
      <c r="B326" s="17"/>
      <c r="C326" s="17" t="s">
        <v>1626</v>
      </c>
      <c r="D326" s="19" t="s">
        <v>1627</v>
      </c>
      <c r="E326" s="18">
        <f>Source!DN153</f>
        <v>91</v>
      </c>
      <c r="F326" s="21"/>
      <c r="G326" s="20"/>
      <c r="H326" s="18"/>
      <c r="I326" s="22">
        <f>SUM(Q323:Q325)</f>
        <v>1629.71</v>
      </c>
      <c r="J326" s="18">
        <f>Source!BZ153</f>
        <v>73</v>
      </c>
      <c r="K326" s="22">
        <f>SUM(R323:R325)</f>
        <v>33258.980000000003</v>
      </c>
    </row>
    <row r="327" spans="1:27" ht="14.25" x14ac:dyDescent="0.2">
      <c r="A327" s="16"/>
      <c r="B327" s="17"/>
      <c r="C327" s="17" t="s">
        <v>1628</v>
      </c>
      <c r="D327" s="19" t="s">
        <v>1627</v>
      </c>
      <c r="E327" s="18">
        <f>Source!DO153</f>
        <v>67</v>
      </c>
      <c r="F327" s="21"/>
      <c r="G327" s="20"/>
      <c r="H327" s="18"/>
      <c r="I327" s="22">
        <f>SUM(S323:S326)</f>
        <v>1199.9000000000001</v>
      </c>
      <c r="J327" s="18">
        <f>Source!CA153</f>
        <v>41</v>
      </c>
      <c r="K327" s="22">
        <f>SUM(T323:T326)</f>
        <v>18679.7</v>
      </c>
    </row>
    <row r="328" spans="1:27" ht="14.25" x14ac:dyDescent="0.2">
      <c r="A328" s="16"/>
      <c r="B328" s="17"/>
      <c r="C328" s="17" t="s">
        <v>1629</v>
      </c>
      <c r="D328" s="19" t="s">
        <v>1630</v>
      </c>
      <c r="E328" s="18">
        <f>Source!AQ153</f>
        <v>192.7</v>
      </c>
      <c r="F328" s="21"/>
      <c r="G328" s="20" t="str">
        <f>Source!DI153</f>
        <v>)*1,15</v>
      </c>
      <c r="H328" s="18">
        <f>Source!AV153</f>
        <v>1</v>
      </c>
      <c r="I328" s="22">
        <f>Source!U153</f>
        <v>168.95165199999997</v>
      </c>
      <c r="J328" s="18"/>
      <c r="K328" s="22"/>
    </row>
    <row r="329" spans="1:27" ht="15" x14ac:dyDescent="0.25">
      <c r="A329" s="25"/>
      <c r="B329" s="25"/>
      <c r="C329" s="25"/>
      <c r="D329" s="25"/>
      <c r="E329" s="25"/>
      <c r="F329" s="25"/>
      <c r="G329" s="25"/>
      <c r="H329" s="54">
        <f>I325+I326+I327</f>
        <v>4620.5</v>
      </c>
      <c r="I329" s="54"/>
      <c r="J329" s="54">
        <f>K325+K326+K327</f>
        <v>97498.92</v>
      </c>
      <c r="K329" s="54"/>
      <c r="O329" s="24">
        <f>I325+I326+I327</f>
        <v>4620.5</v>
      </c>
      <c r="P329" s="24">
        <f>K325+K326+K327</f>
        <v>97498.92</v>
      </c>
      <c r="X329">
        <f>IF(Source!BI153&lt;=1,I325+I326+I327-0, 0)</f>
        <v>4620.5</v>
      </c>
      <c r="Y329">
        <f>IF(Source!BI153=2,I325+I326+I327-0, 0)</f>
        <v>0</v>
      </c>
      <c r="Z329">
        <f>IF(Source!BI153=3,I325+I326+I327-0, 0)</f>
        <v>0</v>
      </c>
      <c r="AA329">
        <f>IF(Source!BI153=4,I325+I326+I327,0)</f>
        <v>0</v>
      </c>
    </row>
    <row r="330" spans="1:27" ht="42.75" x14ac:dyDescent="0.2">
      <c r="A330" s="16" t="str">
        <f>Source!E154</f>
        <v>36</v>
      </c>
      <c r="B330" s="17" t="str">
        <f>Source!F154</f>
        <v>3.27-26-6</v>
      </c>
      <c r="C330" s="17" t="s">
        <v>333</v>
      </c>
      <c r="D330" s="19" t="str">
        <f>Source!H154</f>
        <v>100 м бортового камня</v>
      </c>
      <c r="E330" s="18">
        <f>Source!I154</f>
        <v>9.5299999999999994</v>
      </c>
      <c r="F330" s="21"/>
      <c r="G330" s="20"/>
      <c r="H330" s="18"/>
      <c r="I330" s="22"/>
      <c r="J330" s="18"/>
      <c r="K330" s="22"/>
      <c r="Q330">
        <f>ROUND((Source!DN154/100)*ROUND((ROUND((Source!AF154*Source!AV154*Source!I154),2)),2), 2)</f>
        <v>10771.15</v>
      </c>
      <c r="R330">
        <f>Source!X154</f>
        <v>219214.49</v>
      </c>
      <c r="S330">
        <f>ROUND((Source!DO154/100)*ROUND((ROUND((Source!AF154*Source!AV154*Source!I154),2)),2), 2)</f>
        <v>6078.01</v>
      </c>
      <c r="T330">
        <f>Source!Y154</f>
        <v>80248.160000000003</v>
      </c>
      <c r="U330">
        <f>ROUND((175/100)*ROUND((ROUND((Source!AE154*Source!AV154*Source!I154),2)),2), 2)</f>
        <v>172.41</v>
      </c>
      <c r="V330">
        <f>ROUND((157/100)*ROUND(ROUND((ROUND((Source!AE154*Source!AV154*Source!I154),2)*Source!BS154),2), 2), 2)</f>
        <v>3934.97</v>
      </c>
    </row>
    <row r="331" spans="1:27" x14ac:dyDescent="0.2">
      <c r="C331" s="23" t="str">
        <f>"Объем: "&amp;Source!I154&amp;"=953/"&amp;"100"</f>
        <v>Объем: 9,53=953/100</v>
      </c>
    </row>
    <row r="332" spans="1:27" ht="14.25" x14ac:dyDescent="0.2">
      <c r="A332" s="16"/>
      <c r="B332" s="17"/>
      <c r="C332" s="17" t="s">
        <v>1625</v>
      </c>
      <c r="D332" s="19"/>
      <c r="E332" s="18"/>
      <c r="F332" s="21">
        <f>Source!AO154</f>
        <v>702.01</v>
      </c>
      <c r="G332" s="20" t="str">
        <f>Source!DG154</f>
        <v>)*1,15</v>
      </c>
      <c r="H332" s="18">
        <f>Source!AV154</f>
        <v>1</v>
      </c>
      <c r="I332" s="22">
        <f>ROUND((ROUND((Source!AF154*Source!AV154*Source!I154),2)),2)</f>
        <v>7693.68</v>
      </c>
      <c r="J332" s="18">
        <f>IF(Source!BA154&lt;&gt; 0, Source!BA154, 1)</f>
        <v>25.44</v>
      </c>
      <c r="K332" s="22">
        <f>Source!S154</f>
        <v>195727.22</v>
      </c>
      <c r="W332">
        <f>I332</f>
        <v>7693.68</v>
      </c>
    </row>
    <row r="333" spans="1:27" ht="14.25" x14ac:dyDescent="0.2">
      <c r="A333" s="16"/>
      <c r="B333" s="17"/>
      <c r="C333" s="17" t="s">
        <v>1631</v>
      </c>
      <c r="D333" s="19"/>
      <c r="E333" s="18"/>
      <c r="F333" s="21">
        <f>Source!AM154</f>
        <v>53.54</v>
      </c>
      <c r="G333" s="20" t="str">
        <f>Source!DE154</f>
        <v>)*1,25</v>
      </c>
      <c r="H333" s="18">
        <f>Source!AV154</f>
        <v>1</v>
      </c>
      <c r="I333" s="22">
        <f>(ROUND((ROUND((((Source!ET154*1.25))*Source!AV154*Source!I154),2)),2)+ROUND((ROUND(((Source!AE154-((Source!EU154*1.25)))*Source!AV154*Source!I154),2)),2))</f>
        <v>637.79999999999995</v>
      </c>
      <c r="J333" s="18">
        <f>IF(Source!BB154&lt;&gt; 0, Source!BB154, 1)</f>
        <v>9.23</v>
      </c>
      <c r="K333" s="22">
        <f>Source!Q154</f>
        <v>5886.89</v>
      </c>
    </row>
    <row r="334" spans="1:27" ht="14.25" x14ac:dyDescent="0.2">
      <c r="A334" s="16"/>
      <c r="B334" s="17"/>
      <c r="C334" s="17" t="s">
        <v>1632</v>
      </c>
      <c r="D334" s="19"/>
      <c r="E334" s="18"/>
      <c r="F334" s="21">
        <f>Source!AN154</f>
        <v>8.27</v>
      </c>
      <c r="G334" s="20" t="str">
        <f>Source!DF154</f>
        <v>)*1,25</v>
      </c>
      <c r="H334" s="18">
        <f>Source!AV154</f>
        <v>1</v>
      </c>
      <c r="I334" s="26">
        <f>ROUND((ROUND((Source!AE154*Source!AV154*Source!I154),2)),2)</f>
        <v>98.52</v>
      </c>
      <c r="J334" s="18">
        <f>IF(Source!BS154&lt;&gt; 0, Source!BS154, 1)</f>
        <v>25.44</v>
      </c>
      <c r="K334" s="26">
        <f>Source!R154</f>
        <v>2506.35</v>
      </c>
      <c r="W334">
        <f>I334</f>
        <v>98.52</v>
      </c>
    </row>
    <row r="335" spans="1:27" ht="14.25" x14ac:dyDescent="0.2">
      <c r="A335" s="16"/>
      <c r="B335" s="17"/>
      <c r="C335" s="17" t="s">
        <v>1634</v>
      </c>
      <c r="D335" s="19"/>
      <c r="E335" s="18"/>
      <c r="F335" s="21">
        <f>Source!AL154</f>
        <v>3709.87</v>
      </c>
      <c r="G335" s="20" t="str">
        <f>Source!DD154</f>
        <v/>
      </c>
      <c r="H335" s="18">
        <f>Source!AW154</f>
        <v>1</v>
      </c>
      <c r="I335" s="22">
        <f>ROUND((ROUND((Source!AC154*Source!AW154*Source!I154),2)),2)</f>
        <v>35355.06</v>
      </c>
      <c r="J335" s="18">
        <f>IF(Source!BC154&lt;&gt; 0, Source!BC154, 1)</f>
        <v>5.65</v>
      </c>
      <c r="K335" s="22">
        <f>Source!P154</f>
        <v>199756.09</v>
      </c>
    </row>
    <row r="336" spans="1:27" ht="57" x14ac:dyDescent="0.2">
      <c r="A336" s="16" t="str">
        <f>Source!E155</f>
        <v>36,1</v>
      </c>
      <c r="B336" s="17" t="str">
        <f>Source!F155</f>
        <v>1.3-1-38</v>
      </c>
      <c r="C336" s="17" t="s">
        <v>108</v>
      </c>
      <c r="D336" s="19" t="str">
        <f>Source!H155</f>
        <v>м3</v>
      </c>
      <c r="E336" s="18">
        <f>Source!I155</f>
        <v>-45.743999999999993</v>
      </c>
      <c r="F336" s="21">
        <f>Source!AK155</f>
        <v>704.89</v>
      </c>
      <c r="G336" s="27" t="s">
        <v>3</v>
      </c>
      <c r="H336" s="18">
        <f>Source!AW155</f>
        <v>1</v>
      </c>
      <c r="I336" s="22">
        <f>ROUND((ROUND((Source!AC155*Source!AW155*Source!I155),2)),2)+(ROUND((ROUND(((Source!ET155)*Source!AV155*Source!I155),2)),2)+ROUND((ROUND(((Source!AE155-(Source!EU155))*Source!AV155*Source!I155),2)),2))+ROUND((ROUND((Source!AF155*Source!AV155*Source!I155),2)),2)</f>
        <v>-32244.49</v>
      </c>
      <c r="J336" s="18">
        <f>IF(Source!BC155&lt;&gt; 0, Source!BC155, 1)</f>
        <v>6.01</v>
      </c>
      <c r="K336" s="22">
        <f>Source!O155</f>
        <v>-193789.38</v>
      </c>
      <c r="Q336">
        <f>ROUND((Source!DN155/100)*ROUND((ROUND((Source!AF155*Source!AV155*Source!I155),2)),2), 2)</f>
        <v>0</v>
      </c>
      <c r="R336">
        <f>Source!X155</f>
        <v>0</v>
      </c>
      <c r="S336">
        <f>ROUND((Source!DO155/100)*ROUND((ROUND((Source!AF155*Source!AV155*Source!I155),2)),2), 2)</f>
        <v>0</v>
      </c>
      <c r="T336">
        <f>Source!Y155</f>
        <v>0</v>
      </c>
      <c r="U336">
        <f>ROUND((175/100)*ROUND((ROUND((Source!AE155*Source!AV155*Source!I155),2)),2), 2)</f>
        <v>0</v>
      </c>
      <c r="V336">
        <f>ROUND((157/100)*ROUND(ROUND((ROUND((Source!AE155*Source!AV155*Source!I155),2)*Source!BS155),2), 2), 2)</f>
        <v>0</v>
      </c>
      <c r="X336">
        <f>IF(Source!BI155&lt;=1,I336, 0)</f>
        <v>-32244.49</v>
      </c>
      <c r="Y336">
        <f>IF(Source!BI155=2,I336, 0)</f>
        <v>0</v>
      </c>
      <c r="Z336">
        <f>IF(Source!BI155=3,I336, 0)</f>
        <v>0</v>
      </c>
      <c r="AA336">
        <f>IF(Source!BI155=4,I336, 0)</f>
        <v>0</v>
      </c>
    </row>
    <row r="337" spans="1:27" ht="57" x14ac:dyDescent="0.2">
      <c r="A337" s="16" t="str">
        <f>Source!E156</f>
        <v>36,2</v>
      </c>
      <c r="B337" s="17" t="str">
        <f>Source!F156</f>
        <v>1.3-1-38</v>
      </c>
      <c r="C337" s="17" t="s">
        <v>108</v>
      </c>
      <c r="D337" s="19" t="str">
        <f>Source!H156</f>
        <v>м3</v>
      </c>
      <c r="E337" s="18">
        <f>Source!I156</f>
        <v>19</v>
      </c>
      <c r="F337" s="21">
        <f>Source!AK156</f>
        <v>704.89</v>
      </c>
      <c r="G337" s="27" t="s">
        <v>3</v>
      </c>
      <c r="H337" s="18">
        <f>Source!AW156</f>
        <v>1</v>
      </c>
      <c r="I337" s="22">
        <f>ROUND((ROUND((Source!AC156*Source!AW156*Source!I156),2)),2)+(ROUND((ROUND(((Source!ET156)*Source!AV156*Source!I156),2)),2)+ROUND((ROUND(((Source!AE156-(Source!EU156))*Source!AV156*Source!I156),2)),2))+ROUND((ROUND((Source!AF156*Source!AV156*Source!I156),2)),2)</f>
        <v>13392.91</v>
      </c>
      <c r="J337" s="18">
        <f>IF(Source!BC156&lt;&gt; 0, Source!BC156, 1)</f>
        <v>6.01</v>
      </c>
      <c r="K337" s="22">
        <f>Source!O156</f>
        <v>80491.39</v>
      </c>
      <c r="Q337">
        <f>ROUND((Source!DN156/100)*ROUND((ROUND((Source!AF156*Source!AV156*Source!I156),2)),2), 2)</f>
        <v>0</v>
      </c>
      <c r="R337">
        <f>Source!X156</f>
        <v>0</v>
      </c>
      <c r="S337">
        <f>ROUND((Source!DO156/100)*ROUND((ROUND((Source!AF156*Source!AV156*Source!I156),2)),2), 2)</f>
        <v>0</v>
      </c>
      <c r="T337">
        <f>Source!Y156</f>
        <v>0</v>
      </c>
      <c r="U337">
        <f>ROUND((175/100)*ROUND((ROUND((Source!AE156*Source!AV156*Source!I156),2)),2), 2)</f>
        <v>0</v>
      </c>
      <c r="V337">
        <f>ROUND((157/100)*ROUND(ROUND((ROUND((Source!AE156*Source!AV156*Source!I156),2)*Source!BS156),2), 2), 2)</f>
        <v>0</v>
      </c>
      <c r="X337">
        <f>IF(Source!BI156&lt;=1,I337, 0)</f>
        <v>13392.91</v>
      </c>
      <c r="Y337">
        <f>IF(Source!BI156=2,I337, 0)</f>
        <v>0</v>
      </c>
      <c r="Z337">
        <f>IF(Source!BI156=3,I337, 0)</f>
        <v>0</v>
      </c>
      <c r="AA337">
        <f>IF(Source!BI156=4,I337, 0)</f>
        <v>0</v>
      </c>
    </row>
    <row r="338" spans="1:27" ht="42.75" x14ac:dyDescent="0.2">
      <c r="A338" s="16" t="str">
        <f>Source!E157</f>
        <v>36,3</v>
      </c>
      <c r="B338" s="17" t="str">
        <f>Source!F157</f>
        <v>1.1-1-1525</v>
      </c>
      <c r="C338" s="17" t="s">
        <v>342</v>
      </c>
      <c r="D338" s="19" t="str">
        <f>Source!H157</f>
        <v>м3</v>
      </c>
      <c r="E338" s="18">
        <f>Source!I157</f>
        <v>20</v>
      </c>
      <c r="F338" s="21">
        <f>Source!AK157</f>
        <v>185.17</v>
      </c>
      <c r="G338" s="27" t="s">
        <v>3</v>
      </c>
      <c r="H338" s="18">
        <f>Source!AW157</f>
        <v>1</v>
      </c>
      <c r="I338" s="22">
        <f>ROUND((ROUND((Source!AC157*Source!AW157*Source!I157),2)),2)+(ROUND((ROUND(((Source!ET157)*Source!AV157*Source!I157),2)),2)+ROUND((ROUND(((Source!AE157-(Source!EU157))*Source!AV157*Source!I157),2)),2))+ROUND((ROUND((Source!AF157*Source!AV157*Source!I157),2)),2)</f>
        <v>3703.4</v>
      </c>
      <c r="J338" s="18">
        <f>IF(Source!BC157&lt;&gt; 0, Source!BC157, 1)</f>
        <v>10.17</v>
      </c>
      <c r="K338" s="22">
        <f>Source!O157</f>
        <v>37663.58</v>
      </c>
      <c r="Q338">
        <f>ROUND((Source!DN157/100)*ROUND((ROUND((Source!AF157*Source!AV157*Source!I157),2)),2), 2)</f>
        <v>0</v>
      </c>
      <c r="R338">
        <f>Source!X157</f>
        <v>0</v>
      </c>
      <c r="S338">
        <f>ROUND((Source!DO157/100)*ROUND((ROUND((Source!AF157*Source!AV157*Source!I157),2)),2), 2)</f>
        <v>0</v>
      </c>
      <c r="T338">
        <f>Source!Y157</f>
        <v>0</v>
      </c>
      <c r="U338">
        <f>ROUND((175/100)*ROUND((ROUND((Source!AE157*Source!AV157*Source!I157),2)),2), 2)</f>
        <v>0</v>
      </c>
      <c r="V338">
        <f>ROUND((157/100)*ROUND(ROUND((ROUND((Source!AE157*Source!AV157*Source!I157),2)*Source!BS157),2), 2), 2)</f>
        <v>0</v>
      </c>
      <c r="X338">
        <f>IF(Source!BI157&lt;=1,I338, 0)</f>
        <v>3703.4</v>
      </c>
      <c r="Y338">
        <f>IF(Source!BI157=2,I338, 0)</f>
        <v>0</v>
      </c>
      <c r="Z338">
        <f>IF(Source!BI157=3,I338, 0)</f>
        <v>0</v>
      </c>
      <c r="AA338">
        <f>IF(Source!BI157=4,I338, 0)</f>
        <v>0</v>
      </c>
    </row>
    <row r="339" spans="1:27" ht="14.25" x14ac:dyDescent="0.2">
      <c r="A339" s="16"/>
      <c r="B339" s="17"/>
      <c r="C339" s="17" t="s">
        <v>1626</v>
      </c>
      <c r="D339" s="19" t="s">
        <v>1627</v>
      </c>
      <c r="E339" s="18">
        <f>Source!DN154</f>
        <v>140</v>
      </c>
      <c r="F339" s="21"/>
      <c r="G339" s="20"/>
      <c r="H339" s="18"/>
      <c r="I339" s="22">
        <f>SUM(Q330:Q338)</f>
        <v>10771.15</v>
      </c>
      <c r="J339" s="18">
        <f>Source!BZ154</f>
        <v>112</v>
      </c>
      <c r="K339" s="22">
        <f>SUM(R330:R338)</f>
        <v>219214.49</v>
      </c>
    </row>
    <row r="340" spans="1:27" ht="14.25" x14ac:dyDescent="0.2">
      <c r="A340" s="16"/>
      <c r="B340" s="17"/>
      <c r="C340" s="17" t="s">
        <v>1628</v>
      </c>
      <c r="D340" s="19" t="s">
        <v>1627</v>
      </c>
      <c r="E340" s="18">
        <f>Source!DO154</f>
        <v>79</v>
      </c>
      <c r="F340" s="21"/>
      <c r="G340" s="20"/>
      <c r="H340" s="18"/>
      <c r="I340" s="22">
        <f>SUM(S330:S339)</f>
        <v>6078.01</v>
      </c>
      <c r="J340" s="18">
        <f>Source!CA154</f>
        <v>41</v>
      </c>
      <c r="K340" s="22">
        <f>SUM(T330:T339)</f>
        <v>80248.160000000003</v>
      </c>
    </row>
    <row r="341" spans="1:27" ht="14.25" x14ac:dyDescent="0.2">
      <c r="A341" s="16"/>
      <c r="B341" s="17"/>
      <c r="C341" s="17" t="s">
        <v>1633</v>
      </c>
      <c r="D341" s="19" t="s">
        <v>1627</v>
      </c>
      <c r="E341" s="18">
        <f>175</f>
        <v>175</v>
      </c>
      <c r="F341" s="21"/>
      <c r="G341" s="20"/>
      <c r="H341" s="18"/>
      <c r="I341" s="22">
        <f>SUM(U330:U340)</f>
        <v>172.41</v>
      </c>
      <c r="J341" s="18">
        <f>157</f>
        <v>157</v>
      </c>
      <c r="K341" s="22">
        <f>SUM(V330:V340)</f>
        <v>3934.97</v>
      </c>
    </row>
    <row r="342" spans="1:27" ht="14.25" x14ac:dyDescent="0.2">
      <c r="A342" s="16"/>
      <c r="B342" s="17"/>
      <c r="C342" s="17" t="s">
        <v>1629</v>
      </c>
      <c r="D342" s="19" t="s">
        <v>1630</v>
      </c>
      <c r="E342" s="18">
        <f>Source!AQ154</f>
        <v>63.44</v>
      </c>
      <c r="F342" s="21"/>
      <c r="G342" s="20" t="str">
        <f>Source!DI154</f>
        <v>)*1,15</v>
      </c>
      <c r="H342" s="18">
        <f>Source!AV154</f>
        <v>1</v>
      </c>
      <c r="I342" s="22">
        <f>Source!U154</f>
        <v>695.27067999999986</v>
      </c>
      <c r="J342" s="18"/>
      <c r="K342" s="22"/>
    </row>
    <row r="343" spans="1:27" ht="15" x14ac:dyDescent="0.25">
      <c r="A343" s="25"/>
      <c r="B343" s="25"/>
      <c r="C343" s="25"/>
      <c r="D343" s="25"/>
      <c r="E343" s="25"/>
      <c r="F343" s="25"/>
      <c r="G343" s="25"/>
      <c r="H343" s="54">
        <f>I332+I333+I335+I339+I340+I341+SUM(I336:I338)</f>
        <v>45559.93</v>
      </c>
      <c r="I343" s="54"/>
      <c r="J343" s="54">
        <f>K332+K333+K335+K339+K340+K341+SUM(K336:K338)</f>
        <v>629133.40999999992</v>
      </c>
      <c r="K343" s="54"/>
      <c r="O343" s="24">
        <f>I332+I333+I335+I339+I340+I341+SUM(I336:I338)</f>
        <v>45559.93</v>
      </c>
      <c r="P343" s="24">
        <f>K332+K333+K335+K339+K340+K341+SUM(K336:K338)</f>
        <v>629133.40999999992</v>
      </c>
      <c r="X343">
        <f>IF(Source!BI154&lt;=1,I332+I333+I335+I339+I340+I341-0, 0)</f>
        <v>60708.11</v>
      </c>
      <c r="Y343">
        <f>IF(Source!BI154=2,I332+I333+I335+I339+I340+I341-0, 0)</f>
        <v>0</v>
      </c>
      <c r="Z343">
        <f>IF(Source!BI154=3,I332+I333+I335+I339+I340+I341-0, 0)</f>
        <v>0</v>
      </c>
      <c r="AA343">
        <f>IF(Source!BI154=4,I332+I333+I335+I339+I340+I341,0)</f>
        <v>0</v>
      </c>
    </row>
    <row r="344" spans="1:27" ht="42.75" x14ac:dyDescent="0.2">
      <c r="A344" s="16" t="str">
        <f>Source!E158</f>
        <v>37</v>
      </c>
      <c r="B344" s="17" t="str">
        <f>Source!F158</f>
        <v>Цена поставщика</v>
      </c>
      <c r="C344" s="17" t="s">
        <v>1644</v>
      </c>
      <c r="D344" s="19" t="str">
        <f>Source!H158</f>
        <v>шт.</v>
      </c>
      <c r="E344" s="18">
        <f>Source!I158</f>
        <v>1906</v>
      </c>
      <c r="F344" s="21">
        <f>Source!AL158</f>
        <v>16.09</v>
      </c>
      <c r="G344" s="20" t="str">
        <f>Source!DD158</f>
        <v/>
      </c>
      <c r="H344" s="18">
        <f>Source!AW158</f>
        <v>1</v>
      </c>
      <c r="I344" s="22">
        <f>ROUND((ROUND((Source!AC158*Source!AW158*Source!I158),2)),2)</f>
        <v>30667.54</v>
      </c>
      <c r="J344" s="18">
        <f>IF(Source!BC158&lt;&gt; 0, Source!BC158, 1)</f>
        <v>6.34</v>
      </c>
      <c r="K344" s="22">
        <f>Source!P158</f>
        <v>194432.2</v>
      </c>
      <c r="Q344">
        <f>ROUND((Source!DN158/100)*ROUND((ROUND((Source!AF158*Source!AV158*Source!I158),2)),2), 2)</f>
        <v>0</v>
      </c>
      <c r="R344">
        <f>Source!X158</f>
        <v>0</v>
      </c>
      <c r="S344">
        <f>ROUND((Source!DO158/100)*ROUND((ROUND((Source!AF158*Source!AV158*Source!I158),2)),2), 2)</f>
        <v>0</v>
      </c>
      <c r="T344">
        <f>Source!Y158</f>
        <v>0</v>
      </c>
      <c r="U344">
        <f>ROUND((175/100)*ROUND((ROUND((Source!AE158*Source!AV158*Source!I158),2)),2), 2)</f>
        <v>0</v>
      </c>
      <c r="V344">
        <f>ROUND((157/100)*ROUND(ROUND((ROUND((Source!AE158*Source!AV158*Source!I158),2)*Source!BS158),2), 2), 2)</f>
        <v>0</v>
      </c>
    </row>
    <row r="345" spans="1:27" ht="15" x14ac:dyDescent="0.25">
      <c r="A345" s="25"/>
      <c r="B345" s="25"/>
      <c r="C345" s="25"/>
      <c r="D345" s="25"/>
      <c r="E345" s="25"/>
      <c r="F345" s="25"/>
      <c r="G345" s="25"/>
      <c r="H345" s="54">
        <f>I344</f>
        <v>30667.54</v>
      </c>
      <c r="I345" s="54"/>
      <c r="J345" s="54">
        <f>K344</f>
        <v>194432.2</v>
      </c>
      <c r="K345" s="54"/>
      <c r="O345" s="24">
        <f>I344</f>
        <v>30667.54</v>
      </c>
      <c r="P345" s="24">
        <f>K344</f>
        <v>194432.2</v>
      </c>
      <c r="X345">
        <f>IF(Source!BI158&lt;=1,I344-0, 0)</f>
        <v>30667.54</v>
      </c>
      <c r="Y345">
        <f>IF(Source!BI158=2,I344-0, 0)</f>
        <v>0</v>
      </c>
      <c r="Z345">
        <f>IF(Source!BI158=3,I344-0, 0)</f>
        <v>0</v>
      </c>
      <c r="AA345">
        <f>IF(Source!BI158=4,I344,0)</f>
        <v>0</v>
      </c>
    </row>
    <row r="346" spans="1:27" ht="57" x14ac:dyDescent="0.2">
      <c r="A346" s="16" t="str">
        <f>Source!E159</f>
        <v>38</v>
      </c>
      <c r="B346" s="17" t="str">
        <f>Source!F159</f>
        <v>6.68-13-1</v>
      </c>
      <c r="C346" s="17" t="s">
        <v>350</v>
      </c>
      <c r="D346" s="19" t="str">
        <f>Source!H159</f>
        <v>1 Т</v>
      </c>
      <c r="E346" s="18">
        <f>Source!I159</f>
        <v>99.302999999999997</v>
      </c>
      <c r="F346" s="21"/>
      <c r="G346" s="20"/>
      <c r="H346" s="18"/>
      <c r="I346" s="22"/>
      <c r="J346" s="18"/>
      <c r="K346" s="22"/>
      <c r="Q346">
        <f>ROUND((Source!DN159/100)*ROUND((ROUND((Source!AF159*Source!AV159*Source!I159),2)),2), 2)</f>
        <v>0</v>
      </c>
      <c r="R346">
        <f>Source!X159</f>
        <v>0</v>
      </c>
      <c r="S346">
        <f>ROUND((Source!DO159/100)*ROUND((ROUND((Source!AF159*Source!AV159*Source!I159),2)),2), 2)</f>
        <v>0</v>
      </c>
      <c r="T346">
        <f>Source!Y159</f>
        <v>0</v>
      </c>
      <c r="U346">
        <f>ROUND((175/100)*ROUND((ROUND((Source!AE159*Source!AV159*Source!I159),2)),2), 2)</f>
        <v>257.2</v>
      </c>
      <c r="V346">
        <f>ROUND((157/100)*ROUND(ROUND((ROUND((Source!AE159*Source!AV159*Source!I159),2)*Source!BS159),2), 2), 2)</f>
        <v>5870.1</v>
      </c>
    </row>
    <row r="347" spans="1:27" ht="14.25" x14ac:dyDescent="0.2">
      <c r="A347" s="16"/>
      <c r="B347" s="17"/>
      <c r="C347" s="17" t="s">
        <v>1631</v>
      </c>
      <c r="D347" s="19"/>
      <c r="E347" s="18"/>
      <c r="F347" s="21">
        <f>Source!AM159</f>
        <v>8.86</v>
      </c>
      <c r="G347" s="20" t="str">
        <f>Source!DE159</f>
        <v/>
      </c>
      <c r="H347" s="18">
        <f>Source!AV159</f>
        <v>1</v>
      </c>
      <c r="I347" s="22">
        <f>(ROUND((ROUND(((Source!ET159)*Source!AV159*Source!I159),2)),2)+ROUND((ROUND(((Source!AE159-(Source!EU159))*Source!AV159*Source!I159),2)),2))</f>
        <v>879.82</v>
      </c>
      <c r="J347" s="18">
        <f>IF(Source!BB159&lt;&gt; 0, Source!BB159, 1)</f>
        <v>9.1199999999999992</v>
      </c>
      <c r="K347" s="22">
        <f>Source!Q159</f>
        <v>8023.96</v>
      </c>
    </row>
    <row r="348" spans="1:27" ht="14.25" x14ac:dyDescent="0.2">
      <c r="A348" s="16"/>
      <c r="B348" s="17"/>
      <c r="C348" s="17" t="s">
        <v>1632</v>
      </c>
      <c r="D348" s="19"/>
      <c r="E348" s="18"/>
      <c r="F348" s="21">
        <f>Source!AN159</f>
        <v>1.48</v>
      </c>
      <c r="G348" s="20" t="str">
        <f>Source!DF159</f>
        <v/>
      </c>
      <c r="H348" s="18">
        <f>Source!AV159</f>
        <v>1</v>
      </c>
      <c r="I348" s="26">
        <f>ROUND((ROUND((Source!AE159*Source!AV159*Source!I159),2)),2)</f>
        <v>146.97</v>
      </c>
      <c r="J348" s="18">
        <f>IF(Source!BS159&lt;&gt; 0, Source!BS159, 1)</f>
        <v>25.44</v>
      </c>
      <c r="K348" s="26">
        <f>Source!R159</f>
        <v>3738.92</v>
      </c>
      <c r="W348">
        <f>I348</f>
        <v>146.97</v>
      </c>
    </row>
    <row r="349" spans="1:27" ht="14.25" x14ac:dyDescent="0.2">
      <c r="A349" s="16"/>
      <c r="B349" s="17"/>
      <c r="C349" s="17" t="s">
        <v>1633</v>
      </c>
      <c r="D349" s="19" t="s">
        <v>1627</v>
      </c>
      <c r="E349" s="18">
        <f>175</f>
        <v>175</v>
      </c>
      <c r="F349" s="21"/>
      <c r="G349" s="20"/>
      <c r="H349" s="18"/>
      <c r="I349" s="22">
        <f>SUM(U346:U348)</f>
        <v>257.2</v>
      </c>
      <c r="J349" s="18">
        <f>157</f>
        <v>157</v>
      </c>
      <c r="K349" s="22">
        <f>SUM(V346:V348)</f>
        <v>5870.1</v>
      </c>
    </row>
    <row r="350" spans="1:27" ht="15" x14ac:dyDescent="0.25">
      <c r="A350" s="25"/>
      <c r="B350" s="25"/>
      <c r="C350" s="25"/>
      <c r="D350" s="25"/>
      <c r="E350" s="25"/>
      <c r="F350" s="25"/>
      <c r="G350" s="25"/>
      <c r="H350" s="54">
        <f>I347+I349</f>
        <v>1137.02</v>
      </c>
      <c r="I350" s="54"/>
      <c r="J350" s="54">
        <f>K347+K349</f>
        <v>13894.060000000001</v>
      </c>
      <c r="K350" s="54"/>
      <c r="O350" s="24">
        <f>I347+I349</f>
        <v>1137.02</v>
      </c>
      <c r="P350" s="24">
        <f>K347+K349</f>
        <v>13894.060000000001</v>
      </c>
      <c r="X350">
        <f>IF(Source!BI159&lt;=1,I347+I349-0, 0)</f>
        <v>1137.02</v>
      </c>
      <c r="Y350">
        <f>IF(Source!BI159=2,I347+I349-0, 0)</f>
        <v>0</v>
      </c>
      <c r="Z350">
        <f>IF(Source!BI159=3,I347+I349-0, 0)</f>
        <v>0</v>
      </c>
      <c r="AA350">
        <f>IF(Source!BI159=4,I347+I349,0)</f>
        <v>0</v>
      </c>
    </row>
    <row r="351" spans="1:27" ht="42.75" x14ac:dyDescent="0.2">
      <c r="A351" s="16" t="str">
        <f>Source!E160</f>
        <v>39</v>
      </c>
      <c r="B351" s="17" t="str">
        <f>Source!F160</f>
        <v>15.2-43-10</v>
      </c>
      <c r="C351" s="17" t="s">
        <v>188</v>
      </c>
      <c r="D351" s="19" t="str">
        <f>Source!H160</f>
        <v>т</v>
      </c>
      <c r="E351" s="18">
        <f>Source!I160</f>
        <v>99.302999999999997</v>
      </c>
      <c r="F351" s="21"/>
      <c r="G351" s="20"/>
      <c r="H351" s="18"/>
      <c r="I351" s="22"/>
      <c r="J351" s="18"/>
      <c r="K351" s="22"/>
      <c r="Q351">
        <f>ROUND((Source!DN160/100)*ROUND((ROUND((Source!AF160*Source!AV160*Source!I160),2)),2), 2)</f>
        <v>0</v>
      </c>
      <c r="R351">
        <f>Source!X160</f>
        <v>0</v>
      </c>
      <c r="S351">
        <f>ROUND((Source!DO160/100)*ROUND((ROUND((Source!AF160*Source!AV160*Source!I160),2)),2), 2)</f>
        <v>0</v>
      </c>
      <c r="T351">
        <f>Source!Y160</f>
        <v>0</v>
      </c>
      <c r="U351">
        <f>ROUND((175/100)*ROUND((ROUND((Source!AE160*Source!AV160*Source!I160),2)),2), 2)</f>
        <v>0</v>
      </c>
      <c r="V351">
        <f>ROUND((157/100)*ROUND(ROUND((ROUND((Source!AE160*Source!AV160*Source!I160),2)*Source!BS160),2), 2), 2)</f>
        <v>0</v>
      </c>
    </row>
    <row r="352" spans="1:27" ht="14.25" x14ac:dyDescent="0.2">
      <c r="A352" s="16"/>
      <c r="B352" s="17"/>
      <c r="C352" s="17" t="s">
        <v>1631</v>
      </c>
      <c r="D352" s="19"/>
      <c r="E352" s="18"/>
      <c r="F352" s="21">
        <f>Source!AM160</f>
        <v>38.92</v>
      </c>
      <c r="G352" s="20" t="str">
        <f>Source!DE160</f>
        <v/>
      </c>
      <c r="H352" s="18">
        <f>Source!AV160</f>
        <v>1</v>
      </c>
      <c r="I352" s="22">
        <f>(ROUND((ROUND(((Source!ET160)*Source!AV160*Source!I160),2)),2)+ROUND((ROUND(((Source!AE160-(Source!EU160))*Source!AV160*Source!I160),2)),2))</f>
        <v>3864.87</v>
      </c>
      <c r="J352" s="18">
        <f>IF(Source!BB160&lt;&gt; 0, Source!BB160, 1)</f>
        <v>11.64</v>
      </c>
      <c r="K352" s="22">
        <f>Source!Q160</f>
        <v>44987.09</v>
      </c>
    </row>
    <row r="353" spans="1:27" ht="15" x14ac:dyDescent="0.25">
      <c r="A353" s="25"/>
      <c r="B353" s="25"/>
      <c r="C353" s="25"/>
      <c r="D353" s="25"/>
      <c r="E353" s="25"/>
      <c r="F353" s="25"/>
      <c r="G353" s="25"/>
      <c r="H353" s="54">
        <f>I352</f>
        <v>3864.87</v>
      </c>
      <c r="I353" s="54"/>
      <c r="J353" s="54">
        <f>K352</f>
        <v>44987.09</v>
      </c>
      <c r="K353" s="54"/>
      <c r="O353" s="24">
        <f>I352</f>
        <v>3864.87</v>
      </c>
      <c r="P353" s="24">
        <f>K352</f>
        <v>44987.09</v>
      </c>
      <c r="X353">
        <f>IF(Source!BI160&lt;=1,I352-0, 0)</f>
        <v>0</v>
      </c>
      <c r="Y353">
        <f>IF(Source!BI160=2,I352-0, 0)</f>
        <v>0</v>
      </c>
      <c r="Z353">
        <f>IF(Source!BI160=3,I352-0, 0)</f>
        <v>0</v>
      </c>
      <c r="AA353">
        <f>IF(Source!BI160=4,I352,0)</f>
        <v>3864.87</v>
      </c>
    </row>
    <row r="354" spans="1:27" ht="57" x14ac:dyDescent="0.2">
      <c r="A354" s="16" t="str">
        <f>Source!E161</f>
        <v>40</v>
      </c>
      <c r="B354" s="17" t="str">
        <f>Source!F161</f>
        <v>15.1-1200-01</v>
      </c>
      <c r="C354" s="17" t="s">
        <v>320</v>
      </c>
      <c r="D354" s="19" t="str">
        <f>Source!H161</f>
        <v>1 Т</v>
      </c>
      <c r="E354" s="18">
        <f>Source!I161</f>
        <v>99.302999999999997</v>
      </c>
      <c r="F354" s="21"/>
      <c r="G354" s="20"/>
      <c r="H354" s="18"/>
      <c r="I354" s="22"/>
      <c r="J354" s="18"/>
      <c r="K354" s="22"/>
      <c r="Q354">
        <f>ROUND((Source!DN161/100)*ROUND((ROUND((Source!AF161*Source!AV161*Source!I161),2)),2), 2)</f>
        <v>0</v>
      </c>
      <c r="R354">
        <f>Source!X161</f>
        <v>0</v>
      </c>
      <c r="S354">
        <f>ROUND((Source!DO161/100)*ROUND((ROUND((Source!AF161*Source!AV161*Source!I161),2)),2), 2)</f>
        <v>0</v>
      </c>
      <c r="T354">
        <f>Source!Y161</f>
        <v>0</v>
      </c>
      <c r="U354">
        <f>ROUND((175/100)*ROUND((ROUND((Source!AE161*Source!AV161*Source!I161),2)),2), 2)</f>
        <v>0</v>
      </c>
      <c r="V354">
        <f>ROUND((157/100)*ROUND(ROUND((ROUND((Source!AE161*Source!AV161*Source!I161),2)*Source!BS161),2), 2), 2)</f>
        <v>0</v>
      </c>
    </row>
    <row r="355" spans="1:27" ht="14.25" x14ac:dyDescent="0.2">
      <c r="A355" s="16"/>
      <c r="B355" s="17"/>
      <c r="C355" s="17" t="s">
        <v>1631</v>
      </c>
      <c r="D355" s="19"/>
      <c r="E355" s="18"/>
      <c r="F355" s="21">
        <f>Source!AM161</f>
        <v>21.71</v>
      </c>
      <c r="G355" s="20" t="str">
        <f>Source!DE161</f>
        <v/>
      </c>
      <c r="H355" s="18">
        <f>Source!AV161</f>
        <v>1</v>
      </c>
      <c r="I355" s="22">
        <f>(ROUND((ROUND(((Source!ET161)*Source!AV161*Source!I161),2)),2)+ROUND((ROUND(((Source!AE161-(Source!EU161))*Source!AV161*Source!I161),2)),2))</f>
        <v>2155.87</v>
      </c>
      <c r="J355" s="18">
        <f>IF(Source!BB161&lt;&gt; 0, Source!BB161, 1)</f>
        <v>7.63</v>
      </c>
      <c r="K355" s="22">
        <f>Source!Q161</f>
        <v>16449.29</v>
      </c>
    </row>
    <row r="356" spans="1:27" ht="15" x14ac:dyDescent="0.25">
      <c r="A356" s="25"/>
      <c r="B356" s="25"/>
      <c r="C356" s="25"/>
      <c r="D356" s="25"/>
      <c r="E356" s="25"/>
      <c r="F356" s="25"/>
      <c r="G356" s="25"/>
      <c r="H356" s="54">
        <f>I355</f>
        <v>2155.87</v>
      </c>
      <c r="I356" s="54"/>
      <c r="J356" s="54">
        <f>K355</f>
        <v>16449.29</v>
      </c>
      <c r="K356" s="54"/>
      <c r="O356" s="24">
        <f>I355</f>
        <v>2155.87</v>
      </c>
      <c r="P356" s="24">
        <f>K355</f>
        <v>16449.29</v>
      </c>
      <c r="X356">
        <f>IF(Source!BI161&lt;=1,I355-0, 0)</f>
        <v>0</v>
      </c>
      <c r="Y356">
        <f>IF(Source!BI161=2,I355-0, 0)</f>
        <v>0</v>
      </c>
      <c r="Z356">
        <f>IF(Source!BI161=3,I355-0, 0)</f>
        <v>0</v>
      </c>
      <c r="AA356">
        <f>IF(Source!BI161=4,I355,0)</f>
        <v>2155.87</v>
      </c>
    </row>
    <row r="357" spans="1:27" ht="57" x14ac:dyDescent="0.2">
      <c r="A357" s="16" t="str">
        <f>Source!E162</f>
        <v>41</v>
      </c>
      <c r="B357" s="17" t="str">
        <f>Source!F162</f>
        <v>15.2-46-1</v>
      </c>
      <c r="C357" s="17" t="s">
        <v>205</v>
      </c>
      <c r="D357" s="19" t="str">
        <f>Source!H162</f>
        <v>т</v>
      </c>
      <c r="E357" s="18">
        <f>Source!I162</f>
        <v>83.86</v>
      </c>
      <c r="F357" s="21"/>
      <c r="G357" s="20"/>
      <c r="H357" s="18"/>
      <c r="I357" s="22"/>
      <c r="J357" s="18"/>
      <c r="K357" s="22"/>
      <c r="Q357">
        <f>ROUND((Source!DN162/100)*ROUND((ROUND((Source!AF162*Source!AV162*Source!I162),2)),2), 2)</f>
        <v>0</v>
      </c>
      <c r="R357">
        <f>Source!X162</f>
        <v>0</v>
      </c>
      <c r="S357">
        <f>ROUND((Source!DO162/100)*ROUND((ROUND((Source!AF162*Source!AV162*Source!I162),2)),2), 2)</f>
        <v>0</v>
      </c>
      <c r="T357">
        <f>Source!Y162</f>
        <v>0</v>
      </c>
      <c r="U357">
        <f>ROUND((175/100)*ROUND((ROUND((Source!AE162*Source!AV162*Source!I162),2)),2), 2)</f>
        <v>0</v>
      </c>
      <c r="V357">
        <f>ROUND((157/100)*ROUND(ROUND((ROUND((Source!AE162*Source!AV162*Source!I162),2)*Source!BS162),2), 2), 2)</f>
        <v>0</v>
      </c>
    </row>
    <row r="358" spans="1:27" ht="14.25" x14ac:dyDescent="0.2">
      <c r="A358" s="16"/>
      <c r="B358" s="17"/>
      <c r="C358" s="17" t="s">
        <v>1631</v>
      </c>
      <c r="D358" s="19"/>
      <c r="E358" s="18"/>
      <c r="F358" s="21">
        <f>Source!AM162</f>
        <v>46</v>
      </c>
      <c r="G358" s="20" t="str">
        <f>Source!DE162</f>
        <v/>
      </c>
      <c r="H358" s="18">
        <f>Source!AV162</f>
        <v>1</v>
      </c>
      <c r="I358" s="22">
        <f>(ROUND((ROUND(((Source!ET162)*Source!AV162*Source!I162),2)),2)+ROUND((ROUND(((Source!AE162-(Source!EU162))*Source!AV162*Source!I162),2)),2))</f>
        <v>3857.56</v>
      </c>
      <c r="J358" s="18">
        <f>IF(Source!BB162&lt;&gt; 0, Source!BB162, 1)</f>
        <v>12.21</v>
      </c>
      <c r="K358" s="22">
        <f>Source!Q162</f>
        <v>47100.81</v>
      </c>
    </row>
    <row r="359" spans="1:27" ht="15" x14ac:dyDescent="0.25">
      <c r="A359" s="25"/>
      <c r="B359" s="25"/>
      <c r="C359" s="25"/>
      <c r="D359" s="25"/>
      <c r="E359" s="25"/>
      <c r="F359" s="25"/>
      <c r="G359" s="25"/>
      <c r="H359" s="54">
        <f>I358</f>
        <v>3857.56</v>
      </c>
      <c r="I359" s="54"/>
      <c r="J359" s="54">
        <f>K358</f>
        <v>47100.81</v>
      </c>
      <c r="K359" s="54"/>
      <c r="O359" s="24">
        <f>I358</f>
        <v>3857.56</v>
      </c>
      <c r="P359" s="24">
        <f>K358</f>
        <v>47100.81</v>
      </c>
      <c r="X359">
        <f>IF(Source!BI162&lt;=1,I358-0, 0)</f>
        <v>0</v>
      </c>
      <c r="Y359">
        <f>IF(Source!BI162=2,I358-0, 0)</f>
        <v>0</v>
      </c>
      <c r="Z359">
        <f>IF(Source!BI162=3,I358-0, 0)</f>
        <v>0</v>
      </c>
      <c r="AA359">
        <f>IF(Source!BI162=4,I358,0)</f>
        <v>3857.56</v>
      </c>
    </row>
    <row r="360" spans="1:27" ht="42.75" x14ac:dyDescent="0.2">
      <c r="A360" s="16" t="str">
        <f>Source!E163</f>
        <v>42</v>
      </c>
      <c r="B360" s="17" t="str">
        <f>Source!F163</f>
        <v>15.1-1102-01</v>
      </c>
      <c r="C360" s="17" t="s">
        <v>211</v>
      </c>
      <c r="D360" s="19" t="str">
        <f>Source!H163</f>
        <v>1 Т</v>
      </c>
      <c r="E360" s="18">
        <f>Source!I163</f>
        <v>83.86</v>
      </c>
      <c r="F360" s="21"/>
      <c r="G360" s="20"/>
      <c r="H360" s="18"/>
      <c r="I360" s="22"/>
      <c r="J360" s="18"/>
      <c r="K360" s="22"/>
      <c r="Q360">
        <f>ROUND((Source!DN163/100)*ROUND((ROUND((Source!AF163*Source!AV163*Source!I163),2)),2), 2)</f>
        <v>0</v>
      </c>
      <c r="R360">
        <f>Source!X163</f>
        <v>0</v>
      </c>
      <c r="S360">
        <f>ROUND((Source!DO163/100)*ROUND((ROUND((Source!AF163*Source!AV163*Source!I163),2)),2), 2)</f>
        <v>0</v>
      </c>
      <c r="T360">
        <f>Source!Y163</f>
        <v>0</v>
      </c>
      <c r="U360">
        <f>ROUND((175/100)*ROUND((ROUND((Source!AE163*Source!AV163*Source!I163),2)),2), 2)</f>
        <v>0</v>
      </c>
      <c r="V360">
        <f>ROUND((157/100)*ROUND(ROUND((ROUND((Source!AE163*Source!AV163*Source!I163),2)*Source!BS163),2), 2), 2)</f>
        <v>0</v>
      </c>
    </row>
    <row r="361" spans="1:27" ht="14.25" x14ac:dyDescent="0.2">
      <c r="A361" s="16"/>
      <c r="B361" s="17"/>
      <c r="C361" s="17" t="s">
        <v>1631</v>
      </c>
      <c r="D361" s="19"/>
      <c r="E361" s="18"/>
      <c r="F361" s="21">
        <f>Source!AM163</f>
        <v>12.61</v>
      </c>
      <c r="G361" s="20" t="str">
        <f>Source!DE163</f>
        <v/>
      </c>
      <c r="H361" s="18">
        <f>Source!AV163</f>
        <v>1</v>
      </c>
      <c r="I361" s="22">
        <f>(ROUND((ROUND(((Source!ET163)*Source!AV163*Source!I163),2)),2)+ROUND((ROUND(((Source!AE163-(Source!EU163))*Source!AV163*Source!I163),2)),2))</f>
        <v>1057.47</v>
      </c>
      <c r="J361" s="18">
        <f>IF(Source!BB163&lt;&gt; 0, Source!BB163, 1)</f>
        <v>7.63</v>
      </c>
      <c r="K361" s="22">
        <f>Source!Q163</f>
        <v>8068.5</v>
      </c>
    </row>
    <row r="362" spans="1:27" ht="15" x14ac:dyDescent="0.25">
      <c r="A362" s="25"/>
      <c r="B362" s="25"/>
      <c r="C362" s="25"/>
      <c r="D362" s="25"/>
      <c r="E362" s="25"/>
      <c r="F362" s="25"/>
      <c r="G362" s="25"/>
      <c r="H362" s="54">
        <f>I361</f>
        <v>1057.47</v>
      </c>
      <c r="I362" s="54"/>
      <c r="J362" s="54">
        <f>K361</f>
        <v>8068.5</v>
      </c>
      <c r="K362" s="54"/>
      <c r="O362" s="24">
        <f>I361</f>
        <v>1057.47</v>
      </c>
      <c r="P362" s="24">
        <f>K361</f>
        <v>8068.5</v>
      </c>
      <c r="X362">
        <f>IF(Source!BI163&lt;=1,I361-0, 0)</f>
        <v>0</v>
      </c>
      <c r="Y362">
        <f>IF(Source!BI163=2,I361-0, 0)</f>
        <v>0</v>
      </c>
      <c r="Z362">
        <f>IF(Source!BI163=3,I361-0, 0)</f>
        <v>0</v>
      </c>
      <c r="AA362">
        <f>IF(Source!BI163=4,I361,0)</f>
        <v>1057.47</v>
      </c>
    </row>
    <row r="364" spans="1:27" ht="15" x14ac:dyDescent="0.25">
      <c r="A364" s="53" t="str">
        <f>CONCATENATE("Итого по разделу: ",IF(Source!G165&lt;&gt;"Новый раздел", Source!G165, ""))</f>
        <v>Итого по разделу: Замена борткамня 953 пог.м</v>
      </c>
      <c r="B364" s="53"/>
      <c r="C364" s="53"/>
      <c r="D364" s="53"/>
      <c r="E364" s="53"/>
      <c r="F364" s="53"/>
      <c r="G364" s="53"/>
      <c r="H364" s="51">
        <f>SUM(O315:O363)</f>
        <v>112125.12999999999</v>
      </c>
      <c r="I364" s="52"/>
      <c r="J364" s="51">
        <f>SUM(P315:P363)</f>
        <v>1486069.9700000002</v>
      </c>
      <c r="K364" s="52"/>
    </row>
    <row r="365" spans="1:27" hidden="1" x14ac:dyDescent="0.2">
      <c r="A365" t="s">
        <v>1641</v>
      </c>
      <c r="H365">
        <f>SUM(AC315:AC364)</f>
        <v>0</v>
      </c>
      <c r="J365">
        <f>SUM(AD315:AD364)</f>
        <v>0</v>
      </c>
    </row>
    <row r="366" spans="1:27" hidden="1" x14ac:dyDescent="0.2">
      <c r="A366" t="s">
        <v>1642</v>
      </c>
      <c r="H366">
        <f>SUM(AE315:AE365)</f>
        <v>0</v>
      </c>
      <c r="J366">
        <f>SUM(AF315:AF365)</f>
        <v>0</v>
      </c>
    </row>
    <row r="368" spans="1:27" ht="16.5" x14ac:dyDescent="0.25">
      <c r="A368" s="56" t="str">
        <f>CONCATENATE("Раздел: ",IF(Source!G195&lt;&gt;"Новый раздел", Source!G195, ""))</f>
        <v>Раздел: Устройство декоративной гравийной отсыпки (мраморный щебень)</v>
      </c>
      <c r="B368" s="56"/>
      <c r="C368" s="56"/>
      <c r="D368" s="56"/>
      <c r="E368" s="56"/>
      <c r="F368" s="56"/>
      <c r="G368" s="56"/>
      <c r="H368" s="56"/>
      <c r="I368" s="56"/>
      <c r="J368" s="56"/>
      <c r="K368" s="56"/>
    </row>
    <row r="369" spans="1:27" ht="114" x14ac:dyDescent="0.2">
      <c r="A369" s="16" t="str">
        <f>Source!E199</f>
        <v>43</v>
      </c>
      <c r="B369" s="17" t="str">
        <f>Source!F199</f>
        <v>3.47-23-1</v>
      </c>
      <c r="C369" s="17" t="s">
        <v>1586</v>
      </c>
      <c r="D369" s="19" t="str">
        <f>Source!H199</f>
        <v>1 м3</v>
      </c>
      <c r="E369" s="18">
        <f>Source!I199</f>
        <v>12.5</v>
      </c>
      <c r="F369" s="21"/>
      <c r="G369" s="20"/>
      <c r="H369" s="18"/>
      <c r="I369" s="22"/>
      <c r="J369" s="18"/>
      <c r="K369" s="22"/>
      <c r="Q369">
        <f>ROUND((Source!DN199/100)*ROUND((ROUND((Source!AF199*Source!AV199*Source!I199),2)),2), 2)</f>
        <v>559.51</v>
      </c>
      <c r="R369">
        <f>Source!X199</f>
        <v>8211.8799999999992</v>
      </c>
      <c r="S369">
        <f>ROUND((Source!DO199/100)*ROUND((ROUND((Source!AF199*Source!AV199*Source!I199),2)),2), 2)</f>
        <v>301.27</v>
      </c>
      <c r="T369">
        <f>Source!Y199</f>
        <v>3740.97</v>
      </c>
      <c r="U369">
        <f>ROUND((175/100)*ROUND((ROUND((Source!AE199*Source!AV199*Source!I199),2)),2), 2)</f>
        <v>0</v>
      </c>
      <c r="V369">
        <f>ROUND((157/100)*ROUND(ROUND((ROUND((Source!AE199*Source!AV199*Source!I199),2)*Source!BS199),2), 2), 2)</f>
        <v>0</v>
      </c>
    </row>
    <row r="370" spans="1:27" ht="14.25" x14ac:dyDescent="0.2">
      <c r="A370" s="16"/>
      <c r="B370" s="17"/>
      <c r="C370" s="17" t="s">
        <v>1625</v>
      </c>
      <c r="D370" s="19"/>
      <c r="E370" s="18"/>
      <c r="F370" s="21">
        <f>Source!AO199</f>
        <v>24.95</v>
      </c>
      <c r="G370" s="20" t="str">
        <f>Source!DG199</f>
        <v>)*1,15</v>
      </c>
      <c r="H370" s="18">
        <f>Source!AV199</f>
        <v>1</v>
      </c>
      <c r="I370" s="22">
        <f>ROUND((ROUND((Source!AF199*Source!AV199*Source!I199),2)),2)</f>
        <v>358.66</v>
      </c>
      <c r="J370" s="18">
        <f>IF(Source!BA199&lt;&gt; 0, Source!BA199, 1)</f>
        <v>25.44</v>
      </c>
      <c r="K370" s="22">
        <f>Source!S199</f>
        <v>9124.31</v>
      </c>
      <c r="W370">
        <f>I370</f>
        <v>358.66</v>
      </c>
    </row>
    <row r="371" spans="1:27" ht="14.25" x14ac:dyDescent="0.2">
      <c r="A371" s="16"/>
      <c r="B371" s="17"/>
      <c r="C371" s="17" t="s">
        <v>1626</v>
      </c>
      <c r="D371" s="19" t="s">
        <v>1627</v>
      </c>
      <c r="E371" s="18">
        <f>Source!DN199</f>
        <v>156</v>
      </c>
      <c r="F371" s="21"/>
      <c r="G371" s="20"/>
      <c r="H371" s="18"/>
      <c r="I371" s="22">
        <f>SUM(Q369:Q370)</f>
        <v>559.51</v>
      </c>
      <c r="J371" s="18">
        <f>Source!BZ199</f>
        <v>90</v>
      </c>
      <c r="K371" s="22">
        <f>SUM(R369:R370)</f>
        <v>8211.8799999999992</v>
      </c>
    </row>
    <row r="372" spans="1:27" ht="14.25" x14ac:dyDescent="0.2">
      <c r="A372" s="16"/>
      <c r="B372" s="17"/>
      <c r="C372" s="17" t="s">
        <v>1628</v>
      </c>
      <c r="D372" s="19" t="s">
        <v>1627</v>
      </c>
      <c r="E372" s="18">
        <f>Source!DO199</f>
        <v>84</v>
      </c>
      <c r="F372" s="21"/>
      <c r="G372" s="20"/>
      <c r="H372" s="18"/>
      <c r="I372" s="22">
        <f>SUM(S369:S371)</f>
        <v>301.27</v>
      </c>
      <c r="J372" s="18">
        <f>Source!CA199</f>
        <v>41</v>
      </c>
      <c r="K372" s="22">
        <f>SUM(T369:T371)</f>
        <v>3740.97</v>
      </c>
    </row>
    <row r="373" spans="1:27" ht="14.25" x14ac:dyDescent="0.2">
      <c r="A373" s="16"/>
      <c r="B373" s="17"/>
      <c r="C373" s="17" t="s">
        <v>1629</v>
      </c>
      <c r="D373" s="19" t="s">
        <v>1630</v>
      </c>
      <c r="E373" s="18">
        <f>Source!AQ199</f>
        <v>2.31</v>
      </c>
      <c r="F373" s="21"/>
      <c r="G373" s="20" t="str">
        <f>Source!DI199</f>
        <v>)*1,15</v>
      </c>
      <c r="H373" s="18">
        <f>Source!AV199</f>
        <v>1</v>
      </c>
      <c r="I373" s="22">
        <f>Source!U199</f>
        <v>33.206249999999997</v>
      </c>
      <c r="J373" s="18"/>
      <c r="K373" s="22"/>
    </row>
    <row r="374" spans="1:27" ht="15" x14ac:dyDescent="0.25">
      <c r="A374" s="25"/>
      <c r="B374" s="25"/>
      <c r="C374" s="25"/>
      <c r="D374" s="25"/>
      <c r="E374" s="25"/>
      <c r="F374" s="25"/>
      <c r="G374" s="25"/>
      <c r="H374" s="54">
        <f>I370+I371+I372</f>
        <v>1219.44</v>
      </c>
      <c r="I374" s="54"/>
      <c r="J374" s="54">
        <f>K370+K371+K372</f>
        <v>21077.16</v>
      </c>
      <c r="K374" s="54"/>
      <c r="O374" s="24">
        <f>I370+I371+I372</f>
        <v>1219.44</v>
      </c>
      <c r="P374" s="24">
        <f>K370+K371+K372</f>
        <v>21077.16</v>
      </c>
      <c r="X374">
        <f>IF(Source!BI199&lt;=1,I370+I371+I372-0, 0)</f>
        <v>1219.44</v>
      </c>
      <c r="Y374">
        <f>IF(Source!BI199=2,I370+I371+I372-0, 0)</f>
        <v>0</v>
      </c>
      <c r="Z374">
        <f>IF(Source!BI199=3,I370+I371+I372-0, 0)</f>
        <v>0</v>
      </c>
      <c r="AA374">
        <f>IF(Source!BI199=4,I370+I371+I372,0)</f>
        <v>0</v>
      </c>
    </row>
    <row r="375" spans="1:27" ht="42.75" x14ac:dyDescent="0.2">
      <c r="A375" s="16" t="str">
        <f>Source!E200</f>
        <v>44</v>
      </c>
      <c r="B375" s="17" t="str">
        <f>Source!F200</f>
        <v>3.27-69-1</v>
      </c>
      <c r="C375" s="17" t="s">
        <v>112</v>
      </c>
      <c r="D375" s="19" t="str">
        <f>Source!H200</f>
        <v>1000 м2 поверхности</v>
      </c>
      <c r="E375" s="18">
        <f>Source!I200</f>
        <v>0.125</v>
      </c>
      <c r="F375" s="21"/>
      <c r="G375" s="20"/>
      <c r="H375" s="18"/>
      <c r="I375" s="22"/>
      <c r="J375" s="18"/>
      <c r="K375" s="22"/>
      <c r="Q375">
        <f>ROUND((Source!DN200/100)*ROUND((ROUND((Source!AF200*Source!AV200*Source!I200),2)),2), 2)</f>
        <v>57.41</v>
      </c>
      <c r="R375">
        <f>Source!X200</f>
        <v>1168.48</v>
      </c>
      <c r="S375">
        <f>ROUND((Source!DO200/100)*ROUND((ROUND((Source!AF200*Source!AV200*Source!I200),2)),2), 2)</f>
        <v>32.4</v>
      </c>
      <c r="T375">
        <f>Source!Y200</f>
        <v>427.75</v>
      </c>
      <c r="U375">
        <f>ROUND((175/100)*ROUND((ROUND((Source!AE200*Source!AV200*Source!I200),2)),2), 2)</f>
        <v>17.03</v>
      </c>
      <c r="V375">
        <f>ROUND((157/100)*ROUND(ROUND((ROUND((Source!AE200*Source!AV200*Source!I200),2)*Source!BS200),2), 2), 2)</f>
        <v>388.62</v>
      </c>
    </row>
    <row r="376" spans="1:27" x14ac:dyDescent="0.2">
      <c r="C376" s="23" t="str">
        <f>"Объем: "&amp;Source!I200&amp;"=125/"&amp;"1000"</f>
        <v>Объем: 0,125=125/1000</v>
      </c>
    </row>
    <row r="377" spans="1:27" ht="14.25" x14ac:dyDescent="0.2">
      <c r="A377" s="16"/>
      <c r="B377" s="17"/>
      <c r="C377" s="17" t="s">
        <v>1625</v>
      </c>
      <c r="D377" s="19"/>
      <c r="E377" s="18"/>
      <c r="F377" s="21">
        <f>Source!AO200</f>
        <v>285.31</v>
      </c>
      <c r="G377" s="20" t="str">
        <f>Source!DG200</f>
        <v>)*1,15</v>
      </c>
      <c r="H377" s="18">
        <f>Source!AV200</f>
        <v>1</v>
      </c>
      <c r="I377" s="22">
        <f>ROUND((ROUND((Source!AF200*Source!AV200*Source!I200),2)),2)</f>
        <v>41.01</v>
      </c>
      <c r="J377" s="18">
        <f>IF(Source!BA200&lt;&gt; 0, Source!BA200, 1)</f>
        <v>25.44</v>
      </c>
      <c r="K377" s="22">
        <f>Source!S200</f>
        <v>1043.29</v>
      </c>
      <c r="W377">
        <f>I377</f>
        <v>41.01</v>
      </c>
    </row>
    <row r="378" spans="1:27" ht="14.25" x14ac:dyDescent="0.2">
      <c r="A378" s="16"/>
      <c r="B378" s="17"/>
      <c r="C378" s="17" t="s">
        <v>1631</v>
      </c>
      <c r="D378" s="19"/>
      <c r="E378" s="18"/>
      <c r="F378" s="21">
        <f>Source!AM200</f>
        <v>670.35</v>
      </c>
      <c r="G378" s="20" t="str">
        <f>Source!DE200</f>
        <v>)*1,25</v>
      </c>
      <c r="H378" s="18">
        <f>Source!AV200</f>
        <v>1</v>
      </c>
      <c r="I378" s="22">
        <f>(ROUND((ROUND((((Source!ET200*1.25))*Source!AV200*Source!I200),2)),2)+ROUND((ROUND(((Source!AE200-((Source!EU200*1.25)))*Source!AV200*Source!I200),2)),2))</f>
        <v>104.74</v>
      </c>
      <c r="J378" s="18">
        <f>IF(Source!BB200&lt;&gt; 0, Source!BB200, 1)</f>
        <v>8.7799999999999994</v>
      </c>
      <c r="K378" s="22">
        <f>Source!Q200</f>
        <v>919.62</v>
      </c>
    </row>
    <row r="379" spans="1:27" ht="14.25" x14ac:dyDescent="0.2">
      <c r="A379" s="16"/>
      <c r="B379" s="17"/>
      <c r="C379" s="17" t="s">
        <v>1632</v>
      </c>
      <c r="D379" s="19"/>
      <c r="E379" s="18"/>
      <c r="F379" s="21">
        <f>Source!AN200</f>
        <v>62.29</v>
      </c>
      <c r="G379" s="20" t="str">
        <f>Source!DF200</f>
        <v>)*1,25</v>
      </c>
      <c r="H379" s="18">
        <f>Source!AV200</f>
        <v>1</v>
      </c>
      <c r="I379" s="26">
        <f>ROUND((ROUND((Source!AE200*Source!AV200*Source!I200),2)),2)</f>
        <v>9.73</v>
      </c>
      <c r="J379" s="18">
        <f>IF(Source!BS200&lt;&gt; 0, Source!BS200, 1)</f>
        <v>25.44</v>
      </c>
      <c r="K379" s="26">
        <f>Source!R200</f>
        <v>247.53</v>
      </c>
      <c r="W379">
        <f>I379</f>
        <v>9.73</v>
      </c>
    </row>
    <row r="380" spans="1:27" ht="14.25" x14ac:dyDescent="0.2">
      <c r="A380" s="16"/>
      <c r="B380" s="17"/>
      <c r="C380" s="17" t="s">
        <v>1634</v>
      </c>
      <c r="D380" s="19"/>
      <c r="E380" s="18"/>
      <c r="F380" s="21">
        <f>Source!AL200</f>
        <v>0.49</v>
      </c>
      <c r="G380" s="20" t="str">
        <f>Source!DD200</f>
        <v/>
      </c>
      <c r="H380" s="18">
        <f>Source!AW200</f>
        <v>1</v>
      </c>
      <c r="I380" s="22">
        <f>ROUND((ROUND((Source!AC200*Source!AW200*Source!I200),2)),2)</f>
        <v>0.06</v>
      </c>
      <c r="J380" s="18">
        <f>IF(Source!BC200&lt;&gt; 0, Source!BC200, 1)</f>
        <v>6.57</v>
      </c>
      <c r="K380" s="22">
        <f>Source!P200</f>
        <v>0.39</v>
      </c>
    </row>
    <row r="381" spans="1:27" ht="28.5" x14ac:dyDescent="0.2">
      <c r="A381" s="16" t="str">
        <f>Source!E201</f>
        <v>44,1</v>
      </c>
      <c r="B381" s="17" t="str">
        <f>Source!F201</f>
        <v>1.1-1-1605</v>
      </c>
      <c r="C381" s="17" t="s">
        <v>295</v>
      </c>
      <c r="D381" s="19" t="str">
        <f>Source!H201</f>
        <v>м2</v>
      </c>
      <c r="E381" s="18">
        <f>Source!I201</f>
        <v>136.71875</v>
      </c>
      <c r="F381" s="21">
        <f>Source!AK201</f>
        <v>13.87</v>
      </c>
      <c r="G381" s="27" t="s">
        <v>3</v>
      </c>
      <c r="H381" s="18">
        <f>Source!AW201</f>
        <v>1</v>
      </c>
      <c r="I381" s="22">
        <f>ROUND((ROUND((Source!AC201*Source!AW201*Source!I201),2)),2)+(ROUND((ROUND(((Source!ET201)*Source!AV201*Source!I201),2)),2)+ROUND((ROUND(((Source!AE201-(Source!EU201))*Source!AV201*Source!I201),2)),2))+ROUND((ROUND((Source!AF201*Source!AV201*Source!I201),2)),2)</f>
        <v>1896.29</v>
      </c>
      <c r="J381" s="18">
        <f>IF(Source!BC201&lt;&gt; 0, Source!BC201, 1)</f>
        <v>4.26</v>
      </c>
      <c r="K381" s="22">
        <f>Source!O201</f>
        <v>8078.2</v>
      </c>
      <c r="Q381">
        <f>ROUND((Source!DN201/100)*ROUND((ROUND((Source!AF201*Source!AV201*Source!I201),2)),2), 2)</f>
        <v>0</v>
      </c>
      <c r="R381">
        <f>Source!X201</f>
        <v>0</v>
      </c>
      <c r="S381">
        <f>ROUND((Source!DO201/100)*ROUND((ROUND((Source!AF201*Source!AV201*Source!I201),2)),2), 2)</f>
        <v>0</v>
      </c>
      <c r="T381">
        <f>Source!Y201</f>
        <v>0</v>
      </c>
      <c r="U381">
        <f>ROUND((175/100)*ROUND((ROUND((Source!AE201*Source!AV201*Source!I201),2)),2), 2)</f>
        <v>0</v>
      </c>
      <c r="V381">
        <f>ROUND((157/100)*ROUND(ROUND((ROUND((Source!AE201*Source!AV201*Source!I201),2)*Source!BS201),2), 2), 2)</f>
        <v>0</v>
      </c>
      <c r="X381">
        <f>IF(Source!BI201&lt;=1,I381, 0)</f>
        <v>1896.29</v>
      </c>
      <c r="Y381">
        <f>IF(Source!BI201=2,I381, 0)</f>
        <v>0</v>
      </c>
      <c r="Z381">
        <f>IF(Source!BI201=3,I381, 0)</f>
        <v>0</v>
      </c>
      <c r="AA381">
        <f>IF(Source!BI201=4,I381, 0)</f>
        <v>0</v>
      </c>
    </row>
    <row r="382" spans="1:27" ht="14.25" x14ac:dyDescent="0.2">
      <c r="A382" s="16"/>
      <c r="B382" s="17"/>
      <c r="C382" s="17" t="s">
        <v>1626</v>
      </c>
      <c r="D382" s="19" t="s">
        <v>1627</v>
      </c>
      <c r="E382" s="18">
        <f>Source!DN200</f>
        <v>140</v>
      </c>
      <c r="F382" s="21"/>
      <c r="G382" s="20"/>
      <c r="H382" s="18"/>
      <c r="I382" s="22">
        <f>SUM(Q375:Q381)</f>
        <v>57.41</v>
      </c>
      <c r="J382" s="18">
        <f>Source!BZ200</f>
        <v>112</v>
      </c>
      <c r="K382" s="22">
        <f>SUM(R375:R381)</f>
        <v>1168.48</v>
      </c>
    </row>
    <row r="383" spans="1:27" ht="14.25" x14ac:dyDescent="0.2">
      <c r="A383" s="16"/>
      <c r="B383" s="17"/>
      <c r="C383" s="17" t="s">
        <v>1628</v>
      </c>
      <c r="D383" s="19" t="s">
        <v>1627</v>
      </c>
      <c r="E383" s="18">
        <f>Source!DO200</f>
        <v>79</v>
      </c>
      <c r="F383" s="21"/>
      <c r="G383" s="20"/>
      <c r="H383" s="18"/>
      <c r="I383" s="22">
        <f>SUM(S375:S382)</f>
        <v>32.4</v>
      </c>
      <c r="J383" s="18">
        <f>Source!CA200</f>
        <v>41</v>
      </c>
      <c r="K383" s="22">
        <f>SUM(T375:T382)</f>
        <v>427.75</v>
      </c>
    </row>
    <row r="384" spans="1:27" ht="14.25" x14ac:dyDescent="0.2">
      <c r="A384" s="16"/>
      <c r="B384" s="17"/>
      <c r="C384" s="17" t="s">
        <v>1633</v>
      </c>
      <c r="D384" s="19" t="s">
        <v>1627</v>
      </c>
      <c r="E384" s="18">
        <f>175</f>
        <v>175</v>
      </c>
      <c r="F384" s="21"/>
      <c r="G384" s="20"/>
      <c r="H384" s="18"/>
      <c r="I384" s="22">
        <f>SUM(U375:U383)</f>
        <v>17.03</v>
      </c>
      <c r="J384" s="18">
        <f>157</f>
        <v>157</v>
      </c>
      <c r="K384" s="22">
        <f>SUM(V375:V383)</f>
        <v>388.62</v>
      </c>
    </row>
    <row r="385" spans="1:27" ht="14.25" x14ac:dyDescent="0.2">
      <c r="A385" s="16"/>
      <c r="B385" s="17"/>
      <c r="C385" s="17" t="s">
        <v>1629</v>
      </c>
      <c r="D385" s="19" t="s">
        <v>1630</v>
      </c>
      <c r="E385" s="18">
        <f>Source!AQ200</f>
        <v>27.7</v>
      </c>
      <c r="F385" s="21"/>
      <c r="G385" s="20" t="str">
        <f>Source!DI200</f>
        <v>)*1,15</v>
      </c>
      <c r="H385" s="18">
        <f>Source!AV200</f>
        <v>1</v>
      </c>
      <c r="I385" s="22">
        <f>Source!U200</f>
        <v>3.9818749999999996</v>
      </c>
      <c r="J385" s="18"/>
      <c r="K385" s="22"/>
    </row>
    <row r="386" spans="1:27" ht="15" x14ac:dyDescent="0.25">
      <c r="A386" s="25"/>
      <c r="B386" s="25"/>
      <c r="C386" s="25"/>
      <c r="D386" s="25"/>
      <c r="E386" s="25"/>
      <c r="F386" s="25"/>
      <c r="G386" s="25"/>
      <c r="H386" s="54">
        <f>I377+I378+I380+I382+I383+I384+SUM(I381:I381)</f>
        <v>2148.94</v>
      </c>
      <c r="I386" s="54"/>
      <c r="J386" s="54">
        <f>K377+K378+K380+K382+K383+K384+SUM(K381:K381)</f>
        <v>12026.349999999999</v>
      </c>
      <c r="K386" s="54"/>
      <c r="O386" s="24">
        <f>I377+I378+I380+I382+I383+I384+SUM(I381:I381)</f>
        <v>2148.94</v>
      </c>
      <c r="P386" s="24">
        <f>K377+K378+K380+K382+K383+K384+SUM(K381:K381)</f>
        <v>12026.349999999999</v>
      </c>
      <c r="X386">
        <f>IF(Source!BI200&lt;=1,I377+I378+I380+I382+I383+I384-0, 0)</f>
        <v>252.65</v>
      </c>
      <c r="Y386">
        <f>IF(Source!BI200=2,I377+I378+I380+I382+I383+I384-0, 0)</f>
        <v>0</v>
      </c>
      <c r="Z386">
        <f>IF(Source!BI200=3,I377+I378+I380+I382+I383+I384-0, 0)</f>
        <v>0</v>
      </c>
      <c r="AA386">
        <f>IF(Source!BI200=4,I377+I378+I380+I382+I383+I384,0)</f>
        <v>0</v>
      </c>
    </row>
    <row r="387" spans="1:27" ht="42.75" x14ac:dyDescent="0.2">
      <c r="A387" s="16" t="str">
        <f>Source!E202</f>
        <v>45</v>
      </c>
      <c r="B387" s="17" t="str">
        <f>Source!F202</f>
        <v>3.11-28-1</v>
      </c>
      <c r="C387" s="17" t="s">
        <v>366</v>
      </c>
      <c r="D387" s="19" t="str">
        <f>Source!H202</f>
        <v>100 м плинтусов</v>
      </c>
      <c r="E387" s="18">
        <f>Source!I202</f>
        <v>1.1100000000000001</v>
      </c>
      <c r="F387" s="21"/>
      <c r="G387" s="20"/>
      <c r="H387" s="18"/>
      <c r="I387" s="22"/>
      <c r="J387" s="18"/>
      <c r="K387" s="22"/>
      <c r="Q387">
        <f>ROUND((Source!DN202/100)*ROUND((ROUND((Source!AF202*Source!AV202*Source!I202),2)),2), 2)</f>
        <v>113.55</v>
      </c>
      <c r="R387">
        <f>Source!X202</f>
        <v>2360.91</v>
      </c>
      <c r="S387">
        <f>ROUND((Source!DO202/100)*ROUND((ROUND((Source!AF202*Source!AV202*Source!I202),2)),2), 2)</f>
        <v>76.430000000000007</v>
      </c>
      <c r="T387">
        <f>Source!Y202</f>
        <v>1138.79</v>
      </c>
      <c r="U387">
        <f>ROUND((175/100)*ROUND((ROUND((Source!AE202*Source!AV202*Source!I202),2)),2), 2)</f>
        <v>3.43</v>
      </c>
      <c r="V387">
        <f>ROUND((157/100)*ROUND(ROUND((ROUND((Source!AE202*Source!AV202*Source!I202),2)*Source!BS202),2), 2), 2)</f>
        <v>78.28</v>
      </c>
    </row>
    <row r="388" spans="1:27" x14ac:dyDescent="0.2">
      <c r="C388" s="23" t="str">
        <f>"Объем: "&amp;Source!I202&amp;"=111/"&amp;"100"</f>
        <v>Объем: 1,11=111/100</v>
      </c>
    </row>
    <row r="389" spans="1:27" ht="14.25" x14ac:dyDescent="0.2">
      <c r="A389" s="16"/>
      <c r="B389" s="17"/>
      <c r="C389" s="17" t="s">
        <v>1625</v>
      </c>
      <c r="D389" s="19"/>
      <c r="E389" s="18"/>
      <c r="F389" s="21">
        <f>Source!AO202</f>
        <v>85.53</v>
      </c>
      <c r="G389" s="20" t="str">
        <f>Source!DG202</f>
        <v>)*1,15</v>
      </c>
      <c r="H389" s="18">
        <f>Source!AV202</f>
        <v>1</v>
      </c>
      <c r="I389" s="22">
        <f>ROUND((ROUND((Source!AF202*Source!AV202*Source!I202),2)),2)</f>
        <v>109.18</v>
      </c>
      <c r="J389" s="18">
        <f>IF(Source!BA202&lt;&gt; 0, Source!BA202, 1)</f>
        <v>25.44</v>
      </c>
      <c r="K389" s="22">
        <f>Source!S202</f>
        <v>2777.54</v>
      </c>
      <c r="W389">
        <f>I389</f>
        <v>109.18</v>
      </c>
    </row>
    <row r="390" spans="1:27" ht="14.25" x14ac:dyDescent="0.2">
      <c r="A390" s="16"/>
      <c r="B390" s="17"/>
      <c r="C390" s="17" t="s">
        <v>1631</v>
      </c>
      <c r="D390" s="19"/>
      <c r="E390" s="18"/>
      <c r="F390" s="21">
        <f>Source!AM202</f>
        <v>5.96</v>
      </c>
      <c r="G390" s="20" t="str">
        <f>Source!DE202</f>
        <v>)*1,25</v>
      </c>
      <c r="H390" s="18">
        <f>Source!AV202</f>
        <v>1</v>
      </c>
      <c r="I390" s="22">
        <f>(ROUND((ROUND((((Source!ET202*1.25))*Source!AV202*Source!I202),2)),2)+ROUND((ROUND(((Source!AE202-((Source!EU202*1.25)))*Source!AV202*Source!I202),2)),2))</f>
        <v>8.27</v>
      </c>
      <c r="J390" s="18">
        <f>IF(Source!BB202&lt;&gt; 0, Source!BB202, 1)</f>
        <v>10.48</v>
      </c>
      <c r="K390" s="22">
        <f>Source!Q202</f>
        <v>86.67</v>
      </c>
    </row>
    <row r="391" spans="1:27" ht="14.25" x14ac:dyDescent="0.2">
      <c r="A391" s="16"/>
      <c r="B391" s="17"/>
      <c r="C391" s="17" t="s">
        <v>1632</v>
      </c>
      <c r="D391" s="19"/>
      <c r="E391" s="18"/>
      <c r="F391" s="21">
        <f>Source!AN202</f>
        <v>1.41</v>
      </c>
      <c r="G391" s="20" t="str">
        <f>Source!DF202</f>
        <v>)*1,25</v>
      </c>
      <c r="H391" s="18">
        <f>Source!AV202</f>
        <v>1</v>
      </c>
      <c r="I391" s="26">
        <f>ROUND((ROUND((Source!AE202*Source!AV202*Source!I202),2)),2)</f>
        <v>1.96</v>
      </c>
      <c r="J391" s="18">
        <f>IF(Source!BS202&lt;&gt; 0, Source!BS202, 1)</f>
        <v>25.44</v>
      </c>
      <c r="K391" s="26">
        <f>Source!R202</f>
        <v>49.86</v>
      </c>
      <c r="W391">
        <f>I391</f>
        <v>1.96</v>
      </c>
    </row>
    <row r="392" spans="1:27" ht="14.25" x14ac:dyDescent="0.2">
      <c r="A392" s="16"/>
      <c r="B392" s="17"/>
      <c r="C392" s="17" t="s">
        <v>1634</v>
      </c>
      <c r="D392" s="19"/>
      <c r="E392" s="18"/>
      <c r="F392" s="21">
        <f>Source!AL202</f>
        <v>4.84</v>
      </c>
      <c r="G392" s="20" t="str">
        <f>Source!DD202</f>
        <v/>
      </c>
      <c r="H392" s="18">
        <f>Source!AW202</f>
        <v>1</v>
      </c>
      <c r="I392" s="22">
        <f>ROUND((ROUND((Source!AC202*Source!AW202*Source!I202),2)),2)</f>
        <v>5.37</v>
      </c>
      <c r="J392" s="18">
        <f>IF(Source!BC202&lt;&gt; 0, Source!BC202, 1)</f>
        <v>7.92</v>
      </c>
      <c r="K392" s="22">
        <f>Source!P202</f>
        <v>42.53</v>
      </c>
    </row>
    <row r="393" spans="1:27" ht="14.25" x14ac:dyDescent="0.2">
      <c r="A393" s="16" t="str">
        <f>Source!E203</f>
        <v>45,1</v>
      </c>
      <c r="B393" s="17" t="str">
        <f>Source!F203</f>
        <v>1.1-1-132</v>
      </c>
      <c r="C393" s="17" t="s">
        <v>373</v>
      </c>
      <c r="D393" s="19" t="str">
        <f>Source!H203</f>
        <v>т</v>
      </c>
      <c r="E393" s="18">
        <f>Source!I203</f>
        <v>-4.66E-4</v>
      </c>
      <c r="F393" s="21">
        <f>Source!AK203</f>
        <v>6521.42</v>
      </c>
      <c r="G393" s="27" t="s">
        <v>3</v>
      </c>
      <c r="H393" s="18">
        <f>Source!AW203</f>
        <v>1</v>
      </c>
      <c r="I393" s="22">
        <f>ROUND((ROUND((Source!AC203*Source!AW203*Source!I203),2)),2)+(ROUND((ROUND(((Source!ET203)*Source!AV203*Source!I203),2)),2)+ROUND((ROUND(((Source!AE203-(Source!EU203))*Source!AV203*Source!I203),2)),2))+ROUND((ROUND((Source!AF203*Source!AV203*Source!I203),2)),2)</f>
        <v>-3.04</v>
      </c>
      <c r="J393" s="18">
        <f>IF(Source!BC203&lt;&gt; 0, Source!BC203, 1)</f>
        <v>8.9499999999999993</v>
      </c>
      <c r="K393" s="22">
        <f>Source!O203</f>
        <v>-27.21</v>
      </c>
      <c r="Q393">
        <f>ROUND((Source!DN203/100)*ROUND((ROUND((Source!AF203*Source!AV203*Source!I203),2)),2), 2)</f>
        <v>0</v>
      </c>
      <c r="R393">
        <f>Source!X203</f>
        <v>0</v>
      </c>
      <c r="S393">
        <f>ROUND((Source!DO203/100)*ROUND((ROUND((Source!AF203*Source!AV203*Source!I203),2)),2), 2)</f>
        <v>0</v>
      </c>
      <c r="T393">
        <f>Source!Y203</f>
        <v>0</v>
      </c>
      <c r="U393">
        <f>ROUND((175/100)*ROUND((ROUND((Source!AE203*Source!AV203*Source!I203),2)),2), 2)</f>
        <v>0</v>
      </c>
      <c r="V393">
        <f>ROUND((157/100)*ROUND(ROUND((ROUND((Source!AE203*Source!AV203*Source!I203),2)*Source!BS203),2), 2), 2)</f>
        <v>0</v>
      </c>
      <c r="X393">
        <f>IF(Source!BI203&lt;=1,I393, 0)</f>
        <v>-3.04</v>
      </c>
      <c r="Y393">
        <f>IF(Source!BI203=2,I393, 0)</f>
        <v>0</v>
      </c>
      <c r="Z393">
        <f>IF(Source!BI203=3,I393, 0)</f>
        <v>0</v>
      </c>
      <c r="AA393">
        <f>IF(Source!BI203=4,I393, 0)</f>
        <v>0</v>
      </c>
    </row>
    <row r="394" spans="1:27" ht="42.75" x14ac:dyDescent="0.2">
      <c r="A394" s="16" t="str">
        <f>Source!E204</f>
        <v>45,2</v>
      </c>
      <c r="B394" s="17" t="str">
        <f>Source!F204</f>
        <v>Цена поставщика</v>
      </c>
      <c r="C394" s="17" t="s">
        <v>1645</v>
      </c>
      <c r="D394" s="19" t="str">
        <f>Source!H204</f>
        <v>м</v>
      </c>
      <c r="E394" s="18">
        <f>Source!I204</f>
        <v>111</v>
      </c>
      <c r="F394" s="21">
        <f>Source!AK204</f>
        <v>29.04</v>
      </c>
      <c r="G394" s="27" t="s">
        <v>3</v>
      </c>
      <c r="H394" s="18">
        <f>Source!AW204</f>
        <v>1</v>
      </c>
      <c r="I394" s="22">
        <f>ROUND((ROUND((Source!AC204*Source!AW204*Source!I204),2)),2)+(ROUND((ROUND(((Source!ET204)*Source!AV204*Source!I204),2)),2)+ROUND((ROUND(((Source!AE204-(Source!EU204))*Source!AV204*Source!I204),2)),2))+ROUND((ROUND((Source!AF204*Source!AV204*Source!I204),2)),2)</f>
        <v>3223.44</v>
      </c>
      <c r="J394" s="18">
        <f>IF(Source!BC204&lt;&gt; 0, Source!BC204, 1)</f>
        <v>6.34</v>
      </c>
      <c r="K394" s="22">
        <f>Source!O204</f>
        <v>20436.61</v>
      </c>
      <c r="Q394">
        <f>ROUND((Source!DN204/100)*ROUND((ROUND((Source!AF204*Source!AV204*Source!I204),2)),2), 2)</f>
        <v>0</v>
      </c>
      <c r="R394">
        <f>Source!X204</f>
        <v>0</v>
      </c>
      <c r="S394">
        <f>ROUND((Source!DO204/100)*ROUND((ROUND((Source!AF204*Source!AV204*Source!I204),2)),2), 2)</f>
        <v>0</v>
      </c>
      <c r="T394">
        <f>Source!Y204</f>
        <v>0</v>
      </c>
      <c r="U394">
        <f>ROUND((175/100)*ROUND((ROUND((Source!AE204*Source!AV204*Source!I204),2)),2), 2)</f>
        <v>0</v>
      </c>
      <c r="V394">
        <f>ROUND((157/100)*ROUND(ROUND((ROUND((Source!AE204*Source!AV204*Source!I204),2)*Source!BS204),2), 2), 2)</f>
        <v>0</v>
      </c>
      <c r="X394">
        <f>IF(Source!BI204&lt;=1,I394, 0)</f>
        <v>3223.44</v>
      </c>
      <c r="Y394">
        <f>IF(Source!BI204=2,I394, 0)</f>
        <v>0</v>
      </c>
      <c r="Z394">
        <f>IF(Source!BI204=3,I394, 0)</f>
        <v>0</v>
      </c>
      <c r="AA394">
        <f>IF(Source!BI204=4,I394, 0)</f>
        <v>0</v>
      </c>
    </row>
    <row r="395" spans="1:27" ht="42.75" x14ac:dyDescent="0.2">
      <c r="A395" s="16" t="str">
        <f>Source!E205</f>
        <v>45,3</v>
      </c>
      <c r="B395" s="17" t="str">
        <f>Source!F205</f>
        <v>Цена поставщика</v>
      </c>
      <c r="C395" s="17" t="s">
        <v>1646</v>
      </c>
      <c r="D395" s="19" t="str">
        <f>Source!H205</f>
        <v>шт.</v>
      </c>
      <c r="E395" s="18">
        <f>Source!I205</f>
        <v>111</v>
      </c>
      <c r="F395" s="21">
        <f>Source!AK205</f>
        <v>2.6799999999999997</v>
      </c>
      <c r="G395" s="27" t="s">
        <v>3</v>
      </c>
      <c r="H395" s="18">
        <f>Source!AW205</f>
        <v>1</v>
      </c>
      <c r="I395" s="22">
        <f>ROUND((ROUND((Source!AC205*Source!AW205*Source!I205),2)),2)+(ROUND((ROUND(((Source!ET205)*Source!AV205*Source!I205),2)),2)+ROUND((ROUND(((Source!AE205-(Source!EU205))*Source!AV205*Source!I205),2)),2))+ROUND((ROUND((Source!AF205*Source!AV205*Source!I205),2)),2)</f>
        <v>297.48</v>
      </c>
      <c r="J395" s="18">
        <f>IF(Source!BC205&lt;&gt; 0, Source!BC205, 1)</f>
        <v>6.34</v>
      </c>
      <c r="K395" s="22">
        <f>Source!O205</f>
        <v>1886.02</v>
      </c>
      <c r="Q395">
        <f>ROUND((Source!DN205/100)*ROUND((ROUND((Source!AF205*Source!AV205*Source!I205),2)),2), 2)</f>
        <v>0</v>
      </c>
      <c r="R395">
        <f>Source!X205</f>
        <v>0</v>
      </c>
      <c r="S395">
        <f>ROUND((Source!DO205/100)*ROUND((ROUND((Source!AF205*Source!AV205*Source!I205),2)),2), 2)</f>
        <v>0</v>
      </c>
      <c r="T395">
        <f>Source!Y205</f>
        <v>0</v>
      </c>
      <c r="U395">
        <f>ROUND((175/100)*ROUND((ROUND((Source!AE205*Source!AV205*Source!I205),2)),2), 2)</f>
        <v>0</v>
      </c>
      <c r="V395">
        <f>ROUND((157/100)*ROUND(ROUND((ROUND((Source!AE205*Source!AV205*Source!I205),2)*Source!BS205),2), 2), 2)</f>
        <v>0</v>
      </c>
      <c r="X395">
        <f>IF(Source!BI205&lt;=1,I395, 0)</f>
        <v>297.48</v>
      </c>
      <c r="Y395">
        <f>IF(Source!BI205=2,I395, 0)</f>
        <v>0</v>
      </c>
      <c r="Z395">
        <f>IF(Source!BI205=3,I395, 0)</f>
        <v>0</v>
      </c>
      <c r="AA395">
        <f>IF(Source!BI205=4,I395, 0)</f>
        <v>0</v>
      </c>
    </row>
    <row r="396" spans="1:27" ht="14.25" x14ac:dyDescent="0.2">
      <c r="A396" s="16"/>
      <c r="B396" s="17"/>
      <c r="C396" s="17" t="s">
        <v>1626</v>
      </c>
      <c r="D396" s="19" t="s">
        <v>1627</v>
      </c>
      <c r="E396" s="18">
        <f>Source!DN202</f>
        <v>104</v>
      </c>
      <c r="F396" s="21"/>
      <c r="G396" s="20"/>
      <c r="H396" s="18"/>
      <c r="I396" s="22">
        <f>SUM(Q387:Q395)</f>
        <v>113.55</v>
      </c>
      <c r="J396" s="18">
        <f>Source!BZ202</f>
        <v>85</v>
      </c>
      <c r="K396" s="22">
        <f>SUM(R387:R395)</f>
        <v>2360.91</v>
      </c>
    </row>
    <row r="397" spans="1:27" ht="14.25" x14ac:dyDescent="0.2">
      <c r="A397" s="16"/>
      <c r="B397" s="17"/>
      <c r="C397" s="17" t="s">
        <v>1628</v>
      </c>
      <c r="D397" s="19" t="s">
        <v>1627</v>
      </c>
      <c r="E397" s="18">
        <f>Source!DO202</f>
        <v>70</v>
      </c>
      <c r="F397" s="21"/>
      <c r="G397" s="20"/>
      <c r="H397" s="18"/>
      <c r="I397" s="22">
        <f>SUM(S387:S396)</f>
        <v>76.430000000000007</v>
      </c>
      <c r="J397" s="18">
        <f>Source!CA202</f>
        <v>41</v>
      </c>
      <c r="K397" s="22">
        <f>SUM(T387:T396)</f>
        <v>1138.79</v>
      </c>
    </row>
    <row r="398" spans="1:27" ht="14.25" x14ac:dyDescent="0.2">
      <c r="A398" s="16"/>
      <c r="B398" s="17"/>
      <c r="C398" s="17" t="s">
        <v>1633</v>
      </c>
      <c r="D398" s="19" t="s">
        <v>1627</v>
      </c>
      <c r="E398" s="18">
        <f>175</f>
        <v>175</v>
      </c>
      <c r="F398" s="21"/>
      <c r="G398" s="20"/>
      <c r="H398" s="18"/>
      <c r="I398" s="22">
        <f>SUM(U387:U397)</f>
        <v>3.43</v>
      </c>
      <c r="J398" s="18">
        <f>157</f>
        <v>157</v>
      </c>
      <c r="K398" s="22">
        <f>SUM(V387:V397)</f>
        <v>78.28</v>
      </c>
    </row>
    <row r="399" spans="1:27" ht="14.25" x14ac:dyDescent="0.2">
      <c r="A399" s="16"/>
      <c r="B399" s="17"/>
      <c r="C399" s="17" t="s">
        <v>1629</v>
      </c>
      <c r="D399" s="19" t="s">
        <v>1630</v>
      </c>
      <c r="E399" s="18">
        <f>Source!AQ202</f>
        <v>7.65</v>
      </c>
      <c r="F399" s="21"/>
      <c r="G399" s="20" t="str">
        <f>Source!DI202</f>
        <v>)*1,15</v>
      </c>
      <c r="H399" s="18">
        <f>Source!AV202</f>
        <v>1</v>
      </c>
      <c r="I399" s="22">
        <f>Source!U202</f>
        <v>9.7652250000000009</v>
      </c>
      <c r="J399" s="18"/>
      <c r="K399" s="22"/>
    </row>
    <row r="400" spans="1:27" ht="15" x14ac:dyDescent="0.25">
      <c r="A400" s="25"/>
      <c r="B400" s="25"/>
      <c r="C400" s="25"/>
      <c r="D400" s="25"/>
      <c r="E400" s="25"/>
      <c r="F400" s="25"/>
      <c r="G400" s="25"/>
      <c r="H400" s="54">
        <f>I389+I390+I392+I396+I397+I398+SUM(I393:I395)</f>
        <v>3834.11</v>
      </c>
      <c r="I400" s="54"/>
      <c r="J400" s="54">
        <f>K389+K390+K392+K396+K397+K398+SUM(K393:K395)</f>
        <v>28780.14</v>
      </c>
      <c r="K400" s="54"/>
      <c r="O400" s="24">
        <f>I389+I390+I392+I396+I397+I398+SUM(I393:I395)</f>
        <v>3834.11</v>
      </c>
      <c r="P400" s="24">
        <f>K389+K390+K392+K396+K397+K398+SUM(K393:K395)</f>
        <v>28780.14</v>
      </c>
      <c r="X400">
        <f>IF(Source!BI202&lt;=1,I389+I390+I392+I396+I397+I398-0, 0)</f>
        <v>316.23</v>
      </c>
      <c r="Y400">
        <f>IF(Source!BI202=2,I389+I390+I392+I396+I397+I398-0, 0)</f>
        <v>0</v>
      </c>
      <c r="Z400">
        <f>IF(Source!BI202=3,I389+I390+I392+I396+I397+I398-0, 0)</f>
        <v>0</v>
      </c>
      <c r="AA400">
        <f>IF(Source!BI202=4,I389+I390+I392+I396+I397+I398,0)</f>
        <v>0</v>
      </c>
    </row>
    <row r="401" spans="1:27" ht="42.75" x14ac:dyDescent="0.2">
      <c r="A401" s="16" t="str">
        <f>Source!E206</f>
        <v>46</v>
      </c>
      <c r="B401" s="17" t="str">
        <f>Source!F206</f>
        <v>3.47-58-1</v>
      </c>
      <c r="C401" s="17" t="s">
        <v>383</v>
      </c>
      <c r="D401" s="19" t="str">
        <f>Source!H206</f>
        <v>100 м2</v>
      </c>
      <c r="E401" s="18">
        <f>Source!I206</f>
        <v>1.25</v>
      </c>
      <c r="F401" s="21"/>
      <c r="G401" s="20"/>
      <c r="H401" s="18"/>
      <c r="I401" s="22"/>
      <c r="J401" s="18"/>
      <c r="K401" s="22"/>
      <c r="Q401">
        <f>ROUND((Source!DN206/100)*ROUND((ROUND((Source!AF206*Source!AV206*Source!I206),2)),2), 2)</f>
        <v>162.4</v>
      </c>
      <c r="R401">
        <f>Source!X206</f>
        <v>2383.4699999999998</v>
      </c>
      <c r="S401">
        <f>ROUND((Source!DO206/100)*ROUND((ROUND((Source!AF206*Source!AV206*Source!I206),2)),2), 2)</f>
        <v>87.44</v>
      </c>
      <c r="T401">
        <f>Source!Y206</f>
        <v>1085.8</v>
      </c>
      <c r="U401">
        <f>ROUND((175/100)*ROUND((ROUND((Source!AE206*Source!AV206*Source!I206),2)),2), 2)</f>
        <v>22.82</v>
      </c>
      <c r="V401">
        <f>ROUND((157/100)*ROUND(ROUND((ROUND((Source!AE206*Source!AV206*Source!I206),2)*Source!BS206),2), 2), 2)</f>
        <v>520.83000000000004</v>
      </c>
    </row>
    <row r="402" spans="1:27" x14ac:dyDescent="0.2">
      <c r="C402" s="23" t="str">
        <f>"Объем: "&amp;Source!I206&amp;"=125/"&amp;"100"</f>
        <v>Объем: 1,25=125/100</v>
      </c>
    </row>
    <row r="403" spans="1:27" ht="14.25" x14ac:dyDescent="0.2">
      <c r="A403" s="16"/>
      <c r="B403" s="17"/>
      <c r="C403" s="17" t="s">
        <v>1625</v>
      </c>
      <c r="D403" s="19"/>
      <c r="E403" s="18"/>
      <c r="F403" s="21">
        <f>Source!AO206</f>
        <v>83.28</v>
      </c>
      <c r="G403" s="20" t="str">
        <f>Source!DG206</f>
        <v/>
      </c>
      <c r="H403" s="18">
        <f>Source!AV206</f>
        <v>1</v>
      </c>
      <c r="I403" s="22">
        <f>ROUND((ROUND((Source!AF206*Source!AV206*Source!I206),2)),2)</f>
        <v>104.1</v>
      </c>
      <c r="J403" s="18">
        <f>IF(Source!BA206&lt;&gt; 0, Source!BA206, 1)</f>
        <v>25.44</v>
      </c>
      <c r="K403" s="22">
        <f>Source!S206</f>
        <v>2648.3</v>
      </c>
      <c r="W403">
        <f>I403</f>
        <v>104.1</v>
      </c>
    </row>
    <row r="404" spans="1:27" ht="14.25" x14ac:dyDescent="0.2">
      <c r="A404" s="16"/>
      <c r="B404" s="17"/>
      <c r="C404" s="17" t="s">
        <v>1631</v>
      </c>
      <c r="D404" s="19"/>
      <c r="E404" s="18"/>
      <c r="F404" s="21">
        <f>Source!AM206</f>
        <v>35.380000000000003</v>
      </c>
      <c r="G404" s="20" t="str">
        <f>Source!DE206</f>
        <v/>
      </c>
      <c r="H404" s="18">
        <f>Source!AV206</f>
        <v>1</v>
      </c>
      <c r="I404" s="22">
        <f>(ROUND((ROUND(((Source!ET206)*Source!AV206*Source!I206),2)),2)+ROUND((ROUND(((Source!AE206-(Source!EU206))*Source!AV206*Source!I206),2)),2))</f>
        <v>44.23</v>
      </c>
      <c r="J404" s="18">
        <f>IF(Source!BB206&lt;&gt; 0, Source!BB206, 1)</f>
        <v>11.63</v>
      </c>
      <c r="K404" s="22">
        <f>Source!Q206</f>
        <v>514.39</v>
      </c>
    </row>
    <row r="405" spans="1:27" ht="14.25" x14ac:dyDescent="0.2">
      <c r="A405" s="16"/>
      <c r="B405" s="17"/>
      <c r="C405" s="17" t="s">
        <v>1632</v>
      </c>
      <c r="D405" s="19"/>
      <c r="E405" s="18"/>
      <c r="F405" s="21">
        <f>Source!AN206</f>
        <v>10.43</v>
      </c>
      <c r="G405" s="20" t="str">
        <f>Source!DF206</f>
        <v/>
      </c>
      <c r="H405" s="18">
        <f>Source!AV206</f>
        <v>1</v>
      </c>
      <c r="I405" s="26">
        <f>ROUND((ROUND((Source!AE206*Source!AV206*Source!I206),2)),2)</f>
        <v>13.04</v>
      </c>
      <c r="J405" s="18">
        <f>IF(Source!BS206&lt;&gt; 0, Source!BS206, 1)</f>
        <v>25.44</v>
      </c>
      <c r="K405" s="26">
        <f>Source!R206</f>
        <v>331.74</v>
      </c>
      <c r="W405">
        <f>I405</f>
        <v>13.04</v>
      </c>
    </row>
    <row r="406" spans="1:27" ht="14.25" x14ac:dyDescent="0.2">
      <c r="A406" s="16"/>
      <c r="B406" s="17"/>
      <c r="C406" s="17" t="s">
        <v>1634</v>
      </c>
      <c r="D406" s="19"/>
      <c r="E406" s="18"/>
      <c r="F406" s="21">
        <f>Source!AL206</f>
        <v>1536.83</v>
      </c>
      <c r="G406" s="20" t="str">
        <f>Source!DD206</f>
        <v/>
      </c>
      <c r="H406" s="18">
        <f>Source!AW206</f>
        <v>1</v>
      </c>
      <c r="I406" s="22">
        <f>ROUND((ROUND((Source!AC206*Source!AW206*Source!I206),2)),2)</f>
        <v>1921.04</v>
      </c>
      <c r="J406" s="18">
        <f>IF(Source!BC206&lt;&gt; 0, Source!BC206, 1)</f>
        <v>7.94</v>
      </c>
      <c r="K406" s="22">
        <f>Source!P206</f>
        <v>15253.06</v>
      </c>
    </row>
    <row r="407" spans="1:27" ht="14.25" x14ac:dyDescent="0.2">
      <c r="A407" s="16" t="str">
        <f>Source!E207</f>
        <v>46,1</v>
      </c>
      <c r="B407" s="17" t="str">
        <f>Source!F207</f>
        <v>1.1-1-2388</v>
      </c>
      <c r="C407" s="17" t="s">
        <v>389</v>
      </c>
      <c r="D407" s="19" t="str">
        <f>Source!H207</f>
        <v>м3</v>
      </c>
      <c r="E407" s="18">
        <f>Source!I207</f>
        <v>-7.25</v>
      </c>
      <c r="F407" s="21">
        <f>Source!AK207</f>
        <v>264.97000000000003</v>
      </c>
      <c r="G407" s="27" t="s">
        <v>3</v>
      </c>
      <c r="H407" s="18">
        <f>Source!AW207</f>
        <v>1</v>
      </c>
      <c r="I407" s="22">
        <f>ROUND((ROUND((Source!AC207*Source!AW207*Source!I207),2)),2)+(ROUND((ROUND(((Source!ET207)*Source!AV207*Source!I207),2)),2)+ROUND((ROUND(((Source!AE207-(Source!EU207))*Source!AV207*Source!I207),2)),2))+ROUND((ROUND((Source!AF207*Source!AV207*Source!I207),2)),2)</f>
        <v>-1921.03</v>
      </c>
      <c r="J407" s="18">
        <f>IF(Source!BC207&lt;&gt; 0, Source!BC207, 1)</f>
        <v>7.94</v>
      </c>
      <c r="K407" s="22">
        <f>Source!O207</f>
        <v>-15252.98</v>
      </c>
      <c r="Q407">
        <f>ROUND((Source!DN207/100)*ROUND((ROUND((Source!AF207*Source!AV207*Source!I207),2)),2), 2)</f>
        <v>0</v>
      </c>
      <c r="R407">
        <f>Source!X207</f>
        <v>0</v>
      </c>
      <c r="S407">
        <f>ROUND((Source!DO207/100)*ROUND((ROUND((Source!AF207*Source!AV207*Source!I207),2)),2), 2)</f>
        <v>0</v>
      </c>
      <c r="T407">
        <f>Source!Y207</f>
        <v>0</v>
      </c>
      <c r="U407">
        <f>ROUND((175/100)*ROUND((ROUND((Source!AE207*Source!AV207*Source!I207),2)),2), 2)</f>
        <v>0</v>
      </c>
      <c r="V407">
        <f>ROUND((157/100)*ROUND(ROUND((ROUND((Source!AE207*Source!AV207*Source!I207),2)*Source!BS207),2), 2), 2)</f>
        <v>0</v>
      </c>
      <c r="X407">
        <f>IF(Source!BI207&lt;=1,I407, 0)</f>
        <v>-1921.03</v>
      </c>
      <c r="Y407">
        <f>IF(Source!BI207=2,I407, 0)</f>
        <v>0</v>
      </c>
      <c r="Z407">
        <f>IF(Source!BI207=3,I407, 0)</f>
        <v>0</v>
      </c>
      <c r="AA407">
        <f>IF(Source!BI207=4,I407, 0)</f>
        <v>0</v>
      </c>
    </row>
    <row r="408" spans="1:27" ht="54" x14ac:dyDescent="0.2">
      <c r="A408" s="16" t="str">
        <f>Source!E208</f>
        <v>46,2</v>
      </c>
      <c r="B408" s="17" t="str">
        <f>Source!F208</f>
        <v>Цена поставщика</v>
      </c>
      <c r="C408" s="17" t="s">
        <v>1647</v>
      </c>
      <c r="D408" s="19" t="str">
        <f>Source!H208</f>
        <v>м3</v>
      </c>
      <c r="E408" s="18">
        <f>Source!I208</f>
        <v>7.25</v>
      </c>
      <c r="F408" s="21">
        <f>Source!AK208</f>
        <v>1728.69</v>
      </c>
      <c r="G408" s="27" t="s">
        <v>3</v>
      </c>
      <c r="H408" s="18">
        <f>Source!AW208</f>
        <v>1</v>
      </c>
      <c r="I408" s="22">
        <f>ROUND((ROUND((Source!AC208*Source!AW208*Source!I208),2)),2)+(ROUND((ROUND(((Source!ET208)*Source!AV208*Source!I208),2)),2)+ROUND((ROUND(((Source!AE208-(Source!EU208))*Source!AV208*Source!I208),2)),2))+ROUND((ROUND((Source!AF208*Source!AV208*Source!I208),2)),2)</f>
        <v>12533</v>
      </c>
      <c r="J408" s="18">
        <f>IF(Source!BC208&lt;&gt; 0, Source!BC208, 1)</f>
        <v>6.34</v>
      </c>
      <c r="K408" s="22">
        <f>Source!O208</f>
        <v>79459.22</v>
      </c>
      <c r="Q408">
        <f>ROUND((Source!DN208/100)*ROUND((ROUND((Source!AF208*Source!AV208*Source!I208),2)),2), 2)</f>
        <v>0</v>
      </c>
      <c r="R408">
        <f>Source!X208</f>
        <v>0</v>
      </c>
      <c r="S408">
        <f>ROUND((Source!DO208/100)*ROUND((ROUND((Source!AF208*Source!AV208*Source!I208),2)),2), 2)</f>
        <v>0</v>
      </c>
      <c r="T408">
        <f>Source!Y208</f>
        <v>0</v>
      </c>
      <c r="U408">
        <f>ROUND((175/100)*ROUND((ROUND((Source!AE208*Source!AV208*Source!I208),2)),2), 2)</f>
        <v>0</v>
      </c>
      <c r="V408">
        <f>ROUND((157/100)*ROUND(ROUND((ROUND((Source!AE208*Source!AV208*Source!I208),2)*Source!BS208),2), 2), 2)</f>
        <v>0</v>
      </c>
      <c r="X408">
        <f>IF(Source!BI208&lt;=1,I408, 0)</f>
        <v>12533</v>
      </c>
      <c r="Y408">
        <f>IF(Source!BI208=2,I408, 0)</f>
        <v>0</v>
      </c>
      <c r="Z408">
        <f>IF(Source!BI208=3,I408, 0)</f>
        <v>0</v>
      </c>
      <c r="AA408">
        <f>IF(Source!BI208=4,I408, 0)</f>
        <v>0</v>
      </c>
    </row>
    <row r="409" spans="1:27" ht="14.25" x14ac:dyDescent="0.2">
      <c r="A409" s="16"/>
      <c r="B409" s="17"/>
      <c r="C409" s="17" t="s">
        <v>1626</v>
      </c>
      <c r="D409" s="19" t="s">
        <v>1627</v>
      </c>
      <c r="E409" s="18">
        <f>Source!DN206</f>
        <v>156</v>
      </c>
      <c r="F409" s="21"/>
      <c r="G409" s="20"/>
      <c r="H409" s="18"/>
      <c r="I409" s="22">
        <f>SUM(Q401:Q408)</f>
        <v>162.4</v>
      </c>
      <c r="J409" s="18">
        <f>Source!BZ206</f>
        <v>90</v>
      </c>
      <c r="K409" s="22">
        <f>SUM(R401:R408)</f>
        <v>2383.4699999999998</v>
      </c>
    </row>
    <row r="410" spans="1:27" ht="14.25" x14ac:dyDescent="0.2">
      <c r="A410" s="16"/>
      <c r="B410" s="17"/>
      <c r="C410" s="17" t="s">
        <v>1628</v>
      </c>
      <c r="D410" s="19" t="s">
        <v>1627</v>
      </c>
      <c r="E410" s="18">
        <f>Source!DO206</f>
        <v>84</v>
      </c>
      <c r="F410" s="21"/>
      <c r="G410" s="20"/>
      <c r="H410" s="18"/>
      <c r="I410" s="22">
        <f>SUM(S401:S409)</f>
        <v>87.44</v>
      </c>
      <c r="J410" s="18">
        <f>Source!CA206</f>
        <v>41</v>
      </c>
      <c r="K410" s="22">
        <f>SUM(T401:T409)</f>
        <v>1085.8</v>
      </c>
    </row>
    <row r="411" spans="1:27" ht="14.25" x14ac:dyDescent="0.2">
      <c r="A411" s="16"/>
      <c r="B411" s="17"/>
      <c r="C411" s="17" t="s">
        <v>1633</v>
      </c>
      <c r="D411" s="19" t="s">
        <v>1627</v>
      </c>
      <c r="E411" s="18">
        <f>175</f>
        <v>175</v>
      </c>
      <c r="F411" s="21"/>
      <c r="G411" s="20"/>
      <c r="H411" s="18"/>
      <c r="I411" s="22">
        <f>SUM(U401:U410)</f>
        <v>22.82</v>
      </c>
      <c r="J411" s="18">
        <f>157</f>
        <v>157</v>
      </c>
      <c r="K411" s="22">
        <f>SUM(V401:V410)</f>
        <v>520.83000000000004</v>
      </c>
    </row>
    <row r="412" spans="1:27" ht="14.25" x14ac:dyDescent="0.2">
      <c r="A412" s="16"/>
      <c r="B412" s="17"/>
      <c r="C412" s="17" t="s">
        <v>1629</v>
      </c>
      <c r="D412" s="19" t="s">
        <v>1630</v>
      </c>
      <c r="E412" s="18">
        <f>Source!AQ206</f>
        <v>8</v>
      </c>
      <c r="F412" s="21"/>
      <c r="G412" s="20" t="str">
        <f>Source!DI206</f>
        <v/>
      </c>
      <c r="H412" s="18">
        <f>Source!AV206</f>
        <v>1</v>
      </c>
      <c r="I412" s="22">
        <f>Source!U206</f>
        <v>10</v>
      </c>
      <c r="J412" s="18"/>
      <c r="K412" s="22"/>
    </row>
    <row r="413" spans="1:27" ht="15" x14ac:dyDescent="0.25">
      <c r="A413" s="25"/>
      <c r="B413" s="25"/>
      <c r="C413" s="25"/>
      <c r="D413" s="25"/>
      <c r="E413" s="25"/>
      <c r="F413" s="25"/>
      <c r="G413" s="25"/>
      <c r="H413" s="54">
        <f>I403+I404+I406+I409+I410+I411+SUM(I407:I408)</f>
        <v>12954</v>
      </c>
      <c r="I413" s="54"/>
      <c r="J413" s="54">
        <f>K403+K404+K406+K409+K410+K411+SUM(K407:K408)</f>
        <v>86612.090000000011</v>
      </c>
      <c r="K413" s="54"/>
      <c r="O413" s="24">
        <f>I403+I404+I406+I409+I410+I411+SUM(I407:I408)</f>
        <v>12954</v>
      </c>
      <c r="P413" s="24">
        <f>K403+K404+K406+K409+K410+K411+SUM(K407:K408)</f>
        <v>86612.090000000011</v>
      </c>
      <c r="X413">
        <f>IF(Source!BI206&lt;=1,I403+I404+I406+I409+I410+I411-0, 0)</f>
        <v>2342.0300000000002</v>
      </c>
      <c r="Y413">
        <f>IF(Source!BI206=2,I403+I404+I406+I409+I410+I411-0, 0)</f>
        <v>0</v>
      </c>
      <c r="Z413">
        <f>IF(Source!BI206=3,I403+I404+I406+I409+I410+I411-0, 0)</f>
        <v>0</v>
      </c>
      <c r="AA413">
        <f>IF(Source!BI206=4,I403+I404+I406+I409+I410+I411,0)</f>
        <v>0</v>
      </c>
    </row>
    <row r="414" spans="1:27" ht="42.75" x14ac:dyDescent="0.2">
      <c r="A414" s="16" t="str">
        <f>Source!E209</f>
        <v>47</v>
      </c>
      <c r="B414" s="17" t="str">
        <f>Source!F209</f>
        <v>3.47-58-2</v>
      </c>
      <c r="C414" s="17" t="s">
        <v>396</v>
      </c>
      <c r="D414" s="19" t="str">
        <f>Source!H209</f>
        <v>100 м2</v>
      </c>
      <c r="E414" s="18">
        <f>Source!I209</f>
        <v>1.25</v>
      </c>
      <c r="F414" s="21"/>
      <c r="G414" s="20"/>
      <c r="H414" s="18"/>
      <c r="I414" s="22"/>
      <c r="J414" s="18"/>
      <c r="K414" s="22"/>
      <c r="Q414">
        <f>ROUND((Source!DN209/100)*ROUND((ROUND((Source!AF209*Source!AV209*Source!I209),2)),2), 2)</f>
        <v>116.72</v>
      </c>
      <c r="R414">
        <f>Source!X209</f>
        <v>1713.08</v>
      </c>
      <c r="S414">
        <f>ROUND((Source!DO209/100)*ROUND((ROUND((Source!AF209*Source!AV209*Source!I209),2)),2), 2)</f>
        <v>62.85</v>
      </c>
      <c r="T414">
        <f>Source!Y209</f>
        <v>780.4</v>
      </c>
      <c r="U414">
        <f>ROUND((175/100)*ROUND((ROUND((Source!AE209*Source!AV209*Source!I209),2)),2), 2)</f>
        <v>0</v>
      </c>
      <c r="V414">
        <f>ROUND((157/100)*ROUND(ROUND((ROUND((Source!AE209*Source!AV209*Source!I209),2)*Source!BS209),2), 2), 2)</f>
        <v>0</v>
      </c>
    </row>
    <row r="415" spans="1:27" x14ac:dyDescent="0.2">
      <c r="C415" s="23" t="str">
        <f>"Объем: "&amp;Source!I209&amp;"=125/"&amp;"100"</f>
        <v>Объем: 1,25=125/100</v>
      </c>
    </row>
    <row r="416" spans="1:27" ht="14.25" x14ac:dyDescent="0.2">
      <c r="A416" s="16"/>
      <c r="B416" s="17"/>
      <c r="C416" s="17" t="s">
        <v>1625</v>
      </c>
      <c r="D416" s="19"/>
      <c r="E416" s="18"/>
      <c r="F416" s="21">
        <f>Source!AO209</f>
        <v>10.41</v>
      </c>
      <c r="G416" s="20" t="str">
        <f>Source!DG209</f>
        <v>)*1,15*5</v>
      </c>
      <c r="H416" s="18">
        <f>Source!AV209</f>
        <v>1</v>
      </c>
      <c r="I416" s="22">
        <f>ROUND((ROUND((Source!AF209*Source!AV209*Source!I209),2)),2)</f>
        <v>74.819999999999993</v>
      </c>
      <c r="J416" s="18">
        <f>IF(Source!BA209&lt;&gt; 0, Source!BA209, 1)</f>
        <v>25.44</v>
      </c>
      <c r="K416" s="22">
        <f>Source!S209</f>
        <v>1903.42</v>
      </c>
      <c r="W416">
        <f>I416</f>
        <v>74.819999999999993</v>
      </c>
    </row>
    <row r="417" spans="1:38" ht="14.25" x14ac:dyDescent="0.2">
      <c r="A417" s="16"/>
      <c r="B417" s="17"/>
      <c r="C417" s="17" t="s">
        <v>1634</v>
      </c>
      <c r="D417" s="19"/>
      <c r="E417" s="18"/>
      <c r="F417" s="21">
        <f>Source!AL209</f>
        <v>307.37</v>
      </c>
      <c r="G417" s="20" t="str">
        <f>Source!DD209</f>
        <v>*5</v>
      </c>
      <c r="H417" s="18">
        <f>Source!AW209</f>
        <v>1</v>
      </c>
      <c r="I417" s="22">
        <f>ROUND((ROUND((Source!AC209*Source!AW209*Source!I209),2)),2)</f>
        <v>1921.06</v>
      </c>
      <c r="J417" s="18">
        <f>IF(Source!BC209&lt;&gt; 0, Source!BC209, 1)</f>
        <v>7.94</v>
      </c>
      <c r="K417" s="22">
        <f>Source!P209</f>
        <v>15253.22</v>
      </c>
    </row>
    <row r="418" spans="1:38" ht="14.25" x14ac:dyDescent="0.2">
      <c r="A418" s="16" t="str">
        <f>Source!E210</f>
        <v>47,1</v>
      </c>
      <c r="B418" s="17" t="str">
        <f>Source!F210</f>
        <v>1.1-1-2388</v>
      </c>
      <c r="C418" s="17" t="s">
        <v>389</v>
      </c>
      <c r="D418" s="19" t="str">
        <f>Source!H210</f>
        <v>м3</v>
      </c>
      <c r="E418" s="18">
        <f>Source!I210</f>
        <v>-7.25</v>
      </c>
      <c r="F418" s="21">
        <f>Source!AK210</f>
        <v>264.97000000000003</v>
      </c>
      <c r="G418" s="27" t="s">
        <v>1648</v>
      </c>
      <c r="H418" s="18">
        <f>Source!AW210</f>
        <v>1</v>
      </c>
      <c r="I418" s="22">
        <f>ROUND((ROUND((Source!AC210*Source!AW210*Source!I210),2)),2)+(ROUND((ROUND(((Source!ET210)*Source!AV210*Source!I210),2)),2)+ROUND((ROUND(((Source!AE210-(Source!EU210))*Source!AV210*Source!I210),2)),2))+ROUND((ROUND((Source!AF210*Source!AV210*Source!I210),2)),2)</f>
        <v>-1921.03</v>
      </c>
      <c r="J418" s="18">
        <f>IF(Source!BC210&lt;&gt; 0, Source!BC210, 1)</f>
        <v>7.94</v>
      </c>
      <c r="K418" s="22">
        <f>Source!O210</f>
        <v>-15252.98</v>
      </c>
      <c r="Q418">
        <f>ROUND((Source!DN210/100)*ROUND((ROUND((Source!AF210*Source!AV210*Source!I210),2)),2), 2)</f>
        <v>0</v>
      </c>
      <c r="R418">
        <f>Source!X210</f>
        <v>0</v>
      </c>
      <c r="S418">
        <f>ROUND((Source!DO210/100)*ROUND((ROUND((Source!AF210*Source!AV210*Source!I210),2)),2), 2)</f>
        <v>0</v>
      </c>
      <c r="T418">
        <f>Source!Y210</f>
        <v>0</v>
      </c>
      <c r="U418">
        <f>ROUND((175/100)*ROUND((ROUND((Source!AE210*Source!AV210*Source!I210),2)),2), 2)</f>
        <v>0</v>
      </c>
      <c r="V418">
        <f>ROUND((157/100)*ROUND(ROUND((ROUND((Source!AE210*Source!AV210*Source!I210),2)*Source!BS210),2), 2), 2)</f>
        <v>0</v>
      </c>
      <c r="X418">
        <f>IF(Source!BI210&lt;=1,I418, 0)</f>
        <v>-1921.03</v>
      </c>
      <c r="Y418">
        <f>IF(Source!BI210=2,I418, 0)</f>
        <v>0</v>
      </c>
      <c r="Z418">
        <f>IF(Source!BI210=3,I418, 0)</f>
        <v>0</v>
      </c>
      <c r="AA418">
        <f>IF(Source!BI210=4,I418, 0)</f>
        <v>0</v>
      </c>
    </row>
    <row r="419" spans="1:38" ht="54" x14ac:dyDescent="0.2">
      <c r="A419" s="16" t="str">
        <f>Source!E211</f>
        <v>47,2</v>
      </c>
      <c r="B419" s="17" t="str">
        <f>Source!F211</f>
        <v>Цена поставщика</v>
      </c>
      <c r="C419" s="17" t="s">
        <v>1647</v>
      </c>
      <c r="D419" s="19" t="str">
        <f>Source!H211</f>
        <v>м3</v>
      </c>
      <c r="E419" s="18">
        <f>Source!I211</f>
        <v>7.25</v>
      </c>
      <c r="F419" s="21">
        <f>Source!AK211</f>
        <v>1728.69</v>
      </c>
      <c r="G419" s="27" t="s">
        <v>1648</v>
      </c>
      <c r="H419" s="18">
        <f>Source!AW211</f>
        <v>1</v>
      </c>
      <c r="I419" s="22">
        <f>ROUND((ROUND((Source!AC211*Source!AW211*Source!I211),2)),2)+(ROUND((ROUND(((Source!ET211)*Source!AV211*Source!I211),2)),2)+ROUND((ROUND(((Source!AE211-(Source!EU211))*Source!AV211*Source!I211),2)),2))+ROUND((ROUND((Source!AF211*Source!AV211*Source!I211),2)),2)</f>
        <v>12533</v>
      </c>
      <c r="J419" s="18">
        <f>IF(Source!BC211&lt;&gt; 0, Source!BC211, 1)</f>
        <v>6.34</v>
      </c>
      <c r="K419" s="22">
        <f>Source!O211</f>
        <v>79459.22</v>
      </c>
      <c r="Q419">
        <f>ROUND((Source!DN211/100)*ROUND((ROUND((Source!AF211*Source!AV211*Source!I211),2)),2), 2)</f>
        <v>0</v>
      </c>
      <c r="R419">
        <f>Source!X211</f>
        <v>0</v>
      </c>
      <c r="S419">
        <f>ROUND((Source!DO211/100)*ROUND((ROUND((Source!AF211*Source!AV211*Source!I211),2)),2), 2)</f>
        <v>0</v>
      </c>
      <c r="T419">
        <f>Source!Y211</f>
        <v>0</v>
      </c>
      <c r="U419">
        <f>ROUND((175/100)*ROUND((ROUND((Source!AE211*Source!AV211*Source!I211),2)),2), 2)</f>
        <v>0</v>
      </c>
      <c r="V419">
        <f>ROUND((157/100)*ROUND(ROUND((ROUND((Source!AE211*Source!AV211*Source!I211),2)*Source!BS211),2), 2), 2)</f>
        <v>0</v>
      </c>
      <c r="X419">
        <f>IF(Source!BI211&lt;=1,I419, 0)</f>
        <v>12533</v>
      </c>
      <c r="Y419">
        <f>IF(Source!BI211=2,I419, 0)</f>
        <v>0</v>
      </c>
      <c r="Z419">
        <f>IF(Source!BI211=3,I419, 0)</f>
        <v>0</v>
      </c>
      <c r="AA419">
        <f>IF(Source!BI211=4,I419, 0)</f>
        <v>0</v>
      </c>
    </row>
    <row r="420" spans="1:38" ht="14.25" x14ac:dyDescent="0.2">
      <c r="A420" s="16"/>
      <c r="B420" s="17"/>
      <c r="C420" s="17" t="s">
        <v>1626</v>
      </c>
      <c r="D420" s="19" t="s">
        <v>1627</v>
      </c>
      <c r="E420" s="18">
        <f>Source!DN209</f>
        <v>156</v>
      </c>
      <c r="F420" s="21"/>
      <c r="G420" s="20"/>
      <c r="H420" s="18"/>
      <c r="I420" s="22">
        <f>SUM(Q414:Q419)</f>
        <v>116.72</v>
      </c>
      <c r="J420" s="18">
        <f>Source!BZ209</f>
        <v>90</v>
      </c>
      <c r="K420" s="22">
        <f>SUM(R414:R419)</f>
        <v>1713.08</v>
      </c>
    </row>
    <row r="421" spans="1:38" ht="14.25" x14ac:dyDescent="0.2">
      <c r="A421" s="16"/>
      <c r="B421" s="17"/>
      <c r="C421" s="17" t="s">
        <v>1628</v>
      </c>
      <c r="D421" s="19" t="s">
        <v>1627</v>
      </c>
      <c r="E421" s="18">
        <f>Source!DO209</f>
        <v>84</v>
      </c>
      <c r="F421" s="21"/>
      <c r="G421" s="20"/>
      <c r="H421" s="18"/>
      <c r="I421" s="22">
        <f>SUM(S414:S420)</f>
        <v>62.85</v>
      </c>
      <c r="J421" s="18">
        <f>Source!CA209</f>
        <v>41</v>
      </c>
      <c r="K421" s="22">
        <f>SUM(T414:T420)</f>
        <v>780.4</v>
      </c>
    </row>
    <row r="422" spans="1:38" ht="14.25" x14ac:dyDescent="0.2">
      <c r="A422" s="16"/>
      <c r="B422" s="17"/>
      <c r="C422" s="17" t="s">
        <v>1629</v>
      </c>
      <c r="D422" s="19" t="s">
        <v>1630</v>
      </c>
      <c r="E422" s="18">
        <f>Source!AQ209</f>
        <v>1</v>
      </c>
      <c r="F422" s="21"/>
      <c r="G422" s="20" t="str">
        <f>Source!DI209</f>
        <v>)*1,15*5</v>
      </c>
      <c r="H422" s="18">
        <f>Source!AV209</f>
        <v>1</v>
      </c>
      <c r="I422" s="22">
        <f>Source!U209</f>
        <v>7.1875</v>
      </c>
      <c r="J422" s="18"/>
      <c r="K422" s="22"/>
    </row>
    <row r="423" spans="1:38" ht="15" x14ac:dyDescent="0.25">
      <c r="A423" s="25"/>
      <c r="B423" s="25"/>
      <c r="C423" s="25"/>
      <c r="D423" s="25"/>
      <c r="E423" s="25"/>
      <c r="F423" s="25"/>
      <c r="G423" s="25"/>
      <c r="H423" s="54">
        <f>I416+I417+I420+I421+SUM(I418:I419)</f>
        <v>12787.419999999998</v>
      </c>
      <c r="I423" s="54"/>
      <c r="J423" s="54">
        <f>K416+K417+K420+K421+SUM(K418:K419)</f>
        <v>83856.360000000015</v>
      </c>
      <c r="K423" s="54"/>
      <c r="O423" s="24">
        <f>I416+I417+I420+I421+SUM(I418:I419)</f>
        <v>12787.419999999998</v>
      </c>
      <c r="P423" s="24">
        <f>K416+K417+K420+K421+SUM(K418:K419)</f>
        <v>83856.360000000015</v>
      </c>
      <c r="X423">
        <f>IF(Source!BI209&lt;=1,I416+I417+I420+I421-0, 0)</f>
        <v>2175.4499999999998</v>
      </c>
      <c r="Y423">
        <f>IF(Source!BI209=2,I416+I417+I420+I421-0, 0)</f>
        <v>0</v>
      </c>
      <c r="Z423">
        <f>IF(Source!BI209=3,I416+I417+I420+I421-0, 0)</f>
        <v>0</v>
      </c>
      <c r="AA423">
        <f>IF(Source!BI209=4,I416+I417+I420+I421,0)</f>
        <v>0</v>
      </c>
    </row>
    <row r="424" spans="1:38" ht="57" x14ac:dyDescent="0.2">
      <c r="A424" s="16" t="str">
        <f>Source!E212</f>
        <v>48</v>
      </c>
      <c r="B424" s="17" t="str">
        <f>Source!F212</f>
        <v>15.2-46-1</v>
      </c>
      <c r="C424" s="17" t="s">
        <v>205</v>
      </c>
      <c r="D424" s="19" t="str">
        <f>Source!H212</f>
        <v>т</v>
      </c>
      <c r="E424" s="18">
        <f>Source!I212</f>
        <v>18.75</v>
      </c>
      <c r="F424" s="21"/>
      <c r="G424" s="20"/>
      <c r="H424" s="18"/>
      <c r="I424" s="22"/>
      <c r="J424" s="18"/>
      <c r="K424" s="22"/>
      <c r="Q424">
        <f>ROUND((Source!DN212/100)*ROUND((ROUND((Source!AF212*Source!AV212*Source!I212),2)),2), 2)</f>
        <v>0</v>
      </c>
      <c r="R424">
        <f>Source!X212</f>
        <v>0</v>
      </c>
      <c r="S424">
        <f>ROUND((Source!DO212/100)*ROUND((ROUND((Source!AF212*Source!AV212*Source!I212),2)),2), 2)</f>
        <v>0</v>
      </c>
      <c r="T424">
        <f>Source!Y212</f>
        <v>0</v>
      </c>
      <c r="U424">
        <f>ROUND((175/100)*ROUND((ROUND((Source!AE212*Source!AV212*Source!I212),2)),2), 2)</f>
        <v>0</v>
      </c>
      <c r="V424">
        <f>ROUND((157/100)*ROUND(ROUND((ROUND((Source!AE212*Source!AV212*Source!I212),2)*Source!BS212),2), 2), 2)</f>
        <v>0</v>
      </c>
    </row>
    <row r="425" spans="1:38" ht="14.25" x14ac:dyDescent="0.2">
      <c r="A425" s="16"/>
      <c r="B425" s="17"/>
      <c r="C425" s="17" t="s">
        <v>1631</v>
      </c>
      <c r="D425" s="19"/>
      <c r="E425" s="18"/>
      <c r="F425" s="21">
        <f>Source!AM212</f>
        <v>46</v>
      </c>
      <c r="G425" s="20" t="str">
        <f>Source!DE212</f>
        <v/>
      </c>
      <c r="H425" s="18">
        <f>Source!AV212</f>
        <v>1</v>
      </c>
      <c r="I425" s="22">
        <f>(ROUND((ROUND(((Source!ET212)*Source!AV212*Source!I212),2)),2)+ROUND((ROUND(((Source!AE212-(Source!EU212))*Source!AV212*Source!I212),2)),2))</f>
        <v>862.5</v>
      </c>
      <c r="J425" s="18">
        <f>IF(Source!BB212&lt;&gt; 0, Source!BB212, 1)</f>
        <v>12.21</v>
      </c>
      <c r="K425" s="22">
        <f>Source!Q212</f>
        <v>10531.13</v>
      </c>
    </row>
    <row r="426" spans="1:38" ht="15" x14ac:dyDescent="0.25">
      <c r="A426" s="25"/>
      <c r="B426" s="25"/>
      <c r="C426" s="25"/>
      <c r="D426" s="25"/>
      <c r="E426" s="25"/>
      <c r="F426" s="25"/>
      <c r="G426" s="25"/>
      <c r="H426" s="54">
        <f>I425</f>
        <v>862.5</v>
      </c>
      <c r="I426" s="54"/>
      <c r="J426" s="54">
        <f>K425</f>
        <v>10531.13</v>
      </c>
      <c r="K426" s="54"/>
      <c r="O426" s="24">
        <f>I425</f>
        <v>862.5</v>
      </c>
      <c r="P426" s="24">
        <f>K425</f>
        <v>10531.13</v>
      </c>
      <c r="X426">
        <f>IF(Source!BI212&lt;=1,I425-0, 0)</f>
        <v>0</v>
      </c>
      <c r="Y426">
        <f>IF(Source!BI212=2,I425-0, 0)</f>
        <v>0</v>
      </c>
      <c r="Z426">
        <f>IF(Source!BI212=3,I425-0, 0)</f>
        <v>0</v>
      </c>
      <c r="AA426">
        <f>IF(Source!BI212=4,I425,0)</f>
        <v>862.5</v>
      </c>
    </row>
    <row r="427" spans="1:38" ht="42.75" x14ac:dyDescent="0.2">
      <c r="A427" s="16" t="str">
        <f>Source!E213</f>
        <v>49</v>
      </c>
      <c r="B427" s="17" t="str">
        <f>Source!F213</f>
        <v>15.1-1102-01</v>
      </c>
      <c r="C427" s="17" t="s">
        <v>211</v>
      </c>
      <c r="D427" s="19" t="str">
        <f>Source!H213</f>
        <v>1 Т</v>
      </c>
      <c r="E427" s="18">
        <f>Source!I213</f>
        <v>18.75</v>
      </c>
      <c r="F427" s="21"/>
      <c r="G427" s="20"/>
      <c r="H427" s="18"/>
      <c r="I427" s="22"/>
      <c r="J427" s="18"/>
      <c r="K427" s="22"/>
      <c r="Q427">
        <f>ROUND((Source!DN213/100)*ROUND((ROUND((Source!AF213*Source!AV213*Source!I213),2)),2), 2)</f>
        <v>0</v>
      </c>
      <c r="R427">
        <f>Source!X213</f>
        <v>0</v>
      </c>
      <c r="S427">
        <f>ROUND((Source!DO213/100)*ROUND((ROUND((Source!AF213*Source!AV213*Source!I213),2)),2), 2)</f>
        <v>0</v>
      </c>
      <c r="T427">
        <f>Source!Y213</f>
        <v>0</v>
      </c>
      <c r="U427">
        <f>ROUND((175/100)*ROUND((ROUND((Source!AE213*Source!AV213*Source!I213),2)),2), 2)</f>
        <v>0</v>
      </c>
      <c r="V427">
        <f>ROUND((157/100)*ROUND(ROUND((ROUND((Source!AE213*Source!AV213*Source!I213),2)*Source!BS213),2), 2), 2)</f>
        <v>0</v>
      </c>
    </row>
    <row r="428" spans="1:38" ht="14.25" x14ac:dyDescent="0.2">
      <c r="A428" s="16"/>
      <c r="B428" s="17"/>
      <c r="C428" s="17" t="s">
        <v>1631</v>
      </c>
      <c r="D428" s="19"/>
      <c r="E428" s="18"/>
      <c r="F428" s="21">
        <f>Source!AM213</f>
        <v>12.61</v>
      </c>
      <c r="G428" s="20" t="str">
        <f>Source!DE213</f>
        <v/>
      </c>
      <c r="H428" s="18">
        <f>Source!AV213</f>
        <v>1</v>
      </c>
      <c r="I428" s="22">
        <f>(ROUND((ROUND(((Source!ET213)*Source!AV213*Source!I213),2)),2)+ROUND((ROUND(((Source!AE213-(Source!EU213))*Source!AV213*Source!I213),2)),2))</f>
        <v>236.44</v>
      </c>
      <c r="J428" s="18">
        <f>IF(Source!BB213&lt;&gt; 0, Source!BB213, 1)</f>
        <v>7.63</v>
      </c>
      <c r="K428" s="22">
        <f>Source!Q213</f>
        <v>1804.04</v>
      </c>
    </row>
    <row r="429" spans="1:38" ht="15" x14ac:dyDescent="0.25">
      <c r="A429" s="25"/>
      <c r="B429" s="25"/>
      <c r="C429" s="25"/>
      <c r="D429" s="25"/>
      <c r="E429" s="25"/>
      <c r="F429" s="25"/>
      <c r="G429" s="25"/>
      <c r="H429" s="54">
        <f>I428</f>
        <v>236.44</v>
      </c>
      <c r="I429" s="54"/>
      <c r="J429" s="54">
        <f>K428</f>
        <v>1804.04</v>
      </c>
      <c r="K429" s="54"/>
      <c r="O429" s="24">
        <f>I428</f>
        <v>236.44</v>
      </c>
      <c r="P429" s="24">
        <f>K428</f>
        <v>1804.04</v>
      </c>
      <c r="X429">
        <f>IF(Source!BI213&lt;=1,I428-0, 0)</f>
        <v>0</v>
      </c>
      <c r="Y429">
        <f>IF(Source!BI213=2,I428-0, 0)</f>
        <v>0</v>
      </c>
      <c r="Z429">
        <f>IF(Source!BI213=3,I428-0, 0)</f>
        <v>0</v>
      </c>
      <c r="AA429">
        <f>IF(Source!BI213=4,I428,0)</f>
        <v>236.44</v>
      </c>
    </row>
    <row r="431" spans="1:38" ht="15" x14ac:dyDescent="0.25">
      <c r="A431" s="53" t="str">
        <f>CONCATENATE("Итого по разделу: ",IF(Source!G215&lt;&gt;"Новый раздел", Source!G215, ""))</f>
        <v>Итого по разделу: Устройство декоративной гравийной отсыпки (мраморный щебень)</v>
      </c>
      <c r="B431" s="53"/>
      <c r="C431" s="53"/>
      <c r="D431" s="53"/>
      <c r="E431" s="53"/>
      <c r="F431" s="53"/>
      <c r="G431" s="53"/>
      <c r="H431" s="51">
        <f>SUM(O368:O430)</f>
        <v>34042.85</v>
      </c>
      <c r="I431" s="52"/>
      <c r="J431" s="51">
        <f>SUM(P368:P430)</f>
        <v>244687.27000000002</v>
      </c>
      <c r="K431" s="52"/>
      <c r="AL431" s="30" t="str">
        <f>CONCATENATE("Итого по разделу: ",IF(Source!G215&lt;&gt;"Новый раздел", Source!G215, ""))</f>
        <v>Итого по разделу: Устройство декоративной гравийной отсыпки (мраморный щебень)</v>
      </c>
    </row>
    <row r="432" spans="1:38" hidden="1" x14ac:dyDescent="0.2">
      <c r="A432" t="s">
        <v>1641</v>
      </c>
      <c r="H432">
        <f>SUM(AC368:AC431)</f>
        <v>0</v>
      </c>
      <c r="J432">
        <f>SUM(AD368:AD431)</f>
        <v>0</v>
      </c>
    </row>
    <row r="433" spans="1:27" hidden="1" x14ac:dyDescent="0.2">
      <c r="A433" t="s">
        <v>1642</v>
      </c>
      <c r="H433">
        <f>SUM(AE368:AE432)</f>
        <v>0</v>
      </c>
      <c r="J433">
        <f>SUM(AF368:AF432)</f>
        <v>0</v>
      </c>
    </row>
    <row r="435" spans="1:27" ht="16.5" x14ac:dyDescent="0.25">
      <c r="A435" s="56" t="str">
        <f>CONCATENATE("Раздел: ",IF(Source!G245&lt;&gt;"Новый раздел", Source!G245, ""))</f>
        <v>Раздел: Замена покрытия из камней типа "Валун" 166 кв.м</v>
      </c>
      <c r="B435" s="56"/>
      <c r="C435" s="56"/>
      <c r="D435" s="56"/>
      <c r="E435" s="56"/>
      <c r="F435" s="56"/>
      <c r="G435" s="56"/>
      <c r="H435" s="56"/>
      <c r="I435" s="56"/>
      <c r="J435" s="56"/>
      <c r="K435" s="56"/>
    </row>
    <row r="436" spans="1:27" ht="71.25" x14ac:dyDescent="0.2">
      <c r="A436" s="16" t="str">
        <f>Source!E249</f>
        <v>50</v>
      </c>
      <c r="B436" s="17" t="str">
        <f>Source!F249</f>
        <v>6.57-1-1</v>
      </c>
      <c r="C436" s="17" t="s">
        <v>408</v>
      </c>
      <c r="D436" s="19" t="str">
        <f>Source!H249</f>
        <v>100 м2 основания</v>
      </c>
      <c r="E436" s="18">
        <f>Source!I249</f>
        <v>1.66</v>
      </c>
      <c r="F436" s="21"/>
      <c r="G436" s="20"/>
      <c r="H436" s="18"/>
      <c r="I436" s="22"/>
      <c r="J436" s="18"/>
      <c r="K436" s="22"/>
      <c r="Q436">
        <f>ROUND((Source!DN249/100)*ROUND((ROUND((Source!AF249*Source!AV249*Source!I249),2)),2), 2)</f>
        <v>193.54</v>
      </c>
      <c r="R436">
        <f>Source!X249</f>
        <v>4185.2</v>
      </c>
      <c r="S436">
        <f>ROUND((Source!DO249/100)*ROUND((ROUND((Source!AF249*Source!AV249*Source!I249),2)),2), 2)</f>
        <v>133.06</v>
      </c>
      <c r="T436">
        <f>Source!Y249</f>
        <v>2523.4299999999998</v>
      </c>
      <c r="U436">
        <f>ROUND((175/100)*ROUND((ROUND((Source!AE249*Source!AV249*Source!I249),2)),2), 2)</f>
        <v>0</v>
      </c>
      <c r="V436">
        <f>ROUND((157/100)*ROUND(ROUND((ROUND((Source!AE249*Source!AV249*Source!I249),2)*Source!BS249),2), 2), 2)</f>
        <v>0</v>
      </c>
    </row>
    <row r="437" spans="1:27" x14ac:dyDescent="0.2">
      <c r="C437" s="23" t="str">
        <f>"Объем: "&amp;Source!I249&amp;"=166/"&amp;"100"</f>
        <v>Объем: 1,66=166/100</v>
      </c>
    </row>
    <row r="438" spans="1:27" ht="14.25" x14ac:dyDescent="0.2">
      <c r="A438" s="16"/>
      <c r="B438" s="17"/>
      <c r="C438" s="17" t="s">
        <v>1625</v>
      </c>
      <c r="D438" s="19"/>
      <c r="E438" s="18"/>
      <c r="F438" s="21">
        <f>Source!AO249</f>
        <v>145.74</v>
      </c>
      <c r="G438" s="20" t="str">
        <f>Source!DG249</f>
        <v/>
      </c>
      <c r="H438" s="18">
        <f>Source!AV249</f>
        <v>1</v>
      </c>
      <c r="I438" s="22">
        <f>ROUND((ROUND((Source!AF249*Source!AV249*Source!I249),2)),2)</f>
        <v>241.93</v>
      </c>
      <c r="J438" s="18">
        <f>IF(Source!BA249&lt;&gt; 0, Source!BA249, 1)</f>
        <v>25.44</v>
      </c>
      <c r="K438" s="22">
        <f>Source!S249</f>
        <v>6154.7</v>
      </c>
      <c r="W438">
        <f>I438</f>
        <v>241.93</v>
      </c>
    </row>
    <row r="439" spans="1:27" ht="14.25" x14ac:dyDescent="0.2">
      <c r="A439" s="16"/>
      <c r="B439" s="17"/>
      <c r="C439" s="17" t="s">
        <v>1631</v>
      </c>
      <c r="D439" s="19"/>
      <c r="E439" s="18"/>
      <c r="F439" s="21">
        <f>Source!AM249</f>
        <v>0.02</v>
      </c>
      <c r="G439" s="20" t="str">
        <f>Source!DE249</f>
        <v/>
      </c>
      <c r="H439" s="18">
        <f>Source!AV249</f>
        <v>1</v>
      </c>
      <c r="I439" s="22">
        <f>(ROUND((ROUND(((Source!ET249)*Source!AV249*Source!I249),2)),2)+ROUND((ROUND(((Source!AE249-(Source!EU249))*Source!AV249*Source!I249),2)),2))</f>
        <v>0.03</v>
      </c>
      <c r="J439" s="18">
        <f>IF(Source!BB249&lt;&gt; 0, Source!BB249, 1)</f>
        <v>6</v>
      </c>
      <c r="K439" s="22">
        <f>Source!Q249</f>
        <v>0.18</v>
      </c>
    </row>
    <row r="440" spans="1:27" ht="14.25" x14ac:dyDescent="0.2">
      <c r="A440" s="16"/>
      <c r="B440" s="17"/>
      <c r="C440" s="17" t="s">
        <v>1626</v>
      </c>
      <c r="D440" s="19" t="s">
        <v>1627</v>
      </c>
      <c r="E440" s="18">
        <f>Source!DN249</f>
        <v>80</v>
      </c>
      <c r="F440" s="21"/>
      <c r="G440" s="20"/>
      <c r="H440" s="18"/>
      <c r="I440" s="22">
        <f>SUM(Q436:Q439)</f>
        <v>193.54</v>
      </c>
      <c r="J440" s="18">
        <f>Source!BZ249</f>
        <v>68</v>
      </c>
      <c r="K440" s="22">
        <f>SUM(R436:R439)</f>
        <v>4185.2</v>
      </c>
    </row>
    <row r="441" spans="1:27" ht="14.25" x14ac:dyDescent="0.2">
      <c r="A441" s="16"/>
      <c r="B441" s="17"/>
      <c r="C441" s="17" t="s">
        <v>1628</v>
      </c>
      <c r="D441" s="19" t="s">
        <v>1627</v>
      </c>
      <c r="E441" s="18">
        <f>Source!DO249</f>
        <v>55</v>
      </c>
      <c r="F441" s="21"/>
      <c r="G441" s="20"/>
      <c r="H441" s="18"/>
      <c r="I441" s="22">
        <f>SUM(S436:S440)</f>
        <v>133.06</v>
      </c>
      <c r="J441" s="18">
        <f>Source!CA249</f>
        <v>41</v>
      </c>
      <c r="K441" s="22">
        <f>SUM(T436:T440)</f>
        <v>2523.4299999999998</v>
      </c>
    </row>
    <row r="442" spans="1:27" ht="14.25" x14ac:dyDescent="0.2">
      <c r="A442" s="16"/>
      <c r="B442" s="17"/>
      <c r="C442" s="17" t="s">
        <v>1629</v>
      </c>
      <c r="D442" s="19" t="s">
        <v>1630</v>
      </c>
      <c r="E442" s="18">
        <f>Source!AQ249</f>
        <v>14.26</v>
      </c>
      <c r="F442" s="21"/>
      <c r="G442" s="20" t="str">
        <f>Source!DI249</f>
        <v/>
      </c>
      <c r="H442" s="18">
        <f>Source!AV249</f>
        <v>1</v>
      </c>
      <c r="I442" s="22">
        <f>Source!U249</f>
        <v>23.671599999999998</v>
      </c>
      <c r="J442" s="18"/>
      <c r="K442" s="22"/>
    </row>
    <row r="443" spans="1:27" ht="15" x14ac:dyDescent="0.25">
      <c r="A443" s="25"/>
      <c r="B443" s="25"/>
      <c r="C443" s="25"/>
      <c r="D443" s="25"/>
      <c r="E443" s="25"/>
      <c r="F443" s="25"/>
      <c r="G443" s="25"/>
      <c r="H443" s="54">
        <f>I438+I439+I440+I441</f>
        <v>568.55999999999995</v>
      </c>
      <c r="I443" s="54"/>
      <c r="J443" s="54">
        <f>K438+K439+K440+K441</f>
        <v>12863.51</v>
      </c>
      <c r="K443" s="54"/>
      <c r="O443" s="24">
        <f>I438+I439+I440+I441</f>
        <v>568.55999999999995</v>
      </c>
      <c r="P443" s="24">
        <f>K438+K439+K440+K441</f>
        <v>12863.51</v>
      </c>
      <c r="X443">
        <f>IF(Source!BI249&lt;=1,I438+I439+I440+I441-0, 0)</f>
        <v>568.55999999999995</v>
      </c>
      <c r="Y443">
        <f>IF(Source!BI249=2,I438+I439+I440+I441-0, 0)</f>
        <v>0</v>
      </c>
      <c r="Z443">
        <f>IF(Source!BI249=3,I438+I439+I440+I441-0, 0)</f>
        <v>0</v>
      </c>
      <c r="AA443">
        <f>IF(Source!BI249=4,I438+I439+I440+I441,0)</f>
        <v>0</v>
      </c>
    </row>
    <row r="444" spans="1:27" ht="71.25" x14ac:dyDescent="0.2">
      <c r="A444" s="16" t="str">
        <f>Source!E250</f>
        <v>51</v>
      </c>
      <c r="B444" s="17" t="str">
        <f>Source!F250</f>
        <v>3.47-23-1</v>
      </c>
      <c r="C444" s="17" t="s">
        <v>414</v>
      </c>
      <c r="D444" s="19" t="str">
        <f>Source!H250</f>
        <v>1 м3</v>
      </c>
      <c r="E444" s="18">
        <f>Source!I250</f>
        <v>16.600000000000001</v>
      </c>
      <c r="F444" s="21"/>
      <c r="G444" s="20"/>
      <c r="H444" s="18"/>
      <c r="I444" s="22"/>
      <c r="J444" s="18"/>
      <c r="K444" s="22"/>
      <c r="Q444">
        <f>ROUND((Source!DN250/100)*ROUND((ROUND((Source!AF250*Source!AV250*Source!I250),2)),2), 2)</f>
        <v>743.03</v>
      </c>
      <c r="R444">
        <f>Source!X250</f>
        <v>10905.36</v>
      </c>
      <c r="S444">
        <f>ROUND((Source!DO250/100)*ROUND((ROUND((Source!AF250*Source!AV250*Source!I250),2)),2), 2)</f>
        <v>400.09</v>
      </c>
      <c r="T444">
        <f>Source!Y250</f>
        <v>4968</v>
      </c>
      <c r="U444">
        <f>ROUND((175/100)*ROUND((ROUND((Source!AE250*Source!AV250*Source!I250),2)),2), 2)</f>
        <v>0</v>
      </c>
      <c r="V444">
        <f>ROUND((157/100)*ROUND(ROUND((ROUND((Source!AE250*Source!AV250*Source!I250),2)*Source!BS250),2), 2), 2)</f>
        <v>0</v>
      </c>
    </row>
    <row r="445" spans="1:27" ht="14.25" x14ac:dyDescent="0.2">
      <c r="A445" s="16"/>
      <c r="B445" s="17"/>
      <c r="C445" s="17" t="s">
        <v>1625</v>
      </c>
      <c r="D445" s="19"/>
      <c r="E445" s="18"/>
      <c r="F445" s="21">
        <f>Source!AO250</f>
        <v>24.95</v>
      </c>
      <c r="G445" s="20" t="str">
        <f>Source!DG250</f>
        <v>)*1,15</v>
      </c>
      <c r="H445" s="18">
        <f>Source!AV250</f>
        <v>1</v>
      </c>
      <c r="I445" s="22">
        <f>ROUND((ROUND((Source!AF250*Source!AV250*Source!I250),2)),2)</f>
        <v>476.3</v>
      </c>
      <c r="J445" s="18">
        <f>IF(Source!BA250&lt;&gt; 0, Source!BA250, 1)</f>
        <v>25.44</v>
      </c>
      <c r="K445" s="22">
        <f>Source!S250</f>
        <v>12117.07</v>
      </c>
      <c r="W445">
        <f>I445</f>
        <v>476.3</v>
      </c>
    </row>
    <row r="446" spans="1:27" ht="14.25" x14ac:dyDescent="0.2">
      <c r="A446" s="16"/>
      <c r="B446" s="17"/>
      <c r="C446" s="17" t="s">
        <v>1626</v>
      </c>
      <c r="D446" s="19" t="s">
        <v>1627</v>
      </c>
      <c r="E446" s="18">
        <f>Source!DN250</f>
        <v>156</v>
      </c>
      <c r="F446" s="21"/>
      <c r="G446" s="20"/>
      <c r="H446" s="18"/>
      <c r="I446" s="22">
        <f>SUM(Q444:Q445)</f>
        <v>743.03</v>
      </c>
      <c r="J446" s="18">
        <f>Source!BZ250</f>
        <v>90</v>
      </c>
      <c r="K446" s="22">
        <f>SUM(R444:R445)</f>
        <v>10905.36</v>
      </c>
    </row>
    <row r="447" spans="1:27" ht="14.25" x14ac:dyDescent="0.2">
      <c r="A447" s="16"/>
      <c r="B447" s="17"/>
      <c r="C447" s="17" t="s">
        <v>1628</v>
      </c>
      <c r="D447" s="19" t="s">
        <v>1627</v>
      </c>
      <c r="E447" s="18">
        <f>Source!DO250</f>
        <v>84</v>
      </c>
      <c r="F447" s="21"/>
      <c r="G447" s="20"/>
      <c r="H447" s="18"/>
      <c r="I447" s="22">
        <f>SUM(S444:S446)</f>
        <v>400.09</v>
      </c>
      <c r="J447" s="18">
        <f>Source!CA250</f>
        <v>41</v>
      </c>
      <c r="K447" s="22">
        <f>SUM(T444:T446)</f>
        <v>4968</v>
      </c>
    </row>
    <row r="448" spans="1:27" ht="14.25" x14ac:dyDescent="0.2">
      <c r="A448" s="16"/>
      <c r="B448" s="17"/>
      <c r="C448" s="17" t="s">
        <v>1629</v>
      </c>
      <c r="D448" s="19" t="s">
        <v>1630</v>
      </c>
      <c r="E448" s="18">
        <f>Source!AQ250</f>
        <v>2.31</v>
      </c>
      <c r="F448" s="21"/>
      <c r="G448" s="20" t="str">
        <f>Source!DI250</f>
        <v>)*1,15</v>
      </c>
      <c r="H448" s="18">
        <f>Source!AV250</f>
        <v>1</v>
      </c>
      <c r="I448" s="22">
        <f>Source!U250</f>
        <v>44.097900000000003</v>
      </c>
      <c r="J448" s="18"/>
      <c r="K448" s="22"/>
    </row>
    <row r="449" spans="1:27" ht="15" x14ac:dyDescent="0.25">
      <c r="A449" s="25"/>
      <c r="B449" s="25"/>
      <c r="C449" s="25"/>
      <c r="D449" s="25"/>
      <c r="E449" s="25"/>
      <c r="F449" s="25"/>
      <c r="G449" s="25"/>
      <c r="H449" s="54">
        <f>I445+I446+I447</f>
        <v>1619.4199999999998</v>
      </c>
      <c r="I449" s="54"/>
      <c r="J449" s="54">
        <f>K445+K446+K447</f>
        <v>27990.43</v>
      </c>
      <c r="K449" s="54"/>
      <c r="O449" s="24">
        <f>I445+I446+I447</f>
        <v>1619.4199999999998</v>
      </c>
      <c r="P449" s="24">
        <f>K445+K446+K447</f>
        <v>27990.43</v>
      </c>
      <c r="X449">
        <f>IF(Source!BI250&lt;=1,I445+I446+I447-0, 0)</f>
        <v>1619.4199999999998</v>
      </c>
      <c r="Y449">
        <f>IF(Source!BI250=2,I445+I446+I447-0, 0)</f>
        <v>0</v>
      </c>
      <c r="Z449">
        <f>IF(Source!BI250=3,I445+I446+I447-0, 0)</f>
        <v>0</v>
      </c>
      <c r="AA449">
        <f>IF(Source!BI250=4,I445+I446+I447,0)</f>
        <v>0</v>
      </c>
    </row>
    <row r="450" spans="1:27" ht="42.75" x14ac:dyDescent="0.2">
      <c r="A450" s="16" t="str">
        <f>Source!E251</f>
        <v>52</v>
      </c>
      <c r="B450" s="17" t="str">
        <f>Source!F251</f>
        <v>3.27-69-1</v>
      </c>
      <c r="C450" s="17" t="s">
        <v>112</v>
      </c>
      <c r="D450" s="19" t="str">
        <f>Source!H251</f>
        <v>1000 м2 поверхности</v>
      </c>
      <c r="E450" s="18">
        <f>Source!I251</f>
        <v>0.16600000000000001</v>
      </c>
      <c r="F450" s="21"/>
      <c r="G450" s="20"/>
      <c r="H450" s="18"/>
      <c r="I450" s="22"/>
      <c r="J450" s="18"/>
      <c r="K450" s="22"/>
      <c r="Q450">
        <f>ROUND((Source!DN251/100)*ROUND((ROUND((Source!AF251*Source!AV251*Source!I251),2)),2), 2)</f>
        <v>76.260000000000005</v>
      </c>
      <c r="R450">
        <f>Source!X251</f>
        <v>1552.01</v>
      </c>
      <c r="S450">
        <f>ROUND((Source!DO251/100)*ROUND((ROUND((Source!AF251*Source!AV251*Source!I251),2)),2), 2)</f>
        <v>43.03</v>
      </c>
      <c r="T450">
        <f>Source!Y251</f>
        <v>568.15</v>
      </c>
      <c r="U450">
        <f>ROUND((175/100)*ROUND((ROUND((Source!AE251*Source!AV251*Source!I251),2)),2), 2)</f>
        <v>22.63</v>
      </c>
      <c r="V450">
        <f>ROUND((157/100)*ROUND(ROUND((ROUND((Source!AE251*Source!AV251*Source!I251),2)*Source!BS251),2), 2), 2)</f>
        <v>516.44000000000005</v>
      </c>
    </row>
    <row r="451" spans="1:27" x14ac:dyDescent="0.2">
      <c r="C451" s="23" t="str">
        <f>"Объем: "&amp;Source!I251&amp;"=166/"&amp;"1000"</f>
        <v>Объем: 0,166=166/1000</v>
      </c>
    </row>
    <row r="452" spans="1:27" ht="14.25" x14ac:dyDescent="0.2">
      <c r="A452" s="16"/>
      <c r="B452" s="17"/>
      <c r="C452" s="17" t="s">
        <v>1625</v>
      </c>
      <c r="D452" s="19"/>
      <c r="E452" s="18"/>
      <c r="F452" s="21">
        <f>Source!AO251</f>
        <v>285.31</v>
      </c>
      <c r="G452" s="20" t="str">
        <f>Source!DG251</f>
        <v>)*1,15</v>
      </c>
      <c r="H452" s="18">
        <f>Source!AV251</f>
        <v>1</v>
      </c>
      <c r="I452" s="22">
        <f>ROUND((ROUND((Source!AF251*Source!AV251*Source!I251),2)),2)</f>
        <v>54.47</v>
      </c>
      <c r="J452" s="18">
        <f>IF(Source!BA251&lt;&gt; 0, Source!BA251, 1)</f>
        <v>25.44</v>
      </c>
      <c r="K452" s="22">
        <f>Source!S251</f>
        <v>1385.72</v>
      </c>
      <c r="W452">
        <f>I452</f>
        <v>54.47</v>
      </c>
    </row>
    <row r="453" spans="1:27" ht="14.25" x14ac:dyDescent="0.2">
      <c r="A453" s="16"/>
      <c r="B453" s="17"/>
      <c r="C453" s="17" t="s">
        <v>1631</v>
      </c>
      <c r="D453" s="19"/>
      <c r="E453" s="18"/>
      <c r="F453" s="21">
        <f>Source!AM251</f>
        <v>670.35</v>
      </c>
      <c r="G453" s="20" t="str">
        <f>Source!DE251</f>
        <v>)*1,25</v>
      </c>
      <c r="H453" s="18">
        <f>Source!AV251</f>
        <v>1</v>
      </c>
      <c r="I453" s="22">
        <f>(ROUND((ROUND((((Source!ET251*1.25))*Source!AV251*Source!I251),2)),2)+ROUND((ROUND(((Source!AE251-((Source!EU251*1.25)))*Source!AV251*Source!I251),2)),2))</f>
        <v>139.1</v>
      </c>
      <c r="J453" s="18">
        <f>IF(Source!BB251&lt;&gt; 0, Source!BB251, 1)</f>
        <v>8.7799999999999994</v>
      </c>
      <c r="K453" s="22">
        <f>Source!Q251</f>
        <v>1221.3</v>
      </c>
    </row>
    <row r="454" spans="1:27" ht="14.25" x14ac:dyDescent="0.2">
      <c r="A454" s="16"/>
      <c r="B454" s="17"/>
      <c r="C454" s="17" t="s">
        <v>1632</v>
      </c>
      <c r="D454" s="19"/>
      <c r="E454" s="18"/>
      <c r="F454" s="21">
        <f>Source!AN251</f>
        <v>62.29</v>
      </c>
      <c r="G454" s="20" t="str">
        <f>Source!DF251</f>
        <v>)*1,25</v>
      </c>
      <c r="H454" s="18">
        <f>Source!AV251</f>
        <v>1</v>
      </c>
      <c r="I454" s="26">
        <f>ROUND((ROUND((Source!AE251*Source!AV251*Source!I251),2)),2)</f>
        <v>12.93</v>
      </c>
      <c r="J454" s="18">
        <f>IF(Source!BS251&lt;&gt; 0, Source!BS251, 1)</f>
        <v>25.44</v>
      </c>
      <c r="K454" s="26">
        <f>Source!R251</f>
        <v>328.94</v>
      </c>
      <c r="W454">
        <f>I454</f>
        <v>12.93</v>
      </c>
    </row>
    <row r="455" spans="1:27" ht="14.25" x14ac:dyDescent="0.2">
      <c r="A455" s="16"/>
      <c r="B455" s="17"/>
      <c r="C455" s="17" t="s">
        <v>1634</v>
      </c>
      <c r="D455" s="19"/>
      <c r="E455" s="18"/>
      <c r="F455" s="21">
        <f>Source!AL251</f>
        <v>0.49</v>
      </c>
      <c r="G455" s="20" t="str">
        <f>Source!DD251</f>
        <v/>
      </c>
      <c r="H455" s="18">
        <f>Source!AW251</f>
        <v>1</v>
      </c>
      <c r="I455" s="22">
        <f>ROUND((ROUND((Source!AC251*Source!AW251*Source!I251),2)),2)</f>
        <v>0.08</v>
      </c>
      <c r="J455" s="18">
        <f>IF(Source!BC251&lt;&gt; 0, Source!BC251, 1)</f>
        <v>6.57</v>
      </c>
      <c r="K455" s="22">
        <f>Source!P251</f>
        <v>0.53</v>
      </c>
    </row>
    <row r="456" spans="1:27" ht="28.5" x14ac:dyDescent="0.2">
      <c r="A456" s="16" t="str">
        <f>Source!E252</f>
        <v>52,1</v>
      </c>
      <c r="B456" s="17" t="str">
        <f>Source!F252</f>
        <v>1.1-1-1605</v>
      </c>
      <c r="C456" s="17" t="s">
        <v>295</v>
      </c>
      <c r="D456" s="19" t="str">
        <f>Source!H252</f>
        <v>м2</v>
      </c>
      <c r="E456" s="18">
        <f>Source!I252</f>
        <v>166</v>
      </c>
      <c r="F456" s="21">
        <f>Source!AK252</f>
        <v>13.87</v>
      </c>
      <c r="G456" s="27" t="s">
        <v>3</v>
      </c>
      <c r="H456" s="18">
        <f>Source!AW252</f>
        <v>1</v>
      </c>
      <c r="I456" s="22">
        <f>ROUND((ROUND((Source!AC252*Source!AW252*Source!I252),2)),2)+(ROUND((ROUND(((Source!ET252)*Source!AV252*Source!I252),2)),2)+ROUND((ROUND(((Source!AE252-(Source!EU252))*Source!AV252*Source!I252),2)),2))+ROUND((ROUND((Source!AF252*Source!AV252*Source!I252),2)),2)</f>
        <v>2302.42</v>
      </c>
      <c r="J456" s="18">
        <f>IF(Source!BC252&lt;&gt; 0, Source!BC252, 1)</f>
        <v>4.26</v>
      </c>
      <c r="K456" s="22">
        <f>Source!O252</f>
        <v>9808.31</v>
      </c>
      <c r="Q456">
        <f>ROUND((Source!DN252/100)*ROUND((ROUND((Source!AF252*Source!AV252*Source!I252),2)),2), 2)</f>
        <v>0</v>
      </c>
      <c r="R456">
        <f>Source!X252</f>
        <v>0</v>
      </c>
      <c r="S456">
        <f>ROUND((Source!DO252/100)*ROUND((ROUND((Source!AF252*Source!AV252*Source!I252),2)),2), 2)</f>
        <v>0</v>
      </c>
      <c r="T456">
        <f>Source!Y252</f>
        <v>0</v>
      </c>
      <c r="U456">
        <f>ROUND((175/100)*ROUND((ROUND((Source!AE252*Source!AV252*Source!I252),2)),2), 2)</f>
        <v>0</v>
      </c>
      <c r="V456">
        <f>ROUND((157/100)*ROUND(ROUND((ROUND((Source!AE252*Source!AV252*Source!I252),2)*Source!BS252),2), 2), 2)</f>
        <v>0</v>
      </c>
      <c r="X456">
        <f>IF(Source!BI252&lt;=1,I456, 0)</f>
        <v>2302.42</v>
      </c>
      <c r="Y456">
        <f>IF(Source!BI252=2,I456, 0)</f>
        <v>0</v>
      </c>
      <c r="Z456">
        <f>IF(Source!BI252=3,I456, 0)</f>
        <v>0</v>
      </c>
      <c r="AA456">
        <f>IF(Source!BI252=4,I456, 0)</f>
        <v>0</v>
      </c>
    </row>
    <row r="457" spans="1:27" ht="14.25" x14ac:dyDescent="0.2">
      <c r="A457" s="16"/>
      <c r="B457" s="17"/>
      <c r="C457" s="17" t="s">
        <v>1626</v>
      </c>
      <c r="D457" s="19" t="s">
        <v>1627</v>
      </c>
      <c r="E457" s="18">
        <f>Source!DN251</f>
        <v>140</v>
      </c>
      <c r="F457" s="21"/>
      <c r="G457" s="20"/>
      <c r="H457" s="18"/>
      <c r="I457" s="22">
        <f>SUM(Q450:Q456)</f>
        <v>76.260000000000005</v>
      </c>
      <c r="J457" s="18">
        <f>Source!BZ251</f>
        <v>112</v>
      </c>
      <c r="K457" s="22">
        <f>SUM(R450:R456)</f>
        <v>1552.01</v>
      </c>
    </row>
    <row r="458" spans="1:27" ht="14.25" x14ac:dyDescent="0.2">
      <c r="A458" s="16"/>
      <c r="B458" s="17"/>
      <c r="C458" s="17" t="s">
        <v>1628</v>
      </c>
      <c r="D458" s="19" t="s">
        <v>1627</v>
      </c>
      <c r="E458" s="18">
        <f>Source!DO251</f>
        <v>79</v>
      </c>
      <c r="F458" s="21"/>
      <c r="G458" s="20"/>
      <c r="H458" s="18"/>
      <c r="I458" s="22">
        <f>SUM(S450:S457)</f>
        <v>43.03</v>
      </c>
      <c r="J458" s="18">
        <f>Source!CA251</f>
        <v>41</v>
      </c>
      <c r="K458" s="22">
        <f>SUM(T450:T457)</f>
        <v>568.15</v>
      </c>
    </row>
    <row r="459" spans="1:27" ht="14.25" x14ac:dyDescent="0.2">
      <c r="A459" s="16"/>
      <c r="B459" s="17"/>
      <c r="C459" s="17" t="s">
        <v>1633</v>
      </c>
      <c r="D459" s="19" t="s">
        <v>1627</v>
      </c>
      <c r="E459" s="18">
        <f>175</f>
        <v>175</v>
      </c>
      <c r="F459" s="21"/>
      <c r="G459" s="20"/>
      <c r="H459" s="18"/>
      <c r="I459" s="22">
        <f>SUM(U450:U458)</f>
        <v>22.63</v>
      </c>
      <c r="J459" s="18">
        <f>157</f>
        <v>157</v>
      </c>
      <c r="K459" s="22">
        <f>SUM(V450:V458)</f>
        <v>516.44000000000005</v>
      </c>
    </row>
    <row r="460" spans="1:27" ht="14.25" x14ac:dyDescent="0.2">
      <c r="A460" s="16"/>
      <c r="B460" s="17"/>
      <c r="C460" s="17" t="s">
        <v>1629</v>
      </c>
      <c r="D460" s="19" t="s">
        <v>1630</v>
      </c>
      <c r="E460" s="18">
        <f>Source!AQ251</f>
        <v>27.7</v>
      </c>
      <c r="F460" s="21"/>
      <c r="G460" s="20" t="str">
        <f>Source!DI251</f>
        <v>)*1,15</v>
      </c>
      <c r="H460" s="18">
        <f>Source!AV251</f>
        <v>1</v>
      </c>
      <c r="I460" s="22">
        <f>Source!U251</f>
        <v>5.2879299999999994</v>
      </c>
      <c r="J460" s="18"/>
      <c r="K460" s="22"/>
    </row>
    <row r="461" spans="1:27" ht="15" x14ac:dyDescent="0.25">
      <c r="A461" s="25"/>
      <c r="B461" s="25"/>
      <c r="C461" s="25"/>
      <c r="D461" s="25"/>
      <c r="E461" s="25"/>
      <c r="F461" s="25"/>
      <c r="G461" s="25"/>
      <c r="H461" s="54">
        <f>I452+I453+I455+I457+I458+I459+SUM(I456:I456)</f>
        <v>2637.9900000000002</v>
      </c>
      <c r="I461" s="54"/>
      <c r="J461" s="54">
        <f>K452+K453+K455+K457+K458+K459+SUM(K456:K456)</f>
        <v>15052.46</v>
      </c>
      <c r="K461" s="54"/>
      <c r="O461" s="24">
        <f>I452+I453+I455+I457+I458+I459+SUM(I456:I456)</f>
        <v>2637.9900000000002</v>
      </c>
      <c r="P461" s="24">
        <f>K452+K453+K455+K457+K458+K459+SUM(K456:K456)</f>
        <v>15052.46</v>
      </c>
      <c r="X461">
        <f>IF(Source!BI251&lt;=1,I452+I453+I455+I457+I458+I459-0, 0)</f>
        <v>335.57000000000005</v>
      </c>
      <c r="Y461">
        <f>IF(Source!BI251=2,I452+I453+I455+I457+I458+I459-0, 0)</f>
        <v>0</v>
      </c>
      <c r="Z461">
        <f>IF(Source!BI251=3,I452+I453+I455+I457+I458+I459-0, 0)</f>
        <v>0</v>
      </c>
      <c r="AA461">
        <f>IF(Source!BI251=4,I452+I453+I455+I457+I458+I459,0)</f>
        <v>0</v>
      </c>
    </row>
    <row r="462" spans="1:27" ht="42.75" x14ac:dyDescent="0.2">
      <c r="A462" s="16" t="str">
        <f>Source!E253</f>
        <v>53</v>
      </c>
      <c r="B462" s="17" t="str">
        <f>Source!F253</f>
        <v>3.11-28-1</v>
      </c>
      <c r="C462" s="17" t="s">
        <v>366</v>
      </c>
      <c r="D462" s="19" t="str">
        <f>Source!H253</f>
        <v>100 м плинтусов</v>
      </c>
      <c r="E462" s="18">
        <f>Source!I253</f>
        <v>1.47</v>
      </c>
      <c r="F462" s="21"/>
      <c r="G462" s="20"/>
      <c r="H462" s="18"/>
      <c r="I462" s="22"/>
      <c r="J462" s="18"/>
      <c r="K462" s="22"/>
      <c r="Q462">
        <f>ROUND((Source!DN253/100)*ROUND((ROUND((Source!AF253*Source!AV253*Source!I253),2)),2), 2)</f>
        <v>150.37</v>
      </c>
      <c r="R462">
        <f>Source!X253</f>
        <v>3126.61</v>
      </c>
      <c r="S462">
        <f>ROUND((Source!DO253/100)*ROUND((ROUND((Source!AF253*Source!AV253*Source!I253),2)),2), 2)</f>
        <v>101.21</v>
      </c>
      <c r="T462">
        <f>Source!Y253</f>
        <v>1508.13</v>
      </c>
      <c r="U462">
        <f>ROUND((175/100)*ROUND((ROUND((Source!AE253*Source!AV253*Source!I253),2)),2), 2)</f>
        <v>4.53</v>
      </c>
      <c r="V462">
        <f>ROUND((157/100)*ROUND(ROUND((ROUND((Source!AE253*Source!AV253*Source!I253),2)*Source!BS253),2), 2), 2)</f>
        <v>103.45</v>
      </c>
    </row>
    <row r="463" spans="1:27" x14ac:dyDescent="0.2">
      <c r="C463" s="23" t="str">
        <f>"Объем: "&amp;Source!I253&amp;"=147/"&amp;"100"</f>
        <v>Объем: 1,47=147/100</v>
      </c>
    </row>
    <row r="464" spans="1:27" ht="14.25" x14ac:dyDescent="0.2">
      <c r="A464" s="16"/>
      <c r="B464" s="17"/>
      <c r="C464" s="17" t="s">
        <v>1625</v>
      </c>
      <c r="D464" s="19"/>
      <c r="E464" s="18"/>
      <c r="F464" s="21">
        <f>Source!AO253</f>
        <v>85.53</v>
      </c>
      <c r="G464" s="20" t="str">
        <f>Source!DG253</f>
        <v>)*1,15</v>
      </c>
      <c r="H464" s="18">
        <f>Source!AV253</f>
        <v>1</v>
      </c>
      <c r="I464" s="22">
        <f>ROUND((ROUND((Source!AF253*Source!AV253*Source!I253),2)),2)</f>
        <v>144.59</v>
      </c>
      <c r="J464" s="18">
        <f>IF(Source!BA253&lt;&gt; 0, Source!BA253, 1)</f>
        <v>25.44</v>
      </c>
      <c r="K464" s="22">
        <f>Source!S253</f>
        <v>3678.37</v>
      </c>
      <c r="W464">
        <f>I464</f>
        <v>144.59</v>
      </c>
    </row>
    <row r="465" spans="1:27" ht="14.25" x14ac:dyDescent="0.2">
      <c r="A465" s="16"/>
      <c r="B465" s="17"/>
      <c r="C465" s="17" t="s">
        <v>1631</v>
      </c>
      <c r="D465" s="19"/>
      <c r="E465" s="18"/>
      <c r="F465" s="21">
        <f>Source!AM253</f>
        <v>5.96</v>
      </c>
      <c r="G465" s="20" t="str">
        <f>Source!DE253</f>
        <v>)*1,25</v>
      </c>
      <c r="H465" s="18">
        <f>Source!AV253</f>
        <v>1</v>
      </c>
      <c r="I465" s="22">
        <f>(ROUND((ROUND((((Source!ET253*1.25))*Source!AV253*Source!I253),2)),2)+ROUND((ROUND(((Source!AE253-((Source!EU253*1.25)))*Source!AV253*Source!I253),2)),2))</f>
        <v>10.95</v>
      </c>
      <c r="J465" s="18">
        <f>IF(Source!BB253&lt;&gt; 0, Source!BB253, 1)</f>
        <v>10.48</v>
      </c>
      <c r="K465" s="22">
        <f>Source!Q253</f>
        <v>114.76</v>
      </c>
    </row>
    <row r="466" spans="1:27" ht="14.25" x14ac:dyDescent="0.2">
      <c r="A466" s="16"/>
      <c r="B466" s="17"/>
      <c r="C466" s="17" t="s">
        <v>1632</v>
      </c>
      <c r="D466" s="19"/>
      <c r="E466" s="18"/>
      <c r="F466" s="21">
        <f>Source!AN253</f>
        <v>1.41</v>
      </c>
      <c r="G466" s="20" t="str">
        <f>Source!DF253</f>
        <v>)*1,25</v>
      </c>
      <c r="H466" s="18">
        <f>Source!AV253</f>
        <v>1</v>
      </c>
      <c r="I466" s="26">
        <f>ROUND((ROUND((Source!AE253*Source!AV253*Source!I253),2)),2)</f>
        <v>2.59</v>
      </c>
      <c r="J466" s="18">
        <f>IF(Source!BS253&lt;&gt; 0, Source!BS253, 1)</f>
        <v>25.44</v>
      </c>
      <c r="K466" s="26">
        <f>Source!R253</f>
        <v>65.89</v>
      </c>
      <c r="W466">
        <f>I466</f>
        <v>2.59</v>
      </c>
    </row>
    <row r="467" spans="1:27" ht="14.25" x14ac:dyDescent="0.2">
      <c r="A467" s="16"/>
      <c r="B467" s="17"/>
      <c r="C467" s="17" t="s">
        <v>1634</v>
      </c>
      <c r="D467" s="19"/>
      <c r="E467" s="18"/>
      <c r="F467" s="21">
        <f>Source!AL253</f>
        <v>4.84</v>
      </c>
      <c r="G467" s="20" t="str">
        <f>Source!DD253</f>
        <v/>
      </c>
      <c r="H467" s="18">
        <f>Source!AW253</f>
        <v>1</v>
      </c>
      <c r="I467" s="22">
        <f>ROUND((ROUND((Source!AC253*Source!AW253*Source!I253),2)),2)</f>
        <v>7.11</v>
      </c>
      <c r="J467" s="18">
        <f>IF(Source!BC253&lt;&gt; 0, Source!BC253, 1)</f>
        <v>7.92</v>
      </c>
      <c r="K467" s="22">
        <f>Source!P253</f>
        <v>56.31</v>
      </c>
    </row>
    <row r="468" spans="1:27" ht="14.25" x14ac:dyDescent="0.2">
      <c r="A468" s="16" t="str">
        <f>Source!E254</f>
        <v>53,1</v>
      </c>
      <c r="B468" s="17" t="str">
        <f>Source!F254</f>
        <v>1.1-1-132</v>
      </c>
      <c r="C468" s="17" t="s">
        <v>373</v>
      </c>
      <c r="D468" s="19" t="str">
        <f>Source!H254</f>
        <v>т</v>
      </c>
      <c r="E468" s="18">
        <f>Source!I254</f>
        <v>-6.1700000000000004E-4</v>
      </c>
      <c r="F468" s="21">
        <f>Source!AK254</f>
        <v>6521.42</v>
      </c>
      <c r="G468" s="27" t="s">
        <v>3</v>
      </c>
      <c r="H468" s="18">
        <f>Source!AW254</f>
        <v>1</v>
      </c>
      <c r="I468" s="22">
        <f>ROUND((ROUND((Source!AC254*Source!AW254*Source!I254),2)),2)+(ROUND((ROUND(((Source!ET254)*Source!AV254*Source!I254),2)),2)+ROUND((ROUND(((Source!AE254-(Source!EU254))*Source!AV254*Source!I254),2)),2))+ROUND((ROUND((Source!AF254*Source!AV254*Source!I254),2)),2)</f>
        <v>-4.0199999999999996</v>
      </c>
      <c r="J468" s="18">
        <f>IF(Source!BC254&lt;&gt; 0, Source!BC254, 1)</f>
        <v>8.9499999999999993</v>
      </c>
      <c r="K468" s="22">
        <f>Source!O254</f>
        <v>-35.979999999999997</v>
      </c>
      <c r="Q468">
        <f>ROUND((Source!DN254/100)*ROUND((ROUND((Source!AF254*Source!AV254*Source!I254),2)),2), 2)</f>
        <v>0</v>
      </c>
      <c r="R468">
        <f>Source!X254</f>
        <v>0</v>
      </c>
      <c r="S468">
        <f>ROUND((Source!DO254/100)*ROUND((ROUND((Source!AF254*Source!AV254*Source!I254),2)),2), 2)</f>
        <v>0</v>
      </c>
      <c r="T468">
        <f>Source!Y254</f>
        <v>0</v>
      </c>
      <c r="U468">
        <f>ROUND((175/100)*ROUND((ROUND((Source!AE254*Source!AV254*Source!I254),2)),2), 2)</f>
        <v>0</v>
      </c>
      <c r="V468">
        <f>ROUND((157/100)*ROUND(ROUND((ROUND((Source!AE254*Source!AV254*Source!I254),2)*Source!BS254),2), 2), 2)</f>
        <v>0</v>
      </c>
      <c r="X468">
        <f>IF(Source!BI254&lt;=1,I468, 0)</f>
        <v>-4.0199999999999996</v>
      </c>
      <c r="Y468">
        <f>IF(Source!BI254=2,I468, 0)</f>
        <v>0</v>
      </c>
      <c r="Z468">
        <f>IF(Source!BI254=3,I468, 0)</f>
        <v>0</v>
      </c>
      <c r="AA468">
        <f>IF(Source!BI254=4,I468, 0)</f>
        <v>0</v>
      </c>
    </row>
    <row r="469" spans="1:27" ht="42.75" x14ac:dyDescent="0.2">
      <c r="A469" s="16" t="str">
        <f>Source!E255</f>
        <v>53,2</v>
      </c>
      <c r="B469" s="17" t="str">
        <f>Source!F255</f>
        <v>Цена поставщика</v>
      </c>
      <c r="C469" s="17" t="s">
        <v>1645</v>
      </c>
      <c r="D469" s="19" t="str">
        <f>Source!H255</f>
        <v>м</v>
      </c>
      <c r="E469" s="18">
        <f>Source!I255</f>
        <v>149</v>
      </c>
      <c r="F469" s="21">
        <f>Source!AK255</f>
        <v>29.04</v>
      </c>
      <c r="G469" s="27" t="s">
        <v>3</v>
      </c>
      <c r="H469" s="18">
        <f>Source!AW255</f>
        <v>1</v>
      </c>
      <c r="I469" s="22">
        <f>ROUND((ROUND((Source!AC255*Source!AW255*Source!I255),2)),2)+(ROUND((ROUND(((Source!ET255)*Source!AV255*Source!I255),2)),2)+ROUND((ROUND(((Source!AE255-(Source!EU255))*Source!AV255*Source!I255),2)),2))+ROUND((ROUND((Source!AF255*Source!AV255*Source!I255),2)),2)</f>
        <v>4326.96</v>
      </c>
      <c r="J469" s="18">
        <f>IF(Source!BC255&lt;&gt; 0, Source!BC255, 1)</f>
        <v>6.34</v>
      </c>
      <c r="K469" s="22">
        <f>Source!O255</f>
        <v>27432.93</v>
      </c>
      <c r="Q469">
        <f>ROUND((Source!DN255/100)*ROUND((ROUND((Source!AF255*Source!AV255*Source!I255),2)),2), 2)</f>
        <v>0</v>
      </c>
      <c r="R469">
        <f>Source!X255</f>
        <v>0</v>
      </c>
      <c r="S469">
        <f>ROUND((Source!DO255/100)*ROUND((ROUND((Source!AF255*Source!AV255*Source!I255),2)),2), 2)</f>
        <v>0</v>
      </c>
      <c r="T469">
        <f>Source!Y255</f>
        <v>0</v>
      </c>
      <c r="U469">
        <f>ROUND((175/100)*ROUND((ROUND((Source!AE255*Source!AV255*Source!I255),2)),2), 2)</f>
        <v>0</v>
      </c>
      <c r="V469">
        <f>ROUND((157/100)*ROUND(ROUND((ROUND((Source!AE255*Source!AV255*Source!I255),2)*Source!BS255),2), 2), 2)</f>
        <v>0</v>
      </c>
      <c r="X469">
        <f>IF(Source!BI255&lt;=1,I469, 0)</f>
        <v>4326.96</v>
      </c>
      <c r="Y469">
        <f>IF(Source!BI255=2,I469, 0)</f>
        <v>0</v>
      </c>
      <c r="Z469">
        <f>IF(Source!BI255=3,I469, 0)</f>
        <v>0</v>
      </c>
      <c r="AA469">
        <f>IF(Source!BI255=4,I469, 0)</f>
        <v>0</v>
      </c>
    </row>
    <row r="470" spans="1:27" ht="42.75" x14ac:dyDescent="0.2">
      <c r="A470" s="16" t="str">
        <f>Source!E256</f>
        <v>53,3</v>
      </c>
      <c r="B470" s="17" t="str">
        <f>Source!F256</f>
        <v>Цена поставщика</v>
      </c>
      <c r="C470" s="17" t="s">
        <v>1649</v>
      </c>
      <c r="D470" s="19" t="str">
        <f>Source!H256</f>
        <v>шт.</v>
      </c>
      <c r="E470" s="18">
        <f>Source!I256</f>
        <v>149</v>
      </c>
      <c r="F470" s="21">
        <f>Source!AK256</f>
        <v>2.6799999999999997</v>
      </c>
      <c r="G470" s="27" t="s">
        <v>3</v>
      </c>
      <c r="H470" s="18">
        <f>Source!AW256</f>
        <v>1</v>
      </c>
      <c r="I470" s="22">
        <f>ROUND((ROUND((Source!AC256*Source!AW256*Source!I256),2)),2)+(ROUND((ROUND(((Source!ET256)*Source!AV256*Source!I256),2)),2)+ROUND((ROUND(((Source!AE256-(Source!EU256))*Source!AV256*Source!I256),2)),2))+ROUND((ROUND((Source!AF256*Source!AV256*Source!I256),2)),2)</f>
        <v>399.32</v>
      </c>
      <c r="J470" s="18">
        <f>IF(Source!BC256&lt;&gt; 0, Source!BC256, 1)</f>
        <v>6.34</v>
      </c>
      <c r="K470" s="22">
        <f>Source!O256</f>
        <v>2531.69</v>
      </c>
      <c r="Q470">
        <f>ROUND((Source!DN256/100)*ROUND((ROUND((Source!AF256*Source!AV256*Source!I256),2)),2), 2)</f>
        <v>0</v>
      </c>
      <c r="R470">
        <f>Source!X256</f>
        <v>0</v>
      </c>
      <c r="S470">
        <f>ROUND((Source!DO256/100)*ROUND((ROUND((Source!AF256*Source!AV256*Source!I256),2)),2), 2)</f>
        <v>0</v>
      </c>
      <c r="T470">
        <f>Source!Y256</f>
        <v>0</v>
      </c>
      <c r="U470">
        <f>ROUND((175/100)*ROUND((ROUND((Source!AE256*Source!AV256*Source!I256),2)),2), 2)</f>
        <v>0</v>
      </c>
      <c r="V470">
        <f>ROUND((157/100)*ROUND(ROUND((ROUND((Source!AE256*Source!AV256*Source!I256),2)*Source!BS256),2), 2), 2)</f>
        <v>0</v>
      </c>
      <c r="X470">
        <f>IF(Source!BI256&lt;=1,I470, 0)</f>
        <v>399.32</v>
      </c>
      <c r="Y470">
        <f>IF(Source!BI256=2,I470, 0)</f>
        <v>0</v>
      </c>
      <c r="Z470">
        <f>IF(Source!BI256=3,I470, 0)</f>
        <v>0</v>
      </c>
      <c r="AA470">
        <f>IF(Source!BI256=4,I470, 0)</f>
        <v>0</v>
      </c>
    </row>
    <row r="471" spans="1:27" ht="14.25" x14ac:dyDescent="0.2">
      <c r="A471" s="16"/>
      <c r="B471" s="17"/>
      <c r="C471" s="17" t="s">
        <v>1626</v>
      </c>
      <c r="D471" s="19" t="s">
        <v>1627</v>
      </c>
      <c r="E471" s="18">
        <f>Source!DN253</f>
        <v>104</v>
      </c>
      <c r="F471" s="21"/>
      <c r="G471" s="20"/>
      <c r="H471" s="18"/>
      <c r="I471" s="22">
        <f>SUM(Q462:Q470)</f>
        <v>150.37</v>
      </c>
      <c r="J471" s="18">
        <f>Source!BZ253</f>
        <v>85</v>
      </c>
      <c r="K471" s="22">
        <f>SUM(R462:R470)</f>
        <v>3126.61</v>
      </c>
    </row>
    <row r="472" spans="1:27" ht="14.25" x14ac:dyDescent="0.2">
      <c r="A472" s="16"/>
      <c r="B472" s="17"/>
      <c r="C472" s="17" t="s">
        <v>1628</v>
      </c>
      <c r="D472" s="19" t="s">
        <v>1627</v>
      </c>
      <c r="E472" s="18">
        <f>Source!DO253</f>
        <v>70</v>
      </c>
      <c r="F472" s="21"/>
      <c r="G472" s="20"/>
      <c r="H472" s="18"/>
      <c r="I472" s="22">
        <f>SUM(S462:S471)</f>
        <v>101.21</v>
      </c>
      <c r="J472" s="18">
        <f>Source!CA253</f>
        <v>41</v>
      </c>
      <c r="K472" s="22">
        <f>SUM(T462:T471)</f>
        <v>1508.13</v>
      </c>
    </row>
    <row r="473" spans="1:27" ht="14.25" x14ac:dyDescent="0.2">
      <c r="A473" s="16"/>
      <c r="B473" s="17"/>
      <c r="C473" s="17" t="s">
        <v>1633</v>
      </c>
      <c r="D473" s="19" t="s">
        <v>1627</v>
      </c>
      <c r="E473" s="18">
        <f>175</f>
        <v>175</v>
      </c>
      <c r="F473" s="21"/>
      <c r="G473" s="20"/>
      <c r="H473" s="18"/>
      <c r="I473" s="22">
        <f>SUM(U462:U472)</f>
        <v>4.53</v>
      </c>
      <c r="J473" s="18">
        <f>157</f>
        <v>157</v>
      </c>
      <c r="K473" s="22">
        <f>SUM(V462:V472)</f>
        <v>103.45</v>
      </c>
    </row>
    <row r="474" spans="1:27" ht="14.25" x14ac:dyDescent="0.2">
      <c r="A474" s="16"/>
      <c r="B474" s="17"/>
      <c r="C474" s="17" t="s">
        <v>1629</v>
      </c>
      <c r="D474" s="19" t="s">
        <v>1630</v>
      </c>
      <c r="E474" s="18">
        <f>Source!AQ253</f>
        <v>7.65</v>
      </c>
      <c r="F474" s="21"/>
      <c r="G474" s="20" t="str">
        <f>Source!DI253</f>
        <v>)*1,15</v>
      </c>
      <c r="H474" s="18">
        <f>Source!AV253</f>
        <v>1</v>
      </c>
      <c r="I474" s="22">
        <f>Source!U253</f>
        <v>12.932324999999999</v>
      </c>
      <c r="J474" s="18"/>
      <c r="K474" s="22"/>
    </row>
    <row r="475" spans="1:27" ht="15" x14ac:dyDescent="0.25">
      <c r="A475" s="25"/>
      <c r="B475" s="25"/>
      <c r="C475" s="25"/>
      <c r="D475" s="25"/>
      <c r="E475" s="25"/>
      <c r="F475" s="25"/>
      <c r="G475" s="25"/>
      <c r="H475" s="54">
        <f>I464+I465+I467+I471+I472+I473+SUM(I468:I470)</f>
        <v>5141.0199999999995</v>
      </c>
      <c r="I475" s="54"/>
      <c r="J475" s="54">
        <f>K464+K465+K467+K471+K472+K473+SUM(K468:K470)</f>
        <v>38516.270000000004</v>
      </c>
      <c r="K475" s="54"/>
      <c r="O475" s="24">
        <f>I464+I465+I467+I471+I472+I473+SUM(I468:I470)</f>
        <v>5141.0199999999995</v>
      </c>
      <c r="P475" s="24">
        <f>K464+K465+K467+K471+K472+K473+SUM(K468:K470)</f>
        <v>38516.270000000004</v>
      </c>
      <c r="X475">
        <f>IF(Source!BI253&lt;=1,I464+I465+I467+I471+I472+I473-0, 0)</f>
        <v>418.75999999999993</v>
      </c>
      <c r="Y475">
        <f>IF(Source!BI253=2,I464+I465+I467+I471+I472+I473-0, 0)</f>
        <v>0</v>
      </c>
      <c r="Z475">
        <f>IF(Source!BI253=3,I464+I465+I467+I471+I472+I473-0, 0)</f>
        <v>0</v>
      </c>
      <c r="AA475">
        <f>IF(Source!BI253=4,I464+I465+I467+I471+I472+I473,0)</f>
        <v>0</v>
      </c>
    </row>
    <row r="476" spans="1:27" ht="57" x14ac:dyDescent="0.2">
      <c r="A476" s="16" t="str">
        <f>Source!E257</f>
        <v>54</v>
      </c>
      <c r="B476" s="17" t="str">
        <f>Source!F257</f>
        <v>3.11-17-1</v>
      </c>
      <c r="C476" s="17" t="s">
        <v>424</v>
      </c>
      <c r="D476" s="19" t="str">
        <f>Source!H257</f>
        <v>100 м2 покрытия</v>
      </c>
      <c r="E476" s="18">
        <f>Source!I257</f>
        <v>1.66</v>
      </c>
      <c r="F476" s="21"/>
      <c r="G476" s="20"/>
      <c r="H476" s="18"/>
      <c r="I476" s="22"/>
      <c r="J476" s="18"/>
      <c r="K476" s="22"/>
      <c r="Q476">
        <f>ROUND((Source!DN257/100)*ROUND((ROUND((Source!AF257*Source!AV257*Source!I257),2)),2), 2)</f>
        <v>2185.14</v>
      </c>
      <c r="R476">
        <f>Source!X257</f>
        <v>45434.18</v>
      </c>
      <c r="S476">
        <f>ROUND((Source!DO257/100)*ROUND((ROUND((Source!AF257*Source!AV257*Source!I257),2)),2), 2)</f>
        <v>1470.77</v>
      </c>
      <c r="T476">
        <f>Source!Y257</f>
        <v>21915.31</v>
      </c>
      <c r="U476">
        <f>ROUND((175/100)*ROUND((ROUND((Source!AE257*Source!AV257*Source!I257),2)),2), 2)</f>
        <v>265.08999999999997</v>
      </c>
      <c r="V476">
        <f>ROUND((157/100)*ROUND(ROUND((ROUND((Source!AE257*Source!AV257*Source!I257),2)*Source!BS257),2), 2), 2)</f>
        <v>6050.23</v>
      </c>
    </row>
    <row r="477" spans="1:27" x14ac:dyDescent="0.2">
      <c r="C477" s="23" t="str">
        <f>"Объем: "&amp;Source!I257&amp;"=166/"&amp;"100"</f>
        <v>Объем: 1,66=166/100</v>
      </c>
    </row>
    <row r="478" spans="1:27" ht="14.25" x14ac:dyDescent="0.2">
      <c r="A478" s="16"/>
      <c r="B478" s="17"/>
      <c r="C478" s="17" t="s">
        <v>1625</v>
      </c>
      <c r="D478" s="19"/>
      <c r="E478" s="18"/>
      <c r="F478" s="21">
        <f>Source!AO257</f>
        <v>1100.6300000000001</v>
      </c>
      <c r="G478" s="20" t="str">
        <f>Source!DG257</f>
        <v>)*1,15</v>
      </c>
      <c r="H478" s="18">
        <f>Source!AV257</f>
        <v>1</v>
      </c>
      <c r="I478" s="22">
        <f>ROUND((ROUND((Source!AF257*Source!AV257*Source!I257),2)),2)</f>
        <v>2101.1</v>
      </c>
      <c r="J478" s="18">
        <f>IF(Source!BA257&lt;&gt; 0, Source!BA257, 1)</f>
        <v>25.44</v>
      </c>
      <c r="K478" s="22">
        <f>Source!S257</f>
        <v>53451.98</v>
      </c>
      <c r="W478">
        <f>I478</f>
        <v>2101.1</v>
      </c>
    </row>
    <row r="479" spans="1:27" ht="14.25" x14ac:dyDescent="0.2">
      <c r="A479" s="16"/>
      <c r="B479" s="17"/>
      <c r="C479" s="17" t="s">
        <v>1631</v>
      </c>
      <c r="D479" s="19"/>
      <c r="E479" s="18"/>
      <c r="F479" s="21">
        <f>Source!AM257</f>
        <v>296.83</v>
      </c>
      <c r="G479" s="20" t="str">
        <f>Source!DE257</f>
        <v>)*1,25</v>
      </c>
      <c r="H479" s="18">
        <f>Source!AV257</f>
        <v>1</v>
      </c>
      <c r="I479" s="22">
        <f>(ROUND((ROUND((((Source!ET257*1.25))*Source!AV257*Source!I257),2)),2)+ROUND((ROUND(((Source!AE257-((Source!EU257*1.25)))*Source!AV257*Source!I257),2)),2))</f>
        <v>615.91999999999996</v>
      </c>
      <c r="J479" s="18">
        <f>IF(Source!BB257&lt;&gt; 0, Source!BB257, 1)</f>
        <v>10.67</v>
      </c>
      <c r="K479" s="22">
        <f>Source!Q257</f>
        <v>6571.87</v>
      </c>
    </row>
    <row r="480" spans="1:27" ht="14.25" x14ac:dyDescent="0.2">
      <c r="A480" s="16"/>
      <c r="B480" s="17"/>
      <c r="C480" s="17" t="s">
        <v>1632</v>
      </c>
      <c r="D480" s="19"/>
      <c r="E480" s="18"/>
      <c r="F480" s="21">
        <f>Source!AN257</f>
        <v>73</v>
      </c>
      <c r="G480" s="20" t="str">
        <f>Source!DF257</f>
        <v>)*1,25</v>
      </c>
      <c r="H480" s="18">
        <f>Source!AV257</f>
        <v>1</v>
      </c>
      <c r="I480" s="26">
        <f>ROUND((ROUND((Source!AE257*Source!AV257*Source!I257),2)),2)</f>
        <v>151.47999999999999</v>
      </c>
      <c r="J480" s="18">
        <f>IF(Source!BS257&lt;&gt; 0, Source!BS257, 1)</f>
        <v>25.44</v>
      </c>
      <c r="K480" s="26">
        <f>Source!R257</f>
        <v>3853.65</v>
      </c>
      <c r="W480">
        <f>I480</f>
        <v>151.47999999999999</v>
      </c>
    </row>
    <row r="481" spans="1:27" ht="14.25" x14ac:dyDescent="0.2">
      <c r="A481" s="16"/>
      <c r="B481" s="17"/>
      <c r="C481" s="17" t="s">
        <v>1634</v>
      </c>
      <c r="D481" s="19"/>
      <c r="E481" s="18"/>
      <c r="F481" s="21">
        <f>Source!AL257</f>
        <v>45.15</v>
      </c>
      <c r="G481" s="20" t="str">
        <f>Source!DD257</f>
        <v/>
      </c>
      <c r="H481" s="18">
        <f>Source!AW257</f>
        <v>1</v>
      </c>
      <c r="I481" s="22">
        <f>ROUND((ROUND((Source!AC257*Source!AW257*Source!I257),2)),2)</f>
        <v>74.95</v>
      </c>
      <c r="J481" s="18">
        <f>IF(Source!BC257&lt;&gt; 0, Source!BC257, 1)</f>
        <v>5.5</v>
      </c>
      <c r="K481" s="22">
        <f>Source!P257</f>
        <v>412.23</v>
      </c>
    </row>
    <row r="482" spans="1:27" ht="54" x14ac:dyDescent="0.2">
      <c r="A482" s="16" t="str">
        <f>Source!E258</f>
        <v>54,1</v>
      </c>
      <c r="B482" s="17" t="str">
        <f>Source!F258</f>
        <v>Цена поставщика</v>
      </c>
      <c r="C482" s="17" t="s">
        <v>1650</v>
      </c>
      <c r="D482" s="19" t="str">
        <f>Source!H258</f>
        <v>м3</v>
      </c>
      <c r="E482" s="18">
        <f>Source!I258</f>
        <v>41.5</v>
      </c>
      <c r="F482" s="21">
        <f>Source!AK258</f>
        <v>2574.1299999999997</v>
      </c>
      <c r="G482" s="27" t="s">
        <v>3</v>
      </c>
      <c r="H482" s="18">
        <f>Source!AW258</f>
        <v>1</v>
      </c>
      <c r="I482" s="22">
        <f>ROUND((ROUND((Source!AC258*Source!AW258*Source!I258),2)),2)+(ROUND((ROUND(((Source!ET258)*Source!AV258*Source!I258),2)),2)+ROUND((ROUND(((Source!AE258-(Source!EU258))*Source!AV258*Source!I258),2)),2))+ROUND((ROUND((Source!AF258*Source!AV258*Source!I258),2)),2)</f>
        <v>106826.4</v>
      </c>
      <c r="J482" s="18">
        <f>IF(Source!BC258&lt;&gt; 0, Source!BC258, 1)</f>
        <v>6.34</v>
      </c>
      <c r="K482" s="22">
        <f>Source!O258</f>
        <v>677279.38</v>
      </c>
      <c r="Q482">
        <f>ROUND((Source!DN258/100)*ROUND((ROUND((Source!AF258*Source!AV258*Source!I258),2)),2), 2)</f>
        <v>0</v>
      </c>
      <c r="R482">
        <f>Source!X258</f>
        <v>0</v>
      </c>
      <c r="S482">
        <f>ROUND((Source!DO258/100)*ROUND((ROUND((Source!AF258*Source!AV258*Source!I258),2)),2), 2)</f>
        <v>0</v>
      </c>
      <c r="T482">
        <f>Source!Y258</f>
        <v>0</v>
      </c>
      <c r="U482">
        <f>ROUND((175/100)*ROUND((ROUND((Source!AE258*Source!AV258*Source!I258),2)),2), 2)</f>
        <v>0</v>
      </c>
      <c r="V482">
        <f>ROUND((157/100)*ROUND(ROUND((ROUND((Source!AE258*Source!AV258*Source!I258),2)*Source!BS258),2), 2), 2)</f>
        <v>0</v>
      </c>
      <c r="X482">
        <f>IF(Source!BI258&lt;=1,I482, 0)</f>
        <v>106826.4</v>
      </c>
      <c r="Y482">
        <f>IF(Source!BI258=2,I482, 0)</f>
        <v>0</v>
      </c>
      <c r="Z482">
        <f>IF(Source!BI258=3,I482, 0)</f>
        <v>0</v>
      </c>
      <c r="AA482">
        <f>IF(Source!BI258=4,I482, 0)</f>
        <v>0</v>
      </c>
    </row>
    <row r="483" spans="1:27" ht="14.25" x14ac:dyDescent="0.2">
      <c r="A483" s="16"/>
      <c r="B483" s="17"/>
      <c r="C483" s="17" t="s">
        <v>1626</v>
      </c>
      <c r="D483" s="19" t="s">
        <v>1627</v>
      </c>
      <c r="E483" s="18">
        <f>Source!DN257</f>
        <v>104</v>
      </c>
      <c r="F483" s="21"/>
      <c r="G483" s="20"/>
      <c r="H483" s="18"/>
      <c r="I483" s="22">
        <f>SUM(Q476:Q482)</f>
        <v>2185.14</v>
      </c>
      <c r="J483" s="18">
        <f>Source!BZ257</f>
        <v>85</v>
      </c>
      <c r="K483" s="22">
        <f>SUM(R476:R482)</f>
        <v>45434.18</v>
      </c>
    </row>
    <row r="484" spans="1:27" ht="14.25" x14ac:dyDescent="0.2">
      <c r="A484" s="16"/>
      <c r="B484" s="17"/>
      <c r="C484" s="17" t="s">
        <v>1628</v>
      </c>
      <c r="D484" s="19" t="s">
        <v>1627</v>
      </c>
      <c r="E484" s="18">
        <f>Source!DO257</f>
        <v>70</v>
      </c>
      <c r="F484" s="21"/>
      <c r="G484" s="20"/>
      <c r="H484" s="18"/>
      <c r="I484" s="22">
        <f>SUM(S476:S483)</f>
        <v>1470.77</v>
      </c>
      <c r="J484" s="18">
        <f>Source!CA257</f>
        <v>41</v>
      </c>
      <c r="K484" s="22">
        <f>SUM(T476:T483)</f>
        <v>21915.31</v>
      </c>
    </row>
    <row r="485" spans="1:27" ht="14.25" x14ac:dyDescent="0.2">
      <c r="A485" s="16"/>
      <c r="B485" s="17"/>
      <c r="C485" s="17" t="s">
        <v>1633</v>
      </c>
      <c r="D485" s="19" t="s">
        <v>1627</v>
      </c>
      <c r="E485" s="18">
        <f>175</f>
        <v>175</v>
      </c>
      <c r="F485" s="21"/>
      <c r="G485" s="20"/>
      <c r="H485" s="18"/>
      <c r="I485" s="22">
        <f>SUM(U476:U484)</f>
        <v>265.08999999999997</v>
      </c>
      <c r="J485" s="18">
        <f>157</f>
        <v>157</v>
      </c>
      <c r="K485" s="22">
        <f>SUM(V476:V484)</f>
        <v>6050.23</v>
      </c>
    </row>
    <row r="486" spans="1:27" ht="14.25" x14ac:dyDescent="0.2">
      <c r="A486" s="16"/>
      <c r="B486" s="17"/>
      <c r="C486" s="17" t="s">
        <v>1629</v>
      </c>
      <c r="D486" s="19" t="s">
        <v>1630</v>
      </c>
      <c r="E486" s="18">
        <f>Source!AQ257</f>
        <v>94.8</v>
      </c>
      <c r="F486" s="21"/>
      <c r="G486" s="20" t="str">
        <f>Source!DI257</f>
        <v>)*1,15</v>
      </c>
      <c r="H486" s="18">
        <f>Source!AV257</f>
        <v>1</v>
      </c>
      <c r="I486" s="22">
        <f>Source!U257</f>
        <v>180.97319999999996</v>
      </c>
      <c r="J486" s="18"/>
      <c r="K486" s="22"/>
    </row>
    <row r="487" spans="1:27" ht="15" x14ac:dyDescent="0.25">
      <c r="A487" s="25"/>
      <c r="B487" s="25"/>
      <c r="C487" s="25"/>
      <c r="D487" s="25"/>
      <c r="E487" s="25"/>
      <c r="F487" s="25"/>
      <c r="G487" s="25"/>
      <c r="H487" s="54">
        <f>I478+I479+I481+I483+I484+I485+SUM(I482:I482)</f>
        <v>113539.37</v>
      </c>
      <c r="I487" s="54"/>
      <c r="J487" s="54">
        <f>K478+K479+K481+K483+K484+K485+SUM(K482:K482)</f>
        <v>811115.18</v>
      </c>
      <c r="K487" s="54"/>
      <c r="O487" s="24">
        <f>I478+I479+I481+I483+I484+I485+SUM(I482:I482)</f>
        <v>113539.37</v>
      </c>
      <c r="P487" s="24">
        <f>K478+K479+K481+K483+K484+K485+SUM(K482:K482)</f>
        <v>811115.18</v>
      </c>
      <c r="X487">
        <f>IF(Source!BI257&lt;=1,I478+I479+I481+I483+I484+I485-0, 0)</f>
        <v>6712.9699999999993</v>
      </c>
      <c r="Y487">
        <f>IF(Source!BI257=2,I478+I479+I481+I483+I484+I485-0, 0)</f>
        <v>0</v>
      </c>
      <c r="Z487">
        <f>IF(Source!BI257=3,I478+I479+I481+I483+I484+I485-0, 0)</f>
        <v>0</v>
      </c>
      <c r="AA487">
        <f>IF(Source!BI257=4,I478+I479+I481+I483+I484+I485,0)</f>
        <v>0</v>
      </c>
    </row>
    <row r="488" spans="1:27" ht="42.75" x14ac:dyDescent="0.2">
      <c r="A488" s="16" t="str">
        <f>Source!E259</f>
        <v>55</v>
      </c>
      <c r="B488" s="17" t="str">
        <f>Source!F259</f>
        <v>6.68-13-1</v>
      </c>
      <c r="C488" s="17" t="s">
        <v>433</v>
      </c>
      <c r="D488" s="19" t="str">
        <f>Source!H259</f>
        <v>1 Т</v>
      </c>
      <c r="E488" s="18">
        <f>Source!I259</f>
        <v>79.239999999999995</v>
      </c>
      <c r="F488" s="21"/>
      <c r="G488" s="20"/>
      <c r="H488" s="18"/>
      <c r="I488" s="22"/>
      <c r="J488" s="18"/>
      <c r="K488" s="22"/>
      <c r="Q488">
        <f>ROUND((Source!DN259/100)*ROUND((ROUND((Source!AF259*Source!AV259*Source!I259),2)),2), 2)</f>
        <v>0</v>
      </c>
      <c r="R488">
        <f>Source!X259</f>
        <v>0</v>
      </c>
      <c r="S488">
        <f>ROUND((Source!DO259/100)*ROUND((ROUND((Source!AF259*Source!AV259*Source!I259),2)),2), 2)</f>
        <v>0</v>
      </c>
      <c r="T488">
        <f>Source!Y259</f>
        <v>0</v>
      </c>
      <c r="U488">
        <f>ROUND((175/100)*ROUND((ROUND((Source!AE259*Source!AV259*Source!I259),2)),2), 2)</f>
        <v>205.24</v>
      </c>
      <c r="V488">
        <f>ROUND((157/100)*ROUND(ROUND((ROUND((Source!AE259*Source!AV259*Source!I259),2)*Source!BS259),2), 2), 2)</f>
        <v>4684.25</v>
      </c>
    </row>
    <row r="489" spans="1:27" ht="14.25" x14ac:dyDescent="0.2">
      <c r="A489" s="16"/>
      <c r="B489" s="17"/>
      <c r="C489" s="17" t="s">
        <v>1631</v>
      </c>
      <c r="D489" s="19"/>
      <c r="E489" s="18"/>
      <c r="F489" s="21">
        <f>Source!AM259</f>
        <v>8.86</v>
      </c>
      <c r="G489" s="20" t="str">
        <f>Source!DE259</f>
        <v/>
      </c>
      <c r="H489" s="18">
        <f>Source!AV259</f>
        <v>1</v>
      </c>
      <c r="I489" s="22">
        <f>(ROUND((ROUND(((Source!ET259)*Source!AV259*Source!I259),2)),2)+ROUND((ROUND(((Source!AE259-(Source!EU259))*Source!AV259*Source!I259),2)),2))</f>
        <v>702.07</v>
      </c>
      <c r="J489" s="18">
        <f>IF(Source!BB259&lt;&gt; 0, Source!BB259, 1)</f>
        <v>9.1199999999999992</v>
      </c>
      <c r="K489" s="22">
        <f>Source!Q259</f>
        <v>6402.88</v>
      </c>
    </row>
    <row r="490" spans="1:27" ht="14.25" x14ac:dyDescent="0.2">
      <c r="A490" s="16"/>
      <c r="B490" s="17"/>
      <c r="C490" s="17" t="s">
        <v>1632</v>
      </c>
      <c r="D490" s="19"/>
      <c r="E490" s="18"/>
      <c r="F490" s="21">
        <f>Source!AN259</f>
        <v>1.48</v>
      </c>
      <c r="G490" s="20" t="str">
        <f>Source!DF259</f>
        <v/>
      </c>
      <c r="H490" s="18">
        <f>Source!AV259</f>
        <v>1</v>
      </c>
      <c r="I490" s="26">
        <f>ROUND((ROUND((Source!AE259*Source!AV259*Source!I259),2)),2)</f>
        <v>117.28</v>
      </c>
      <c r="J490" s="18">
        <f>IF(Source!BS259&lt;&gt; 0, Source!BS259, 1)</f>
        <v>25.44</v>
      </c>
      <c r="K490" s="26">
        <f>Source!R259</f>
        <v>2983.6</v>
      </c>
      <c r="W490">
        <f>I490</f>
        <v>117.28</v>
      </c>
    </row>
    <row r="491" spans="1:27" ht="14.25" x14ac:dyDescent="0.2">
      <c r="A491" s="16"/>
      <c r="B491" s="17"/>
      <c r="C491" s="17" t="s">
        <v>1633</v>
      </c>
      <c r="D491" s="19" t="s">
        <v>1627</v>
      </c>
      <c r="E491" s="18">
        <f>175</f>
        <v>175</v>
      </c>
      <c r="F491" s="21"/>
      <c r="G491" s="20"/>
      <c r="H491" s="18"/>
      <c r="I491" s="22">
        <f>SUM(U488:U490)</f>
        <v>205.24</v>
      </c>
      <c r="J491" s="18">
        <f>157</f>
        <v>157</v>
      </c>
      <c r="K491" s="22">
        <f>SUM(V488:V490)</f>
        <v>4684.25</v>
      </c>
    </row>
    <row r="492" spans="1:27" ht="15" x14ac:dyDescent="0.25">
      <c r="A492" s="25"/>
      <c r="B492" s="25"/>
      <c r="C492" s="25"/>
      <c r="D492" s="25"/>
      <c r="E492" s="25"/>
      <c r="F492" s="25"/>
      <c r="G492" s="25"/>
      <c r="H492" s="54">
        <f>I489+I491</f>
        <v>907.31000000000006</v>
      </c>
      <c r="I492" s="54"/>
      <c r="J492" s="54">
        <f>K489+K491</f>
        <v>11087.130000000001</v>
      </c>
      <c r="K492" s="54"/>
      <c r="O492" s="24">
        <f>I489+I491</f>
        <v>907.31000000000006</v>
      </c>
      <c r="P492" s="24">
        <f>K489+K491</f>
        <v>11087.130000000001</v>
      </c>
      <c r="X492">
        <f>IF(Source!BI259&lt;=1,I489+I491-0, 0)</f>
        <v>907.31000000000006</v>
      </c>
      <c r="Y492">
        <f>IF(Source!BI259=2,I489+I491-0, 0)</f>
        <v>0</v>
      </c>
      <c r="Z492">
        <f>IF(Source!BI259=3,I489+I491-0, 0)</f>
        <v>0</v>
      </c>
      <c r="AA492">
        <f>IF(Source!BI259=4,I489+I491,0)</f>
        <v>0</v>
      </c>
    </row>
    <row r="493" spans="1:27" ht="42.75" x14ac:dyDescent="0.2">
      <c r="A493" s="16" t="str">
        <f>Source!E260</f>
        <v>56</v>
      </c>
      <c r="B493" s="17" t="str">
        <f>Source!F260</f>
        <v>15.2-43-10</v>
      </c>
      <c r="C493" s="17" t="s">
        <v>188</v>
      </c>
      <c r="D493" s="19" t="str">
        <f>Source!H260</f>
        <v>т</v>
      </c>
      <c r="E493" s="18">
        <f>Source!I260</f>
        <v>79.239999999999995</v>
      </c>
      <c r="F493" s="21"/>
      <c r="G493" s="20"/>
      <c r="H493" s="18"/>
      <c r="I493" s="22"/>
      <c r="J493" s="18"/>
      <c r="K493" s="22"/>
      <c r="Q493">
        <f>ROUND((Source!DN260/100)*ROUND((ROUND((Source!AF260*Source!AV260*Source!I260),2)),2), 2)</f>
        <v>0</v>
      </c>
      <c r="R493">
        <f>Source!X260</f>
        <v>0</v>
      </c>
      <c r="S493">
        <f>ROUND((Source!DO260/100)*ROUND((ROUND((Source!AF260*Source!AV260*Source!I260),2)),2), 2)</f>
        <v>0</v>
      </c>
      <c r="T493">
        <f>Source!Y260</f>
        <v>0</v>
      </c>
      <c r="U493">
        <f>ROUND((175/100)*ROUND((ROUND((Source!AE260*Source!AV260*Source!I260),2)),2), 2)</f>
        <v>0</v>
      </c>
      <c r="V493">
        <f>ROUND((157/100)*ROUND(ROUND((ROUND((Source!AE260*Source!AV260*Source!I260),2)*Source!BS260),2), 2), 2)</f>
        <v>0</v>
      </c>
    </row>
    <row r="494" spans="1:27" ht="14.25" x14ac:dyDescent="0.2">
      <c r="A494" s="16"/>
      <c r="B494" s="17"/>
      <c r="C494" s="17" t="s">
        <v>1631</v>
      </c>
      <c r="D494" s="19"/>
      <c r="E494" s="18"/>
      <c r="F494" s="21">
        <f>Source!AM260</f>
        <v>38.92</v>
      </c>
      <c r="G494" s="20" t="str">
        <f>Source!DE260</f>
        <v/>
      </c>
      <c r="H494" s="18">
        <f>Source!AV260</f>
        <v>1</v>
      </c>
      <c r="I494" s="22">
        <f>(ROUND((ROUND(((Source!ET260)*Source!AV260*Source!I260),2)),2)+ROUND((ROUND(((Source!AE260-(Source!EU260))*Source!AV260*Source!I260),2)),2))</f>
        <v>3084.02</v>
      </c>
      <c r="J494" s="18">
        <f>IF(Source!BB260&lt;&gt; 0, Source!BB260, 1)</f>
        <v>11.64</v>
      </c>
      <c r="K494" s="22">
        <f>Source!Q260</f>
        <v>35897.99</v>
      </c>
    </row>
    <row r="495" spans="1:27" ht="15" x14ac:dyDescent="0.25">
      <c r="A495" s="25"/>
      <c r="B495" s="25"/>
      <c r="C495" s="25"/>
      <c r="D495" s="25"/>
      <c r="E495" s="25"/>
      <c r="F495" s="25"/>
      <c r="G495" s="25"/>
      <c r="H495" s="54">
        <f>I494</f>
        <v>3084.02</v>
      </c>
      <c r="I495" s="54"/>
      <c r="J495" s="54">
        <f>K494</f>
        <v>35897.99</v>
      </c>
      <c r="K495" s="54"/>
      <c r="O495" s="24">
        <f>I494</f>
        <v>3084.02</v>
      </c>
      <c r="P495" s="24">
        <f>K494</f>
        <v>35897.99</v>
      </c>
      <c r="X495">
        <f>IF(Source!BI260&lt;=1,I494-0, 0)</f>
        <v>0</v>
      </c>
      <c r="Y495">
        <f>IF(Source!BI260=2,I494-0, 0)</f>
        <v>0</v>
      </c>
      <c r="Z495">
        <f>IF(Source!BI260=3,I494-0, 0)</f>
        <v>0</v>
      </c>
      <c r="AA495">
        <f>IF(Source!BI260=4,I494,0)</f>
        <v>3084.02</v>
      </c>
    </row>
    <row r="496" spans="1:27" ht="57" x14ac:dyDescent="0.2">
      <c r="A496" s="16" t="str">
        <f>Source!E261</f>
        <v>57</v>
      </c>
      <c r="B496" s="17" t="str">
        <f>Source!F261</f>
        <v>15.2-46-1</v>
      </c>
      <c r="C496" s="17" t="s">
        <v>205</v>
      </c>
      <c r="D496" s="19" t="str">
        <f>Source!H261</f>
        <v>т</v>
      </c>
      <c r="E496" s="18">
        <f>Source!I261</f>
        <v>24.9</v>
      </c>
      <c r="F496" s="21"/>
      <c r="G496" s="20"/>
      <c r="H496" s="18"/>
      <c r="I496" s="22"/>
      <c r="J496" s="18"/>
      <c r="K496" s="22"/>
      <c r="Q496">
        <f>ROUND((Source!DN261/100)*ROUND((ROUND((Source!AF261*Source!AV261*Source!I261),2)),2), 2)</f>
        <v>0</v>
      </c>
      <c r="R496">
        <f>Source!X261</f>
        <v>0</v>
      </c>
      <c r="S496">
        <f>ROUND((Source!DO261/100)*ROUND((ROUND((Source!AF261*Source!AV261*Source!I261),2)),2), 2)</f>
        <v>0</v>
      </c>
      <c r="T496">
        <f>Source!Y261</f>
        <v>0</v>
      </c>
      <c r="U496">
        <f>ROUND((175/100)*ROUND((ROUND((Source!AE261*Source!AV261*Source!I261),2)),2), 2)</f>
        <v>0</v>
      </c>
      <c r="V496">
        <f>ROUND((157/100)*ROUND(ROUND((ROUND((Source!AE261*Source!AV261*Source!I261),2)*Source!BS261),2), 2), 2)</f>
        <v>0</v>
      </c>
    </row>
    <row r="497" spans="1:38" ht="14.25" x14ac:dyDescent="0.2">
      <c r="A497" s="16"/>
      <c r="B497" s="17"/>
      <c r="C497" s="17" t="s">
        <v>1631</v>
      </c>
      <c r="D497" s="19"/>
      <c r="E497" s="18"/>
      <c r="F497" s="21">
        <f>Source!AM261</f>
        <v>46</v>
      </c>
      <c r="G497" s="20" t="str">
        <f>Source!DE261</f>
        <v/>
      </c>
      <c r="H497" s="18">
        <f>Source!AV261</f>
        <v>1</v>
      </c>
      <c r="I497" s="22">
        <f>(ROUND((ROUND(((Source!ET261)*Source!AV261*Source!I261),2)),2)+ROUND((ROUND(((Source!AE261-(Source!EU261))*Source!AV261*Source!I261),2)),2))</f>
        <v>1145.4000000000001</v>
      </c>
      <c r="J497" s="18">
        <f>IF(Source!BB261&lt;&gt; 0, Source!BB261, 1)</f>
        <v>12.21</v>
      </c>
      <c r="K497" s="22">
        <f>Source!Q261</f>
        <v>13985.33</v>
      </c>
    </row>
    <row r="498" spans="1:38" ht="15" x14ac:dyDescent="0.25">
      <c r="A498" s="25"/>
      <c r="B498" s="25"/>
      <c r="C498" s="25"/>
      <c r="D498" s="25"/>
      <c r="E498" s="25"/>
      <c r="F498" s="25"/>
      <c r="G498" s="25"/>
      <c r="H498" s="54">
        <f>I497</f>
        <v>1145.4000000000001</v>
      </c>
      <c r="I498" s="54"/>
      <c r="J498" s="54">
        <f>K497</f>
        <v>13985.33</v>
      </c>
      <c r="K498" s="54"/>
      <c r="O498" s="24">
        <f>I497</f>
        <v>1145.4000000000001</v>
      </c>
      <c r="P498" s="24">
        <f>K497</f>
        <v>13985.33</v>
      </c>
      <c r="X498">
        <f>IF(Source!BI261&lt;=1,I497-0, 0)</f>
        <v>0</v>
      </c>
      <c r="Y498">
        <f>IF(Source!BI261=2,I497-0, 0)</f>
        <v>0</v>
      </c>
      <c r="Z498">
        <f>IF(Source!BI261=3,I497-0, 0)</f>
        <v>0</v>
      </c>
      <c r="AA498">
        <f>IF(Source!BI261=4,I497,0)</f>
        <v>1145.4000000000001</v>
      </c>
    </row>
    <row r="499" spans="1:38" ht="42.75" x14ac:dyDescent="0.2">
      <c r="A499" s="16" t="str">
        <f>Source!E262</f>
        <v>58</v>
      </c>
      <c r="B499" s="17" t="str">
        <f>Source!F262</f>
        <v>15.1-1102-01</v>
      </c>
      <c r="C499" s="17" t="s">
        <v>211</v>
      </c>
      <c r="D499" s="19" t="str">
        <f>Source!H262</f>
        <v>1 Т</v>
      </c>
      <c r="E499" s="18">
        <f>Source!I262</f>
        <v>24.9</v>
      </c>
      <c r="F499" s="21"/>
      <c r="G499" s="20"/>
      <c r="H499" s="18"/>
      <c r="I499" s="22"/>
      <c r="J499" s="18"/>
      <c r="K499" s="22"/>
      <c r="Q499">
        <f>ROUND((Source!DN262/100)*ROUND((ROUND((Source!AF262*Source!AV262*Source!I262),2)),2), 2)</f>
        <v>0</v>
      </c>
      <c r="R499">
        <f>Source!X262</f>
        <v>0</v>
      </c>
      <c r="S499">
        <f>ROUND((Source!DO262/100)*ROUND((ROUND((Source!AF262*Source!AV262*Source!I262),2)),2), 2)</f>
        <v>0</v>
      </c>
      <c r="T499">
        <f>Source!Y262</f>
        <v>0</v>
      </c>
      <c r="U499">
        <f>ROUND((175/100)*ROUND((ROUND((Source!AE262*Source!AV262*Source!I262),2)),2), 2)</f>
        <v>0</v>
      </c>
      <c r="V499">
        <f>ROUND((157/100)*ROUND(ROUND((ROUND((Source!AE262*Source!AV262*Source!I262),2)*Source!BS262),2), 2), 2)</f>
        <v>0</v>
      </c>
    </row>
    <row r="500" spans="1:38" ht="14.25" x14ac:dyDescent="0.2">
      <c r="A500" s="16"/>
      <c r="B500" s="17"/>
      <c r="C500" s="17" t="s">
        <v>1631</v>
      </c>
      <c r="D500" s="19"/>
      <c r="E500" s="18"/>
      <c r="F500" s="21">
        <f>Source!AM262</f>
        <v>12.61</v>
      </c>
      <c r="G500" s="20" t="str">
        <f>Source!DE262</f>
        <v/>
      </c>
      <c r="H500" s="18">
        <f>Source!AV262</f>
        <v>1</v>
      </c>
      <c r="I500" s="22">
        <f>(ROUND((ROUND(((Source!ET262)*Source!AV262*Source!I262),2)),2)+ROUND((ROUND(((Source!AE262-(Source!EU262))*Source!AV262*Source!I262),2)),2))</f>
        <v>313.99</v>
      </c>
      <c r="J500" s="18">
        <f>IF(Source!BB262&lt;&gt; 0, Source!BB262, 1)</f>
        <v>7.63</v>
      </c>
      <c r="K500" s="22">
        <f>Source!Q262</f>
        <v>2395.7399999999998</v>
      </c>
    </row>
    <row r="501" spans="1:38" ht="15" x14ac:dyDescent="0.25">
      <c r="A501" s="25"/>
      <c r="B501" s="25"/>
      <c r="C501" s="25"/>
      <c r="D501" s="25"/>
      <c r="E501" s="25"/>
      <c r="F501" s="25"/>
      <c r="G501" s="25"/>
      <c r="H501" s="54">
        <f>I500</f>
        <v>313.99</v>
      </c>
      <c r="I501" s="54"/>
      <c r="J501" s="54">
        <f>K500</f>
        <v>2395.7399999999998</v>
      </c>
      <c r="K501" s="54"/>
      <c r="O501" s="24">
        <f>I500</f>
        <v>313.99</v>
      </c>
      <c r="P501" s="24">
        <f>K500</f>
        <v>2395.7399999999998</v>
      </c>
      <c r="X501">
        <f>IF(Source!BI262&lt;=1,I500-0, 0)</f>
        <v>0</v>
      </c>
      <c r="Y501">
        <f>IF(Source!BI262=2,I500-0, 0)</f>
        <v>0</v>
      </c>
      <c r="Z501">
        <f>IF(Source!BI262=3,I500-0, 0)</f>
        <v>0</v>
      </c>
      <c r="AA501">
        <f>IF(Source!BI262=4,I500,0)</f>
        <v>313.99</v>
      </c>
    </row>
    <row r="503" spans="1:38" ht="15" x14ac:dyDescent="0.25">
      <c r="A503" s="53" t="str">
        <f>CONCATENATE("Итого по разделу: ",IF(Source!G264&lt;&gt;"Новый раздел", Source!G264, ""))</f>
        <v>Итого по разделу: Замена покрытия из камней типа "Валун" 166 кв.м</v>
      </c>
      <c r="B503" s="53"/>
      <c r="C503" s="53"/>
      <c r="D503" s="53"/>
      <c r="E503" s="53"/>
      <c r="F503" s="53"/>
      <c r="G503" s="53"/>
      <c r="H503" s="51">
        <f>SUM(O435:O502)</f>
        <v>128957.07999999999</v>
      </c>
      <c r="I503" s="52"/>
      <c r="J503" s="51">
        <f>SUM(P435:P502)</f>
        <v>968904.04</v>
      </c>
      <c r="K503" s="52"/>
      <c r="AL503" s="30" t="str">
        <f>CONCATENATE("Итого по разделу: ",IF(Source!G264&lt;&gt;"Новый раздел", Source!G264, ""))</f>
        <v>Итого по разделу: Замена покрытия из камней типа "Валун" 166 кв.м</v>
      </c>
    </row>
    <row r="504" spans="1:38" hidden="1" x14ac:dyDescent="0.2">
      <c r="A504" t="s">
        <v>1641</v>
      </c>
      <c r="H504">
        <f>SUM(AC435:AC503)</f>
        <v>0</v>
      </c>
      <c r="J504">
        <f>SUM(AD435:AD503)</f>
        <v>0</v>
      </c>
    </row>
    <row r="505" spans="1:38" hidden="1" x14ac:dyDescent="0.2">
      <c r="A505" t="s">
        <v>1642</v>
      </c>
      <c r="H505">
        <f>SUM(AE435:AE504)</f>
        <v>0</v>
      </c>
      <c r="J505">
        <f>SUM(AF435:AF504)</f>
        <v>0</v>
      </c>
    </row>
    <row r="507" spans="1:38" ht="16.5" x14ac:dyDescent="0.25">
      <c r="A507" s="56" t="str">
        <f>CONCATENATE("Раздел: ",IF(Source!G294&lt;&gt;"Новый раздел", Source!G294, ""))</f>
        <v>Раздел: Демонтаж подпорной стены из бутового камня 118 кв.м (каменная кладка и ж/б стена)</v>
      </c>
      <c r="B507" s="56"/>
      <c r="C507" s="56"/>
      <c r="D507" s="56"/>
      <c r="E507" s="56"/>
      <c r="F507" s="56"/>
      <c r="G507" s="56"/>
      <c r="H507" s="56"/>
      <c r="I507" s="56"/>
      <c r="J507" s="56"/>
      <c r="K507" s="56"/>
    </row>
    <row r="508" spans="1:38" ht="28.5" x14ac:dyDescent="0.2">
      <c r="A508" s="16" t="str">
        <f>Source!E298</f>
        <v>59</v>
      </c>
      <c r="B508" s="17" t="str">
        <f>Source!F298</f>
        <v>6.53-2-3</v>
      </c>
      <c r="C508" s="17" t="s">
        <v>440</v>
      </c>
      <c r="D508" s="19" t="str">
        <f>Source!H298</f>
        <v>10 м3 кладки</v>
      </c>
      <c r="E508" s="18">
        <f>Source!I298</f>
        <v>12</v>
      </c>
      <c r="F508" s="21"/>
      <c r="G508" s="20"/>
      <c r="H508" s="18"/>
      <c r="I508" s="22"/>
      <c r="J508" s="18"/>
      <c r="K508" s="22"/>
      <c r="Q508">
        <f>ROUND((Source!DN298/100)*ROUND((ROUND((Source!AF298*Source!AV298*Source!I298),2)),2), 2)</f>
        <v>5925.14</v>
      </c>
      <c r="R508">
        <f>Source!X298</f>
        <v>128125.31</v>
      </c>
      <c r="S508">
        <f>ROUND((Source!DO298/100)*ROUND((ROUND((Source!AF298*Source!AV298*Source!I298),2)),2), 2)</f>
        <v>4073.54</v>
      </c>
      <c r="T508">
        <f>Source!Y298</f>
        <v>77252.03</v>
      </c>
      <c r="U508">
        <f>ROUND((175/100)*ROUND((ROUND((Source!AE298*Source!AV298*Source!I298),2)),2), 2)</f>
        <v>3053.4</v>
      </c>
      <c r="V508">
        <f>ROUND((157/100)*ROUND(ROUND((ROUND((Source!AE298*Source!AV298*Source!I298),2)*Source!BS298),2), 2), 2)</f>
        <v>69688.7</v>
      </c>
    </row>
    <row r="509" spans="1:38" x14ac:dyDescent="0.2">
      <c r="C509" s="23" t="str">
        <f>"Объем: "&amp;Source!I298&amp;"=120/"&amp;"10"</f>
        <v>Объем: 12=120/10</v>
      </c>
    </row>
    <row r="510" spans="1:38" ht="14.25" x14ac:dyDescent="0.2">
      <c r="A510" s="16"/>
      <c r="B510" s="17"/>
      <c r="C510" s="17" t="s">
        <v>1625</v>
      </c>
      <c r="D510" s="19"/>
      <c r="E510" s="18"/>
      <c r="F510" s="21">
        <f>Source!AO298</f>
        <v>1870.31</v>
      </c>
      <c r="G510" s="20" t="str">
        <f>Source!DG298</f>
        <v>*0,33</v>
      </c>
      <c r="H510" s="18">
        <f>Source!AV298</f>
        <v>1</v>
      </c>
      <c r="I510" s="22">
        <f>ROUND((ROUND((Source!AF298*Source!AV298*Source!I298),2)),2)</f>
        <v>7406.43</v>
      </c>
      <c r="J510" s="18">
        <f>IF(Source!BA298&lt;&gt; 0, Source!BA298, 1)</f>
        <v>25.44</v>
      </c>
      <c r="K510" s="22">
        <f>Source!S298</f>
        <v>188419.58</v>
      </c>
      <c r="W510">
        <f>I510</f>
        <v>7406.43</v>
      </c>
    </row>
    <row r="511" spans="1:38" ht="14.25" x14ac:dyDescent="0.2">
      <c r="A511" s="16"/>
      <c r="B511" s="17"/>
      <c r="C511" s="17" t="s">
        <v>1631</v>
      </c>
      <c r="D511" s="19"/>
      <c r="E511" s="18"/>
      <c r="F511" s="21">
        <f>Source!AM298</f>
        <v>511.64</v>
      </c>
      <c r="G511" s="20" t="str">
        <f>Source!DE298</f>
        <v/>
      </c>
      <c r="H511" s="18">
        <f>Source!AV298</f>
        <v>1</v>
      </c>
      <c r="I511" s="22">
        <f>(ROUND((ROUND(((Source!ET298)*Source!AV298*Source!I298),2)),2)+ROUND((ROUND(((Source!AE298-(Source!EU298))*Source!AV298*Source!I298),2)),2))</f>
        <v>6139.68</v>
      </c>
      <c r="J511" s="18">
        <f>IF(Source!BB298&lt;&gt; 0, Source!BB298, 1)</f>
        <v>10.98</v>
      </c>
      <c r="K511" s="22">
        <f>Source!Q298</f>
        <v>67413.69</v>
      </c>
    </row>
    <row r="512" spans="1:38" ht="14.25" x14ac:dyDescent="0.2">
      <c r="A512" s="16"/>
      <c r="B512" s="17"/>
      <c r="C512" s="17" t="s">
        <v>1632</v>
      </c>
      <c r="D512" s="19"/>
      <c r="E512" s="18"/>
      <c r="F512" s="21">
        <f>Source!AN298</f>
        <v>145.4</v>
      </c>
      <c r="G512" s="20" t="str">
        <f>Source!DF298</f>
        <v/>
      </c>
      <c r="H512" s="18">
        <f>Source!AV298</f>
        <v>1</v>
      </c>
      <c r="I512" s="26">
        <f>ROUND((ROUND((Source!AE298*Source!AV298*Source!I298),2)),2)</f>
        <v>1744.8</v>
      </c>
      <c r="J512" s="18">
        <f>IF(Source!BS298&lt;&gt; 0, Source!BS298, 1)</f>
        <v>25.44</v>
      </c>
      <c r="K512" s="26">
        <f>Source!R298</f>
        <v>44387.71</v>
      </c>
      <c r="W512">
        <f>I512</f>
        <v>1744.8</v>
      </c>
    </row>
    <row r="513" spans="1:27" ht="14.25" x14ac:dyDescent="0.2">
      <c r="A513" s="16"/>
      <c r="B513" s="17"/>
      <c r="C513" s="17" t="s">
        <v>1626</v>
      </c>
      <c r="D513" s="19" t="s">
        <v>1627</v>
      </c>
      <c r="E513" s="18">
        <f>Source!DN298</f>
        <v>80</v>
      </c>
      <c r="F513" s="21"/>
      <c r="G513" s="20"/>
      <c r="H513" s="18"/>
      <c r="I513" s="22">
        <f>SUM(Q508:Q512)</f>
        <v>5925.14</v>
      </c>
      <c r="J513" s="18">
        <f>Source!BZ298</f>
        <v>68</v>
      </c>
      <c r="K513" s="22">
        <f>SUM(R508:R512)</f>
        <v>128125.31</v>
      </c>
    </row>
    <row r="514" spans="1:27" ht="14.25" x14ac:dyDescent="0.2">
      <c r="A514" s="16"/>
      <c r="B514" s="17"/>
      <c r="C514" s="17" t="s">
        <v>1628</v>
      </c>
      <c r="D514" s="19" t="s">
        <v>1627</v>
      </c>
      <c r="E514" s="18">
        <f>Source!DO298</f>
        <v>55</v>
      </c>
      <c r="F514" s="21"/>
      <c r="G514" s="20"/>
      <c r="H514" s="18"/>
      <c r="I514" s="22">
        <f>SUM(S508:S513)</f>
        <v>4073.54</v>
      </c>
      <c r="J514" s="18">
        <f>Source!CA298</f>
        <v>41</v>
      </c>
      <c r="K514" s="22">
        <f>SUM(T508:T513)</f>
        <v>77252.03</v>
      </c>
    </row>
    <row r="515" spans="1:27" ht="14.25" x14ac:dyDescent="0.2">
      <c r="A515" s="16"/>
      <c r="B515" s="17"/>
      <c r="C515" s="17" t="s">
        <v>1633</v>
      </c>
      <c r="D515" s="19" t="s">
        <v>1627</v>
      </c>
      <c r="E515" s="18">
        <f>175</f>
        <v>175</v>
      </c>
      <c r="F515" s="21"/>
      <c r="G515" s="20"/>
      <c r="H515" s="18"/>
      <c r="I515" s="22">
        <f>SUM(U508:U514)</f>
        <v>3053.4</v>
      </c>
      <c r="J515" s="18">
        <f>157</f>
        <v>157</v>
      </c>
      <c r="K515" s="22">
        <f>SUM(V508:V514)</f>
        <v>69688.7</v>
      </c>
    </row>
    <row r="516" spans="1:27" ht="14.25" x14ac:dyDescent="0.2">
      <c r="A516" s="16"/>
      <c r="B516" s="17"/>
      <c r="C516" s="17" t="s">
        <v>1629</v>
      </c>
      <c r="D516" s="19" t="s">
        <v>1630</v>
      </c>
      <c r="E516" s="18">
        <f>Source!AQ298</f>
        <v>188.73</v>
      </c>
      <c r="F516" s="21"/>
      <c r="G516" s="20" t="str">
        <f>Source!DI298</f>
        <v>*0,33</v>
      </c>
      <c r="H516" s="18">
        <f>Source!AV298</f>
        <v>1</v>
      </c>
      <c r="I516" s="22">
        <f>Source!U298</f>
        <v>747.37080000000003</v>
      </c>
      <c r="J516" s="18"/>
      <c r="K516" s="22"/>
    </row>
    <row r="517" spans="1:27" ht="15" x14ac:dyDescent="0.25">
      <c r="A517" s="25"/>
      <c r="B517" s="25"/>
      <c r="C517" s="25"/>
      <c r="D517" s="25"/>
      <c r="E517" s="25"/>
      <c r="F517" s="25"/>
      <c r="G517" s="25"/>
      <c r="H517" s="54">
        <f>I510+I511+I513+I514+I515</f>
        <v>26598.190000000002</v>
      </c>
      <c r="I517" s="54"/>
      <c r="J517" s="54">
        <f>K510+K511+K513+K514+K515</f>
        <v>530899.30999999994</v>
      </c>
      <c r="K517" s="54"/>
      <c r="O517" s="24">
        <f>I510+I511+I513+I514+I515</f>
        <v>26598.190000000002</v>
      </c>
      <c r="P517" s="24">
        <f>K510+K511+K513+K514+K515</f>
        <v>530899.30999999994</v>
      </c>
      <c r="X517">
        <f>IF(Source!BI298&lt;=1,I510+I511+I513+I514+I515-0, 0)</f>
        <v>26598.190000000002</v>
      </c>
      <c r="Y517">
        <f>IF(Source!BI298=2,I510+I511+I513+I514+I515-0, 0)</f>
        <v>0</v>
      </c>
      <c r="Z517">
        <f>IF(Source!BI298=3,I510+I511+I513+I514+I515-0, 0)</f>
        <v>0</v>
      </c>
      <c r="AA517">
        <f>IF(Source!BI298=4,I510+I511+I513+I514+I515,0)</f>
        <v>0</v>
      </c>
    </row>
    <row r="518" spans="1:27" ht="42.75" x14ac:dyDescent="0.2">
      <c r="A518" s="16" t="str">
        <f>Source!E299</f>
        <v>60</v>
      </c>
      <c r="B518" s="17" t="str">
        <f>Source!F299</f>
        <v>6.68-51-5</v>
      </c>
      <c r="C518" s="17" t="s">
        <v>447</v>
      </c>
      <c r="D518" s="19" t="str">
        <f>Source!H299</f>
        <v>100 м3 конструкций</v>
      </c>
      <c r="E518" s="18">
        <f>Source!I299</f>
        <v>0.12</v>
      </c>
      <c r="F518" s="21"/>
      <c r="G518" s="20"/>
      <c r="H518" s="18"/>
      <c r="I518" s="22"/>
      <c r="J518" s="18"/>
      <c r="K518" s="22"/>
      <c r="Q518">
        <f>ROUND((Source!DN299/100)*ROUND((ROUND((Source!AF299*Source!AV299*Source!I299),2)),2), 2)</f>
        <v>59.97</v>
      </c>
      <c r="R518">
        <f>Source!X299</f>
        <v>1296.75</v>
      </c>
      <c r="S518">
        <f>ROUND((Source!DO299/100)*ROUND((ROUND((Source!AF299*Source!AV299*Source!I299),2)),2), 2)</f>
        <v>41.23</v>
      </c>
      <c r="T518">
        <f>Source!Y299</f>
        <v>781.86</v>
      </c>
      <c r="U518">
        <f>ROUND((175/100)*ROUND((ROUND((Source!AE299*Source!AV299*Source!I299),2)),2), 2)</f>
        <v>39.799999999999997</v>
      </c>
      <c r="V518">
        <f>ROUND((157/100)*ROUND(ROUND((ROUND((Source!AE299*Source!AV299*Source!I299),2)*Source!BS299),2), 2), 2)</f>
        <v>908.26</v>
      </c>
    </row>
    <row r="519" spans="1:27" x14ac:dyDescent="0.2">
      <c r="C519" s="23" t="str">
        <f>"Объем: "&amp;Source!I299&amp;"=12/"&amp;"100"</f>
        <v>Объем: 0,12=12/100</v>
      </c>
    </row>
    <row r="520" spans="1:27" ht="14.25" x14ac:dyDescent="0.2">
      <c r="A520" s="16"/>
      <c r="B520" s="17"/>
      <c r="C520" s="17" t="s">
        <v>1625</v>
      </c>
      <c r="D520" s="19"/>
      <c r="E520" s="18"/>
      <c r="F520" s="21">
        <f>Source!AO299</f>
        <v>624.69000000000005</v>
      </c>
      <c r="G520" s="20" t="str">
        <f>Source!DG299</f>
        <v/>
      </c>
      <c r="H520" s="18">
        <f>Source!AV299</f>
        <v>1</v>
      </c>
      <c r="I520" s="22">
        <f>ROUND((ROUND((Source!AF299*Source!AV299*Source!I299),2)),2)</f>
        <v>74.959999999999994</v>
      </c>
      <c r="J520" s="18">
        <f>IF(Source!BA299&lt;&gt; 0, Source!BA299, 1)</f>
        <v>25.44</v>
      </c>
      <c r="K520" s="22">
        <f>Source!S299</f>
        <v>1906.98</v>
      </c>
      <c r="W520">
        <f>I520</f>
        <v>74.959999999999994</v>
      </c>
    </row>
    <row r="521" spans="1:27" ht="14.25" x14ac:dyDescent="0.2">
      <c r="A521" s="16"/>
      <c r="B521" s="17"/>
      <c r="C521" s="17" t="s">
        <v>1631</v>
      </c>
      <c r="D521" s="19"/>
      <c r="E521" s="18"/>
      <c r="F521" s="21">
        <f>Source!AM299</f>
        <v>2205.7199999999998</v>
      </c>
      <c r="G521" s="20" t="str">
        <f>Source!DE299</f>
        <v/>
      </c>
      <c r="H521" s="18">
        <f>Source!AV299</f>
        <v>1</v>
      </c>
      <c r="I521" s="22">
        <f>(ROUND((ROUND(((Source!ET299)*Source!AV299*Source!I299),2)),2)+ROUND((ROUND(((Source!AE299-(Source!EU299))*Source!AV299*Source!I299),2)),2))</f>
        <v>264.69</v>
      </c>
      <c r="J521" s="18">
        <f>IF(Source!BB299&lt;&gt; 0, Source!BB299, 1)</f>
        <v>8.1999999999999993</v>
      </c>
      <c r="K521" s="22">
        <f>Source!Q299</f>
        <v>2170.46</v>
      </c>
    </row>
    <row r="522" spans="1:27" ht="14.25" x14ac:dyDescent="0.2">
      <c r="A522" s="16"/>
      <c r="B522" s="17"/>
      <c r="C522" s="17" t="s">
        <v>1632</v>
      </c>
      <c r="D522" s="19"/>
      <c r="E522" s="18"/>
      <c r="F522" s="21">
        <f>Source!AN299</f>
        <v>189.47</v>
      </c>
      <c r="G522" s="20" t="str">
        <f>Source!DF299</f>
        <v/>
      </c>
      <c r="H522" s="18">
        <f>Source!AV299</f>
        <v>1</v>
      </c>
      <c r="I522" s="26">
        <f>ROUND((ROUND((Source!AE299*Source!AV299*Source!I299),2)),2)</f>
        <v>22.74</v>
      </c>
      <c r="J522" s="18">
        <f>IF(Source!BS299&lt;&gt; 0, Source!BS299, 1)</f>
        <v>25.44</v>
      </c>
      <c r="K522" s="26">
        <f>Source!R299</f>
        <v>578.51</v>
      </c>
      <c r="W522">
        <f>I522</f>
        <v>22.74</v>
      </c>
    </row>
    <row r="523" spans="1:27" ht="14.25" x14ac:dyDescent="0.2">
      <c r="A523" s="16"/>
      <c r="B523" s="17"/>
      <c r="C523" s="17" t="s">
        <v>1626</v>
      </c>
      <c r="D523" s="19" t="s">
        <v>1627</v>
      </c>
      <c r="E523" s="18">
        <f>Source!DN299</f>
        <v>80</v>
      </c>
      <c r="F523" s="21"/>
      <c r="G523" s="20"/>
      <c r="H523" s="18"/>
      <c r="I523" s="22">
        <f>SUM(Q518:Q522)</f>
        <v>59.97</v>
      </c>
      <c r="J523" s="18">
        <f>Source!BZ299</f>
        <v>68</v>
      </c>
      <c r="K523" s="22">
        <f>SUM(R518:R522)</f>
        <v>1296.75</v>
      </c>
    </row>
    <row r="524" spans="1:27" ht="14.25" x14ac:dyDescent="0.2">
      <c r="A524" s="16"/>
      <c r="B524" s="17"/>
      <c r="C524" s="17" t="s">
        <v>1628</v>
      </c>
      <c r="D524" s="19" t="s">
        <v>1627</v>
      </c>
      <c r="E524" s="18">
        <f>Source!DO299</f>
        <v>55</v>
      </c>
      <c r="F524" s="21"/>
      <c r="G524" s="20"/>
      <c r="H524" s="18"/>
      <c r="I524" s="22">
        <f>SUM(S518:S523)</f>
        <v>41.23</v>
      </c>
      <c r="J524" s="18">
        <f>Source!CA299</f>
        <v>41</v>
      </c>
      <c r="K524" s="22">
        <f>SUM(T518:T523)</f>
        <v>781.86</v>
      </c>
    </row>
    <row r="525" spans="1:27" ht="14.25" x14ac:dyDescent="0.2">
      <c r="A525" s="16"/>
      <c r="B525" s="17"/>
      <c r="C525" s="17" t="s">
        <v>1633</v>
      </c>
      <c r="D525" s="19" t="s">
        <v>1627</v>
      </c>
      <c r="E525" s="18">
        <f>175</f>
        <v>175</v>
      </c>
      <c r="F525" s="21"/>
      <c r="G525" s="20"/>
      <c r="H525" s="18"/>
      <c r="I525" s="22">
        <f>SUM(U518:U524)</f>
        <v>39.799999999999997</v>
      </c>
      <c r="J525" s="18">
        <f>157</f>
        <v>157</v>
      </c>
      <c r="K525" s="22">
        <f>SUM(V518:V524)</f>
        <v>908.26</v>
      </c>
    </row>
    <row r="526" spans="1:27" ht="14.25" x14ac:dyDescent="0.2">
      <c r="A526" s="16"/>
      <c r="B526" s="17"/>
      <c r="C526" s="17" t="s">
        <v>1629</v>
      </c>
      <c r="D526" s="19" t="s">
        <v>1630</v>
      </c>
      <c r="E526" s="18">
        <f>Source!AQ299</f>
        <v>49.5</v>
      </c>
      <c r="F526" s="21"/>
      <c r="G526" s="20" t="str">
        <f>Source!DI299</f>
        <v/>
      </c>
      <c r="H526" s="18">
        <f>Source!AV299</f>
        <v>1</v>
      </c>
      <c r="I526" s="22">
        <f>Source!U299</f>
        <v>5.9399999999999995</v>
      </c>
      <c r="J526" s="18"/>
      <c r="K526" s="22"/>
    </row>
    <row r="527" spans="1:27" ht="15" x14ac:dyDescent="0.25">
      <c r="A527" s="25"/>
      <c r="B527" s="25"/>
      <c r="C527" s="25"/>
      <c r="D527" s="25"/>
      <c r="E527" s="25"/>
      <c r="F527" s="25"/>
      <c r="G527" s="25"/>
      <c r="H527" s="54">
        <f>I520+I521+I523+I524+I525</f>
        <v>480.65000000000003</v>
      </c>
      <c r="I527" s="54"/>
      <c r="J527" s="54">
        <f>K520+K521+K523+K524+K525</f>
        <v>7064.31</v>
      </c>
      <c r="K527" s="54"/>
      <c r="O527" s="24">
        <f>I520+I521+I523+I524+I525</f>
        <v>480.65000000000003</v>
      </c>
      <c r="P527" s="24">
        <f>K520+K521+K523+K524+K525</f>
        <v>7064.31</v>
      </c>
      <c r="X527">
        <f>IF(Source!BI299&lt;=1,I520+I521+I523+I524+I525-0, 0)</f>
        <v>480.65000000000003</v>
      </c>
      <c r="Y527">
        <f>IF(Source!BI299=2,I520+I521+I523+I524+I525-0, 0)</f>
        <v>0</v>
      </c>
      <c r="Z527">
        <f>IF(Source!BI299=3,I520+I521+I523+I524+I525-0, 0)</f>
        <v>0</v>
      </c>
      <c r="AA527">
        <f>IF(Source!BI299=4,I520+I521+I523+I524+I525,0)</f>
        <v>0</v>
      </c>
    </row>
    <row r="528" spans="1:27" ht="71.25" x14ac:dyDescent="0.2">
      <c r="A528" s="16" t="str">
        <f>Source!E300</f>
        <v>61</v>
      </c>
      <c r="B528" s="17" t="str">
        <f>Source!F300</f>
        <v>3.1-81-1</v>
      </c>
      <c r="C528" s="17" t="s">
        <v>449</v>
      </c>
      <c r="D528" s="19" t="str">
        <f>Source!H300</f>
        <v>100 м2 спланированного покрытия</v>
      </c>
      <c r="E528" s="18">
        <f>Source!I300</f>
        <v>0.27</v>
      </c>
      <c r="F528" s="21"/>
      <c r="G528" s="20"/>
      <c r="H528" s="18"/>
      <c r="I528" s="22"/>
      <c r="J528" s="18"/>
      <c r="K528" s="22"/>
      <c r="Q528">
        <f>ROUND((Source!DN300/100)*ROUND((ROUND((Source!AF300*Source!AV300*Source!I300),2)),2), 2)</f>
        <v>0</v>
      </c>
      <c r="R528">
        <f>Source!X300</f>
        <v>0</v>
      </c>
      <c r="S528">
        <f>ROUND((Source!DO300/100)*ROUND((ROUND((Source!AF300*Source!AV300*Source!I300),2)),2), 2)</f>
        <v>0</v>
      </c>
      <c r="T528">
        <f>Source!Y300</f>
        <v>0</v>
      </c>
      <c r="U528">
        <f>ROUND((175/100)*ROUND((ROUND((Source!AE300*Source!AV300*Source!I300),2)),2), 2)</f>
        <v>5.53</v>
      </c>
      <c r="V528">
        <f>ROUND((157/100)*ROUND(ROUND((ROUND((Source!AE300*Source!AV300*Source!I300),2)*Source!BS300),2), 2), 2)</f>
        <v>126.21</v>
      </c>
    </row>
    <row r="529" spans="1:27" x14ac:dyDescent="0.2">
      <c r="C529" s="23" t="str">
        <f>"Объем: "&amp;Source!I300&amp;"=27/"&amp;"100"</f>
        <v>Объем: 0,27=27/100</v>
      </c>
    </row>
    <row r="530" spans="1:27" ht="14.25" x14ac:dyDescent="0.2">
      <c r="A530" s="16"/>
      <c r="B530" s="17"/>
      <c r="C530" s="17" t="s">
        <v>1631</v>
      </c>
      <c r="D530" s="19"/>
      <c r="E530" s="18"/>
      <c r="F530" s="21">
        <f>Source!AM300</f>
        <v>60.01</v>
      </c>
      <c r="G530" s="20" t="str">
        <f>Source!DE300</f>
        <v/>
      </c>
      <c r="H530" s="18">
        <f>Source!AV300</f>
        <v>1</v>
      </c>
      <c r="I530" s="22">
        <f>(ROUND((ROUND(((Source!ET300)*Source!AV300*Source!I300),2)),2)+ROUND((ROUND(((Source!AE300-(Source!EU300))*Source!AV300*Source!I300),2)),2))</f>
        <v>16.2</v>
      </c>
      <c r="J530" s="18">
        <f>IF(Source!BB300&lt;&gt; 0, Source!BB300, 1)</f>
        <v>9.3800000000000008</v>
      </c>
      <c r="K530" s="22">
        <f>Source!Q300</f>
        <v>151.96</v>
      </c>
    </row>
    <row r="531" spans="1:27" ht="14.25" x14ac:dyDescent="0.2">
      <c r="A531" s="16"/>
      <c r="B531" s="17"/>
      <c r="C531" s="17" t="s">
        <v>1632</v>
      </c>
      <c r="D531" s="19"/>
      <c r="E531" s="18"/>
      <c r="F531" s="21">
        <f>Source!AN300</f>
        <v>11.7</v>
      </c>
      <c r="G531" s="20" t="str">
        <f>Source!DF300</f>
        <v/>
      </c>
      <c r="H531" s="18">
        <f>Source!AV300</f>
        <v>1</v>
      </c>
      <c r="I531" s="26">
        <f>ROUND((ROUND((Source!AE300*Source!AV300*Source!I300),2)),2)</f>
        <v>3.16</v>
      </c>
      <c r="J531" s="18">
        <f>IF(Source!BS300&lt;&gt; 0, Source!BS300, 1)</f>
        <v>25.44</v>
      </c>
      <c r="K531" s="26">
        <f>Source!R300</f>
        <v>80.39</v>
      </c>
      <c r="W531">
        <f>I531</f>
        <v>3.16</v>
      </c>
    </row>
    <row r="532" spans="1:27" ht="14.25" x14ac:dyDescent="0.2">
      <c r="A532" s="16"/>
      <c r="B532" s="17"/>
      <c r="C532" s="17" t="s">
        <v>1633</v>
      </c>
      <c r="D532" s="19" t="s">
        <v>1627</v>
      </c>
      <c r="E532" s="18">
        <f>175</f>
        <v>175</v>
      </c>
      <c r="F532" s="21"/>
      <c r="G532" s="20"/>
      <c r="H532" s="18"/>
      <c r="I532" s="22">
        <f>SUM(U528:U531)</f>
        <v>5.53</v>
      </c>
      <c r="J532" s="18">
        <f>157</f>
        <v>157</v>
      </c>
      <c r="K532" s="22">
        <f>SUM(V528:V531)</f>
        <v>126.21</v>
      </c>
    </row>
    <row r="533" spans="1:27" ht="15" x14ac:dyDescent="0.25">
      <c r="A533" s="25"/>
      <c r="B533" s="25"/>
      <c r="C533" s="25"/>
      <c r="D533" s="25"/>
      <c r="E533" s="25"/>
      <c r="F533" s="25"/>
      <c r="G533" s="25"/>
      <c r="H533" s="54">
        <f>I530+I532</f>
        <v>21.73</v>
      </c>
      <c r="I533" s="54"/>
      <c r="J533" s="54">
        <f>K530+K532</f>
        <v>278.17</v>
      </c>
      <c r="K533" s="54"/>
      <c r="O533" s="24">
        <f>I530+I532</f>
        <v>21.73</v>
      </c>
      <c r="P533" s="24">
        <f>K530+K532</f>
        <v>278.17</v>
      </c>
      <c r="X533">
        <f>IF(Source!BI300&lt;=1,I530+I532-0, 0)</f>
        <v>21.73</v>
      </c>
      <c r="Y533">
        <f>IF(Source!BI300=2,I530+I532-0, 0)</f>
        <v>0</v>
      </c>
      <c r="Z533">
        <f>IF(Source!BI300=3,I530+I532-0, 0)</f>
        <v>0</v>
      </c>
      <c r="AA533">
        <f>IF(Source!BI300=4,I530+I532,0)</f>
        <v>0</v>
      </c>
    </row>
    <row r="534" spans="1:27" ht="57" x14ac:dyDescent="0.2">
      <c r="A534" s="16" t="str">
        <f>Source!E301</f>
        <v>62</v>
      </c>
      <c r="B534" s="17" t="str">
        <f>Source!F301</f>
        <v>6.68-13-1</v>
      </c>
      <c r="C534" s="17" t="s">
        <v>451</v>
      </c>
      <c r="D534" s="19" t="str">
        <f>Source!H301</f>
        <v>1 Т</v>
      </c>
      <c r="E534" s="18">
        <f>Source!I301</f>
        <v>298.84800000000001</v>
      </c>
      <c r="F534" s="21"/>
      <c r="G534" s="20"/>
      <c r="H534" s="18"/>
      <c r="I534" s="22"/>
      <c r="J534" s="18"/>
      <c r="K534" s="22"/>
      <c r="Q534">
        <f>ROUND((Source!DN301/100)*ROUND((ROUND((Source!AF301*Source!AV301*Source!I301),2)),2), 2)</f>
        <v>0</v>
      </c>
      <c r="R534">
        <f>Source!X301</f>
        <v>0</v>
      </c>
      <c r="S534">
        <f>ROUND((Source!DO301/100)*ROUND((ROUND((Source!AF301*Source!AV301*Source!I301),2)),2), 2)</f>
        <v>0</v>
      </c>
      <c r="T534">
        <f>Source!Y301</f>
        <v>0</v>
      </c>
      <c r="U534">
        <f>ROUND((175/100)*ROUND((ROUND((Source!AE301*Source!AV301*Source!I301),2)),2), 2)</f>
        <v>774.03</v>
      </c>
      <c r="V534">
        <f>ROUND((157/100)*ROUND(ROUND((ROUND((Source!AE301*Source!AV301*Source!I301),2)*Source!BS301),2), 2), 2)</f>
        <v>17665.810000000001</v>
      </c>
    </row>
    <row r="535" spans="1:27" ht="14.25" x14ac:dyDescent="0.2">
      <c r="A535" s="16"/>
      <c r="B535" s="17"/>
      <c r="C535" s="17" t="s">
        <v>1631</v>
      </c>
      <c r="D535" s="19"/>
      <c r="E535" s="18"/>
      <c r="F535" s="21">
        <f>Source!AM301</f>
        <v>8.86</v>
      </c>
      <c r="G535" s="20" t="str">
        <f>Source!DE301</f>
        <v/>
      </c>
      <c r="H535" s="18">
        <f>Source!AV301</f>
        <v>1</v>
      </c>
      <c r="I535" s="22">
        <f>(ROUND((ROUND(((Source!ET301)*Source!AV301*Source!I301),2)),2)+ROUND((ROUND(((Source!AE301-(Source!EU301))*Source!AV301*Source!I301),2)),2))</f>
        <v>2647.79</v>
      </c>
      <c r="J535" s="18">
        <f>IF(Source!BB301&lt;&gt; 0, Source!BB301, 1)</f>
        <v>9.1199999999999992</v>
      </c>
      <c r="K535" s="22">
        <f>Source!Q301</f>
        <v>24147.84</v>
      </c>
    </row>
    <row r="536" spans="1:27" ht="14.25" x14ac:dyDescent="0.2">
      <c r="A536" s="16"/>
      <c r="B536" s="17"/>
      <c r="C536" s="17" t="s">
        <v>1632</v>
      </c>
      <c r="D536" s="19"/>
      <c r="E536" s="18"/>
      <c r="F536" s="21">
        <f>Source!AN301</f>
        <v>1.48</v>
      </c>
      <c r="G536" s="20" t="str">
        <f>Source!DF301</f>
        <v/>
      </c>
      <c r="H536" s="18">
        <f>Source!AV301</f>
        <v>1</v>
      </c>
      <c r="I536" s="26">
        <f>ROUND((ROUND((Source!AE301*Source!AV301*Source!I301),2)),2)</f>
        <v>442.3</v>
      </c>
      <c r="J536" s="18">
        <f>IF(Source!BS301&lt;&gt; 0, Source!BS301, 1)</f>
        <v>25.44</v>
      </c>
      <c r="K536" s="26">
        <f>Source!R301</f>
        <v>11252.11</v>
      </c>
      <c r="W536">
        <f>I536</f>
        <v>442.3</v>
      </c>
    </row>
    <row r="537" spans="1:27" ht="14.25" x14ac:dyDescent="0.2">
      <c r="A537" s="16"/>
      <c r="B537" s="17"/>
      <c r="C537" s="17" t="s">
        <v>1633</v>
      </c>
      <c r="D537" s="19" t="s">
        <v>1627</v>
      </c>
      <c r="E537" s="18">
        <f>175</f>
        <v>175</v>
      </c>
      <c r="F537" s="21"/>
      <c r="G537" s="20"/>
      <c r="H537" s="18"/>
      <c r="I537" s="22">
        <f>SUM(U534:U536)</f>
        <v>774.03</v>
      </c>
      <c r="J537" s="18">
        <f>157</f>
        <v>157</v>
      </c>
      <c r="K537" s="22">
        <f>SUM(V534:V536)</f>
        <v>17665.810000000001</v>
      </c>
    </row>
    <row r="538" spans="1:27" ht="15" x14ac:dyDescent="0.25">
      <c r="A538" s="25"/>
      <c r="B538" s="25"/>
      <c r="C538" s="25"/>
      <c r="D538" s="25"/>
      <c r="E538" s="25"/>
      <c r="F538" s="25"/>
      <c r="G538" s="25"/>
      <c r="H538" s="54">
        <f>I535+I537</f>
        <v>3421.8199999999997</v>
      </c>
      <c r="I538" s="54"/>
      <c r="J538" s="54">
        <f>K535+K537</f>
        <v>41813.65</v>
      </c>
      <c r="K538" s="54"/>
      <c r="O538" s="24">
        <f>I535+I537</f>
        <v>3421.8199999999997</v>
      </c>
      <c r="P538" s="24">
        <f>K535+K537</f>
        <v>41813.65</v>
      </c>
      <c r="X538">
        <f>IF(Source!BI301&lt;=1,I535+I537-0, 0)</f>
        <v>3421.8199999999997</v>
      </c>
      <c r="Y538">
        <f>IF(Source!BI301=2,I535+I537-0, 0)</f>
        <v>0</v>
      </c>
      <c r="Z538">
        <f>IF(Source!BI301=3,I535+I537-0, 0)</f>
        <v>0</v>
      </c>
      <c r="AA538">
        <f>IF(Source!BI301=4,I535+I537,0)</f>
        <v>0</v>
      </c>
    </row>
    <row r="539" spans="1:27" ht="42.75" x14ac:dyDescent="0.2">
      <c r="A539" s="16" t="str">
        <f>Source!E302</f>
        <v>63</v>
      </c>
      <c r="B539" s="17" t="str">
        <f>Source!F302</f>
        <v>15.2-43-10</v>
      </c>
      <c r="C539" s="17" t="s">
        <v>188</v>
      </c>
      <c r="D539" s="19" t="str">
        <f>Source!H302</f>
        <v>т</v>
      </c>
      <c r="E539" s="18">
        <f>Source!I302</f>
        <v>298.84800000000001</v>
      </c>
      <c r="F539" s="21"/>
      <c r="G539" s="20"/>
      <c r="H539" s="18"/>
      <c r="I539" s="22"/>
      <c r="J539" s="18"/>
      <c r="K539" s="22"/>
      <c r="Q539">
        <f>ROUND((Source!DN302/100)*ROUND((ROUND((Source!AF302*Source!AV302*Source!I302),2)),2), 2)</f>
        <v>0</v>
      </c>
      <c r="R539">
        <f>Source!X302</f>
        <v>0</v>
      </c>
      <c r="S539">
        <f>ROUND((Source!DO302/100)*ROUND((ROUND((Source!AF302*Source!AV302*Source!I302),2)),2), 2)</f>
        <v>0</v>
      </c>
      <c r="T539">
        <f>Source!Y302</f>
        <v>0</v>
      </c>
      <c r="U539">
        <f>ROUND((175/100)*ROUND((ROUND((Source!AE302*Source!AV302*Source!I302),2)),2), 2)</f>
        <v>0</v>
      </c>
      <c r="V539">
        <f>ROUND((157/100)*ROUND(ROUND((ROUND((Source!AE302*Source!AV302*Source!I302),2)*Source!BS302),2), 2), 2)</f>
        <v>0</v>
      </c>
    </row>
    <row r="540" spans="1:27" ht="14.25" x14ac:dyDescent="0.2">
      <c r="A540" s="16"/>
      <c r="B540" s="17"/>
      <c r="C540" s="17" t="s">
        <v>1631</v>
      </c>
      <c r="D540" s="19"/>
      <c r="E540" s="18"/>
      <c r="F540" s="21">
        <f>Source!AM302</f>
        <v>38.92</v>
      </c>
      <c r="G540" s="20" t="str">
        <f>Source!DE302</f>
        <v/>
      </c>
      <c r="H540" s="18">
        <f>Source!AV302</f>
        <v>1</v>
      </c>
      <c r="I540" s="22">
        <f>(ROUND((ROUND(((Source!ET302)*Source!AV302*Source!I302),2)),2)+ROUND((ROUND(((Source!AE302-(Source!EU302))*Source!AV302*Source!I302),2)),2))</f>
        <v>11631.16</v>
      </c>
      <c r="J540" s="18">
        <f>IF(Source!BB302&lt;&gt; 0, Source!BB302, 1)</f>
        <v>11.64</v>
      </c>
      <c r="K540" s="22">
        <f>Source!Q302</f>
        <v>135386.70000000001</v>
      </c>
    </row>
    <row r="541" spans="1:27" ht="15" x14ac:dyDescent="0.25">
      <c r="A541" s="25"/>
      <c r="B541" s="25"/>
      <c r="C541" s="25"/>
      <c r="D541" s="25"/>
      <c r="E541" s="25"/>
      <c r="F541" s="25"/>
      <c r="G541" s="25"/>
      <c r="H541" s="54">
        <f>I540</f>
        <v>11631.16</v>
      </c>
      <c r="I541" s="54"/>
      <c r="J541" s="54">
        <f>K540</f>
        <v>135386.70000000001</v>
      </c>
      <c r="K541" s="54"/>
      <c r="O541" s="24">
        <f>I540</f>
        <v>11631.16</v>
      </c>
      <c r="P541" s="24">
        <f>K540</f>
        <v>135386.70000000001</v>
      </c>
      <c r="X541">
        <f>IF(Source!BI302&lt;=1,I540-0, 0)</f>
        <v>0</v>
      </c>
      <c r="Y541">
        <f>IF(Source!BI302=2,I540-0, 0)</f>
        <v>0</v>
      </c>
      <c r="Z541">
        <f>IF(Source!BI302=3,I540-0, 0)</f>
        <v>0</v>
      </c>
      <c r="AA541">
        <f>IF(Source!BI302=4,I540,0)</f>
        <v>11631.16</v>
      </c>
    </row>
    <row r="542" spans="1:27" ht="57" x14ac:dyDescent="0.2">
      <c r="A542" s="16" t="str">
        <f>Source!E303</f>
        <v>64</v>
      </c>
      <c r="B542" s="17" t="str">
        <f>Source!F303</f>
        <v>15.1-1200-01</v>
      </c>
      <c r="C542" s="17" t="s">
        <v>320</v>
      </c>
      <c r="D542" s="19" t="str">
        <f>Source!H303</f>
        <v>1 Т</v>
      </c>
      <c r="E542" s="18">
        <f>Source!I303</f>
        <v>298.84800000000001</v>
      </c>
      <c r="F542" s="21"/>
      <c r="G542" s="20"/>
      <c r="H542" s="18"/>
      <c r="I542" s="22"/>
      <c r="J542" s="18"/>
      <c r="K542" s="22"/>
      <c r="Q542">
        <f>ROUND((Source!DN303/100)*ROUND((ROUND((Source!AF303*Source!AV303*Source!I303),2)),2), 2)</f>
        <v>0</v>
      </c>
      <c r="R542">
        <f>Source!X303</f>
        <v>0</v>
      </c>
      <c r="S542">
        <f>ROUND((Source!DO303/100)*ROUND((ROUND((Source!AF303*Source!AV303*Source!I303),2)),2), 2)</f>
        <v>0</v>
      </c>
      <c r="T542">
        <f>Source!Y303</f>
        <v>0</v>
      </c>
      <c r="U542">
        <f>ROUND((175/100)*ROUND((ROUND((Source!AE303*Source!AV303*Source!I303),2)),2), 2)</f>
        <v>0</v>
      </c>
      <c r="V542">
        <f>ROUND((157/100)*ROUND(ROUND((ROUND((Source!AE303*Source!AV303*Source!I303),2)*Source!BS303),2), 2), 2)</f>
        <v>0</v>
      </c>
    </row>
    <row r="543" spans="1:27" ht="14.25" x14ac:dyDescent="0.2">
      <c r="A543" s="16"/>
      <c r="B543" s="17"/>
      <c r="C543" s="17" t="s">
        <v>1631</v>
      </c>
      <c r="D543" s="19"/>
      <c r="E543" s="18"/>
      <c r="F543" s="21">
        <f>Source!AM303</f>
        <v>21.71</v>
      </c>
      <c r="G543" s="20" t="str">
        <f>Source!DE303</f>
        <v/>
      </c>
      <c r="H543" s="18">
        <f>Source!AV303</f>
        <v>1</v>
      </c>
      <c r="I543" s="22">
        <f>(ROUND((ROUND(((Source!ET303)*Source!AV303*Source!I303),2)),2)+ROUND((ROUND(((Source!AE303-(Source!EU303))*Source!AV303*Source!I303),2)),2))</f>
        <v>6487.99</v>
      </c>
      <c r="J543" s="18">
        <f>IF(Source!BB303&lt;&gt; 0, Source!BB303, 1)</f>
        <v>7.63</v>
      </c>
      <c r="K543" s="22">
        <f>Source!Q303</f>
        <v>49503.360000000001</v>
      </c>
    </row>
    <row r="544" spans="1:27" ht="15" x14ac:dyDescent="0.25">
      <c r="A544" s="25"/>
      <c r="B544" s="25"/>
      <c r="C544" s="25"/>
      <c r="D544" s="25"/>
      <c r="E544" s="25"/>
      <c r="F544" s="25"/>
      <c r="G544" s="25"/>
      <c r="H544" s="54">
        <f>I543</f>
        <v>6487.99</v>
      </c>
      <c r="I544" s="54"/>
      <c r="J544" s="54">
        <f>K543</f>
        <v>49503.360000000001</v>
      </c>
      <c r="K544" s="54"/>
      <c r="O544" s="24">
        <f>I543</f>
        <v>6487.99</v>
      </c>
      <c r="P544" s="24">
        <f>K543</f>
        <v>49503.360000000001</v>
      </c>
      <c r="X544">
        <f>IF(Source!BI303&lt;=1,I543-0, 0)</f>
        <v>0</v>
      </c>
      <c r="Y544">
        <f>IF(Source!BI303=2,I543-0, 0)</f>
        <v>0</v>
      </c>
      <c r="Z544">
        <f>IF(Source!BI303=3,I543-0, 0)</f>
        <v>0</v>
      </c>
      <c r="AA544">
        <f>IF(Source!BI303=4,I543,0)</f>
        <v>6487.99</v>
      </c>
    </row>
    <row r="546" spans="1:38" ht="30" x14ac:dyDescent="0.25">
      <c r="A546" s="53" t="str">
        <f>CONCATENATE("Итого по разделу: ",IF(Source!G305&lt;&gt;"Новый раздел", Source!G305, ""))</f>
        <v>Итого по разделу: Демонтаж подпорной стены из бутового камня 118 кв.м (каменная кладка и ж/б стена)</v>
      </c>
      <c r="B546" s="53"/>
      <c r="C546" s="53"/>
      <c r="D546" s="53"/>
      <c r="E546" s="53"/>
      <c r="F546" s="53"/>
      <c r="G546" s="53"/>
      <c r="H546" s="51">
        <f>SUM(O507:O545)</f>
        <v>48641.54</v>
      </c>
      <c r="I546" s="52"/>
      <c r="J546" s="51">
        <f>SUM(P507:P545)</f>
        <v>764945.50000000012</v>
      </c>
      <c r="K546" s="52"/>
      <c r="AL546" s="30" t="str">
        <f>CONCATENATE("Итого по разделу: ",IF(Source!G305&lt;&gt;"Новый раздел", Source!G305, ""))</f>
        <v>Итого по разделу: Демонтаж подпорной стены из бутового камня 118 кв.м (каменная кладка и ж/б стена)</v>
      </c>
    </row>
    <row r="547" spans="1:38" hidden="1" x14ac:dyDescent="0.2">
      <c r="A547" t="s">
        <v>1641</v>
      </c>
      <c r="H547">
        <f>SUM(AC507:AC546)</f>
        <v>0</v>
      </c>
      <c r="J547">
        <f>SUM(AD507:AD546)</f>
        <v>0</v>
      </c>
    </row>
    <row r="548" spans="1:38" hidden="1" x14ac:dyDescent="0.2">
      <c r="A548" t="s">
        <v>1642</v>
      </c>
      <c r="H548">
        <f>SUM(AE507:AE547)</f>
        <v>0</v>
      </c>
      <c r="J548">
        <f>SUM(AF507:AF547)</f>
        <v>0</v>
      </c>
    </row>
    <row r="550" spans="1:38" ht="16.5" x14ac:dyDescent="0.25">
      <c r="A550" s="56" t="str">
        <f>CONCATENATE("Раздел: ",IF(Source!G335&lt;&gt;"Новый раздел", Source!G335, ""))</f>
        <v>Раздел: Ремонт бетонных конструкций</v>
      </c>
      <c r="B550" s="56"/>
      <c r="C550" s="56"/>
      <c r="D550" s="56"/>
      <c r="E550" s="56"/>
      <c r="F550" s="56"/>
      <c r="G550" s="56"/>
      <c r="H550" s="56"/>
      <c r="I550" s="56"/>
      <c r="J550" s="56"/>
      <c r="K550" s="56"/>
    </row>
    <row r="551" spans="1:38" ht="42.75" x14ac:dyDescent="0.2">
      <c r="A551" s="16" t="str">
        <f>Source!E339</f>
        <v>65</v>
      </c>
      <c r="B551" s="17" t="str">
        <f>Source!F339</f>
        <v>6.61-26-1</v>
      </c>
      <c r="C551" s="17" t="s">
        <v>457</v>
      </c>
      <c r="D551" s="19" t="str">
        <f>Source!H339</f>
        <v>100 м2</v>
      </c>
      <c r="E551" s="18">
        <f>Source!I339</f>
        <v>0.27</v>
      </c>
      <c r="F551" s="21"/>
      <c r="G551" s="20"/>
      <c r="H551" s="18"/>
      <c r="I551" s="22"/>
      <c r="J551" s="18"/>
      <c r="K551" s="22"/>
      <c r="Q551">
        <f>ROUND((Source!DN339/100)*ROUND((ROUND((Source!AF339*Source!AV339*Source!I339),2)),2), 2)</f>
        <v>126.94</v>
      </c>
      <c r="R551">
        <f>Source!X339</f>
        <v>2744.86</v>
      </c>
      <c r="S551">
        <f>ROUND((Source!DO339/100)*ROUND((ROUND((Source!AF339*Source!AV339*Source!I339),2)),2), 2)</f>
        <v>87.27</v>
      </c>
      <c r="T551">
        <f>Source!Y339</f>
        <v>1654.99</v>
      </c>
      <c r="U551">
        <f>ROUND((175/100)*ROUND((ROUND((Source!AE339*Source!AV339*Source!I339),2)),2), 2)</f>
        <v>0</v>
      </c>
      <c r="V551">
        <f>ROUND((157/100)*ROUND(ROUND((ROUND((Source!AE339*Source!AV339*Source!I339),2)*Source!BS339),2), 2), 2)</f>
        <v>0</v>
      </c>
    </row>
    <row r="552" spans="1:38" x14ac:dyDescent="0.2">
      <c r="C552" s="23" t="str">
        <f>"Объем: "&amp;Source!I339&amp;"=27/"&amp;"100"</f>
        <v>Объем: 0,27=27/100</v>
      </c>
    </row>
    <row r="553" spans="1:38" ht="14.25" x14ac:dyDescent="0.2">
      <c r="A553" s="16"/>
      <c r="B553" s="17"/>
      <c r="C553" s="17" t="s">
        <v>1625</v>
      </c>
      <c r="D553" s="19"/>
      <c r="E553" s="18"/>
      <c r="F553" s="21">
        <f>Source!AO339</f>
        <v>587.65</v>
      </c>
      <c r="G553" s="20" t="str">
        <f>Source!DG339</f>
        <v/>
      </c>
      <c r="H553" s="18">
        <f>Source!AV339</f>
        <v>1</v>
      </c>
      <c r="I553" s="22">
        <f>ROUND((ROUND((Source!AF339*Source!AV339*Source!I339),2)),2)</f>
        <v>158.66999999999999</v>
      </c>
      <c r="J553" s="18">
        <f>IF(Source!BA339&lt;&gt; 0, Source!BA339, 1)</f>
        <v>25.44</v>
      </c>
      <c r="K553" s="22">
        <f>Source!S339</f>
        <v>4036.56</v>
      </c>
      <c r="W553">
        <f>I553</f>
        <v>158.66999999999999</v>
      </c>
    </row>
    <row r="554" spans="1:38" ht="14.25" x14ac:dyDescent="0.2">
      <c r="A554" s="16"/>
      <c r="B554" s="17"/>
      <c r="C554" s="17" t="s">
        <v>1626</v>
      </c>
      <c r="D554" s="19" t="s">
        <v>1627</v>
      </c>
      <c r="E554" s="18">
        <f>Source!DN339</f>
        <v>80</v>
      </c>
      <c r="F554" s="21"/>
      <c r="G554" s="20"/>
      <c r="H554" s="18"/>
      <c r="I554" s="22">
        <f>SUM(Q551:Q553)</f>
        <v>126.94</v>
      </c>
      <c r="J554" s="18">
        <f>Source!BZ339</f>
        <v>68</v>
      </c>
      <c r="K554" s="22">
        <f>SUM(R551:R553)</f>
        <v>2744.86</v>
      </c>
    </row>
    <row r="555" spans="1:38" ht="14.25" x14ac:dyDescent="0.2">
      <c r="A555" s="16"/>
      <c r="B555" s="17"/>
      <c r="C555" s="17" t="s">
        <v>1628</v>
      </c>
      <c r="D555" s="19" t="s">
        <v>1627</v>
      </c>
      <c r="E555" s="18">
        <f>Source!DO339</f>
        <v>55</v>
      </c>
      <c r="F555" s="21"/>
      <c r="G555" s="20"/>
      <c r="H555" s="18"/>
      <c r="I555" s="22">
        <f>SUM(S551:S554)</f>
        <v>87.27</v>
      </c>
      <c r="J555" s="18">
        <f>Source!CA339</f>
        <v>41</v>
      </c>
      <c r="K555" s="22">
        <f>SUM(T551:T554)</f>
        <v>1654.99</v>
      </c>
    </row>
    <row r="556" spans="1:38" ht="14.25" x14ac:dyDescent="0.2">
      <c r="A556" s="16"/>
      <c r="B556" s="17"/>
      <c r="C556" s="17" t="s">
        <v>1629</v>
      </c>
      <c r="D556" s="19" t="s">
        <v>1630</v>
      </c>
      <c r="E556" s="18">
        <f>Source!AQ339</f>
        <v>57.5</v>
      </c>
      <c r="F556" s="21"/>
      <c r="G556" s="20" t="str">
        <f>Source!DI339</f>
        <v/>
      </c>
      <c r="H556" s="18">
        <f>Source!AV339</f>
        <v>1</v>
      </c>
      <c r="I556" s="22">
        <f>Source!U339</f>
        <v>15.525</v>
      </c>
      <c r="J556" s="18"/>
      <c r="K556" s="22"/>
    </row>
    <row r="557" spans="1:38" ht="15" x14ac:dyDescent="0.25">
      <c r="A557" s="25"/>
      <c r="B557" s="25"/>
      <c r="C557" s="25"/>
      <c r="D557" s="25"/>
      <c r="E557" s="25"/>
      <c r="F557" s="25"/>
      <c r="G557" s="25"/>
      <c r="H557" s="54">
        <f>I553+I554+I555</f>
        <v>372.88</v>
      </c>
      <c r="I557" s="54"/>
      <c r="J557" s="54">
        <f>K553+K554+K555</f>
        <v>8436.41</v>
      </c>
      <c r="K557" s="54"/>
      <c r="O557" s="24">
        <f>I553+I554+I555</f>
        <v>372.88</v>
      </c>
      <c r="P557" s="24">
        <f>K553+K554+K555</f>
        <v>8436.41</v>
      </c>
      <c r="X557">
        <f>IF(Source!BI339&lt;=1,I553+I554+I555-0, 0)</f>
        <v>372.88</v>
      </c>
      <c r="Y557">
        <f>IF(Source!BI339=2,I553+I554+I555-0, 0)</f>
        <v>0</v>
      </c>
      <c r="Z557">
        <f>IF(Source!BI339=3,I553+I554+I555-0, 0)</f>
        <v>0</v>
      </c>
      <c r="AA557">
        <f>IF(Source!BI339=4,I553+I554+I555,0)</f>
        <v>0</v>
      </c>
    </row>
    <row r="558" spans="1:38" ht="85.5" x14ac:dyDescent="0.2">
      <c r="A558" s="16" t="str">
        <f>Source!E340</f>
        <v>66</v>
      </c>
      <c r="B558" s="17" t="str">
        <f>Source!F340</f>
        <v>3.15-64-1</v>
      </c>
      <c r="C558" s="17" t="s">
        <v>463</v>
      </c>
      <c r="D558" s="19" t="str">
        <f>Source!H340</f>
        <v>100 м2 оштукатуриваемой поверхности</v>
      </c>
      <c r="E558" s="18">
        <f>Source!I340</f>
        <v>0.27</v>
      </c>
      <c r="F558" s="21"/>
      <c r="G558" s="20"/>
      <c r="H558" s="18"/>
      <c r="I558" s="22"/>
      <c r="J558" s="18"/>
      <c r="K558" s="22"/>
      <c r="Q558">
        <f>ROUND((Source!DN340/100)*ROUND((ROUND((Source!AF340*Source!AV340*Source!I340),2)),2), 2)</f>
        <v>479.45</v>
      </c>
      <c r="R558">
        <f>Source!X340</f>
        <v>9879.74</v>
      </c>
      <c r="S558">
        <f>ROUND((Source!DO340/100)*ROUND((ROUND((Source!AF340*Source!AV340*Source!I340),2)),2), 2)</f>
        <v>306.85000000000002</v>
      </c>
      <c r="T558">
        <f>Source!Y340</f>
        <v>5000.8599999999997</v>
      </c>
      <c r="U558">
        <f>ROUND((175/100)*ROUND((ROUND((Source!AE340*Source!AV340*Source!I340),2)),2), 2)</f>
        <v>35.68</v>
      </c>
      <c r="V558">
        <f>ROUND((157/100)*ROUND(ROUND((ROUND((Source!AE340*Source!AV340*Source!I340),2)*Source!BS340),2), 2), 2)</f>
        <v>814.39</v>
      </c>
    </row>
    <row r="559" spans="1:38" x14ac:dyDescent="0.2">
      <c r="C559" s="23" t="str">
        <f>"Объем: "&amp;Source!I340&amp;"=27/"&amp;"100"</f>
        <v>Объем: 0,27=27/100</v>
      </c>
    </row>
    <row r="560" spans="1:38" ht="14.25" x14ac:dyDescent="0.2">
      <c r="A560" s="16"/>
      <c r="B560" s="17"/>
      <c r="C560" s="17" t="s">
        <v>1625</v>
      </c>
      <c r="D560" s="19"/>
      <c r="E560" s="18"/>
      <c r="F560" s="21">
        <f>Source!AO340</f>
        <v>1544.13</v>
      </c>
      <c r="G560" s="20" t="str">
        <f>Source!DG340</f>
        <v>)*1,15</v>
      </c>
      <c r="H560" s="18">
        <f>Source!AV340</f>
        <v>1</v>
      </c>
      <c r="I560" s="22">
        <f>ROUND((ROUND((Source!AF340*Source!AV340*Source!I340),2)),2)</f>
        <v>479.45</v>
      </c>
      <c r="J560" s="18">
        <f>IF(Source!BA340&lt;&gt; 0, Source!BA340, 1)</f>
        <v>25.44</v>
      </c>
      <c r="K560" s="22">
        <f>Source!S340</f>
        <v>12197.21</v>
      </c>
      <c r="W560">
        <f>I560</f>
        <v>479.45</v>
      </c>
    </row>
    <row r="561" spans="1:27" ht="14.25" x14ac:dyDescent="0.2">
      <c r="A561" s="16"/>
      <c r="B561" s="17"/>
      <c r="C561" s="17" t="s">
        <v>1631</v>
      </c>
      <c r="D561" s="19"/>
      <c r="E561" s="18"/>
      <c r="F561" s="21">
        <f>Source!AM340</f>
        <v>267.05</v>
      </c>
      <c r="G561" s="20" t="str">
        <f>Source!DE340</f>
        <v>)*1,25</v>
      </c>
      <c r="H561" s="18">
        <f>Source!AV340</f>
        <v>1</v>
      </c>
      <c r="I561" s="22">
        <f>(ROUND((ROUND((((Source!ET340*1.25))*Source!AV340*Source!I340),2)),2)+ROUND((ROUND(((Source!AE340-((Source!EU340*1.25)))*Source!AV340*Source!I340),2)),2))</f>
        <v>90.13</v>
      </c>
      <c r="J561" s="18">
        <f>IF(Source!BB340&lt;&gt; 0, Source!BB340, 1)</f>
        <v>10.28</v>
      </c>
      <c r="K561" s="22">
        <f>Source!Q340</f>
        <v>926.54</v>
      </c>
    </row>
    <row r="562" spans="1:27" ht="14.25" x14ac:dyDescent="0.2">
      <c r="A562" s="16"/>
      <c r="B562" s="17"/>
      <c r="C562" s="17" t="s">
        <v>1632</v>
      </c>
      <c r="D562" s="19"/>
      <c r="E562" s="18"/>
      <c r="F562" s="21">
        <f>Source!AN340</f>
        <v>60.4</v>
      </c>
      <c r="G562" s="20" t="str">
        <f>Source!DF340</f>
        <v>)*1,25</v>
      </c>
      <c r="H562" s="18">
        <f>Source!AV340</f>
        <v>1</v>
      </c>
      <c r="I562" s="26">
        <f>ROUND((ROUND((Source!AE340*Source!AV340*Source!I340),2)),2)</f>
        <v>20.39</v>
      </c>
      <c r="J562" s="18">
        <f>IF(Source!BS340&lt;&gt; 0, Source!BS340, 1)</f>
        <v>25.44</v>
      </c>
      <c r="K562" s="26">
        <f>Source!R340</f>
        <v>518.72</v>
      </c>
      <c r="W562">
        <f>I562</f>
        <v>20.39</v>
      </c>
    </row>
    <row r="563" spans="1:27" ht="14.25" x14ac:dyDescent="0.2">
      <c r="A563" s="16"/>
      <c r="B563" s="17"/>
      <c r="C563" s="17" t="s">
        <v>1634</v>
      </c>
      <c r="D563" s="19"/>
      <c r="E563" s="18"/>
      <c r="F563" s="21">
        <f>Source!AL340</f>
        <v>3796.22</v>
      </c>
      <c r="G563" s="20" t="str">
        <f>Source!DD340</f>
        <v/>
      </c>
      <c r="H563" s="18">
        <f>Source!AW340</f>
        <v>1</v>
      </c>
      <c r="I563" s="22">
        <f>ROUND((ROUND((Source!AC340*Source!AW340*Source!I340),2)),2)</f>
        <v>1024.98</v>
      </c>
      <c r="J563" s="18">
        <f>IF(Source!BC340&lt;&gt; 0, Source!BC340, 1)</f>
        <v>20.07</v>
      </c>
      <c r="K563" s="22">
        <f>Source!P340</f>
        <v>20571.349999999999</v>
      </c>
    </row>
    <row r="564" spans="1:27" ht="14.25" x14ac:dyDescent="0.2">
      <c r="A564" s="16" t="str">
        <f>Source!E341</f>
        <v>66,1</v>
      </c>
      <c r="B564" s="17" t="str">
        <f>Source!F341</f>
        <v>1.1-1-118</v>
      </c>
      <c r="C564" s="17" t="s">
        <v>470</v>
      </c>
      <c r="D564" s="19" t="str">
        <f>Source!H341</f>
        <v>м3</v>
      </c>
      <c r="E564" s="18">
        <f>Source!I341</f>
        <v>4.9216000000000003E-2</v>
      </c>
      <c r="F564" s="21">
        <f>Source!AK341</f>
        <v>7.07</v>
      </c>
      <c r="G564" s="27" t="s">
        <v>3</v>
      </c>
      <c r="H564" s="18">
        <f>Source!AW341</f>
        <v>1</v>
      </c>
      <c r="I564" s="22">
        <f>ROUND((ROUND((Source!AC341*Source!AW341*Source!I341),2)),2)+(ROUND((ROUND(((Source!ET341)*Source!AV341*Source!I341),2)),2)+ROUND((ROUND(((Source!AE341-(Source!EU341))*Source!AV341*Source!I341),2)),2))+ROUND((ROUND((Source!AF341*Source!AV341*Source!I341),2)),2)</f>
        <v>0.35</v>
      </c>
      <c r="J564" s="18">
        <f>IF(Source!BC341&lt;&gt; 0, Source!BC341, 1)</f>
        <v>5.14</v>
      </c>
      <c r="K564" s="22">
        <f>Source!O341</f>
        <v>1.8</v>
      </c>
      <c r="Q564">
        <f>ROUND((Source!DN341/100)*ROUND((ROUND((Source!AF341*Source!AV341*Source!I341),2)),2), 2)</f>
        <v>0</v>
      </c>
      <c r="R564">
        <f>Source!X341</f>
        <v>0</v>
      </c>
      <c r="S564">
        <f>ROUND((Source!DO341/100)*ROUND((ROUND((Source!AF341*Source!AV341*Source!I341),2)),2), 2)</f>
        <v>0</v>
      </c>
      <c r="T564">
        <f>Source!Y341</f>
        <v>0</v>
      </c>
      <c r="U564">
        <f>ROUND((175/100)*ROUND((ROUND((Source!AE341*Source!AV341*Source!I341),2)),2), 2)</f>
        <v>0</v>
      </c>
      <c r="V564">
        <f>ROUND((157/100)*ROUND(ROUND((ROUND((Source!AE341*Source!AV341*Source!I341),2)*Source!BS341),2), 2), 2)</f>
        <v>0</v>
      </c>
      <c r="X564">
        <f>IF(Source!BI341&lt;=1,I564, 0)</f>
        <v>0.35</v>
      </c>
      <c r="Y564">
        <f>IF(Source!BI341=2,I564, 0)</f>
        <v>0</v>
      </c>
      <c r="Z564">
        <f>IF(Source!BI341=3,I564, 0)</f>
        <v>0</v>
      </c>
      <c r="AA564">
        <f>IF(Source!BI341=4,I564, 0)</f>
        <v>0</v>
      </c>
    </row>
    <row r="565" spans="1:27" ht="313.5" x14ac:dyDescent="0.2">
      <c r="A565" s="16" t="str">
        <f>Source!E342</f>
        <v>66,2</v>
      </c>
      <c r="B565" s="17" t="str">
        <f>Source!F342</f>
        <v>1.3-2-120</v>
      </c>
      <c r="C565" s="17" t="s">
        <v>1587</v>
      </c>
      <c r="D565" s="19" t="str">
        <f>Source!H342</f>
        <v>т</v>
      </c>
      <c r="E565" s="18">
        <f>Source!I342</f>
        <v>1.47</v>
      </c>
      <c r="F565" s="21">
        <f>Source!AK342</f>
        <v>18855.3</v>
      </c>
      <c r="G565" s="27" t="s">
        <v>3</v>
      </c>
      <c r="H565" s="18">
        <f>Source!AW342</f>
        <v>1</v>
      </c>
      <c r="I565" s="22">
        <f>ROUND((ROUND((Source!AC342*Source!AW342*Source!I342),2)),2)+(ROUND((ROUND(((Source!ET342)*Source!AV342*Source!I342),2)),2)+ROUND((ROUND(((Source!AE342-(Source!EU342))*Source!AV342*Source!I342),2)),2))+ROUND((ROUND((Source!AF342*Source!AV342*Source!I342),2)),2)</f>
        <v>27717.29</v>
      </c>
      <c r="J565" s="18">
        <f>IF(Source!BC342&lt;&gt; 0, Source!BC342, 1)</f>
        <v>1.76</v>
      </c>
      <c r="K565" s="22">
        <f>Source!O342</f>
        <v>48782.43</v>
      </c>
      <c r="Q565">
        <f>ROUND((Source!DN342/100)*ROUND((ROUND((Source!AF342*Source!AV342*Source!I342),2)),2), 2)</f>
        <v>0</v>
      </c>
      <c r="R565">
        <f>Source!X342</f>
        <v>0</v>
      </c>
      <c r="S565">
        <f>ROUND((Source!DO342/100)*ROUND((ROUND((Source!AF342*Source!AV342*Source!I342),2)),2), 2)</f>
        <v>0</v>
      </c>
      <c r="T565">
        <f>Source!Y342</f>
        <v>0</v>
      </c>
      <c r="U565">
        <f>ROUND((175/100)*ROUND((ROUND((Source!AE342*Source!AV342*Source!I342),2)),2), 2)</f>
        <v>0</v>
      </c>
      <c r="V565">
        <f>ROUND((157/100)*ROUND(ROUND((ROUND((Source!AE342*Source!AV342*Source!I342),2)*Source!BS342),2), 2), 2)</f>
        <v>0</v>
      </c>
      <c r="X565">
        <f>IF(Source!BI342&lt;=1,I565, 0)</f>
        <v>27717.29</v>
      </c>
      <c r="Y565">
        <f>IF(Source!BI342=2,I565, 0)</f>
        <v>0</v>
      </c>
      <c r="Z565">
        <f>IF(Source!BI342=3,I565, 0)</f>
        <v>0</v>
      </c>
      <c r="AA565">
        <f>IF(Source!BI342=4,I565, 0)</f>
        <v>0</v>
      </c>
    </row>
    <row r="566" spans="1:27" ht="14.25" x14ac:dyDescent="0.2">
      <c r="A566" s="16"/>
      <c r="B566" s="17"/>
      <c r="C566" s="17" t="s">
        <v>1626</v>
      </c>
      <c r="D566" s="19" t="s">
        <v>1627</v>
      </c>
      <c r="E566" s="18">
        <f>Source!DN340</f>
        <v>100</v>
      </c>
      <c r="F566" s="21"/>
      <c r="G566" s="20"/>
      <c r="H566" s="18"/>
      <c r="I566" s="22">
        <f>SUM(Q558:Q565)</f>
        <v>479.45</v>
      </c>
      <c r="J566" s="18">
        <f>Source!BZ340</f>
        <v>81</v>
      </c>
      <c r="K566" s="22">
        <f>SUM(R558:R565)</f>
        <v>9879.74</v>
      </c>
    </row>
    <row r="567" spans="1:27" ht="14.25" x14ac:dyDescent="0.2">
      <c r="A567" s="16"/>
      <c r="B567" s="17"/>
      <c r="C567" s="17" t="s">
        <v>1628</v>
      </c>
      <c r="D567" s="19" t="s">
        <v>1627</v>
      </c>
      <c r="E567" s="18">
        <f>Source!DO340</f>
        <v>64</v>
      </c>
      <c r="F567" s="21"/>
      <c r="G567" s="20"/>
      <c r="H567" s="18"/>
      <c r="I567" s="22">
        <f>SUM(S558:S566)</f>
        <v>306.85000000000002</v>
      </c>
      <c r="J567" s="18">
        <f>Source!CA340</f>
        <v>41</v>
      </c>
      <c r="K567" s="22">
        <f>SUM(T558:T566)</f>
        <v>5000.8599999999997</v>
      </c>
    </row>
    <row r="568" spans="1:27" ht="14.25" x14ac:dyDescent="0.2">
      <c r="A568" s="16"/>
      <c r="B568" s="17"/>
      <c r="C568" s="17" t="s">
        <v>1633</v>
      </c>
      <c r="D568" s="19" t="s">
        <v>1627</v>
      </c>
      <c r="E568" s="18">
        <f>175</f>
        <v>175</v>
      </c>
      <c r="F568" s="21"/>
      <c r="G568" s="20"/>
      <c r="H568" s="18"/>
      <c r="I568" s="22">
        <f>SUM(U558:U567)</f>
        <v>35.68</v>
      </c>
      <c r="J568" s="18">
        <f>157</f>
        <v>157</v>
      </c>
      <c r="K568" s="22">
        <f>SUM(V558:V567)</f>
        <v>814.39</v>
      </c>
    </row>
    <row r="569" spans="1:27" ht="14.25" x14ac:dyDescent="0.2">
      <c r="A569" s="16"/>
      <c r="B569" s="17"/>
      <c r="C569" s="17" t="s">
        <v>1629</v>
      </c>
      <c r="D569" s="19" t="s">
        <v>1630</v>
      </c>
      <c r="E569" s="18">
        <f>Source!AQ340</f>
        <v>133</v>
      </c>
      <c r="F569" s="21"/>
      <c r="G569" s="20" t="str">
        <f>Source!DI340</f>
        <v>)*1,15</v>
      </c>
      <c r="H569" s="18">
        <f>Source!AV340</f>
        <v>1</v>
      </c>
      <c r="I569" s="22">
        <f>Source!U340</f>
        <v>41.296500000000002</v>
      </c>
      <c r="J569" s="18"/>
      <c r="K569" s="22"/>
    </row>
    <row r="570" spans="1:27" ht="15" x14ac:dyDescent="0.25">
      <c r="A570" s="25"/>
      <c r="B570" s="25"/>
      <c r="C570" s="25"/>
      <c r="D570" s="25"/>
      <c r="E570" s="25"/>
      <c r="F570" s="25"/>
      <c r="G570" s="25"/>
      <c r="H570" s="54">
        <f>I560+I561+I563+I566+I567+I568+SUM(I564:I565)</f>
        <v>30134.18</v>
      </c>
      <c r="I570" s="54"/>
      <c r="J570" s="54">
        <f>K560+K561+K563+K566+K567+K568+SUM(K564:K565)</f>
        <v>98174.32</v>
      </c>
      <c r="K570" s="54"/>
      <c r="O570" s="24">
        <f>I560+I561+I563+I566+I567+I568+SUM(I564:I565)</f>
        <v>30134.18</v>
      </c>
      <c r="P570" s="24">
        <f>K560+K561+K563+K566+K567+K568+SUM(K564:K565)</f>
        <v>98174.32</v>
      </c>
      <c r="X570">
        <f>IF(Source!BI340&lt;=1,I560+I561+I563+I566+I567+I568-0, 0)</f>
        <v>2416.5399999999995</v>
      </c>
      <c r="Y570">
        <f>IF(Source!BI340=2,I560+I561+I563+I566+I567+I568-0, 0)</f>
        <v>0</v>
      </c>
      <c r="Z570">
        <f>IF(Source!BI340=3,I560+I561+I563+I566+I567+I568-0, 0)</f>
        <v>0</v>
      </c>
      <c r="AA570">
        <f>IF(Source!BI340=4,I560+I561+I563+I566+I567+I568,0)</f>
        <v>0</v>
      </c>
    </row>
    <row r="571" spans="1:27" ht="71.25" x14ac:dyDescent="0.2">
      <c r="A571" s="16" t="str">
        <f>Source!E343</f>
        <v>67</v>
      </c>
      <c r="B571" s="17" t="str">
        <f>Source!F343</f>
        <v>3.15-99-8</v>
      </c>
      <c r="C571" s="17" t="s">
        <v>477</v>
      </c>
      <c r="D571" s="19" t="str">
        <f>Source!H343</f>
        <v>100 м2 окрашиваемой поверхности</v>
      </c>
      <c r="E571" s="18">
        <f>Source!I343</f>
        <v>0.27</v>
      </c>
      <c r="F571" s="21"/>
      <c r="G571" s="20"/>
      <c r="H571" s="18"/>
      <c r="I571" s="22"/>
      <c r="J571" s="18"/>
      <c r="K571" s="22"/>
      <c r="Q571">
        <f>ROUND((Source!DN343/100)*ROUND((ROUND((Source!AF343*Source!AV343*Source!I343),2)),2), 2)</f>
        <v>341.78</v>
      </c>
      <c r="R571">
        <f>Source!X343</f>
        <v>7042.85</v>
      </c>
      <c r="S571">
        <f>ROUND((Source!DO343/100)*ROUND((ROUND((Source!AF343*Source!AV343*Source!I343),2)),2), 2)</f>
        <v>218.74</v>
      </c>
      <c r="T571">
        <f>Source!Y343</f>
        <v>3564.9</v>
      </c>
      <c r="U571">
        <f>ROUND((175/100)*ROUND((ROUND((Source!AE343*Source!AV343*Source!I343),2)),2), 2)</f>
        <v>7.28</v>
      </c>
      <c r="V571">
        <f>ROUND((157/100)*ROUND(ROUND((ROUND((Source!AE343*Source!AV343*Source!I343),2)*Source!BS343),2), 2), 2)</f>
        <v>166.15</v>
      </c>
    </row>
    <row r="572" spans="1:27" x14ac:dyDescent="0.2">
      <c r="C572" s="23" t="str">
        <f>"Объем: "&amp;Source!I343&amp;"=27/"&amp;"100"</f>
        <v>Объем: 0,27=27/100</v>
      </c>
    </row>
    <row r="573" spans="1:27" ht="14.25" x14ac:dyDescent="0.2">
      <c r="A573" s="16"/>
      <c r="B573" s="17"/>
      <c r="C573" s="17" t="s">
        <v>1625</v>
      </c>
      <c r="D573" s="19"/>
      <c r="E573" s="18"/>
      <c r="F573" s="21">
        <f>Source!AO343</f>
        <v>550.37</v>
      </c>
      <c r="G573" s="20" t="str">
        <f>Source!DG343</f>
        <v>*2)*1,15</v>
      </c>
      <c r="H573" s="18">
        <f>Source!AV343</f>
        <v>1</v>
      </c>
      <c r="I573" s="22">
        <f>ROUND((ROUND((Source!AF343*Source!AV343*Source!I343),2)),2)</f>
        <v>341.78</v>
      </c>
      <c r="J573" s="18">
        <f>IF(Source!BA343&lt;&gt; 0, Source!BA343, 1)</f>
        <v>25.44</v>
      </c>
      <c r="K573" s="22">
        <f>Source!S343</f>
        <v>8694.8799999999992</v>
      </c>
      <c r="W573">
        <f>I573</f>
        <v>341.78</v>
      </c>
    </row>
    <row r="574" spans="1:27" ht="14.25" x14ac:dyDescent="0.2">
      <c r="A574" s="16"/>
      <c r="B574" s="17"/>
      <c r="C574" s="17" t="s">
        <v>1631</v>
      </c>
      <c r="D574" s="19"/>
      <c r="E574" s="18"/>
      <c r="F574" s="21">
        <f>Source!AM343</f>
        <v>26.05</v>
      </c>
      <c r="G574" s="20" t="str">
        <f>Source!DE343</f>
        <v>*2)*1,25</v>
      </c>
      <c r="H574" s="18">
        <f>Source!AV343</f>
        <v>1</v>
      </c>
      <c r="I574" s="22">
        <f>(ROUND((ROUND(((((Source!ET343*2)*1.25))*Source!AV343*Source!I343),2)),2)+ROUND((ROUND(((Source!AE343-(((Source!EU343*2)*1.25)))*Source!AV343*Source!I343),2)),2))</f>
        <v>17.579999999999998</v>
      </c>
      <c r="J574" s="18">
        <f>IF(Source!BB343&lt;&gt; 0, Source!BB343, 1)</f>
        <v>10.48</v>
      </c>
      <c r="K574" s="22">
        <f>Source!Q343</f>
        <v>184.24</v>
      </c>
    </row>
    <row r="575" spans="1:27" ht="14.25" x14ac:dyDescent="0.2">
      <c r="A575" s="16"/>
      <c r="B575" s="17"/>
      <c r="C575" s="17" t="s">
        <v>1632</v>
      </c>
      <c r="D575" s="19"/>
      <c r="E575" s="18"/>
      <c r="F575" s="21">
        <f>Source!AN343</f>
        <v>6.16</v>
      </c>
      <c r="G575" s="20" t="str">
        <f>Source!DF343</f>
        <v>*2)*1,25</v>
      </c>
      <c r="H575" s="18">
        <f>Source!AV343</f>
        <v>1</v>
      </c>
      <c r="I575" s="26">
        <f>ROUND((ROUND((Source!AE343*Source!AV343*Source!I343),2)),2)</f>
        <v>4.16</v>
      </c>
      <c r="J575" s="18">
        <f>IF(Source!BS343&lt;&gt; 0, Source!BS343, 1)</f>
        <v>25.44</v>
      </c>
      <c r="K575" s="26">
        <f>Source!R343</f>
        <v>105.83</v>
      </c>
      <c r="W575">
        <f>I575</f>
        <v>4.16</v>
      </c>
    </row>
    <row r="576" spans="1:27" ht="14.25" x14ac:dyDescent="0.2">
      <c r="A576" s="16"/>
      <c r="B576" s="17"/>
      <c r="C576" s="17" t="s">
        <v>1634</v>
      </c>
      <c r="D576" s="19"/>
      <c r="E576" s="18"/>
      <c r="F576" s="21">
        <f>Source!AL343</f>
        <v>4.34</v>
      </c>
      <c r="G576" s="20" t="str">
        <f>Source!DD343</f>
        <v>*2</v>
      </c>
      <c r="H576" s="18">
        <f>Source!AW343</f>
        <v>1</v>
      </c>
      <c r="I576" s="22">
        <f>ROUND((ROUND((Source!AC343*Source!AW343*Source!I343),2)),2)</f>
        <v>2.34</v>
      </c>
      <c r="J576" s="18">
        <f>IF(Source!BC343&lt;&gt; 0, Source!BC343, 1)</f>
        <v>6.58</v>
      </c>
      <c r="K576" s="22">
        <f>Source!P343</f>
        <v>15.4</v>
      </c>
    </row>
    <row r="577" spans="1:27" ht="28.5" x14ac:dyDescent="0.2">
      <c r="A577" s="16" t="str">
        <f>Source!E344</f>
        <v>67,1</v>
      </c>
      <c r="B577" s="17" t="str">
        <f>Source!F344</f>
        <v>1.1-1-1487</v>
      </c>
      <c r="C577" s="17" t="s">
        <v>487</v>
      </c>
      <c r="D577" s="19" t="str">
        <f>Source!H344</f>
        <v>т</v>
      </c>
      <c r="E577" s="18">
        <f>Source!I344</f>
        <v>2.7378E-2</v>
      </c>
      <c r="F577" s="21">
        <f>Source!AK344</f>
        <v>2278.84</v>
      </c>
      <c r="G577" s="27" t="s">
        <v>1651</v>
      </c>
      <c r="H577" s="18">
        <f>Source!AW344</f>
        <v>1</v>
      </c>
      <c r="I577" s="22">
        <f>ROUND((ROUND((Source!AC344*Source!AW344*Source!I344),2)),2)+(ROUND((ROUND(((Source!ET344)*Source!AV344*Source!I344),2)),2)+ROUND((ROUND(((Source!AE344-(Source!EU344))*Source!AV344*Source!I344),2)),2))+ROUND((ROUND((Source!AF344*Source!AV344*Source!I344),2)),2)</f>
        <v>62.39</v>
      </c>
      <c r="J577" s="18">
        <f>IF(Source!BC344&lt;&gt; 0, Source!BC344, 1)</f>
        <v>5.85</v>
      </c>
      <c r="K577" s="22">
        <f>Source!O344</f>
        <v>364.98</v>
      </c>
      <c r="Q577">
        <f>ROUND((Source!DN344/100)*ROUND((ROUND((Source!AF344*Source!AV344*Source!I344),2)),2), 2)</f>
        <v>0</v>
      </c>
      <c r="R577">
        <f>Source!X344</f>
        <v>0</v>
      </c>
      <c r="S577">
        <f>ROUND((Source!DO344/100)*ROUND((ROUND((Source!AF344*Source!AV344*Source!I344),2)),2), 2)</f>
        <v>0</v>
      </c>
      <c r="T577">
        <f>Source!Y344</f>
        <v>0</v>
      </c>
      <c r="U577">
        <f>ROUND((175/100)*ROUND((ROUND((Source!AE344*Source!AV344*Source!I344),2)),2), 2)</f>
        <v>0</v>
      </c>
      <c r="V577">
        <f>ROUND((157/100)*ROUND(ROUND((ROUND((Source!AE344*Source!AV344*Source!I344),2)*Source!BS344),2), 2), 2)</f>
        <v>0</v>
      </c>
      <c r="X577">
        <f>IF(Source!BI344&lt;=1,I577, 0)</f>
        <v>62.39</v>
      </c>
      <c r="Y577">
        <f>IF(Source!BI344=2,I577, 0)</f>
        <v>0</v>
      </c>
      <c r="Z577">
        <f>IF(Source!BI344=3,I577, 0)</f>
        <v>0</v>
      </c>
      <c r="AA577">
        <f>IF(Source!BI344=4,I577, 0)</f>
        <v>0</v>
      </c>
    </row>
    <row r="578" spans="1:27" ht="28.5" x14ac:dyDescent="0.2">
      <c r="A578" s="16" t="str">
        <f>Source!E345</f>
        <v>67,2</v>
      </c>
      <c r="B578" s="17" t="str">
        <f>Source!F345</f>
        <v>1.1-1-732</v>
      </c>
      <c r="C578" s="17" t="s">
        <v>491</v>
      </c>
      <c r="D578" s="19" t="str">
        <f>Source!H345</f>
        <v>кг</v>
      </c>
      <c r="E578" s="18">
        <f>Source!I345</f>
        <v>6.9119999999999999</v>
      </c>
      <c r="F578" s="21">
        <f>Source!AK345</f>
        <v>20.190000000000001</v>
      </c>
      <c r="G578" s="27" t="s">
        <v>1651</v>
      </c>
      <c r="H578" s="18">
        <f>Source!AW345</f>
        <v>1</v>
      </c>
      <c r="I578" s="22">
        <f>ROUND((ROUND((Source!AC345*Source!AW345*Source!I345),2)),2)+(ROUND((ROUND(((Source!ET345)*Source!AV345*Source!I345),2)),2)+ROUND((ROUND(((Source!AE345-(Source!EU345))*Source!AV345*Source!I345),2)),2))+ROUND((ROUND((Source!AF345*Source!AV345*Source!I345),2)),2)</f>
        <v>139.55000000000001</v>
      </c>
      <c r="J578" s="18">
        <f>IF(Source!BC345&lt;&gt; 0, Source!BC345, 1)</f>
        <v>2.88</v>
      </c>
      <c r="K578" s="22">
        <f>Source!O345</f>
        <v>401.9</v>
      </c>
      <c r="Q578">
        <f>ROUND((Source!DN345/100)*ROUND((ROUND((Source!AF345*Source!AV345*Source!I345),2)),2), 2)</f>
        <v>0</v>
      </c>
      <c r="R578">
        <f>Source!X345</f>
        <v>0</v>
      </c>
      <c r="S578">
        <f>ROUND((Source!DO345/100)*ROUND((ROUND((Source!AF345*Source!AV345*Source!I345),2)),2), 2)</f>
        <v>0</v>
      </c>
      <c r="T578">
        <f>Source!Y345</f>
        <v>0</v>
      </c>
      <c r="U578">
        <f>ROUND((175/100)*ROUND((ROUND((Source!AE345*Source!AV345*Source!I345),2)),2), 2)</f>
        <v>0</v>
      </c>
      <c r="V578">
        <f>ROUND((157/100)*ROUND(ROUND((ROUND((Source!AE345*Source!AV345*Source!I345),2)*Source!BS345),2), 2), 2)</f>
        <v>0</v>
      </c>
      <c r="X578">
        <f>IF(Source!BI345&lt;=1,I578, 0)</f>
        <v>139.55000000000001</v>
      </c>
      <c r="Y578">
        <f>IF(Source!BI345=2,I578, 0)</f>
        <v>0</v>
      </c>
      <c r="Z578">
        <f>IF(Source!BI345=3,I578, 0)</f>
        <v>0</v>
      </c>
      <c r="AA578">
        <f>IF(Source!BI345=4,I578, 0)</f>
        <v>0</v>
      </c>
    </row>
    <row r="579" spans="1:27" ht="82.5" x14ac:dyDescent="0.2">
      <c r="A579" s="16" t="str">
        <f>Source!E346</f>
        <v>67,3</v>
      </c>
      <c r="B579" s="17" t="str">
        <f>Source!F346</f>
        <v>Цена поставщика</v>
      </c>
      <c r="C579" s="17" t="s">
        <v>1652</v>
      </c>
      <c r="D579" s="19" t="str">
        <f>Source!H346</f>
        <v>т</v>
      </c>
      <c r="E579" s="18">
        <f>Source!I346</f>
        <v>3.1859999999999999E-2</v>
      </c>
      <c r="F579" s="21">
        <f>Source!AK346</f>
        <v>114763.4</v>
      </c>
      <c r="G579" s="27" t="s">
        <v>1651</v>
      </c>
      <c r="H579" s="18">
        <f>Source!AW346</f>
        <v>1</v>
      </c>
      <c r="I579" s="22">
        <f>ROUND((ROUND((Source!AC346*Source!AW346*Source!I346),2)),2)+(ROUND((ROUND(((Source!ET346)*Source!AV346*Source!I346),2)),2)+ROUND((ROUND(((Source!AE346-(Source!EU346))*Source!AV346*Source!I346),2)),2))+ROUND((ROUND((Source!AF346*Source!AV346*Source!I346),2)),2)</f>
        <v>3656.36</v>
      </c>
      <c r="J579" s="18">
        <f>IF(Source!BC346&lt;&gt; 0, Source!BC346, 1)</f>
        <v>6.34</v>
      </c>
      <c r="K579" s="22">
        <f>Source!O346</f>
        <v>23181.32</v>
      </c>
      <c r="Q579">
        <f>ROUND((Source!DN346/100)*ROUND((ROUND((Source!AF346*Source!AV346*Source!I346),2)),2), 2)</f>
        <v>0</v>
      </c>
      <c r="R579">
        <f>Source!X346</f>
        <v>0</v>
      </c>
      <c r="S579">
        <f>ROUND((Source!DO346/100)*ROUND((ROUND((Source!AF346*Source!AV346*Source!I346),2)),2), 2)</f>
        <v>0</v>
      </c>
      <c r="T579">
        <f>Source!Y346</f>
        <v>0</v>
      </c>
      <c r="U579">
        <f>ROUND((175/100)*ROUND((ROUND((Source!AE346*Source!AV346*Source!I346),2)),2), 2)</f>
        <v>0</v>
      </c>
      <c r="V579">
        <f>ROUND((157/100)*ROUND(ROUND((ROUND((Source!AE346*Source!AV346*Source!I346),2)*Source!BS346),2), 2), 2)</f>
        <v>0</v>
      </c>
      <c r="X579">
        <f>IF(Source!BI346&lt;=1,I579, 0)</f>
        <v>3656.36</v>
      </c>
      <c r="Y579">
        <f>IF(Source!BI346=2,I579, 0)</f>
        <v>0</v>
      </c>
      <c r="Z579">
        <f>IF(Source!BI346=3,I579, 0)</f>
        <v>0</v>
      </c>
      <c r="AA579">
        <f>IF(Source!BI346=4,I579, 0)</f>
        <v>0</v>
      </c>
    </row>
    <row r="580" spans="1:27" ht="14.25" x14ac:dyDescent="0.2">
      <c r="A580" s="16"/>
      <c r="B580" s="17"/>
      <c r="C580" s="17" t="s">
        <v>1626</v>
      </c>
      <c r="D580" s="19" t="s">
        <v>1627</v>
      </c>
      <c r="E580" s="18">
        <f>Source!DN343</f>
        <v>100</v>
      </c>
      <c r="F580" s="21"/>
      <c r="G580" s="20"/>
      <c r="H580" s="18"/>
      <c r="I580" s="22">
        <f>SUM(Q571:Q579)</f>
        <v>341.78</v>
      </c>
      <c r="J580" s="18">
        <f>Source!BZ343</f>
        <v>81</v>
      </c>
      <c r="K580" s="22">
        <f>SUM(R571:R579)</f>
        <v>7042.85</v>
      </c>
    </row>
    <row r="581" spans="1:27" ht="14.25" x14ac:dyDescent="0.2">
      <c r="A581" s="16"/>
      <c r="B581" s="17"/>
      <c r="C581" s="17" t="s">
        <v>1628</v>
      </c>
      <c r="D581" s="19" t="s">
        <v>1627</v>
      </c>
      <c r="E581" s="18">
        <f>Source!DO343</f>
        <v>64</v>
      </c>
      <c r="F581" s="21"/>
      <c r="G581" s="20"/>
      <c r="H581" s="18"/>
      <c r="I581" s="22">
        <f>SUM(S571:S580)</f>
        <v>218.74</v>
      </c>
      <c r="J581" s="18">
        <f>Source!CA343</f>
        <v>41</v>
      </c>
      <c r="K581" s="22">
        <f>SUM(T571:T580)</f>
        <v>3564.9</v>
      </c>
    </row>
    <row r="582" spans="1:27" ht="14.25" x14ac:dyDescent="0.2">
      <c r="A582" s="16"/>
      <c r="B582" s="17"/>
      <c r="C582" s="17" t="s">
        <v>1633</v>
      </c>
      <c r="D582" s="19" t="s">
        <v>1627</v>
      </c>
      <c r="E582" s="18">
        <f>175</f>
        <v>175</v>
      </c>
      <c r="F582" s="21"/>
      <c r="G582" s="20"/>
      <c r="H582" s="18"/>
      <c r="I582" s="22">
        <f>SUM(U571:U581)</f>
        <v>7.28</v>
      </c>
      <c r="J582" s="18">
        <f>157</f>
        <v>157</v>
      </c>
      <c r="K582" s="22">
        <f>SUM(V571:V581)</f>
        <v>166.15</v>
      </c>
    </row>
    <row r="583" spans="1:27" ht="14.25" x14ac:dyDescent="0.2">
      <c r="A583" s="16"/>
      <c r="B583" s="17"/>
      <c r="C583" s="17" t="s">
        <v>1629</v>
      </c>
      <c r="D583" s="19" t="s">
        <v>1630</v>
      </c>
      <c r="E583" s="18">
        <f>Source!AQ343</f>
        <v>46.8</v>
      </c>
      <c r="F583" s="21"/>
      <c r="G583" s="20" t="str">
        <f>Source!DI343</f>
        <v>*2)*1,15</v>
      </c>
      <c r="H583" s="18">
        <f>Source!AV343</f>
        <v>1</v>
      </c>
      <c r="I583" s="22">
        <f>Source!U343</f>
        <v>29.062799999999999</v>
      </c>
      <c r="J583" s="18"/>
      <c r="K583" s="22"/>
    </row>
    <row r="584" spans="1:27" ht="15" x14ac:dyDescent="0.25">
      <c r="A584" s="25"/>
      <c r="B584" s="25"/>
      <c r="C584" s="25"/>
      <c r="D584" s="25"/>
      <c r="E584" s="25"/>
      <c r="F584" s="25"/>
      <c r="G584" s="25"/>
      <c r="H584" s="54">
        <f>I573+I574+I576+I580+I581+I582+SUM(I577:I579)</f>
        <v>4787.8</v>
      </c>
      <c r="I584" s="54"/>
      <c r="J584" s="54">
        <f>K573+K574+K576+K580+K581+K582+SUM(K577:K579)</f>
        <v>43616.62</v>
      </c>
      <c r="K584" s="54"/>
      <c r="O584" s="24">
        <f>I573+I574+I576+I580+I581+I582+SUM(I577:I579)</f>
        <v>4787.8</v>
      </c>
      <c r="P584" s="24">
        <f>K573+K574+K576+K580+K581+K582+SUM(K577:K579)</f>
        <v>43616.62</v>
      </c>
      <c r="X584">
        <f>IF(Source!BI343&lt;=1,I573+I574+I576+I580+I581+I582-0, 0)</f>
        <v>929.49999999999989</v>
      </c>
      <c r="Y584">
        <f>IF(Source!BI343=2,I573+I574+I576+I580+I581+I582-0, 0)</f>
        <v>0</v>
      </c>
      <c r="Z584">
        <f>IF(Source!BI343=3,I573+I574+I576+I580+I581+I582-0, 0)</f>
        <v>0</v>
      </c>
      <c r="AA584">
        <f>IF(Source!BI343=4,I573+I574+I576+I580+I581+I582,0)</f>
        <v>0</v>
      </c>
    </row>
    <row r="586" spans="1:27" ht="15" x14ac:dyDescent="0.25">
      <c r="A586" s="53" t="str">
        <f>CONCATENATE("Итого по разделу: ",IF(Source!G348&lt;&gt;"Новый раздел", Source!G348, ""))</f>
        <v>Итого по разделу: Ремонт бетонных конструкций</v>
      </c>
      <c r="B586" s="53"/>
      <c r="C586" s="53"/>
      <c r="D586" s="53"/>
      <c r="E586" s="53"/>
      <c r="F586" s="53"/>
      <c r="G586" s="53"/>
      <c r="H586" s="51">
        <f>SUM(O550:O585)</f>
        <v>35294.86</v>
      </c>
      <c r="I586" s="52"/>
      <c r="J586" s="51">
        <f>SUM(P550:P585)</f>
        <v>150227.35</v>
      </c>
      <c r="K586" s="52"/>
    </row>
    <row r="587" spans="1:27" hidden="1" x14ac:dyDescent="0.2">
      <c r="A587" t="s">
        <v>1641</v>
      </c>
      <c r="H587">
        <f>SUM(AC550:AC586)</f>
        <v>0</v>
      </c>
      <c r="J587">
        <f>SUM(AD550:AD586)</f>
        <v>0</v>
      </c>
    </row>
    <row r="588" spans="1:27" hidden="1" x14ac:dyDescent="0.2">
      <c r="A588" t="s">
        <v>1642</v>
      </c>
      <c r="H588">
        <f>SUM(AE550:AE587)</f>
        <v>0</v>
      </c>
      <c r="J588">
        <f>SUM(AF550:AF587)</f>
        <v>0</v>
      </c>
    </row>
    <row r="590" spans="1:27" ht="16.5" x14ac:dyDescent="0.25">
      <c r="A590" s="56" t="str">
        <f>CONCATENATE("Раздел: ",IF(Source!G378&lt;&gt;"Новый раздел", Source!G378, ""))</f>
        <v>Раздел: Система автополива</v>
      </c>
      <c r="B590" s="56"/>
      <c r="C590" s="56"/>
      <c r="D590" s="56"/>
      <c r="E590" s="56"/>
      <c r="F590" s="56"/>
      <c r="G590" s="56"/>
      <c r="H590" s="56"/>
      <c r="I590" s="56"/>
      <c r="J590" s="56"/>
      <c r="K590" s="56"/>
    </row>
    <row r="591" spans="1:27" ht="114" x14ac:dyDescent="0.2">
      <c r="A591" s="16" t="str">
        <f>Source!E382</f>
        <v>68</v>
      </c>
      <c r="B591" s="17" t="str">
        <f>Source!F382</f>
        <v>3.1-6-10</v>
      </c>
      <c r="C591" s="17" t="s">
        <v>501</v>
      </c>
      <c r="D591" s="19" t="str">
        <f>Source!H382</f>
        <v>100 м3 грунта</v>
      </c>
      <c r="E591" s="18">
        <f>Source!I382</f>
        <v>2.5499999999999998</v>
      </c>
      <c r="F591" s="21"/>
      <c r="G591" s="20"/>
      <c r="H591" s="18"/>
      <c r="I591" s="22"/>
      <c r="J591" s="18"/>
      <c r="K591" s="22"/>
      <c r="Q591">
        <f>ROUND((Source!DN382/100)*ROUND((ROUND((Source!AF382*Source!AV382*Source!I382),2)),2), 2)</f>
        <v>40.520000000000003</v>
      </c>
      <c r="R591">
        <f>Source!X382</f>
        <v>967.78</v>
      </c>
      <c r="S591">
        <f>ROUND((Source!DO382/100)*ROUND((ROUND((Source!AF382*Source!AV382*Source!I382),2)),2), 2)</f>
        <v>31.84</v>
      </c>
      <c r="T591">
        <f>Source!Y382</f>
        <v>525.97</v>
      </c>
      <c r="U591">
        <f>ROUND((175/100)*ROUND((ROUND((Source!AE382*Source!AV382*Source!I382),2)),2), 2)</f>
        <v>487.92</v>
      </c>
      <c r="V591">
        <f>ROUND((157/100)*ROUND(ROUND((ROUND((Source!AE382*Source!AV382*Source!I382),2)*Source!BS382),2), 2), 2)</f>
        <v>11135.9</v>
      </c>
    </row>
    <row r="592" spans="1:27" x14ac:dyDescent="0.2">
      <c r="C592" s="23" t="str">
        <f>"Объем: "&amp;Source!I382&amp;"=255/"&amp;"100"</f>
        <v>Объем: 2,55=255/100</v>
      </c>
    </row>
    <row r="593" spans="1:27" ht="14.25" x14ac:dyDescent="0.2">
      <c r="A593" s="16"/>
      <c r="B593" s="17"/>
      <c r="C593" s="17" t="s">
        <v>1625</v>
      </c>
      <c r="D593" s="19"/>
      <c r="E593" s="18"/>
      <c r="F593" s="21">
        <f>Source!AO382</f>
        <v>14.1</v>
      </c>
      <c r="G593" s="20" t="str">
        <f>Source!DG382</f>
        <v>)*1,15</v>
      </c>
      <c r="H593" s="18">
        <f>Source!AV382</f>
        <v>1</v>
      </c>
      <c r="I593" s="22">
        <f>ROUND((ROUND((Source!AF382*Source!AV382*Source!I382),2)),2)</f>
        <v>41.35</v>
      </c>
      <c r="J593" s="18">
        <f>IF(Source!BA382&lt;&gt; 0, Source!BA382, 1)</f>
        <v>25.44</v>
      </c>
      <c r="K593" s="22">
        <f>Source!S382</f>
        <v>1051.94</v>
      </c>
      <c r="W593">
        <f>I593</f>
        <v>41.35</v>
      </c>
    </row>
    <row r="594" spans="1:27" ht="14.25" x14ac:dyDescent="0.2">
      <c r="A594" s="16"/>
      <c r="B594" s="17"/>
      <c r="C594" s="17" t="s">
        <v>1631</v>
      </c>
      <c r="D594" s="19"/>
      <c r="E594" s="18"/>
      <c r="F594" s="21">
        <f>Source!AM382</f>
        <v>881.63</v>
      </c>
      <c r="G594" s="20" t="str">
        <f>Source!DE382</f>
        <v>)*1,25</v>
      </c>
      <c r="H594" s="18">
        <f>Source!AV382</f>
        <v>1</v>
      </c>
      <c r="I594" s="22">
        <f>(ROUND((ROUND((((Source!ET382*1.25))*Source!AV382*Source!I382),2)),2)+ROUND((ROUND(((Source!AE382-((Source!EU382*1.25)))*Source!AV382*Source!I382),2)),2))</f>
        <v>2810.2</v>
      </c>
      <c r="J594" s="18">
        <f>IF(Source!BB382&lt;&gt; 0, Source!BB382, 1)</f>
        <v>8.93</v>
      </c>
      <c r="K594" s="22">
        <f>Source!Q382</f>
        <v>25095.09</v>
      </c>
    </row>
    <row r="595" spans="1:27" ht="14.25" x14ac:dyDescent="0.2">
      <c r="A595" s="16"/>
      <c r="B595" s="17"/>
      <c r="C595" s="17" t="s">
        <v>1632</v>
      </c>
      <c r="D595" s="19"/>
      <c r="E595" s="18"/>
      <c r="F595" s="21">
        <f>Source!AN382</f>
        <v>87.47</v>
      </c>
      <c r="G595" s="20" t="str">
        <f>Source!DF382</f>
        <v>)*1,25</v>
      </c>
      <c r="H595" s="18">
        <f>Source!AV382</f>
        <v>1</v>
      </c>
      <c r="I595" s="26">
        <f>ROUND((ROUND((Source!AE382*Source!AV382*Source!I382),2)),2)</f>
        <v>278.81</v>
      </c>
      <c r="J595" s="18">
        <f>IF(Source!BS382&lt;&gt; 0, Source!BS382, 1)</f>
        <v>25.44</v>
      </c>
      <c r="K595" s="26">
        <f>Source!R382</f>
        <v>7092.93</v>
      </c>
      <c r="W595">
        <f>I595</f>
        <v>278.81</v>
      </c>
    </row>
    <row r="596" spans="1:27" ht="14.25" x14ac:dyDescent="0.2">
      <c r="A596" s="16"/>
      <c r="B596" s="17"/>
      <c r="C596" s="17" t="s">
        <v>1626</v>
      </c>
      <c r="D596" s="19" t="s">
        <v>1627</v>
      </c>
      <c r="E596" s="18">
        <f>Source!DN382</f>
        <v>98</v>
      </c>
      <c r="F596" s="21"/>
      <c r="G596" s="20"/>
      <c r="H596" s="18"/>
      <c r="I596" s="22">
        <f>SUM(Q591:Q595)</f>
        <v>40.520000000000003</v>
      </c>
      <c r="J596" s="18">
        <f>Source!BZ382</f>
        <v>92</v>
      </c>
      <c r="K596" s="22">
        <f>SUM(R591:R595)</f>
        <v>967.78</v>
      </c>
    </row>
    <row r="597" spans="1:27" ht="14.25" x14ac:dyDescent="0.2">
      <c r="A597" s="16"/>
      <c r="B597" s="17"/>
      <c r="C597" s="17" t="s">
        <v>1628</v>
      </c>
      <c r="D597" s="19" t="s">
        <v>1627</v>
      </c>
      <c r="E597" s="18">
        <f>Source!DO382</f>
        <v>77</v>
      </c>
      <c r="F597" s="21"/>
      <c r="G597" s="20"/>
      <c r="H597" s="18"/>
      <c r="I597" s="22">
        <f>SUM(S591:S596)</f>
        <v>31.84</v>
      </c>
      <c r="J597" s="18">
        <f>Source!CA382</f>
        <v>50</v>
      </c>
      <c r="K597" s="22">
        <f>SUM(T591:T596)</f>
        <v>525.97</v>
      </c>
    </row>
    <row r="598" spans="1:27" ht="14.25" x14ac:dyDescent="0.2">
      <c r="A598" s="16"/>
      <c r="B598" s="17"/>
      <c r="C598" s="17" t="s">
        <v>1633</v>
      </c>
      <c r="D598" s="19" t="s">
        <v>1627</v>
      </c>
      <c r="E598" s="18">
        <f>175</f>
        <v>175</v>
      </c>
      <c r="F598" s="21"/>
      <c r="G598" s="20"/>
      <c r="H598" s="18"/>
      <c r="I598" s="22">
        <f>SUM(U591:U597)</f>
        <v>487.92</v>
      </c>
      <c r="J598" s="18">
        <f>157</f>
        <v>157</v>
      </c>
      <c r="K598" s="22">
        <f>SUM(V591:V597)</f>
        <v>11135.9</v>
      </c>
    </row>
    <row r="599" spans="1:27" ht="14.25" x14ac:dyDescent="0.2">
      <c r="A599" s="16"/>
      <c r="B599" s="17"/>
      <c r="C599" s="17" t="s">
        <v>1629</v>
      </c>
      <c r="D599" s="19" t="s">
        <v>1630</v>
      </c>
      <c r="E599" s="18">
        <f>Source!AQ382</f>
        <v>1.38</v>
      </c>
      <c r="F599" s="21"/>
      <c r="G599" s="20" t="str">
        <f>Source!DI382</f>
        <v>)*1,15</v>
      </c>
      <c r="H599" s="18">
        <f>Source!AV382</f>
        <v>1</v>
      </c>
      <c r="I599" s="22">
        <f>Source!U382</f>
        <v>4.0468499999999992</v>
      </c>
      <c r="J599" s="18"/>
      <c r="K599" s="22"/>
    </row>
    <row r="600" spans="1:27" ht="15" x14ac:dyDescent="0.25">
      <c r="A600" s="25"/>
      <c r="B600" s="25"/>
      <c r="C600" s="25"/>
      <c r="D600" s="25"/>
      <c r="E600" s="25"/>
      <c r="F600" s="25"/>
      <c r="G600" s="25"/>
      <c r="H600" s="54">
        <f>I593+I594+I596+I597+I598</f>
        <v>3411.83</v>
      </c>
      <c r="I600" s="54"/>
      <c r="J600" s="54">
        <f>K593+K594+K596+K597+K598</f>
        <v>38776.68</v>
      </c>
      <c r="K600" s="54"/>
      <c r="O600" s="24">
        <f>I593+I594+I596+I597+I598</f>
        <v>3411.83</v>
      </c>
      <c r="P600" s="24">
        <f>K593+K594+K596+K597+K598</f>
        <v>38776.68</v>
      </c>
      <c r="X600">
        <f>IF(Source!BI382&lt;=1,I593+I594+I596+I597+I598-0, 0)</f>
        <v>3411.83</v>
      </c>
      <c r="Y600">
        <f>IF(Source!BI382=2,I593+I594+I596+I597+I598-0, 0)</f>
        <v>0</v>
      </c>
      <c r="Z600">
        <f>IF(Source!BI382=3,I593+I594+I596+I597+I598-0, 0)</f>
        <v>0</v>
      </c>
      <c r="AA600">
        <f>IF(Source!BI382=4,I593+I594+I596+I597+I598,0)</f>
        <v>0</v>
      </c>
    </row>
    <row r="601" spans="1:27" ht="28.5" x14ac:dyDescent="0.2">
      <c r="A601" s="16" t="str">
        <f>Source!E383</f>
        <v>69</v>
      </c>
      <c r="B601" s="17" t="str">
        <f>Source!F383</f>
        <v>3.23-1-2</v>
      </c>
      <c r="C601" s="17" t="s">
        <v>504</v>
      </c>
      <c r="D601" s="19" t="str">
        <f>Source!H383</f>
        <v>10 м3 основания</v>
      </c>
      <c r="E601" s="18">
        <f>Source!I383</f>
        <v>8.5</v>
      </c>
      <c r="F601" s="21"/>
      <c r="G601" s="20"/>
      <c r="H601" s="18"/>
      <c r="I601" s="22"/>
      <c r="J601" s="18"/>
      <c r="K601" s="22"/>
      <c r="Q601">
        <f>ROUND((Source!DN383/100)*ROUND((ROUND((Source!AF383*Source!AV383*Source!I383),2)),2), 2)</f>
        <v>1237.53</v>
      </c>
      <c r="R601">
        <f>Source!X383</f>
        <v>25511.99</v>
      </c>
      <c r="S601">
        <f>ROUND((Source!DO383/100)*ROUND((ROUND((Source!AF383*Source!AV383*Source!I383),2)),2), 2)</f>
        <v>725.45</v>
      </c>
      <c r="T601">
        <f>Source!Y383</f>
        <v>11127.57</v>
      </c>
      <c r="U601">
        <f>ROUND((175/100)*ROUND((ROUND((Source!AE383*Source!AV383*Source!I383),2)),2), 2)</f>
        <v>147.63</v>
      </c>
      <c r="V601">
        <f>ROUND((157/100)*ROUND(ROUND((ROUND((Source!AE383*Source!AV383*Source!I383),2)*Source!BS383),2), 2), 2)</f>
        <v>3369.41</v>
      </c>
    </row>
    <row r="602" spans="1:27" x14ac:dyDescent="0.2">
      <c r="C602" s="23" t="str">
        <f>"Объем: "&amp;Source!I383&amp;"=85/"&amp;"10"</f>
        <v>Объем: 8,5=85/10</v>
      </c>
    </row>
    <row r="603" spans="1:27" ht="14.25" x14ac:dyDescent="0.2">
      <c r="A603" s="16"/>
      <c r="B603" s="17"/>
      <c r="C603" s="17" t="s">
        <v>1625</v>
      </c>
      <c r="D603" s="19"/>
      <c r="E603" s="18"/>
      <c r="F603" s="21">
        <f>Source!AO383</f>
        <v>109.14</v>
      </c>
      <c r="G603" s="20" t="str">
        <f>Source!DG383</f>
        <v>)*1,15</v>
      </c>
      <c r="H603" s="18">
        <f>Source!AV383</f>
        <v>1</v>
      </c>
      <c r="I603" s="22">
        <f>ROUND((ROUND((Source!AF383*Source!AV383*Source!I383),2)),2)</f>
        <v>1066.8399999999999</v>
      </c>
      <c r="J603" s="18">
        <f>IF(Source!BA383&lt;&gt; 0, Source!BA383, 1)</f>
        <v>25.44</v>
      </c>
      <c r="K603" s="22">
        <f>Source!S383</f>
        <v>27140.41</v>
      </c>
      <c r="W603">
        <f>I603</f>
        <v>1066.8399999999999</v>
      </c>
    </row>
    <row r="604" spans="1:27" ht="14.25" x14ac:dyDescent="0.2">
      <c r="A604" s="16"/>
      <c r="B604" s="17"/>
      <c r="C604" s="17" t="s">
        <v>1631</v>
      </c>
      <c r="D604" s="19"/>
      <c r="E604" s="18"/>
      <c r="F604" s="21">
        <f>Source!AM383</f>
        <v>34.31</v>
      </c>
      <c r="G604" s="20" t="str">
        <f>Source!DE383</f>
        <v>)*1,25</v>
      </c>
      <c r="H604" s="18">
        <f>Source!AV383</f>
        <v>1</v>
      </c>
      <c r="I604" s="22">
        <f>(ROUND((ROUND((((Source!ET383*1.25))*Source!AV383*Source!I383),2)),2)+ROUND((ROUND(((Source!AE383-((Source!EU383*1.25)))*Source!AV383*Source!I383),2)),2))</f>
        <v>364.54</v>
      </c>
      <c r="J604" s="18">
        <f>IF(Source!BB383&lt;&gt; 0, Source!BB383, 1)</f>
        <v>10</v>
      </c>
      <c r="K604" s="22">
        <f>Source!Q383</f>
        <v>3645.4</v>
      </c>
    </row>
    <row r="605" spans="1:27" ht="14.25" x14ac:dyDescent="0.2">
      <c r="A605" s="16"/>
      <c r="B605" s="17"/>
      <c r="C605" s="17" t="s">
        <v>1632</v>
      </c>
      <c r="D605" s="19"/>
      <c r="E605" s="18"/>
      <c r="F605" s="21">
        <f>Source!AN383</f>
        <v>7.94</v>
      </c>
      <c r="G605" s="20" t="str">
        <f>Source!DF383</f>
        <v>)*1,25</v>
      </c>
      <c r="H605" s="18">
        <f>Source!AV383</f>
        <v>1</v>
      </c>
      <c r="I605" s="26">
        <f>ROUND((ROUND((Source!AE383*Source!AV383*Source!I383),2)),2)</f>
        <v>84.36</v>
      </c>
      <c r="J605" s="18">
        <f>IF(Source!BS383&lt;&gt; 0, Source!BS383, 1)</f>
        <v>25.44</v>
      </c>
      <c r="K605" s="26">
        <f>Source!R383</f>
        <v>2146.12</v>
      </c>
      <c r="W605">
        <f>I605</f>
        <v>84.36</v>
      </c>
    </row>
    <row r="606" spans="1:27" ht="42.75" x14ac:dyDescent="0.2">
      <c r="A606" s="16" t="str">
        <f>Source!E384</f>
        <v>69,1</v>
      </c>
      <c r="B606" s="17" t="str">
        <f>Source!F384</f>
        <v>1.1-1-1523</v>
      </c>
      <c r="C606" s="17" t="s">
        <v>511</v>
      </c>
      <c r="D606" s="19" t="str">
        <f>Source!H384</f>
        <v>м3</v>
      </c>
      <c r="E606" s="18">
        <f>Source!I384</f>
        <v>106.25</v>
      </c>
      <c r="F606" s="21">
        <f>Source!AK384</f>
        <v>216.06</v>
      </c>
      <c r="G606" s="27" t="s">
        <v>3</v>
      </c>
      <c r="H606" s="18">
        <f>Source!AW384</f>
        <v>1</v>
      </c>
      <c r="I606" s="22">
        <f>ROUND((ROUND((Source!AC384*Source!AW384*Source!I384),2)),2)+(ROUND((ROUND(((Source!ET384)*Source!AV384*Source!I384),2)),2)+ROUND((ROUND(((Source!AE384-(Source!EU384))*Source!AV384*Source!I384),2)),2))+ROUND((ROUND((Source!AF384*Source!AV384*Source!I384),2)),2)</f>
        <v>22956.38</v>
      </c>
      <c r="J606" s="18">
        <f>IF(Source!BC384&lt;&gt; 0, Source!BC384, 1)</f>
        <v>8.99</v>
      </c>
      <c r="K606" s="22">
        <f>Source!O384</f>
        <v>206377.86</v>
      </c>
      <c r="Q606">
        <f>ROUND((Source!DN384/100)*ROUND((ROUND((Source!AF384*Source!AV384*Source!I384),2)),2), 2)</f>
        <v>0</v>
      </c>
      <c r="R606">
        <f>Source!X384</f>
        <v>0</v>
      </c>
      <c r="S606">
        <f>ROUND((Source!DO384/100)*ROUND((ROUND((Source!AF384*Source!AV384*Source!I384),2)),2), 2)</f>
        <v>0</v>
      </c>
      <c r="T606">
        <f>Source!Y384</f>
        <v>0</v>
      </c>
      <c r="U606">
        <f>ROUND((175/100)*ROUND((ROUND((Source!AE384*Source!AV384*Source!I384),2)),2), 2)</f>
        <v>0</v>
      </c>
      <c r="V606">
        <f>ROUND((157/100)*ROUND(ROUND((ROUND((Source!AE384*Source!AV384*Source!I384),2)*Source!BS384),2), 2), 2)</f>
        <v>0</v>
      </c>
      <c r="X606">
        <f>IF(Source!BI384&lt;=1,I606, 0)</f>
        <v>22956.38</v>
      </c>
      <c r="Y606">
        <f>IF(Source!BI384=2,I606, 0)</f>
        <v>0</v>
      </c>
      <c r="Z606">
        <f>IF(Source!BI384=3,I606, 0)</f>
        <v>0</v>
      </c>
      <c r="AA606">
        <f>IF(Source!BI384=4,I606, 0)</f>
        <v>0</v>
      </c>
    </row>
    <row r="607" spans="1:27" ht="14.25" x14ac:dyDescent="0.2">
      <c r="A607" s="16"/>
      <c r="B607" s="17"/>
      <c r="C607" s="17" t="s">
        <v>1626</v>
      </c>
      <c r="D607" s="19" t="s">
        <v>1627</v>
      </c>
      <c r="E607" s="18">
        <f>Source!DN383</f>
        <v>116</v>
      </c>
      <c r="F607" s="21"/>
      <c r="G607" s="20"/>
      <c r="H607" s="18"/>
      <c r="I607" s="22">
        <f>SUM(Q601:Q606)</f>
        <v>1237.53</v>
      </c>
      <c r="J607" s="18">
        <f>Source!BZ383</f>
        <v>94</v>
      </c>
      <c r="K607" s="22">
        <f>SUM(R601:R606)</f>
        <v>25511.99</v>
      </c>
    </row>
    <row r="608" spans="1:27" ht="14.25" x14ac:dyDescent="0.2">
      <c r="A608" s="16"/>
      <c r="B608" s="17"/>
      <c r="C608" s="17" t="s">
        <v>1628</v>
      </c>
      <c r="D608" s="19" t="s">
        <v>1627</v>
      </c>
      <c r="E608" s="18">
        <f>Source!DO383</f>
        <v>68</v>
      </c>
      <c r="F608" s="21"/>
      <c r="G608" s="20"/>
      <c r="H608" s="18"/>
      <c r="I608" s="22">
        <f>SUM(S601:S607)</f>
        <v>725.45</v>
      </c>
      <c r="J608" s="18">
        <f>Source!CA383</f>
        <v>41</v>
      </c>
      <c r="K608" s="22">
        <f>SUM(T601:T607)</f>
        <v>11127.57</v>
      </c>
    </row>
    <row r="609" spans="1:27" ht="14.25" x14ac:dyDescent="0.2">
      <c r="A609" s="16"/>
      <c r="B609" s="17"/>
      <c r="C609" s="17" t="s">
        <v>1633</v>
      </c>
      <c r="D609" s="19" t="s">
        <v>1627</v>
      </c>
      <c r="E609" s="18">
        <f>175</f>
        <v>175</v>
      </c>
      <c r="F609" s="21"/>
      <c r="G609" s="20"/>
      <c r="H609" s="18"/>
      <c r="I609" s="22">
        <f>SUM(U601:U608)</f>
        <v>147.63</v>
      </c>
      <c r="J609" s="18">
        <f>157</f>
        <v>157</v>
      </c>
      <c r="K609" s="22">
        <f>SUM(V601:V608)</f>
        <v>3369.41</v>
      </c>
    </row>
    <row r="610" spans="1:27" ht="14.25" x14ac:dyDescent="0.2">
      <c r="A610" s="16"/>
      <c r="B610" s="17"/>
      <c r="C610" s="17" t="s">
        <v>1629</v>
      </c>
      <c r="D610" s="19" t="s">
        <v>1630</v>
      </c>
      <c r="E610" s="18">
        <f>Source!AQ383</f>
        <v>10.199999999999999</v>
      </c>
      <c r="F610" s="21"/>
      <c r="G610" s="20" t="str">
        <f>Source!DI383</f>
        <v>)*1,15</v>
      </c>
      <c r="H610" s="18">
        <f>Source!AV383</f>
        <v>1</v>
      </c>
      <c r="I610" s="22">
        <f>Source!U383</f>
        <v>99.704999999999984</v>
      </c>
      <c r="J610" s="18"/>
      <c r="K610" s="22"/>
    </row>
    <row r="611" spans="1:27" ht="15" x14ac:dyDescent="0.25">
      <c r="A611" s="25"/>
      <c r="B611" s="25"/>
      <c r="C611" s="25"/>
      <c r="D611" s="25"/>
      <c r="E611" s="25"/>
      <c r="F611" s="25"/>
      <c r="G611" s="25"/>
      <c r="H611" s="54">
        <f>I603+I604+I607+I608+I609+SUM(I606:I606)</f>
        <v>26498.370000000003</v>
      </c>
      <c r="I611" s="54"/>
      <c r="J611" s="54">
        <f>K603+K604+K607+K608+K609+SUM(K606:K606)</f>
        <v>277172.64</v>
      </c>
      <c r="K611" s="54"/>
      <c r="O611" s="24">
        <f>I603+I604+I607+I608+I609+SUM(I606:I606)</f>
        <v>26498.370000000003</v>
      </c>
      <c r="P611" s="24">
        <f>K603+K604+K607+K608+K609+SUM(K606:K606)</f>
        <v>277172.64</v>
      </c>
      <c r="X611">
        <f>IF(Source!BI383&lt;=1,I603+I604+I607+I608+I609-0, 0)</f>
        <v>3541.99</v>
      </c>
      <c r="Y611">
        <f>IF(Source!BI383=2,I603+I604+I607+I608+I609-0, 0)</f>
        <v>0</v>
      </c>
      <c r="Z611">
        <f>IF(Source!BI383=3,I603+I604+I607+I608+I609-0, 0)</f>
        <v>0</v>
      </c>
      <c r="AA611">
        <f>IF(Source!BI383=4,I603+I604+I607+I608+I609,0)</f>
        <v>0</v>
      </c>
    </row>
    <row r="612" spans="1:27" ht="28.5" x14ac:dyDescent="0.2">
      <c r="A612" s="16" t="str">
        <f>Source!E385</f>
        <v>70</v>
      </c>
      <c r="B612" s="17" t="str">
        <f>Source!F385</f>
        <v>3.23-1-1</v>
      </c>
      <c r="C612" s="17" t="s">
        <v>515</v>
      </c>
      <c r="D612" s="19" t="str">
        <f>Source!H385</f>
        <v>10 м3 основания</v>
      </c>
      <c r="E612" s="18">
        <f>Source!I385</f>
        <v>17</v>
      </c>
      <c r="F612" s="21"/>
      <c r="G612" s="20"/>
      <c r="H612" s="18"/>
      <c r="I612" s="22"/>
      <c r="J612" s="18"/>
      <c r="K612" s="22"/>
      <c r="Q612">
        <f>ROUND((Source!DN385/100)*ROUND((ROUND((Source!AF385*Source!AV385*Source!I385),2)),2), 2)</f>
        <v>2475.08</v>
      </c>
      <c r="R612">
        <f>Source!X385</f>
        <v>51024.21</v>
      </c>
      <c r="S612">
        <f>ROUND((Source!DO385/100)*ROUND((ROUND((Source!AF385*Source!AV385*Source!I385),2)),2), 2)</f>
        <v>1450.91</v>
      </c>
      <c r="T612">
        <f>Source!Y385</f>
        <v>22255.24</v>
      </c>
      <c r="U612">
        <f>ROUND((175/100)*ROUND((ROUND((Source!AE385*Source!AV385*Source!I385),2)),2), 2)</f>
        <v>201.18</v>
      </c>
      <c r="V612">
        <f>ROUND((157/100)*ROUND(ROUND((ROUND((Source!AE385*Source!AV385*Source!I385),2)*Source!BS385),2), 2), 2)</f>
        <v>4591.59</v>
      </c>
    </row>
    <row r="613" spans="1:27" x14ac:dyDescent="0.2">
      <c r="C613" s="23" t="str">
        <f>"Объем: "&amp;Source!I385&amp;"=170/"&amp;"10"</f>
        <v>Объем: 17=170/10</v>
      </c>
    </row>
    <row r="614" spans="1:27" ht="14.25" x14ac:dyDescent="0.2">
      <c r="A614" s="16"/>
      <c r="B614" s="17"/>
      <c r="C614" s="17" t="s">
        <v>1625</v>
      </c>
      <c r="D614" s="19"/>
      <c r="E614" s="18"/>
      <c r="F614" s="21">
        <f>Source!AO385</f>
        <v>109.14</v>
      </c>
      <c r="G614" s="20" t="str">
        <f>Source!DG385</f>
        <v>)*1,15</v>
      </c>
      <c r="H614" s="18">
        <f>Source!AV385</f>
        <v>1</v>
      </c>
      <c r="I614" s="22">
        <f>ROUND((ROUND((Source!AF385*Source!AV385*Source!I385),2)),2)</f>
        <v>2133.69</v>
      </c>
      <c r="J614" s="18">
        <f>IF(Source!BA385&lt;&gt; 0, Source!BA385, 1)</f>
        <v>25.44</v>
      </c>
      <c r="K614" s="22">
        <f>Source!S385</f>
        <v>54281.07</v>
      </c>
      <c r="W614">
        <f>I614</f>
        <v>2133.69</v>
      </c>
    </row>
    <row r="615" spans="1:27" ht="14.25" x14ac:dyDescent="0.2">
      <c r="A615" s="16"/>
      <c r="B615" s="17"/>
      <c r="C615" s="17" t="s">
        <v>1631</v>
      </c>
      <c r="D615" s="19"/>
      <c r="E615" s="18"/>
      <c r="F615" s="21">
        <f>Source!AM385</f>
        <v>23.36</v>
      </c>
      <c r="G615" s="20" t="str">
        <f>Source!DE385</f>
        <v>)*1,25</v>
      </c>
      <c r="H615" s="18">
        <f>Source!AV385</f>
        <v>1</v>
      </c>
      <c r="I615" s="22">
        <f>(ROUND((ROUND((((Source!ET385*1.25))*Source!AV385*Source!I385),2)),2)+ROUND((ROUND(((Source!AE385-((Source!EU385*1.25)))*Source!AV385*Source!I385),2)),2))</f>
        <v>496.4</v>
      </c>
      <c r="J615" s="18">
        <f>IF(Source!BB385&lt;&gt; 0, Source!BB385, 1)</f>
        <v>10</v>
      </c>
      <c r="K615" s="22">
        <f>Source!Q385</f>
        <v>4964</v>
      </c>
    </row>
    <row r="616" spans="1:27" ht="14.25" x14ac:dyDescent="0.2">
      <c r="A616" s="16"/>
      <c r="B616" s="17"/>
      <c r="C616" s="17" t="s">
        <v>1632</v>
      </c>
      <c r="D616" s="19"/>
      <c r="E616" s="18"/>
      <c r="F616" s="21">
        <f>Source!AN385</f>
        <v>5.41</v>
      </c>
      <c r="G616" s="20" t="str">
        <f>Source!DF385</f>
        <v>)*1,25</v>
      </c>
      <c r="H616" s="18">
        <f>Source!AV385</f>
        <v>1</v>
      </c>
      <c r="I616" s="26">
        <f>ROUND((ROUND((Source!AE385*Source!AV385*Source!I385),2)),2)</f>
        <v>114.96</v>
      </c>
      <c r="J616" s="18">
        <f>IF(Source!BS385&lt;&gt; 0, Source!BS385, 1)</f>
        <v>25.44</v>
      </c>
      <c r="K616" s="26">
        <f>Source!R385</f>
        <v>2924.58</v>
      </c>
      <c r="W616">
        <f>I616</f>
        <v>114.96</v>
      </c>
    </row>
    <row r="617" spans="1:27" ht="28.5" x14ac:dyDescent="0.2">
      <c r="A617" s="16" t="str">
        <f>Source!E386</f>
        <v>70,1</v>
      </c>
      <c r="B617" s="17" t="str">
        <f>Source!F386</f>
        <v>1.1-1-766</v>
      </c>
      <c r="C617" s="17" t="s">
        <v>92</v>
      </c>
      <c r="D617" s="19" t="str">
        <f>Source!H386</f>
        <v>м3</v>
      </c>
      <c r="E617" s="18">
        <f>Source!I386</f>
        <v>187</v>
      </c>
      <c r="F617" s="21">
        <f>Source!AK386</f>
        <v>104.99</v>
      </c>
      <c r="G617" s="27" t="s">
        <v>3</v>
      </c>
      <c r="H617" s="18">
        <f>Source!AW386</f>
        <v>1</v>
      </c>
      <c r="I617" s="22">
        <f>ROUND((ROUND((Source!AC386*Source!AW386*Source!I386),2)),2)+(ROUND((ROUND(((Source!ET386)*Source!AV386*Source!I386),2)),2)+ROUND((ROUND(((Source!AE386-(Source!EU386))*Source!AV386*Source!I386),2)),2))+ROUND((ROUND((Source!AF386*Source!AV386*Source!I386),2)),2)</f>
        <v>19633.13</v>
      </c>
      <c r="J617" s="18">
        <f>IF(Source!BC386&lt;&gt; 0, Source!BC386, 1)</f>
        <v>5.51</v>
      </c>
      <c r="K617" s="22">
        <f>Source!O386</f>
        <v>108178.55</v>
      </c>
      <c r="Q617">
        <f>ROUND((Source!DN386/100)*ROUND((ROUND((Source!AF386*Source!AV386*Source!I386),2)),2), 2)</f>
        <v>0</v>
      </c>
      <c r="R617">
        <f>Source!X386</f>
        <v>0</v>
      </c>
      <c r="S617">
        <f>ROUND((Source!DO386/100)*ROUND((ROUND((Source!AF386*Source!AV386*Source!I386),2)),2), 2)</f>
        <v>0</v>
      </c>
      <c r="T617">
        <f>Source!Y386</f>
        <v>0</v>
      </c>
      <c r="U617">
        <f>ROUND((175/100)*ROUND((ROUND((Source!AE386*Source!AV386*Source!I386),2)),2), 2)</f>
        <v>0</v>
      </c>
      <c r="V617">
        <f>ROUND((157/100)*ROUND(ROUND((ROUND((Source!AE386*Source!AV386*Source!I386),2)*Source!BS386),2), 2), 2)</f>
        <v>0</v>
      </c>
      <c r="X617">
        <f>IF(Source!BI386&lt;=1,I617, 0)</f>
        <v>19633.13</v>
      </c>
      <c r="Y617">
        <f>IF(Source!BI386=2,I617, 0)</f>
        <v>0</v>
      </c>
      <c r="Z617">
        <f>IF(Source!BI386=3,I617, 0)</f>
        <v>0</v>
      </c>
      <c r="AA617">
        <f>IF(Source!BI386=4,I617, 0)</f>
        <v>0</v>
      </c>
    </row>
    <row r="618" spans="1:27" ht="14.25" x14ac:dyDescent="0.2">
      <c r="A618" s="16"/>
      <c r="B618" s="17"/>
      <c r="C618" s="17" t="s">
        <v>1626</v>
      </c>
      <c r="D618" s="19" t="s">
        <v>1627</v>
      </c>
      <c r="E618" s="18">
        <f>Source!DN385</f>
        <v>116</v>
      </c>
      <c r="F618" s="21"/>
      <c r="G618" s="20"/>
      <c r="H618" s="18"/>
      <c r="I618" s="22">
        <f>SUM(Q612:Q617)</f>
        <v>2475.08</v>
      </c>
      <c r="J618" s="18">
        <f>Source!BZ385</f>
        <v>94</v>
      </c>
      <c r="K618" s="22">
        <f>SUM(R612:R617)</f>
        <v>51024.21</v>
      </c>
    </row>
    <row r="619" spans="1:27" ht="14.25" x14ac:dyDescent="0.2">
      <c r="A619" s="16"/>
      <c r="B619" s="17"/>
      <c r="C619" s="17" t="s">
        <v>1628</v>
      </c>
      <c r="D619" s="19" t="s">
        <v>1627</v>
      </c>
      <c r="E619" s="18">
        <f>Source!DO385</f>
        <v>68</v>
      </c>
      <c r="F619" s="21"/>
      <c r="G619" s="20"/>
      <c r="H619" s="18"/>
      <c r="I619" s="22">
        <f>SUM(S612:S618)</f>
        <v>1450.91</v>
      </c>
      <c r="J619" s="18">
        <f>Source!CA385</f>
        <v>41</v>
      </c>
      <c r="K619" s="22">
        <f>SUM(T612:T618)</f>
        <v>22255.24</v>
      </c>
    </row>
    <row r="620" spans="1:27" ht="14.25" x14ac:dyDescent="0.2">
      <c r="A620" s="16"/>
      <c r="B620" s="17"/>
      <c r="C620" s="17" t="s">
        <v>1633</v>
      </c>
      <c r="D620" s="19" t="s">
        <v>1627</v>
      </c>
      <c r="E620" s="18">
        <f>175</f>
        <v>175</v>
      </c>
      <c r="F620" s="21"/>
      <c r="G620" s="20"/>
      <c r="H620" s="18"/>
      <c r="I620" s="22">
        <f>SUM(U612:U619)</f>
        <v>201.18</v>
      </c>
      <c r="J620" s="18">
        <f>157</f>
        <v>157</v>
      </c>
      <c r="K620" s="22">
        <f>SUM(V612:V619)</f>
        <v>4591.59</v>
      </c>
    </row>
    <row r="621" spans="1:27" ht="14.25" x14ac:dyDescent="0.2">
      <c r="A621" s="16"/>
      <c r="B621" s="17"/>
      <c r="C621" s="17" t="s">
        <v>1629</v>
      </c>
      <c r="D621" s="19" t="s">
        <v>1630</v>
      </c>
      <c r="E621" s="18">
        <f>Source!AQ385</f>
        <v>10.199999999999999</v>
      </c>
      <c r="F621" s="21"/>
      <c r="G621" s="20" t="str">
        <f>Source!DI385</f>
        <v>)*1,15</v>
      </c>
      <c r="H621" s="18">
        <f>Source!AV385</f>
        <v>1</v>
      </c>
      <c r="I621" s="22">
        <f>Source!U385</f>
        <v>199.40999999999997</v>
      </c>
      <c r="J621" s="18"/>
      <c r="K621" s="22"/>
    </row>
    <row r="622" spans="1:27" ht="15" x14ac:dyDescent="0.25">
      <c r="A622" s="25"/>
      <c r="B622" s="25"/>
      <c r="C622" s="25"/>
      <c r="D622" s="25"/>
      <c r="E622" s="25"/>
      <c r="F622" s="25"/>
      <c r="G622" s="25"/>
      <c r="H622" s="54">
        <f>I614+I615+I618+I619+I620+SUM(I617:I617)</f>
        <v>26390.39</v>
      </c>
      <c r="I622" s="54"/>
      <c r="J622" s="54">
        <f>K614+K615+K618+K619+K620+SUM(K617:K617)</f>
        <v>245294.65999999997</v>
      </c>
      <c r="K622" s="54"/>
      <c r="O622" s="24">
        <f>I614+I615+I618+I619+I620+SUM(I617:I617)</f>
        <v>26390.39</v>
      </c>
      <c r="P622" s="24">
        <f>K614+K615+K618+K619+K620+SUM(K617:K617)</f>
        <v>245294.65999999997</v>
      </c>
      <c r="X622">
        <f>IF(Source!BI385&lt;=1,I614+I615+I618+I619+I620-0, 0)</f>
        <v>6757.26</v>
      </c>
      <c r="Y622">
        <f>IF(Source!BI385=2,I614+I615+I618+I619+I620-0, 0)</f>
        <v>0</v>
      </c>
      <c r="Z622">
        <f>IF(Source!BI385=3,I614+I615+I618+I619+I620-0, 0)</f>
        <v>0</v>
      </c>
      <c r="AA622">
        <f>IF(Source!BI385=4,I614+I615+I618+I619+I620,0)</f>
        <v>0</v>
      </c>
    </row>
    <row r="623" spans="1:27" ht="171" x14ac:dyDescent="0.2">
      <c r="A623" s="16" t="str">
        <f>Source!E387</f>
        <v>71</v>
      </c>
      <c r="B623" s="17" t="str">
        <f>Source!F387</f>
        <v>3.22-71-1</v>
      </c>
      <c r="C623" s="17" t="s">
        <v>1588</v>
      </c>
      <c r="D623" s="19" t="str">
        <f>Source!H387</f>
        <v>100 м</v>
      </c>
      <c r="E623" s="18">
        <f>Source!I387</f>
        <v>17</v>
      </c>
      <c r="F623" s="21"/>
      <c r="G623" s="20"/>
      <c r="H623" s="18"/>
      <c r="I623" s="22"/>
      <c r="J623" s="18"/>
      <c r="K623" s="22"/>
      <c r="Q623">
        <f>ROUND((Source!DN387/100)*ROUND((ROUND((Source!AF387*Source!AV387*Source!I387),2)),2), 2)</f>
        <v>5678.99</v>
      </c>
      <c r="R623">
        <f>Source!X387</f>
        <v>115144.37</v>
      </c>
      <c r="S623">
        <f>ROUND((Source!DO387/100)*ROUND((ROUND((Source!AF387*Source!AV387*Source!I387),2)),2), 2)</f>
        <v>4825.01</v>
      </c>
      <c r="T623">
        <f>Source!Y387</f>
        <v>57572.18</v>
      </c>
      <c r="U623">
        <f>ROUND((175/100)*ROUND((ROUND((Source!AE387*Source!AV387*Source!I387),2)),2), 2)</f>
        <v>66.569999999999993</v>
      </c>
      <c r="V623">
        <f>ROUND((157/100)*ROUND(ROUND((ROUND((Source!AE387*Source!AV387*Source!I387),2)*Source!BS387),2), 2), 2)</f>
        <v>1519.35</v>
      </c>
    </row>
    <row r="624" spans="1:27" x14ac:dyDescent="0.2">
      <c r="C624" s="23" t="str">
        <f>"Объем: "&amp;Source!I387&amp;"=1700/"&amp;"100"</f>
        <v>Объем: 17=1700/100</v>
      </c>
    </row>
    <row r="625" spans="1:27" ht="14.25" x14ac:dyDescent="0.2">
      <c r="A625" s="16"/>
      <c r="B625" s="17"/>
      <c r="C625" s="17" t="s">
        <v>1625</v>
      </c>
      <c r="D625" s="19"/>
      <c r="E625" s="18"/>
      <c r="F625" s="21">
        <f>Source!AO387</f>
        <v>218.41</v>
      </c>
      <c r="G625" s="20" t="str">
        <f>Source!DG387</f>
        <v>)*1,15</v>
      </c>
      <c r="H625" s="18">
        <f>Source!AV387</f>
        <v>1</v>
      </c>
      <c r="I625" s="22">
        <f>ROUND((ROUND((Source!AF387*Source!AV387*Source!I387),2)),2)</f>
        <v>4269.92</v>
      </c>
      <c r="J625" s="18">
        <f>IF(Source!BA387&lt;&gt; 0, Source!BA387, 1)</f>
        <v>25.44</v>
      </c>
      <c r="K625" s="22">
        <f>Source!S387</f>
        <v>108626.76</v>
      </c>
      <c r="W625">
        <f>I625</f>
        <v>4269.92</v>
      </c>
    </row>
    <row r="626" spans="1:27" ht="14.25" x14ac:dyDescent="0.2">
      <c r="A626" s="16"/>
      <c r="B626" s="17"/>
      <c r="C626" s="17" t="s">
        <v>1631</v>
      </c>
      <c r="D626" s="19"/>
      <c r="E626" s="18"/>
      <c r="F626" s="21">
        <f>Source!AM387</f>
        <v>31.24</v>
      </c>
      <c r="G626" s="20" t="str">
        <f>Source!DE387</f>
        <v>)*1,25</v>
      </c>
      <c r="H626" s="18">
        <f>Source!AV387</f>
        <v>1</v>
      </c>
      <c r="I626" s="22">
        <f>(ROUND((ROUND((((Source!ET387*1.25))*Source!AV387*Source!I387),2)),2)+ROUND((ROUND(((Source!AE387-((Source!EU387*1.25)))*Source!AV387*Source!I387),2)),2))</f>
        <v>663.85</v>
      </c>
      <c r="J626" s="18">
        <f>IF(Source!BB387&lt;&gt; 0, Source!BB387, 1)</f>
        <v>4.8499999999999996</v>
      </c>
      <c r="K626" s="22">
        <f>Source!Q387</f>
        <v>3219.67</v>
      </c>
    </row>
    <row r="627" spans="1:27" ht="14.25" x14ac:dyDescent="0.2">
      <c r="A627" s="16"/>
      <c r="B627" s="17"/>
      <c r="C627" s="17" t="s">
        <v>1632</v>
      </c>
      <c r="D627" s="19"/>
      <c r="E627" s="18"/>
      <c r="F627" s="21">
        <f>Source!AN387</f>
        <v>1.79</v>
      </c>
      <c r="G627" s="20" t="str">
        <f>Source!DF387</f>
        <v>)*1,25</v>
      </c>
      <c r="H627" s="18">
        <f>Source!AV387</f>
        <v>1</v>
      </c>
      <c r="I627" s="26">
        <f>ROUND((ROUND((Source!AE387*Source!AV387*Source!I387),2)),2)</f>
        <v>38.04</v>
      </c>
      <c r="J627" s="18">
        <f>IF(Source!BS387&lt;&gt; 0, Source!BS387, 1)</f>
        <v>25.44</v>
      </c>
      <c r="K627" s="26">
        <f>Source!R387</f>
        <v>967.74</v>
      </c>
      <c r="W627">
        <f>I627</f>
        <v>38.04</v>
      </c>
    </row>
    <row r="628" spans="1:27" ht="14.25" x14ac:dyDescent="0.2">
      <c r="A628" s="16"/>
      <c r="B628" s="17"/>
      <c r="C628" s="17" t="s">
        <v>1634</v>
      </c>
      <c r="D628" s="19"/>
      <c r="E628" s="18"/>
      <c r="F628" s="21">
        <f>Source!AL387</f>
        <v>1.39</v>
      </c>
      <c r="G628" s="20" t="str">
        <f>Source!DD387</f>
        <v/>
      </c>
      <c r="H628" s="18">
        <f>Source!AW387</f>
        <v>1</v>
      </c>
      <c r="I628" s="22">
        <f>ROUND((ROUND((Source!AC387*Source!AW387*Source!I387),2)),2)</f>
        <v>23.63</v>
      </c>
      <c r="J628" s="18">
        <f>IF(Source!BC387&lt;&gt; 0, Source!BC387, 1)</f>
        <v>5.13</v>
      </c>
      <c r="K628" s="22">
        <f>Source!P387</f>
        <v>121.22</v>
      </c>
    </row>
    <row r="629" spans="1:27" ht="14.25" x14ac:dyDescent="0.2">
      <c r="A629" s="16"/>
      <c r="B629" s="17"/>
      <c r="C629" s="17" t="s">
        <v>1626</v>
      </c>
      <c r="D629" s="19" t="s">
        <v>1627</v>
      </c>
      <c r="E629" s="18">
        <f>Source!DN387</f>
        <v>133</v>
      </c>
      <c r="F629" s="21"/>
      <c r="G629" s="20"/>
      <c r="H629" s="18"/>
      <c r="I629" s="22">
        <f>SUM(Q623:Q628)</f>
        <v>5678.99</v>
      </c>
      <c r="J629" s="18">
        <f>Source!BZ387</f>
        <v>106</v>
      </c>
      <c r="K629" s="22">
        <f>SUM(R623:R628)</f>
        <v>115144.37</v>
      </c>
    </row>
    <row r="630" spans="1:27" ht="14.25" x14ac:dyDescent="0.2">
      <c r="A630" s="16"/>
      <c r="B630" s="17"/>
      <c r="C630" s="17" t="s">
        <v>1628</v>
      </c>
      <c r="D630" s="19" t="s">
        <v>1627</v>
      </c>
      <c r="E630" s="18">
        <f>Source!DO387</f>
        <v>113</v>
      </c>
      <c r="F630" s="21"/>
      <c r="G630" s="20"/>
      <c r="H630" s="18"/>
      <c r="I630" s="22">
        <f>SUM(S623:S629)</f>
        <v>4825.01</v>
      </c>
      <c r="J630" s="18">
        <f>Source!CA387</f>
        <v>53</v>
      </c>
      <c r="K630" s="22">
        <f>SUM(T623:T629)</f>
        <v>57572.18</v>
      </c>
    </row>
    <row r="631" spans="1:27" ht="14.25" x14ac:dyDescent="0.2">
      <c r="A631" s="16"/>
      <c r="B631" s="17"/>
      <c r="C631" s="17" t="s">
        <v>1633</v>
      </c>
      <c r="D631" s="19" t="s">
        <v>1627</v>
      </c>
      <c r="E631" s="18">
        <f>175</f>
        <v>175</v>
      </c>
      <c r="F631" s="21"/>
      <c r="G631" s="20"/>
      <c r="H631" s="18"/>
      <c r="I631" s="22">
        <f>SUM(U623:U630)</f>
        <v>66.569999999999993</v>
      </c>
      <c r="J631" s="18">
        <f>157</f>
        <v>157</v>
      </c>
      <c r="K631" s="22">
        <f>SUM(V623:V630)</f>
        <v>1519.35</v>
      </c>
    </row>
    <row r="632" spans="1:27" ht="14.25" x14ac:dyDescent="0.2">
      <c r="A632" s="16"/>
      <c r="B632" s="17"/>
      <c r="C632" s="17" t="s">
        <v>1629</v>
      </c>
      <c r="D632" s="19" t="s">
        <v>1630</v>
      </c>
      <c r="E632" s="18">
        <f>Source!AQ387</f>
        <v>17.96</v>
      </c>
      <c r="F632" s="21"/>
      <c r="G632" s="20" t="str">
        <f>Source!DI387</f>
        <v>)*1,15</v>
      </c>
      <c r="H632" s="18">
        <f>Source!AV387</f>
        <v>1</v>
      </c>
      <c r="I632" s="22">
        <f>Source!U387</f>
        <v>351.11799999999999</v>
      </c>
      <c r="J632" s="18"/>
      <c r="K632" s="22"/>
    </row>
    <row r="633" spans="1:27" ht="15" x14ac:dyDescent="0.25">
      <c r="A633" s="25"/>
      <c r="B633" s="25"/>
      <c r="C633" s="25"/>
      <c r="D633" s="25"/>
      <c r="E633" s="25"/>
      <c r="F633" s="25"/>
      <c r="G633" s="25"/>
      <c r="H633" s="54">
        <f>I625+I626+I628+I629+I630+I631</f>
        <v>15527.97</v>
      </c>
      <c r="I633" s="54"/>
      <c r="J633" s="54">
        <f>K625+K626+K628+K629+K630+K631</f>
        <v>286203.55</v>
      </c>
      <c r="K633" s="54"/>
      <c r="O633" s="24">
        <f>I625+I626+I628+I629+I630+I631</f>
        <v>15527.97</v>
      </c>
      <c r="P633" s="24">
        <f>K625+K626+K628+K629+K630+K631</f>
        <v>286203.55</v>
      </c>
      <c r="X633">
        <f>IF(Source!BI387&lt;=1,I625+I626+I628+I629+I630+I631-0, 0)</f>
        <v>15527.97</v>
      </c>
      <c r="Y633">
        <f>IF(Source!BI387=2,I625+I626+I628+I629+I630+I631-0, 0)</f>
        <v>0</v>
      </c>
      <c r="Z633">
        <f>IF(Source!BI387=3,I625+I626+I628+I629+I630+I631-0, 0)</f>
        <v>0</v>
      </c>
      <c r="AA633">
        <f>IF(Source!BI387=4,I625+I626+I628+I629+I630+I631,0)</f>
        <v>0</v>
      </c>
    </row>
    <row r="634" spans="1:27" ht="57" x14ac:dyDescent="0.2">
      <c r="A634" s="16" t="str">
        <f>Source!E388</f>
        <v>72</v>
      </c>
      <c r="B634" s="17" t="str">
        <f>Source!F388</f>
        <v>15.2-46-1</v>
      </c>
      <c r="C634" s="17" t="s">
        <v>524</v>
      </c>
      <c r="D634" s="19" t="str">
        <f>Source!H388</f>
        <v>т</v>
      </c>
      <c r="E634" s="18">
        <f>Source!I388</f>
        <v>382.5</v>
      </c>
      <c r="F634" s="21"/>
      <c r="G634" s="20"/>
      <c r="H634" s="18"/>
      <c r="I634" s="22"/>
      <c r="J634" s="18"/>
      <c r="K634" s="22"/>
      <c r="Q634">
        <f>ROUND((Source!DN388/100)*ROUND((ROUND((Source!AF388*Source!AV388*Source!I388),2)),2), 2)</f>
        <v>0</v>
      </c>
      <c r="R634">
        <f>Source!X388</f>
        <v>0</v>
      </c>
      <c r="S634">
        <f>ROUND((Source!DO388/100)*ROUND((ROUND((Source!AF388*Source!AV388*Source!I388),2)),2), 2)</f>
        <v>0</v>
      </c>
      <c r="T634">
        <f>Source!Y388</f>
        <v>0</v>
      </c>
      <c r="U634">
        <f>ROUND((175/100)*ROUND((ROUND((Source!AE388*Source!AV388*Source!I388),2)),2), 2)</f>
        <v>0</v>
      </c>
      <c r="V634">
        <f>ROUND((157/100)*ROUND(ROUND((ROUND((Source!AE388*Source!AV388*Source!I388),2)*Source!BS388),2), 2), 2)</f>
        <v>0</v>
      </c>
    </row>
    <row r="635" spans="1:27" ht="14.25" x14ac:dyDescent="0.2">
      <c r="A635" s="16"/>
      <c r="B635" s="17"/>
      <c r="C635" s="17" t="s">
        <v>1631</v>
      </c>
      <c r="D635" s="19"/>
      <c r="E635" s="18"/>
      <c r="F635" s="21">
        <f>Source!AM388</f>
        <v>46</v>
      </c>
      <c r="G635" s="20" t="str">
        <f>Source!DE388</f>
        <v/>
      </c>
      <c r="H635" s="18">
        <f>Source!AV388</f>
        <v>1</v>
      </c>
      <c r="I635" s="22">
        <f>(ROUND((ROUND(((Source!ET388)*Source!AV388*Source!I388),2)),2)+ROUND((ROUND(((Source!AE388-(Source!EU388))*Source!AV388*Source!I388),2)),2))</f>
        <v>17595</v>
      </c>
      <c r="J635" s="18">
        <f>IF(Source!BB388&lt;&gt; 0, Source!BB388, 1)</f>
        <v>12.21</v>
      </c>
      <c r="K635" s="22">
        <f>Source!Q388</f>
        <v>214834.95</v>
      </c>
    </row>
    <row r="636" spans="1:27" ht="15" x14ac:dyDescent="0.25">
      <c r="A636" s="25"/>
      <c r="B636" s="25"/>
      <c r="C636" s="25"/>
      <c r="D636" s="25"/>
      <c r="E636" s="25"/>
      <c r="F636" s="25"/>
      <c r="G636" s="25"/>
      <c r="H636" s="54">
        <f>I635</f>
        <v>17595</v>
      </c>
      <c r="I636" s="54"/>
      <c r="J636" s="54">
        <f>K635</f>
        <v>214834.95</v>
      </c>
      <c r="K636" s="54"/>
      <c r="O636" s="24">
        <f>I635</f>
        <v>17595</v>
      </c>
      <c r="P636" s="24">
        <f>K635</f>
        <v>214834.95</v>
      </c>
      <c r="X636">
        <f>IF(Source!BI388&lt;=1,I635-0, 0)</f>
        <v>0</v>
      </c>
      <c r="Y636">
        <f>IF(Source!BI388=2,I635-0, 0)</f>
        <v>0</v>
      </c>
      <c r="Z636">
        <f>IF(Source!BI388=3,I635-0, 0)</f>
        <v>0</v>
      </c>
      <c r="AA636">
        <f>IF(Source!BI388=4,I635,0)</f>
        <v>17595</v>
      </c>
    </row>
    <row r="637" spans="1:27" ht="42.75" x14ac:dyDescent="0.2">
      <c r="A637" s="16" t="str">
        <f>Source!E389</f>
        <v>73</v>
      </c>
      <c r="B637" s="17" t="str">
        <f>Source!F389</f>
        <v>15.1-1102-01</v>
      </c>
      <c r="C637" s="17" t="s">
        <v>211</v>
      </c>
      <c r="D637" s="19" t="str">
        <f>Source!H389</f>
        <v>1 Т</v>
      </c>
      <c r="E637" s="18">
        <f>Source!I389</f>
        <v>382.5</v>
      </c>
      <c r="F637" s="21"/>
      <c r="G637" s="20"/>
      <c r="H637" s="18"/>
      <c r="I637" s="22"/>
      <c r="J637" s="18"/>
      <c r="K637" s="22"/>
      <c r="Q637">
        <f>ROUND((Source!DN389/100)*ROUND((ROUND((Source!AF389*Source!AV389*Source!I389),2)),2), 2)</f>
        <v>0</v>
      </c>
      <c r="R637">
        <f>Source!X389</f>
        <v>0</v>
      </c>
      <c r="S637">
        <f>ROUND((Source!DO389/100)*ROUND((ROUND((Source!AF389*Source!AV389*Source!I389),2)),2), 2)</f>
        <v>0</v>
      </c>
      <c r="T637">
        <f>Source!Y389</f>
        <v>0</v>
      </c>
      <c r="U637">
        <f>ROUND((175/100)*ROUND((ROUND((Source!AE389*Source!AV389*Source!I389),2)),2), 2)</f>
        <v>0</v>
      </c>
      <c r="V637">
        <f>ROUND((157/100)*ROUND(ROUND((ROUND((Source!AE389*Source!AV389*Source!I389),2)*Source!BS389),2), 2), 2)</f>
        <v>0</v>
      </c>
    </row>
    <row r="638" spans="1:27" ht="14.25" x14ac:dyDescent="0.2">
      <c r="A638" s="16"/>
      <c r="B638" s="17"/>
      <c r="C638" s="17" t="s">
        <v>1631</v>
      </c>
      <c r="D638" s="19"/>
      <c r="E638" s="18"/>
      <c r="F638" s="21">
        <f>Source!AM389</f>
        <v>12.61</v>
      </c>
      <c r="G638" s="20" t="str">
        <f>Source!DE389</f>
        <v/>
      </c>
      <c r="H638" s="18">
        <f>Source!AV389</f>
        <v>1</v>
      </c>
      <c r="I638" s="22">
        <f>(ROUND((ROUND(((Source!ET389)*Source!AV389*Source!I389),2)),2)+ROUND((ROUND(((Source!AE389-(Source!EU389))*Source!AV389*Source!I389),2)),2))</f>
        <v>4823.33</v>
      </c>
      <c r="J638" s="18">
        <f>IF(Source!BB389&lt;&gt; 0, Source!BB389, 1)</f>
        <v>7.63</v>
      </c>
      <c r="K638" s="22">
        <f>Source!Q389</f>
        <v>36802.01</v>
      </c>
    </row>
    <row r="639" spans="1:27" ht="15" x14ac:dyDescent="0.25">
      <c r="A639" s="25"/>
      <c r="B639" s="25"/>
      <c r="C639" s="25"/>
      <c r="D639" s="25"/>
      <c r="E639" s="25"/>
      <c r="F639" s="25"/>
      <c r="G639" s="25"/>
      <c r="H639" s="54">
        <f>I638</f>
        <v>4823.33</v>
      </c>
      <c r="I639" s="54"/>
      <c r="J639" s="54">
        <f>K638</f>
        <v>36802.01</v>
      </c>
      <c r="K639" s="54"/>
      <c r="O639" s="24">
        <f>I638</f>
        <v>4823.33</v>
      </c>
      <c r="P639" s="24">
        <f>K638</f>
        <v>36802.01</v>
      </c>
      <c r="X639">
        <f>IF(Source!BI389&lt;=1,I638-0, 0)</f>
        <v>0</v>
      </c>
      <c r="Y639">
        <f>IF(Source!BI389=2,I638-0, 0)</f>
        <v>0</v>
      </c>
      <c r="Z639">
        <f>IF(Source!BI389=3,I638-0, 0)</f>
        <v>0</v>
      </c>
      <c r="AA639">
        <f>IF(Source!BI389=4,I638,0)</f>
        <v>4823.33</v>
      </c>
    </row>
    <row r="640" spans="1:27" ht="42.75" x14ac:dyDescent="0.2">
      <c r="A640" s="16" t="str">
        <f>Source!E390</f>
        <v>74</v>
      </c>
      <c r="B640" s="17" t="str">
        <f>Source!F390</f>
        <v>3.11-28-1</v>
      </c>
      <c r="C640" s="17" t="s">
        <v>366</v>
      </c>
      <c r="D640" s="19" t="str">
        <f>Source!H390</f>
        <v>100 м плинтусов</v>
      </c>
      <c r="E640" s="18">
        <f>Source!I390</f>
        <v>0.45</v>
      </c>
      <c r="F640" s="21"/>
      <c r="G640" s="20"/>
      <c r="H640" s="18"/>
      <c r="I640" s="22"/>
      <c r="J640" s="18"/>
      <c r="K640" s="22"/>
      <c r="Q640">
        <f>ROUND((Source!DN390/100)*ROUND((ROUND((Source!AF390*Source!AV390*Source!I390),2)),2), 2)</f>
        <v>46.03</v>
      </c>
      <c r="R640">
        <f>Source!X390</f>
        <v>957.07</v>
      </c>
      <c r="S640">
        <f>ROUND((Source!DO390/100)*ROUND((ROUND((Source!AF390*Source!AV390*Source!I390),2)),2), 2)</f>
        <v>30.98</v>
      </c>
      <c r="T640">
        <f>Source!Y390</f>
        <v>461.65</v>
      </c>
      <c r="U640">
        <f>ROUND((175/100)*ROUND((ROUND((Source!AE390*Source!AV390*Source!I390),2)),2), 2)</f>
        <v>1.38</v>
      </c>
      <c r="V640">
        <f>ROUND((157/100)*ROUND(ROUND((ROUND((Source!AE390*Source!AV390*Source!I390),2)*Source!BS390),2), 2), 2)</f>
        <v>31.56</v>
      </c>
    </row>
    <row r="641" spans="1:27" x14ac:dyDescent="0.2">
      <c r="C641" s="23" t="str">
        <f>"Объем: "&amp;Source!I390&amp;"=45/"&amp;"100"</f>
        <v>Объем: 0,45=45/100</v>
      </c>
    </row>
    <row r="642" spans="1:27" ht="14.25" x14ac:dyDescent="0.2">
      <c r="A642" s="16"/>
      <c r="B642" s="17"/>
      <c r="C642" s="17" t="s">
        <v>1625</v>
      </c>
      <c r="D642" s="19"/>
      <c r="E642" s="18"/>
      <c r="F642" s="21">
        <f>Source!AO390</f>
        <v>85.53</v>
      </c>
      <c r="G642" s="20" t="str">
        <f>Source!DG390</f>
        <v>)*1,15</v>
      </c>
      <c r="H642" s="18">
        <f>Source!AV390</f>
        <v>1</v>
      </c>
      <c r="I642" s="22">
        <f>ROUND((ROUND((Source!AF390*Source!AV390*Source!I390),2)),2)</f>
        <v>44.26</v>
      </c>
      <c r="J642" s="18">
        <f>IF(Source!BA390&lt;&gt; 0, Source!BA390, 1)</f>
        <v>25.44</v>
      </c>
      <c r="K642" s="22">
        <f>Source!S390</f>
        <v>1125.97</v>
      </c>
      <c r="W642">
        <f>I642</f>
        <v>44.26</v>
      </c>
    </row>
    <row r="643" spans="1:27" ht="14.25" x14ac:dyDescent="0.2">
      <c r="A643" s="16"/>
      <c r="B643" s="17"/>
      <c r="C643" s="17" t="s">
        <v>1631</v>
      </c>
      <c r="D643" s="19"/>
      <c r="E643" s="18"/>
      <c r="F643" s="21">
        <f>Source!AM390</f>
        <v>5.96</v>
      </c>
      <c r="G643" s="20" t="str">
        <f>Source!DE390</f>
        <v>)*1,25</v>
      </c>
      <c r="H643" s="18">
        <f>Source!AV390</f>
        <v>1</v>
      </c>
      <c r="I643" s="22">
        <f>(ROUND((ROUND((((Source!ET390*1.25))*Source!AV390*Source!I390),2)),2)+ROUND((ROUND(((Source!AE390-((Source!EU390*1.25)))*Source!AV390*Source!I390),2)),2))</f>
        <v>3.35</v>
      </c>
      <c r="J643" s="18">
        <f>IF(Source!BB390&lt;&gt; 0, Source!BB390, 1)</f>
        <v>10.48</v>
      </c>
      <c r="K643" s="22">
        <f>Source!Q390</f>
        <v>35.11</v>
      </c>
    </row>
    <row r="644" spans="1:27" ht="14.25" x14ac:dyDescent="0.2">
      <c r="A644" s="16"/>
      <c r="B644" s="17"/>
      <c r="C644" s="17" t="s">
        <v>1632</v>
      </c>
      <c r="D644" s="19"/>
      <c r="E644" s="18"/>
      <c r="F644" s="21">
        <f>Source!AN390</f>
        <v>1.41</v>
      </c>
      <c r="G644" s="20" t="str">
        <f>Source!DF390</f>
        <v>)*1,25</v>
      </c>
      <c r="H644" s="18">
        <f>Source!AV390</f>
        <v>1</v>
      </c>
      <c r="I644" s="26">
        <f>ROUND((ROUND((Source!AE390*Source!AV390*Source!I390),2)),2)</f>
        <v>0.79</v>
      </c>
      <c r="J644" s="18">
        <f>IF(Source!BS390&lt;&gt; 0, Source!BS390, 1)</f>
        <v>25.44</v>
      </c>
      <c r="K644" s="26">
        <f>Source!R390</f>
        <v>20.100000000000001</v>
      </c>
      <c r="W644">
        <f>I644</f>
        <v>0.79</v>
      </c>
    </row>
    <row r="645" spans="1:27" ht="14.25" x14ac:dyDescent="0.2">
      <c r="A645" s="16"/>
      <c r="B645" s="17"/>
      <c r="C645" s="17" t="s">
        <v>1634</v>
      </c>
      <c r="D645" s="19"/>
      <c r="E645" s="18"/>
      <c r="F645" s="21">
        <f>Source!AL390</f>
        <v>4.84</v>
      </c>
      <c r="G645" s="20" t="str">
        <f>Source!DD390</f>
        <v/>
      </c>
      <c r="H645" s="18">
        <f>Source!AW390</f>
        <v>1</v>
      </c>
      <c r="I645" s="22">
        <f>ROUND((ROUND((Source!AC390*Source!AW390*Source!I390),2)),2)</f>
        <v>2.1800000000000002</v>
      </c>
      <c r="J645" s="18">
        <f>IF(Source!BC390&lt;&gt; 0, Source!BC390, 1)</f>
        <v>7.92</v>
      </c>
      <c r="K645" s="22">
        <f>Source!P390</f>
        <v>17.27</v>
      </c>
    </row>
    <row r="646" spans="1:27" ht="14.25" x14ac:dyDescent="0.2">
      <c r="A646" s="16" t="str">
        <f>Source!E391</f>
        <v>74,1</v>
      </c>
      <c r="B646" s="17" t="str">
        <f>Source!F391</f>
        <v>1.1-1-132</v>
      </c>
      <c r="C646" s="17" t="s">
        <v>373</v>
      </c>
      <c r="D646" s="19" t="str">
        <f>Source!H391</f>
        <v>т</v>
      </c>
      <c r="E646" s="18">
        <f>Source!I391</f>
        <v>-1.8900000000000001E-4</v>
      </c>
      <c r="F646" s="21">
        <f>Source!AK391</f>
        <v>6521.42</v>
      </c>
      <c r="G646" s="27" t="s">
        <v>3</v>
      </c>
      <c r="H646" s="18">
        <f>Source!AW391</f>
        <v>1</v>
      </c>
      <c r="I646" s="22">
        <f>ROUND((ROUND((Source!AC391*Source!AW391*Source!I391),2)),2)+(ROUND((ROUND(((Source!ET391)*Source!AV391*Source!I391),2)),2)+ROUND((ROUND(((Source!AE391-(Source!EU391))*Source!AV391*Source!I391),2)),2))+ROUND((ROUND((Source!AF391*Source!AV391*Source!I391),2)),2)</f>
        <v>-1.23</v>
      </c>
      <c r="J646" s="18">
        <f>IF(Source!BC391&lt;&gt; 0, Source!BC391, 1)</f>
        <v>8.9499999999999993</v>
      </c>
      <c r="K646" s="22">
        <f>Source!O391</f>
        <v>-11.01</v>
      </c>
      <c r="Q646">
        <f>ROUND((Source!DN391/100)*ROUND((ROUND((Source!AF391*Source!AV391*Source!I391),2)),2), 2)</f>
        <v>0</v>
      </c>
      <c r="R646">
        <f>Source!X391</f>
        <v>0</v>
      </c>
      <c r="S646">
        <f>ROUND((Source!DO391/100)*ROUND((ROUND((Source!AF391*Source!AV391*Source!I391),2)),2), 2)</f>
        <v>0</v>
      </c>
      <c r="T646">
        <f>Source!Y391</f>
        <v>0</v>
      </c>
      <c r="U646">
        <f>ROUND((175/100)*ROUND((ROUND((Source!AE391*Source!AV391*Source!I391),2)),2), 2)</f>
        <v>0</v>
      </c>
      <c r="V646">
        <f>ROUND((157/100)*ROUND(ROUND((ROUND((Source!AE391*Source!AV391*Source!I391),2)*Source!BS391),2), 2), 2)</f>
        <v>0</v>
      </c>
      <c r="X646">
        <f>IF(Source!BI391&lt;=1,I646, 0)</f>
        <v>-1.23</v>
      </c>
      <c r="Y646">
        <f>IF(Source!BI391=2,I646, 0)</f>
        <v>0</v>
      </c>
      <c r="Z646">
        <f>IF(Source!BI391=3,I646, 0)</f>
        <v>0</v>
      </c>
      <c r="AA646">
        <f>IF(Source!BI391=4,I646, 0)</f>
        <v>0</v>
      </c>
    </row>
    <row r="647" spans="1:27" ht="42.75" x14ac:dyDescent="0.2">
      <c r="A647" s="16" t="str">
        <f>Source!E392</f>
        <v>74,2</v>
      </c>
      <c r="B647" s="17" t="str">
        <f>Source!F392</f>
        <v>Цена поставщика</v>
      </c>
      <c r="C647" s="17" t="s">
        <v>1653</v>
      </c>
      <c r="D647" s="19" t="str">
        <f>Source!H392</f>
        <v>м</v>
      </c>
      <c r="E647" s="18">
        <f>Source!I392</f>
        <v>45.42</v>
      </c>
      <c r="F647" s="21">
        <f>Source!AK392</f>
        <v>7.75</v>
      </c>
      <c r="G647" s="27" t="s">
        <v>3</v>
      </c>
      <c r="H647" s="18">
        <f>Source!AW392</f>
        <v>1</v>
      </c>
      <c r="I647" s="22">
        <f>ROUND((ROUND((Source!AC392*Source!AW392*Source!I392),2)),2)+(ROUND((ROUND(((Source!ET392)*Source!AV392*Source!I392),2)),2)+ROUND((ROUND(((Source!AE392-(Source!EU392))*Source!AV392*Source!I392),2)),2))+ROUND((ROUND((Source!AF392*Source!AV392*Source!I392),2)),2)</f>
        <v>352.01</v>
      </c>
      <c r="J647" s="18">
        <f>IF(Source!BC392&lt;&gt; 0, Source!BC392, 1)</f>
        <v>6.34</v>
      </c>
      <c r="K647" s="22">
        <f>Source!O392</f>
        <v>2231.7399999999998</v>
      </c>
      <c r="Q647">
        <f>ROUND((Source!DN392/100)*ROUND((ROUND((Source!AF392*Source!AV392*Source!I392),2)),2), 2)</f>
        <v>0</v>
      </c>
      <c r="R647">
        <f>Source!X392</f>
        <v>0</v>
      </c>
      <c r="S647">
        <f>ROUND((Source!DO392/100)*ROUND((ROUND((Source!AF392*Source!AV392*Source!I392),2)),2), 2)</f>
        <v>0</v>
      </c>
      <c r="T647">
        <f>Source!Y392</f>
        <v>0</v>
      </c>
      <c r="U647">
        <f>ROUND((175/100)*ROUND((ROUND((Source!AE392*Source!AV392*Source!I392),2)),2), 2)</f>
        <v>0</v>
      </c>
      <c r="V647">
        <f>ROUND((157/100)*ROUND(ROUND((ROUND((Source!AE392*Source!AV392*Source!I392),2)*Source!BS392),2), 2), 2)</f>
        <v>0</v>
      </c>
      <c r="X647">
        <f>IF(Source!BI392&lt;=1,I647, 0)</f>
        <v>352.01</v>
      </c>
      <c r="Y647">
        <f>IF(Source!BI392=2,I647, 0)</f>
        <v>0</v>
      </c>
      <c r="Z647">
        <f>IF(Source!BI392=3,I647, 0)</f>
        <v>0</v>
      </c>
      <c r="AA647">
        <f>IF(Source!BI392=4,I647, 0)</f>
        <v>0</v>
      </c>
    </row>
    <row r="648" spans="1:27" ht="14.25" x14ac:dyDescent="0.2">
      <c r="A648" s="16"/>
      <c r="B648" s="17"/>
      <c r="C648" s="17" t="s">
        <v>1626</v>
      </c>
      <c r="D648" s="19" t="s">
        <v>1627</v>
      </c>
      <c r="E648" s="18">
        <f>Source!DN390</f>
        <v>104</v>
      </c>
      <c r="F648" s="21"/>
      <c r="G648" s="20"/>
      <c r="H648" s="18"/>
      <c r="I648" s="22">
        <f>SUM(Q640:Q647)</f>
        <v>46.03</v>
      </c>
      <c r="J648" s="18">
        <f>Source!BZ390</f>
        <v>85</v>
      </c>
      <c r="K648" s="22">
        <f>SUM(R640:R647)</f>
        <v>957.07</v>
      </c>
    </row>
    <row r="649" spans="1:27" ht="14.25" x14ac:dyDescent="0.2">
      <c r="A649" s="16"/>
      <c r="B649" s="17"/>
      <c r="C649" s="17" t="s">
        <v>1628</v>
      </c>
      <c r="D649" s="19" t="s">
        <v>1627</v>
      </c>
      <c r="E649" s="18">
        <f>Source!DO390</f>
        <v>70</v>
      </c>
      <c r="F649" s="21"/>
      <c r="G649" s="20"/>
      <c r="H649" s="18"/>
      <c r="I649" s="22">
        <f>SUM(S640:S648)</f>
        <v>30.98</v>
      </c>
      <c r="J649" s="18">
        <f>Source!CA390</f>
        <v>41</v>
      </c>
      <c r="K649" s="22">
        <f>SUM(T640:T648)</f>
        <v>461.65</v>
      </c>
    </row>
    <row r="650" spans="1:27" ht="14.25" x14ac:dyDescent="0.2">
      <c r="A650" s="16"/>
      <c r="B650" s="17"/>
      <c r="C650" s="17" t="s">
        <v>1633</v>
      </c>
      <c r="D650" s="19" t="s">
        <v>1627</v>
      </c>
      <c r="E650" s="18">
        <f>175</f>
        <v>175</v>
      </c>
      <c r="F650" s="21"/>
      <c r="G650" s="20"/>
      <c r="H650" s="18"/>
      <c r="I650" s="22">
        <f>SUM(U640:U649)</f>
        <v>1.38</v>
      </c>
      <c r="J650" s="18">
        <f>157</f>
        <v>157</v>
      </c>
      <c r="K650" s="22">
        <f>SUM(V640:V649)</f>
        <v>31.56</v>
      </c>
    </row>
    <row r="651" spans="1:27" ht="14.25" x14ac:dyDescent="0.2">
      <c r="A651" s="16"/>
      <c r="B651" s="17"/>
      <c r="C651" s="17" t="s">
        <v>1629</v>
      </c>
      <c r="D651" s="19" t="s">
        <v>1630</v>
      </c>
      <c r="E651" s="18">
        <f>Source!AQ390</f>
        <v>7.65</v>
      </c>
      <c r="F651" s="21"/>
      <c r="G651" s="20" t="str">
        <f>Source!DI390</f>
        <v>)*1,15</v>
      </c>
      <c r="H651" s="18">
        <f>Source!AV390</f>
        <v>1</v>
      </c>
      <c r="I651" s="22">
        <f>Source!U390</f>
        <v>3.9588749999999999</v>
      </c>
      <c r="J651" s="18"/>
      <c r="K651" s="22"/>
    </row>
    <row r="652" spans="1:27" ht="15" x14ac:dyDescent="0.25">
      <c r="A652" s="25"/>
      <c r="B652" s="25"/>
      <c r="C652" s="25"/>
      <c r="D652" s="25"/>
      <c r="E652" s="25"/>
      <c r="F652" s="25"/>
      <c r="G652" s="25"/>
      <c r="H652" s="54">
        <f>I642+I643+I645+I648+I649+I650+SUM(I646:I647)</f>
        <v>478.96</v>
      </c>
      <c r="I652" s="54"/>
      <c r="J652" s="54">
        <f>K642+K643+K645+K648+K649+K650+SUM(K646:K647)</f>
        <v>4849.3599999999997</v>
      </c>
      <c r="K652" s="54"/>
      <c r="O652" s="24">
        <f>I642+I643+I645+I648+I649+I650+SUM(I646:I647)</f>
        <v>478.96</v>
      </c>
      <c r="P652" s="24">
        <f>K642+K643+K645+K648+K649+K650+SUM(K646:K647)</f>
        <v>4849.3599999999997</v>
      </c>
      <c r="X652">
        <f>IF(Source!BI390&lt;=1,I642+I643+I645+I648+I649+I650-0, 0)</f>
        <v>128.18</v>
      </c>
      <c r="Y652">
        <f>IF(Source!BI390=2,I642+I643+I645+I648+I649+I650-0, 0)</f>
        <v>0</v>
      </c>
      <c r="Z652">
        <f>IF(Source!BI390=3,I642+I643+I645+I648+I649+I650-0, 0)</f>
        <v>0</v>
      </c>
      <c r="AA652">
        <f>IF(Source!BI390=4,I642+I643+I645+I648+I649+I650,0)</f>
        <v>0</v>
      </c>
    </row>
    <row r="653" spans="1:27" ht="99.75" x14ac:dyDescent="0.2">
      <c r="A653" s="16" t="str">
        <f>Source!E393</f>
        <v>75</v>
      </c>
      <c r="B653" s="17" t="str">
        <f>Source!F393</f>
        <v>3.17-7-1</v>
      </c>
      <c r="C653" s="17" t="s">
        <v>532</v>
      </c>
      <c r="D653" s="19" t="str">
        <f>Source!H393</f>
        <v>1 бак</v>
      </c>
      <c r="E653" s="18">
        <f>Source!I393</f>
        <v>1</v>
      </c>
      <c r="F653" s="21"/>
      <c r="G653" s="20"/>
      <c r="H653" s="18"/>
      <c r="I653" s="22"/>
      <c r="J653" s="18"/>
      <c r="K653" s="22"/>
      <c r="Q653">
        <f>ROUND((Source!DN393/100)*ROUND((ROUND((Source!AF393*Source!AV393*Source!I393),2)),2), 2)</f>
        <v>196.8</v>
      </c>
      <c r="R653">
        <f>Source!X393</f>
        <v>4005.29</v>
      </c>
      <c r="S653">
        <f>ROUND((Source!DO393/100)*ROUND((ROUND((Source!AF393*Source!AV393*Source!I393),2)),2), 2)</f>
        <v>132.38999999999999</v>
      </c>
      <c r="T653">
        <f>Source!Y393</f>
        <v>1866.1</v>
      </c>
      <c r="U653">
        <f>ROUND((175/100)*ROUND((ROUND((Source!AE393*Source!AV393*Source!I393),2)),2), 2)</f>
        <v>9.3800000000000008</v>
      </c>
      <c r="V653">
        <f>ROUND((157/100)*ROUND(ROUND((ROUND((Source!AE393*Source!AV393*Source!I393),2)*Source!BS393),2), 2), 2)</f>
        <v>214.09</v>
      </c>
    </row>
    <row r="654" spans="1:27" ht="14.25" x14ac:dyDescent="0.2">
      <c r="A654" s="16"/>
      <c r="B654" s="17"/>
      <c r="C654" s="17" t="s">
        <v>1625</v>
      </c>
      <c r="D654" s="19"/>
      <c r="E654" s="18"/>
      <c r="F654" s="21">
        <f>Source!AO393</f>
        <v>155.57</v>
      </c>
      <c r="G654" s="20" t="str">
        <f>Source!DG393</f>
        <v>)*1,15</v>
      </c>
      <c r="H654" s="18">
        <f>Source!AV393</f>
        <v>1</v>
      </c>
      <c r="I654" s="22">
        <f>ROUND((ROUND((Source!AF393*Source!AV393*Source!I393),2)),2)</f>
        <v>178.91</v>
      </c>
      <c r="J654" s="18">
        <f>IF(Source!BA393&lt;&gt; 0, Source!BA393, 1)</f>
        <v>25.44</v>
      </c>
      <c r="K654" s="22">
        <f>Source!S393</f>
        <v>4551.47</v>
      </c>
      <c r="W654">
        <f>I654</f>
        <v>178.91</v>
      </c>
    </row>
    <row r="655" spans="1:27" ht="14.25" x14ac:dyDescent="0.2">
      <c r="A655" s="16"/>
      <c r="B655" s="17"/>
      <c r="C655" s="17" t="s">
        <v>1631</v>
      </c>
      <c r="D655" s="19"/>
      <c r="E655" s="18"/>
      <c r="F655" s="21">
        <f>Source!AM393</f>
        <v>33.29</v>
      </c>
      <c r="G655" s="20" t="str">
        <f>Source!DE393</f>
        <v>)*1,25</v>
      </c>
      <c r="H655" s="18">
        <f>Source!AV393</f>
        <v>1</v>
      </c>
      <c r="I655" s="22">
        <f>(ROUND((ROUND((((Source!ET393*1.25))*Source!AV393*Source!I393),2)),2)+ROUND((ROUND(((Source!AE393-((Source!EU393*1.25)))*Source!AV393*Source!I393),2)),2))</f>
        <v>41.61</v>
      </c>
      <c r="J655" s="18">
        <f>IF(Source!BB393&lt;&gt; 0, Source!BB393, 1)</f>
        <v>9</v>
      </c>
      <c r="K655" s="22">
        <f>Source!Q393</f>
        <v>374.49</v>
      </c>
    </row>
    <row r="656" spans="1:27" ht="14.25" x14ac:dyDescent="0.2">
      <c r="A656" s="16"/>
      <c r="B656" s="17"/>
      <c r="C656" s="17" t="s">
        <v>1632</v>
      </c>
      <c r="D656" s="19"/>
      <c r="E656" s="18"/>
      <c r="F656" s="21">
        <f>Source!AN393</f>
        <v>4.29</v>
      </c>
      <c r="G656" s="20" t="str">
        <f>Source!DF393</f>
        <v>)*1,25</v>
      </c>
      <c r="H656" s="18">
        <f>Source!AV393</f>
        <v>1</v>
      </c>
      <c r="I656" s="26">
        <f>ROUND((ROUND((Source!AE393*Source!AV393*Source!I393),2)),2)</f>
        <v>5.36</v>
      </c>
      <c r="J656" s="18">
        <f>IF(Source!BS393&lt;&gt; 0, Source!BS393, 1)</f>
        <v>25.44</v>
      </c>
      <c r="K656" s="26">
        <f>Source!R393</f>
        <v>136.36000000000001</v>
      </c>
      <c r="W656">
        <f>I656</f>
        <v>5.36</v>
      </c>
    </row>
    <row r="657" spans="1:27" ht="14.25" x14ac:dyDescent="0.2">
      <c r="A657" s="16"/>
      <c r="B657" s="17"/>
      <c r="C657" s="17" t="s">
        <v>1634</v>
      </c>
      <c r="D657" s="19"/>
      <c r="E657" s="18"/>
      <c r="F657" s="21">
        <f>Source!AL393</f>
        <v>19.510000000000002</v>
      </c>
      <c r="G657" s="20" t="str">
        <f>Source!DD393</f>
        <v/>
      </c>
      <c r="H657" s="18">
        <f>Source!AW393</f>
        <v>1</v>
      </c>
      <c r="I657" s="22">
        <f>ROUND((ROUND((Source!AC393*Source!AW393*Source!I393),2)),2)</f>
        <v>19.510000000000002</v>
      </c>
      <c r="J657" s="18">
        <f>IF(Source!BC393&lt;&gt; 0, Source!BC393, 1)</f>
        <v>5.04</v>
      </c>
      <c r="K657" s="22">
        <f>Source!P393</f>
        <v>98.33</v>
      </c>
    </row>
    <row r="658" spans="1:27" ht="14.25" x14ac:dyDescent="0.2">
      <c r="A658" s="16"/>
      <c r="B658" s="17"/>
      <c r="C658" s="17" t="s">
        <v>1626</v>
      </c>
      <c r="D658" s="19" t="s">
        <v>1627</v>
      </c>
      <c r="E658" s="18">
        <f>Source!DN393</f>
        <v>110</v>
      </c>
      <c r="F658" s="21"/>
      <c r="G658" s="20"/>
      <c r="H658" s="18"/>
      <c r="I658" s="22">
        <f>SUM(Q653:Q657)</f>
        <v>196.8</v>
      </c>
      <c r="J658" s="18">
        <f>Source!BZ393</f>
        <v>88</v>
      </c>
      <c r="K658" s="22">
        <f>SUM(R653:R657)</f>
        <v>4005.29</v>
      </c>
    </row>
    <row r="659" spans="1:27" ht="14.25" x14ac:dyDescent="0.2">
      <c r="A659" s="16"/>
      <c r="B659" s="17"/>
      <c r="C659" s="17" t="s">
        <v>1628</v>
      </c>
      <c r="D659" s="19" t="s">
        <v>1627</v>
      </c>
      <c r="E659" s="18">
        <f>Source!DO393</f>
        <v>74</v>
      </c>
      <c r="F659" s="21"/>
      <c r="G659" s="20"/>
      <c r="H659" s="18"/>
      <c r="I659" s="22">
        <f>SUM(S653:S658)</f>
        <v>132.38999999999999</v>
      </c>
      <c r="J659" s="18">
        <f>Source!CA393</f>
        <v>41</v>
      </c>
      <c r="K659" s="22">
        <f>SUM(T653:T658)</f>
        <v>1866.1</v>
      </c>
    </row>
    <row r="660" spans="1:27" ht="14.25" x14ac:dyDescent="0.2">
      <c r="A660" s="16"/>
      <c r="B660" s="17"/>
      <c r="C660" s="17" t="s">
        <v>1633</v>
      </c>
      <c r="D660" s="19" t="s">
        <v>1627</v>
      </c>
      <c r="E660" s="18">
        <f>175</f>
        <v>175</v>
      </c>
      <c r="F660" s="21"/>
      <c r="G660" s="20"/>
      <c r="H660" s="18"/>
      <c r="I660" s="22">
        <f>SUM(U653:U659)</f>
        <v>9.3800000000000008</v>
      </c>
      <c r="J660" s="18">
        <f>157</f>
        <v>157</v>
      </c>
      <c r="K660" s="22">
        <f>SUM(V653:V659)</f>
        <v>214.09</v>
      </c>
    </row>
    <row r="661" spans="1:27" ht="14.25" x14ac:dyDescent="0.2">
      <c r="A661" s="16"/>
      <c r="B661" s="17"/>
      <c r="C661" s="17" t="s">
        <v>1629</v>
      </c>
      <c r="D661" s="19" t="s">
        <v>1630</v>
      </c>
      <c r="E661" s="18">
        <f>Source!AQ393</f>
        <v>13.4</v>
      </c>
      <c r="F661" s="21"/>
      <c r="G661" s="20" t="str">
        <f>Source!DI393</f>
        <v>)*1,15</v>
      </c>
      <c r="H661" s="18">
        <f>Source!AV393</f>
        <v>1</v>
      </c>
      <c r="I661" s="22">
        <f>Source!U393</f>
        <v>15.409999999999998</v>
      </c>
      <c r="J661" s="18"/>
      <c r="K661" s="22"/>
    </row>
    <row r="662" spans="1:27" ht="15" x14ac:dyDescent="0.25">
      <c r="A662" s="25"/>
      <c r="B662" s="25"/>
      <c r="C662" s="25"/>
      <c r="D662" s="25"/>
      <c r="E662" s="25"/>
      <c r="F662" s="25"/>
      <c r="G662" s="25"/>
      <c r="H662" s="54">
        <f>I654+I655+I657+I658+I659+I660</f>
        <v>578.6</v>
      </c>
      <c r="I662" s="54"/>
      <c r="J662" s="54">
        <f>K654+K655+K657+K658+K659+K660</f>
        <v>11109.77</v>
      </c>
      <c r="K662" s="54"/>
      <c r="O662" s="24">
        <f>I654+I655+I657+I658+I659+I660</f>
        <v>578.6</v>
      </c>
      <c r="P662" s="24">
        <f>K654+K655+K657+K658+K659+K660</f>
        <v>11109.77</v>
      </c>
      <c r="X662">
        <f>IF(Source!BI393&lt;=1,I654+I655+I657+I658+I659+I660-0, 0)</f>
        <v>578.6</v>
      </c>
      <c r="Y662">
        <f>IF(Source!BI393=2,I654+I655+I657+I658+I659+I660-0, 0)</f>
        <v>0</v>
      </c>
      <c r="Z662">
        <f>IF(Source!BI393=3,I654+I655+I657+I658+I659+I660-0, 0)</f>
        <v>0</v>
      </c>
      <c r="AA662">
        <f>IF(Source!BI393=4,I654+I655+I657+I658+I659+I660,0)</f>
        <v>0</v>
      </c>
    </row>
    <row r="663" spans="1:27" ht="28.5" x14ac:dyDescent="0.2">
      <c r="A663" s="16" t="str">
        <f>Source!E394</f>
        <v>76</v>
      </c>
      <c r="B663" s="17" t="str">
        <f>Source!F394</f>
        <v>3.18-19-1</v>
      </c>
      <c r="C663" s="17" t="s">
        <v>539</v>
      </c>
      <c r="D663" s="19" t="str">
        <f>Source!H394</f>
        <v>1 фильтр</v>
      </c>
      <c r="E663" s="18">
        <f>Source!I394</f>
        <v>1</v>
      </c>
      <c r="F663" s="21"/>
      <c r="G663" s="20"/>
      <c r="H663" s="18"/>
      <c r="I663" s="22"/>
      <c r="J663" s="18"/>
      <c r="K663" s="22"/>
      <c r="Q663">
        <f>ROUND((Source!DN394/100)*ROUND((ROUND((Source!AF394*Source!AV394*Source!I394),2)),2), 2)</f>
        <v>11.7</v>
      </c>
      <c r="R663">
        <f>Source!X394</f>
        <v>238.2</v>
      </c>
      <c r="S663">
        <f>ROUND((Source!DO394/100)*ROUND((ROUND((Source!AF394*Source!AV394*Source!I394),2)),2), 2)</f>
        <v>7.87</v>
      </c>
      <c r="T663">
        <f>Source!Y394</f>
        <v>110.98</v>
      </c>
      <c r="U663">
        <f>ROUND((175/100)*ROUND((ROUND((Source!AE394*Source!AV394*Source!I394),2)),2), 2)</f>
        <v>1.05</v>
      </c>
      <c r="V663">
        <f>ROUND((157/100)*ROUND(ROUND((ROUND((Source!AE394*Source!AV394*Source!I394),2)*Source!BS394),2), 2), 2)</f>
        <v>23.96</v>
      </c>
    </row>
    <row r="664" spans="1:27" ht="14.25" x14ac:dyDescent="0.2">
      <c r="A664" s="16"/>
      <c r="B664" s="17"/>
      <c r="C664" s="17" t="s">
        <v>1625</v>
      </c>
      <c r="D664" s="19"/>
      <c r="E664" s="18"/>
      <c r="F664" s="21">
        <f>Source!AO394</f>
        <v>9.25</v>
      </c>
      <c r="G664" s="20" t="str">
        <f>Source!DG394</f>
        <v>)*1,15</v>
      </c>
      <c r="H664" s="18">
        <f>Source!AV394</f>
        <v>1</v>
      </c>
      <c r="I664" s="22">
        <f>ROUND((ROUND((Source!AF394*Source!AV394*Source!I394),2)),2)</f>
        <v>10.64</v>
      </c>
      <c r="J664" s="18">
        <f>IF(Source!BA394&lt;&gt; 0, Source!BA394, 1)</f>
        <v>25.44</v>
      </c>
      <c r="K664" s="22">
        <f>Source!S394</f>
        <v>270.68</v>
      </c>
      <c r="W664">
        <f>I664</f>
        <v>10.64</v>
      </c>
    </row>
    <row r="665" spans="1:27" ht="14.25" x14ac:dyDescent="0.2">
      <c r="A665" s="16"/>
      <c r="B665" s="17"/>
      <c r="C665" s="17" t="s">
        <v>1631</v>
      </c>
      <c r="D665" s="19"/>
      <c r="E665" s="18"/>
      <c r="F665" s="21">
        <f>Source!AM394</f>
        <v>4.13</v>
      </c>
      <c r="G665" s="20" t="str">
        <f>Source!DE394</f>
        <v>)*1,25</v>
      </c>
      <c r="H665" s="18">
        <f>Source!AV394</f>
        <v>1</v>
      </c>
      <c r="I665" s="22">
        <f>(ROUND((ROUND((((Source!ET394*1.25))*Source!AV394*Source!I394),2)),2)+ROUND((ROUND(((Source!AE394-((Source!EU394*1.25)))*Source!AV394*Source!I394),2)),2))</f>
        <v>5.16</v>
      </c>
      <c r="J665" s="18">
        <f>IF(Source!BB394&lt;&gt; 0, Source!BB394, 1)</f>
        <v>9.4600000000000009</v>
      </c>
      <c r="K665" s="22">
        <f>Source!Q394</f>
        <v>48.81</v>
      </c>
    </row>
    <row r="666" spans="1:27" ht="14.25" x14ac:dyDescent="0.2">
      <c r="A666" s="16"/>
      <c r="B666" s="17"/>
      <c r="C666" s="17" t="s">
        <v>1632</v>
      </c>
      <c r="D666" s="19"/>
      <c r="E666" s="18"/>
      <c r="F666" s="21">
        <f>Source!AN394</f>
        <v>0.48</v>
      </c>
      <c r="G666" s="20" t="str">
        <f>Source!DF394</f>
        <v>)*1,25</v>
      </c>
      <c r="H666" s="18">
        <f>Source!AV394</f>
        <v>1</v>
      </c>
      <c r="I666" s="26">
        <f>ROUND((ROUND((Source!AE394*Source!AV394*Source!I394),2)),2)</f>
        <v>0.6</v>
      </c>
      <c r="J666" s="18">
        <f>IF(Source!BS394&lt;&gt; 0, Source!BS394, 1)</f>
        <v>25.44</v>
      </c>
      <c r="K666" s="26">
        <f>Source!R394</f>
        <v>15.26</v>
      </c>
      <c r="W666">
        <f>I666</f>
        <v>0.6</v>
      </c>
    </row>
    <row r="667" spans="1:27" ht="14.25" x14ac:dyDescent="0.2">
      <c r="A667" s="16"/>
      <c r="B667" s="17"/>
      <c r="C667" s="17" t="s">
        <v>1634</v>
      </c>
      <c r="D667" s="19"/>
      <c r="E667" s="18"/>
      <c r="F667" s="21">
        <f>Source!AL394</f>
        <v>0.5</v>
      </c>
      <c r="G667" s="20" t="str">
        <f>Source!DD394</f>
        <v/>
      </c>
      <c r="H667" s="18">
        <f>Source!AW394</f>
        <v>1</v>
      </c>
      <c r="I667" s="22">
        <f>ROUND((ROUND((Source!AC394*Source!AW394*Source!I394),2)),2)</f>
        <v>0.5</v>
      </c>
      <c r="J667" s="18">
        <f>IF(Source!BC394&lt;&gt; 0, Source!BC394, 1)</f>
        <v>16.440000000000001</v>
      </c>
      <c r="K667" s="22">
        <f>Source!P394</f>
        <v>8.2200000000000006</v>
      </c>
    </row>
    <row r="668" spans="1:27" ht="14.25" x14ac:dyDescent="0.2">
      <c r="A668" s="16"/>
      <c r="B668" s="17"/>
      <c r="C668" s="17" t="s">
        <v>1626</v>
      </c>
      <c r="D668" s="19" t="s">
        <v>1627</v>
      </c>
      <c r="E668" s="18">
        <f>Source!DN394</f>
        <v>110</v>
      </c>
      <c r="F668" s="21"/>
      <c r="G668" s="20"/>
      <c r="H668" s="18"/>
      <c r="I668" s="22">
        <f>SUM(Q663:Q667)</f>
        <v>11.7</v>
      </c>
      <c r="J668" s="18">
        <f>Source!BZ394</f>
        <v>88</v>
      </c>
      <c r="K668" s="22">
        <f>SUM(R663:R667)</f>
        <v>238.2</v>
      </c>
    </row>
    <row r="669" spans="1:27" ht="14.25" x14ac:dyDescent="0.2">
      <c r="A669" s="16"/>
      <c r="B669" s="17"/>
      <c r="C669" s="17" t="s">
        <v>1628</v>
      </c>
      <c r="D669" s="19" t="s">
        <v>1627</v>
      </c>
      <c r="E669" s="18">
        <f>Source!DO394</f>
        <v>74</v>
      </c>
      <c r="F669" s="21"/>
      <c r="G669" s="20"/>
      <c r="H669" s="18"/>
      <c r="I669" s="22">
        <f>SUM(S663:S668)</f>
        <v>7.87</v>
      </c>
      <c r="J669" s="18">
        <f>Source!CA394</f>
        <v>41</v>
      </c>
      <c r="K669" s="22">
        <f>SUM(T663:T668)</f>
        <v>110.98</v>
      </c>
    </row>
    <row r="670" spans="1:27" ht="14.25" x14ac:dyDescent="0.2">
      <c r="A670" s="16"/>
      <c r="B670" s="17"/>
      <c r="C670" s="17" t="s">
        <v>1633</v>
      </c>
      <c r="D670" s="19" t="s">
        <v>1627</v>
      </c>
      <c r="E670" s="18">
        <f>175</f>
        <v>175</v>
      </c>
      <c r="F670" s="21"/>
      <c r="G670" s="20"/>
      <c r="H670" s="18"/>
      <c r="I670" s="22">
        <f>SUM(U663:U669)</f>
        <v>1.05</v>
      </c>
      <c r="J670" s="18">
        <f>157</f>
        <v>157</v>
      </c>
      <c r="K670" s="22">
        <f>SUM(V663:V669)</f>
        <v>23.96</v>
      </c>
    </row>
    <row r="671" spans="1:27" ht="14.25" x14ac:dyDescent="0.2">
      <c r="A671" s="16"/>
      <c r="B671" s="17"/>
      <c r="C671" s="17" t="s">
        <v>1629</v>
      </c>
      <c r="D671" s="19" t="s">
        <v>1630</v>
      </c>
      <c r="E671" s="18">
        <f>Source!AQ394</f>
        <v>0.75</v>
      </c>
      <c r="F671" s="21"/>
      <c r="G671" s="20" t="str">
        <f>Source!DI394</f>
        <v>)*1,15</v>
      </c>
      <c r="H671" s="18">
        <f>Source!AV394</f>
        <v>1</v>
      </c>
      <c r="I671" s="22">
        <f>Source!U394</f>
        <v>0.86249999999999993</v>
      </c>
      <c r="J671" s="18"/>
      <c r="K671" s="22"/>
    </row>
    <row r="672" spans="1:27" ht="15" x14ac:dyDescent="0.25">
      <c r="A672" s="25"/>
      <c r="B672" s="25"/>
      <c r="C672" s="25"/>
      <c r="D672" s="25"/>
      <c r="E672" s="25"/>
      <c r="F672" s="25"/>
      <c r="G672" s="25"/>
      <c r="H672" s="54">
        <f>I664+I665+I667+I668+I669+I670</f>
        <v>36.919999999999995</v>
      </c>
      <c r="I672" s="54"/>
      <c r="J672" s="54">
        <f>K664+K665+K667+K668+K669+K670</f>
        <v>700.85000000000014</v>
      </c>
      <c r="K672" s="54"/>
      <c r="O672" s="24">
        <f>I664+I665+I667+I668+I669+I670</f>
        <v>36.919999999999995</v>
      </c>
      <c r="P672" s="24">
        <f>K664+K665+K667+K668+K669+K670</f>
        <v>700.85000000000014</v>
      </c>
      <c r="X672">
        <f>IF(Source!BI394&lt;=1,I664+I665+I667+I668+I669+I670-0, 0)</f>
        <v>36.919999999999995</v>
      </c>
      <c r="Y672">
        <f>IF(Source!BI394=2,I664+I665+I667+I668+I669+I670-0, 0)</f>
        <v>0</v>
      </c>
      <c r="Z672">
        <f>IF(Source!BI394=3,I664+I665+I667+I668+I669+I670-0, 0)</f>
        <v>0</v>
      </c>
      <c r="AA672">
        <f>IF(Source!BI394=4,I664+I665+I667+I668+I669+I670,0)</f>
        <v>0</v>
      </c>
    </row>
    <row r="673" spans="1:27" ht="57" x14ac:dyDescent="0.2">
      <c r="A673" s="16" t="str">
        <f>Source!E395</f>
        <v>77</v>
      </c>
      <c r="B673" s="17" t="str">
        <f>Source!F395</f>
        <v>3.18-11-1</v>
      </c>
      <c r="C673" s="17" t="s">
        <v>546</v>
      </c>
      <c r="D673" s="19" t="str">
        <f>Source!H395</f>
        <v>1 насос</v>
      </c>
      <c r="E673" s="18">
        <f>Source!I395</f>
        <v>2</v>
      </c>
      <c r="F673" s="21"/>
      <c r="G673" s="20"/>
      <c r="H673" s="18"/>
      <c r="I673" s="22"/>
      <c r="J673" s="18"/>
      <c r="K673" s="22"/>
      <c r="Q673">
        <f>ROUND((Source!DN395/100)*ROUND((ROUND((Source!AF395*Source!AV395*Source!I395),2)),2), 2)</f>
        <v>400.93</v>
      </c>
      <c r="R673">
        <f>Source!X395</f>
        <v>8159.69</v>
      </c>
      <c r="S673">
        <f>ROUND((Source!DO395/100)*ROUND((ROUND((Source!AF395*Source!AV395*Source!I395),2)),2), 2)</f>
        <v>269.72000000000003</v>
      </c>
      <c r="T673">
        <f>Source!Y395</f>
        <v>3801.67</v>
      </c>
      <c r="U673">
        <f>ROUND((175/100)*ROUND((ROUND((Source!AE395*Source!AV395*Source!I395),2)),2), 2)</f>
        <v>13.97</v>
      </c>
      <c r="V673">
        <f>ROUND((157/100)*ROUND(ROUND((ROUND((Source!AE395*Source!AV395*Source!I395),2)*Source!BS395),2), 2), 2)</f>
        <v>318.73</v>
      </c>
    </row>
    <row r="674" spans="1:27" ht="14.25" x14ac:dyDescent="0.2">
      <c r="A674" s="16"/>
      <c r="B674" s="17"/>
      <c r="C674" s="17" t="s">
        <v>1625</v>
      </c>
      <c r="D674" s="19"/>
      <c r="E674" s="18"/>
      <c r="F674" s="21">
        <f>Source!AO395</f>
        <v>158.47</v>
      </c>
      <c r="G674" s="20" t="str">
        <f>Source!DG395</f>
        <v>)*1,15</v>
      </c>
      <c r="H674" s="18">
        <f>Source!AV395</f>
        <v>1</v>
      </c>
      <c r="I674" s="22">
        <f>ROUND((ROUND((Source!AF395*Source!AV395*Source!I395),2)),2)</f>
        <v>364.48</v>
      </c>
      <c r="J674" s="18">
        <f>IF(Source!BA395&lt;&gt; 0, Source!BA395, 1)</f>
        <v>25.44</v>
      </c>
      <c r="K674" s="22">
        <f>Source!S395</f>
        <v>9272.3700000000008</v>
      </c>
      <c r="W674">
        <f>I674</f>
        <v>364.48</v>
      </c>
    </row>
    <row r="675" spans="1:27" ht="14.25" x14ac:dyDescent="0.2">
      <c r="A675" s="16"/>
      <c r="B675" s="17"/>
      <c r="C675" s="17" t="s">
        <v>1631</v>
      </c>
      <c r="D675" s="19"/>
      <c r="E675" s="18"/>
      <c r="F675" s="21">
        <f>Source!AM395</f>
        <v>15.26</v>
      </c>
      <c r="G675" s="20" t="str">
        <f>Source!DE395</f>
        <v>)*1,25</v>
      </c>
      <c r="H675" s="18">
        <f>Source!AV395</f>
        <v>1</v>
      </c>
      <c r="I675" s="22">
        <f>(ROUND((ROUND((((Source!ET395*1.25))*Source!AV395*Source!I395),2)),2)+ROUND((ROUND(((Source!AE395-((Source!EU395*1.25)))*Source!AV395*Source!I395),2)),2))</f>
        <v>38.15</v>
      </c>
      <c r="J675" s="18">
        <f>IF(Source!BB395&lt;&gt; 0, Source!BB395, 1)</f>
        <v>9.94</v>
      </c>
      <c r="K675" s="22">
        <f>Source!Q395</f>
        <v>379.21</v>
      </c>
    </row>
    <row r="676" spans="1:27" ht="14.25" x14ac:dyDescent="0.2">
      <c r="A676" s="16"/>
      <c r="B676" s="17"/>
      <c r="C676" s="17" t="s">
        <v>1632</v>
      </c>
      <c r="D676" s="19"/>
      <c r="E676" s="18"/>
      <c r="F676" s="21">
        <f>Source!AN395</f>
        <v>3.19</v>
      </c>
      <c r="G676" s="20" t="str">
        <f>Source!DF395</f>
        <v>)*1,25</v>
      </c>
      <c r="H676" s="18">
        <f>Source!AV395</f>
        <v>1</v>
      </c>
      <c r="I676" s="26">
        <f>ROUND((ROUND((Source!AE395*Source!AV395*Source!I395),2)),2)</f>
        <v>7.98</v>
      </c>
      <c r="J676" s="18">
        <f>IF(Source!BS395&lt;&gt; 0, Source!BS395, 1)</f>
        <v>25.44</v>
      </c>
      <c r="K676" s="26">
        <f>Source!R395</f>
        <v>203.01</v>
      </c>
      <c r="W676">
        <f>I676</f>
        <v>7.98</v>
      </c>
    </row>
    <row r="677" spans="1:27" ht="14.25" x14ac:dyDescent="0.2">
      <c r="A677" s="16"/>
      <c r="B677" s="17"/>
      <c r="C677" s="17" t="s">
        <v>1634</v>
      </c>
      <c r="D677" s="19"/>
      <c r="E677" s="18"/>
      <c r="F677" s="21">
        <f>Source!AL395</f>
        <v>102.76</v>
      </c>
      <c r="G677" s="20" t="str">
        <f>Source!DD395</f>
        <v/>
      </c>
      <c r="H677" s="18">
        <f>Source!AW395</f>
        <v>1</v>
      </c>
      <c r="I677" s="22">
        <f>ROUND((ROUND((Source!AC395*Source!AW395*Source!I395),2)),2)</f>
        <v>205.52</v>
      </c>
      <c r="J677" s="18">
        <f>IF(Source!BC395&lt;&gt; 0, Source!BC395, 1)</f>
        <v>5.24</v>
      </c>
      <c r="K677" s="22">
        <f>Source!P395</f>
        <v>1076.92</v>
      </c>
    </row>
    <row r="678" spans="1:27" ht="14.25" x14ac:dyDescent="0.2">
      <c r="A678" s="16"/>
      <c r="B678" s="17"/>
      <c r="C678" s="17" t="s">
        <v>1626</v>
      </c>
      <c r="D678" s="19" t="s">
        <v>1627</v>
      </c>
      <c r="E678" s="18">
        <f>Source!DN395</f>
        <v>110</v>
      </c>
      <c r="F678" s="21"/>
      <c r="G678" s="20"/>
      <c r="H678" s="18"/>
      <c r="I678" s="22">
        <f>SUM(Q673:Q677)</f>
        <v>400.93</v>
      </c>
      <c r="J678" s="18">
        <f>Source!BZ395</f>
        <v>88</v>
      </c>
      <c r="K678" s="22">
        <f>SUM(R673:R677)</f>
        <v>8159.69</v>
      </c>
    </row>
    <row r="679" spans="1:27" ht="14.25" x14ac:dyDescent="0.2">
      <c r="A679" s="16"/>
      <c r="B679" s="17"/>
      <c r="C679" s="17" t="s">
        <v>1628</v>
      </c>
      <c r="D679" s="19" t="s">
        <v>1627</v>
      </c>
      <c r="E679" s="18">
        <f>Source!DO395</f>
        <v>74</v>
      </c>
      <c r="F679" s="21"/>
      <c r="G679" s="20"/>
      <c r="H679" s="18"/>
      <c r="I679" s="22">
        <f>SUM(S673:S678)</f>
        <v>269.72000000000003</v>
      </c>
      <c r="J679" s="18">
        <f>Source!CA395</f>
        <v>41</v>
      </c>
      <c r="K679" s="22">
        <f>SUM(T673:T678)</f>
        <v>3801.67</v>
      </c>
    </row>
    <row r="680" spans="1:27" ht="14.25" x14ac:dyDescent="0.2">
      <c r="A680" s="16"/>
      <c r="B680" s="17"/>
      <c r="C680" s="17" t="s">
        <v>1633</v>
      </c>
      <c r="D680" s="19" t="s">
        <v>1627</v>
      </c>
      <c r="E680" s="18">
        <f>175</f>
        <v>175</v>
      </c>
      <c r="F680" s="21"/>
      <c r="G680" s="20"/>
      <c r="H680" s="18"/>
      <c r="I680" s="22">
        <f>SUM(U673:U679)</f>
        <v>13.97</v>
      </c>
      <c r="J680" s="18">
        <f>157</f>
        <v>157</v>
      </c>
      <c r="K680" s="22">
        <f>SUM(V673:V679)</f>
        <v>318.73</v>
      </c>
    </row>
    <row r="681" spans="1:27" ht="14.25" x14ac:dyDescent="0.2">
      <c r="A681" s="16"/>
      <c r="B681" s="17"/>
      <c r="C681" s="17" t="s">
        <v>1629</v>
      </c>
      <c r="D681" s="19" t="s">
        <v>1630</v>
      </c>
      <c r="E681" s="18">
        <f>Source!AQ395</f>
        <v>13</v>
      </c>
      <c r="F681" s="21"/>
      <c r="G681" s="20" t="str">
        <f>Source!DI395</f>
        <v>)*1,15</v>
      </c>
      <c r="H681" s="18">
        <f>Source!AV395</f>
        <v>1</v>
      </c>
      <c r="I681" s="22">
        <f>Source!U395</f>
        <v>29.9</v>
      </c>
      <c r="J681" s="18"/>
      <c r="K681" s="22"/>
    </row>
    <row r="682" spans="1:27" ht="15" x14ac:dyDescent="0.25">
      <c r="A682" s="25"/>
      <c r="B682" s="25"/>
      <c r="C682" s="25"/>
      <c r="D682" s="25"/>
      <c r="E682" s="25"/>
      <c r="F682" s="25"/>
      <c r="G682" s="25"/>
      <c r="H682" s="54">
        <f>I674+I675+I677+I678+I679+I680</f>
        <v>1292.77</v>
      </c>
      <c r="I682" s="54"/>
      <c r="J682" s="54">
        <f>K674+K675+K677+K678+K679+K680</f>
        <v>23008.59</v>
      </c>
      <c r="K682" s="54"/>
      <c r="O682" s="24">
        <f>I674+I675+I677+I678+I679+I680</f>
        <v>1292.77</v>
      </c>
      <c r="P682" s="24">
        <f>K674+K675+K677+K678+K679+K680</f>
        <v>23008.59</v>
      </c>
      <c r="X682">
        <f>IF(Source!BI395&lt;=1,I674+I675+I677+I678+I679+I680-0, 0)</f>
        <v>1292.77</v>
      </c>
      <c r="Y682">
        <f>IF(Source!BI395=2,I674+I675+I677+I678+I679+I680-0, 0)</f>
        <v>0</v>
      </c>
      <c r="Z682">
        <f>IF(Source!BI395=3,I674+I675+I677+I678+I679+I680-0, 0)</f>
        <v>0</v>
      </c>
      <c r="AA682">
        <f>IF(Source!BI395=4,I674+I675+I677+I678+I679+I680,0)</f>
        <v>0</v>
      </c>
    </row>
    <row r="683" spans="1:27" ht="57" x14ac:dyDescent="0.2">
      <c r="A683" s="16" t="str">
        <f>Source!E396</f>
        <v>78</v>
      </c>
      <c r="B683" s="17" t="str">
        <f>Source!F396</f>
        <v>4.8-240-1</v>
      </c>
      <c r="C683" s="17" t="s">
        <v>551</v>
      </c>
      <c r="D683" s="19" t="str">
        <f>Source!H396</f>
        <v>1  ШТ.</v>
      </c>
      <c r="E683" s="18">
        <f>Source!I396</f>
        <v>1</v>
      </c>
      <c r="F683" s="21"/>
      <c r="G683" s="20"/>
      <c r="H683" s="18"/>
      <c r="I683" s="22"/>
      <c r="J683" s="18"/>
      <c r="K683" s="22"/>
      <c r="Q683">
        <f>ROUND((Source!DN396/100)*ROUND((ROUND((Source!AF396*Source!AV396*Source!I396),2)),2), 2)</f>
        <v>30.53</v>
      </c>
      <c r="R683">
        <f>Source!X396</f>
        <v>524.59</v>
      </c>
      <c r="S683">
        <f>ROUND((Source!DO396/100)*ROUND((ROUND((Source!AF396*Source!AV396*Source!I396),2)),2), 2)</f>
        <v>17.940000000000001</v>
      </c>
      <c r="T683">
        <f>Source!Y396</f>
        <v>279.32</v>
      </c>
      <c r="U683">
        <f>ROUND((175/100)*ROUND((ROUND((Source!AE396*Source!AV396*Source!I396),2)),2), 2)</f>
        <v>30.33</v>
      </c>
      <c r="V683">
        <f>ROUND((157/100)*ROUND(ROUND((ROUND((Source!AE396*Source!AV396*Source!I396),2)*Source!BS396),2), 2), 2)</f>
        <v>692.18</v>
      </c>
    </row>
    <row r="684" spans="1:27" ht="14.25" x14ac:dyDescent="0.2">
      <c r="A684" s="16"/>
      <c r="B684" s="17"/>
      <c r="C684" s="17" t="s">
        <v>1625</v>
      </c>
      <c r="D684" s="19"/>
      <c r="E684" s="18"/>
      <c r="F684" s="21">
        <f>Source!AO396</f>
        <v>26.78</v>
      </c>
      <c r="G684" s="20" t="str">
        <f>Source!DG396</f>
        <v/>
      </c>
      <c r="H684" s="18">
        <f>Source!AV396</f>
        <v>1</v>
      </c>
      <c r="I684" s="22">
        <f>ROUND((ROUND((Source!AF396*Source!AV396*Source!I396),2)),2)</f>
        <v>26.78</v>
      </c>
      <c r="J684" s="18">
        <f>IF(Source!BA396&lt;&gt; 0, Source!BA396, 1)</f>
        <v>25.44</v>
      </c>
      <c r="K684" s="22">
        <f>Source!S396</f>
        <v>681.28</v>
      </c>
      <c r="W684">
        <f>I684</f>
        <v>26.78</v>
      </c>
    </row>
    <row r="685" spans="1:27" ht="14.25" x14ac:dyDescent="0.2">
      <c r="A685" s="16"/>
      <c r="B685" s="17"/>
      <c r="C685" s="17" t="s">
        <v>1631</v>
      </c>
      <c r="D685" s="19"/>
      <c r="E685" s="18"/>
      <c r="F685" s="21">
        <f>Source!AM396</f>
        <v>98.7</v>
      </c>
      <c r="G685" s="20" t="str">
        <f>Source!DE396</f>
        <v/>
      </c>
      <c r="H685" s="18">
        <f>Source!AV396</f>
        <v>1</v>
      </c>
      <c r="I685" s="22">
        <f>(ROUND((ROUND(((Source!ET396)*Source!AV396*Source!I396),2)),2)+ROUND((ROUND(((Source!AE396-(Source!EU396))*Source!AV396*Source!I396),2)),2))</f>
        <v>98.7</v>
      </c>
      <c r="J685" s="18">
        <f>IF(Source!BB396&lt;&gt; 0, Source!BB396, 1)</f>
        <v>9.2899999999999991</v>
      </c>
      <c r="K685" s="22">
        <f>Source!Q396</f>
        <v>916.92</v>
      </c>
    </row>
    <row r="686" spans="1:27" ht="14.25" x14ac:dyDescent="0.2">
      <c r="A686" s="16"/>
      <c r="B686" s="17"/>
      <c r="C686" s="17" t="s">
        <v>1632</v>
      </c>
      <c r="D686" s="19"/>
      <c r="E686" s="18"/>
      <c r="F686" s="21">
        <f>Source!AN396</f>
        <v>17.329999999999998</v>
      </c>
      <c r="G686" s="20" t="str">
        <f>Source!DF396</f>
        <v/>
      </c>
      <c r="H686" s="18">
        <f>Source!AV396</f>
        <v>1</v>
      </c>
      <c r="I686" s="26">
        <f>ROUND((ROUND((Source!AE396*Source!AV396*Source!I396),2)),2)</f>
        <v>17.329999999999998</v>
      </c>
      <c r="J686" s="18">
        <f>IF(Source!BS396&lt;&gt; 0, Source!BS396, 1)</f>
        <v>25.44</v>
      </c>
      <c r="K686" s="26">
        <f>Source!R396</f>
        <v>440.88</v>
      </c>
      <c r="W686">
        <f>I686</f>
        <v>17.329999999999998</v>
      </c>
    </row>
    <row r="687" spans="1:27" ht="14.25" x14ac:dyDescent="0.2">
      <c r="A687" s="16"/>
      <c r="B687" s="17"/>
      <c r="C687" s="17" t="s">
        <v>1634</v>
      </c>
      <c r="D687" s="19"/>
      <c r="E687" s="18"/>
      <c r="F687" s="21">
        <f>Source!AL396</f>
        <v>10.29</v>
      </c>
      <c r="G687" s="20" t="str">
        <f>Source!DD396</f>
        <v/>
      </c>
      <c r="H687" s="18">
        <f>Source!AW396</f>
        <v>1</v>
      </c>
      <c r="I687" s="22">
        <f>ROUND((ROUND((Source!AC396*Source!AW396*Source!I396),2)),2)</f>
        <v>10.29</v>
      </c>
      <c r="J687" s="18">
        <f>IF(Source!BC396&lt;&gt; 0, Source!BC396, 1)</f>
        <v>6.58</v>
      </c>
      <c r="K687" s="22">
        <f>Source!P396</f>
        <v>67.709999999999994</v>
      </c>
    </row>
    <row r="688" spans="1:27" ht="14.25" x14ac:dyDescent="0.2">
      <c r="A688" s="16"/>
      <c r="B688" s="17"/>
      <c r="C688" s="17" t="s">
        <v>1626</v>
      </c>
      <c r="D688" s="19" t="s">
        <v>1627</v>
      </c>
      <c r="E688" s="18">
        <f>Source!DN396</f>
        <v>114</v>
      </c>
      <c r="F688" s="21"/>
      <c r="G688" s="20"/>
      <c r="H688" s="18"/>
      <c r="I688" s="22">
        <f>SUM(Q683:Q687)</f>
        <v>30.53</v>
      </c>
      <c r="J688" s="18">
        <f>Source!BZ396</f>
        <v>77</v>
      </c>
      <c r="K688" s="22">
        <f>SUM(R683:R687)</f>
        <v>524.59</v>
      </c>
    </row>
    <row r="689" spans="1:27" ht="14.25" x14ac:dyDescent="0.2">
      <c r="A689" s="16"/>
      <c r="B689" s="17"/>
      <c r="C689" s="17" t="s">
        <v>1628</v>
      </c>
      <c r="D689" s="19" t="s">
        <v>1627</v>
      </c>
      <c r="E689" s="18">
        <f>Source!DO396</f>
        <v>67</v>
      </c>
      <c r="F689" s="21"/>
      <c r="G689" s="20"/>
      <c r="H689" s="18"/>
      <c r="I689" s="22">
        <f>SUM(S683:S688)</f>
        <v>17.940000000000001</v>
      </c>
      <c r="J689" s="18">
        <f>Source!CA396</f>
        <v>41</v>
      </c>
      <c r="K689" s="22">
        <f>SUM(T683:T688)</f>
        <v>279.32</v>
      </c>
    </row>
    <row r="690" spans="1:27" ht="14.25" x14ac:dyDescent="0.2">
      <c r="A690" s="16"/>
      <c r="B690" s="17"/>
      <c r="C690" s="17" t="s">
        <v>1633</v>
      </c>
      <c r="D690" s="19" t="s">
        <v>1627</v>
      </c>
      <c r="E690" s="18">
        <f>175</f>
        <v>175</v>
      </c>
      <c r="F690" s="21"/>
      <c r="G690" s="20"/>
      <c r="H690" s="18"/>
      <c r="I690" s="22">
        <f>SUM(U683:U689)</f>
        <v>30.33</v>
      </c>
      <c r="J690" s="18">
        <f>157</f>
        <v>157</v>
      </c>
      <c r="K690" s="22">
        <f>SUM(V683:V689)</f>
        <v>692.18</v>
      </c>
    </row>
    <row r="691" spans="1:27" ht="14.25" x14ac:dyDescent="0.2">
      <c r="A691" s="16"/>
      <c r="B691" s="17"/>
      <c r="C691" s="17" t="s">
        <v>1629</v>
      </c>
      <c r="D691" s="19" t="s">
        <v>1630</v>
      </c>
      <c r="E691" s="18">
        <f>Source!AQ396</f>
        <v>2.06</v>
      </c>
      <c r="F691" s="21"/>
      <c r="G691" s="20" t="str">
        <f>Source!DI396</f>
        <v/>
      </c>
      <c r="H691" s="18">
        <f>Source!AV396</f>
        <v>1</v>
      </c>
      <c r="I691" s="22">
        <f>Source!U396</f>
        <v>2.06</v>
      </c>
      <c r="J691" s="18"/>
      <c r="K691" s="22"/>
    </row>
    <row r="692" spans="1:27" ht="15" x14ac:dyDescent="0.25">
      <c r="A692" s="25"/>
      <c r="B692" s="25"/>
      <c r="C692" s="25"/>
      <c r="D692" s="25"/>
      <c r="E692" s="25"/>
      <c r="F692" s="25"/>
      <c r="G692" s="25"/>
      <c r="H692" s="54">
        <f>I684+I685+I687+I688+I689+I690</f>
        <v>214.57</v>
      </c>
      <c r="I692" s="54"/>
      <c r="J692" s="54">
        <f>K684+K685+K687+K688+K689+K690</f>
        <v>3162</v>
      </c>
      <c r="K692" s="54"/>
      <c r="O692" s="24">
        <f>I684+I685+I687+I688+I689+I690</f>
        <v>214.57</v>
      </c>
      <c r="P692" s="24">
        <f>K684+K685+K687+K688+K689+K690</f>
        <v>3162</v>
      </c>
      <c r="X692">
        <f>IF(Source!BI396&lt;=1,I684+I685+I687+I688+I689+I690-0, 0)</f>
        <v>0</v>
      </c>
      <c r="Y692">
        <f>IF(Source!BI396=2,I684+I685+I687+I688+I689+I690-0, 0)</f>
        <v>214.57</v>
      </c>
      <c r="Z692">
        <f>IF(Source!BI396=3,I684+I685+I687+I688+I689+I690-0, 0)</f>
        <v>0</v>
      </c>
      <c r="AA692">
        <f>IF(Source!BI396=4,I684+I685+I687+I688+I689+I690,0)</f>
        <v>0</v>
      </c>
    </row>
    <row r="693" spans="1:27" ht="99.75" x14ac:dyDescent="0.2">
      <c r="A693" s="16" t="str">
        <f>Source!E397</f>
        <v>79</v>
      </c>
      <c r="B693" s="17" t="str">
        <f>Source!F397</f>
        <v>4.8-241-1</v>
      </c>
      <c r="C693" s="17" t="s">
        <v>558</v>
      </c>
      <c r="D693" s="19" t="str">
        <f>Source!H397</f>
        <v>100 жил</v>
      </c>
      <c r="E693" s="18">
        <f>Source!I397</f>
        <v>0.1</v>
      </c>
      <c r="F693" s="21"/>
      <c r="G693" s="20"/>
      <c r="H693" s="18"/>
      <c r="I693" s="22"/>
      <c r="J693" s="18"/>
      <c r="K693" s="22"/>
      <c r="Q693">
        <f>ROUND((Source!DN397/100)*ROUND((ROUND((Source!AF397*Source!AV397*Source!I397),2)),2), 2)</f>
        <v>22.9</v>
      </c>
      <c r="R693">
        <f>Source!X397</f>
        <v>393.54</v>
      </c>
      <c r="S693">
        <f>ROUND((Source!DO397/100)*ROUND((ROUND((Source!AF397*Source!AV397*Source!I397),2)),2), 2)</f>
        <v>13.46</v>
      </c>
      <c r="T693">
        <f>Source!Y397</f>
        <v>209.55</v>
      </c>
      <c r="U693">
        <f>ROUND((175/100)*ROUND((ROUND((Source!AE397*Source!AV397*Source!I397),2)),2), 2)</f>
        <v>0.53</v>
      </c>
      <c r="V693">
        <f>ROUND((157/100)*ROUND(ROUND((ROUND((Source!AE397*Source!AV397*Source!I397),2)*Source!BS397),2), 2), 2)</f>
        <v>11.98</v>
      </c>
    </row>
    <row r="694" spans="1:27" x14ac:dyDescent="0.2">
      <c r="C694" s="23" t="str">
        <f>"Объем: "&amp;Source!I397&amp;"=10/"&amp;"100"</f>
        <v>Объем: 0,1=10/100</v>
      </c>
    </row>
    <row r="695" spans="1:27" ht="14.25" x14ac:dyDescent="0.2">
      <c r="A695" s="16"/>
      <c r="B695" s="17"/>
      <c r="C695" s="17" t="s">
        <v>1625</v>
      </c>
      <c r="D695" s="19"/>
      <c r="E695" s="18"/>
      <c r="F695" s="21">
        <f>Source!AO397</f>
        <v>200.85</v>
      </c>
      <c r="G695" s="20" t="str">
        <f>Source!DG397</f>
        <v/>
      </c>
      <c r="H695" s="18">
        <f>Source!AV397</f>
        <v>1</v>
      </c>
      <c r="I695" s="22">
        <f>ROUND((ROUND((Source!AF397*Source!AV397*Source!I397),2)),2)</f>
        <v>20.09</v>
      </c>
      <c r="J695" s="18">
        <f>IF(Source!BA397&lt;&gt; 0, Source!BA397, 1)</f>
        <v>25.44</v>
      </c>
      <c r="K695" s="22">
        <f>Source!S397</f>
        <v>511.09</v>
      </c>
      <c r="W695">
        <f>I695</f>
        <v>20.09</v>
      </c>
    </row>
    <row r="696" spans="1:27" ht="14.25" x14ac:dyDescent="0.2">
      <c r="A696" s="16"/>
      <c r="B696" s="17"/>
      <c r="C696" s="17" t="s">
        <v>1631</v>
      </c>
      <c r="D696" s="19"/>
      <c r="E696" s="18"/>
      <c r="F696" s="21">
        <f>Source!AM397</f>
        <v>12.7</v>
      </c>
      <c r="G696" s="20" t="str">
        <f>Source!DE397</f>
        <v/>
      </c>
      <c r="H696" s="18">
        <f>Source!AV397</f>
        <v>1</v>
      </c>
      <c r="I696" s="22">
        <f>(ROUND((ROUND(((Source!ET397)*Source!AV397*Source!I397),2)),2)+ROUND((ROUND(((Source!AE397-(Source!EU397))*Source!AV397*Source!I397),2)),2))</f>
        <v>1.27</v>
      </c>
      <c r="J696" s="18">
        <f>IF(Source!BB397&lt;&gt; 0, Source!BB397, 1)</f>
        <v>10.4</v>
      </c>
      <c r="K696" s="22">
        <f>Source!Q397</f>
        <v>13.21</v>
      </c>
    </row>
    <row r="697" spans="1:27" ht="14.25" x14ac:dyDescent="0.2">
      <c r="A697" s="16"/>
      <c r="B697" s="17"/>
      <c r="C697" s="17" t="s">
        <v>1632</v>
      </c>
      <c r="D697" s="19"/>
      <c r="E697" s="18"/>
      <c r="F697" s="21">
        <f>Source!AN397</f>
        <v>2.95</v>
      </c>
      <c r="G697" s="20" t="str">
        <f>Source!DF397</f>
        <v/>
      </c>
      <c r="H697" s="18">
        <f>Source!AV397</f>
        <v>1</v>
      </c>
      <c r="I697" s="26">
        <f>ROUND((ROUND((Source!AE397*Source!AV397*Source!I397),2)),2)</f>
        <v>0.3</v>
      </c>
      <c r="J697" s="18">
        <f>IF(Source!BS397&lt;&gt; 0, Source!BS397, 1)</f>
        <v>25.44</v>
      </c>
      <c r="K697" s="26">
        <f>Source!R397</f>
        <v>7.63</v>
      </c>
      <c r="W697">
        <f>I697</f>
        <v>0.3</v>
      </c>
    </row>
    <row r="698" spans="1:27" ht="14.25" x14ac:dyDescent="0.2">
      <c r="A698" s="16"/>
      <c r="B698" s="17"/>
      <c r="C698" s="17" t="s">
        <v>1634</v>
      </c>
      <c r="D698" s="19"/>
      <c r="E698" s="18"/>
      <c r="F698" s="21">
        <f>Source!AL397</f>
        <v>63.7</v>
      </c>
      <c r="G698" s="20" t="str">
        <f>Source!DD397</f>
        <v/>
      </c>
      <c r="H698" s="18">
        <f>Source!AW397</f>
        <v>1</v>
      </c>
      <c r="I698" s="22">
        <f>ROUND((ROUND((Source!AC397*Source!AW397*Source!I397),2)),2)</f>
        <v>6.37</v>
      </c>
      <c r="J698" s="18">
        <f>IF(Source!BC397&lt;&gt; 0, Source!BC397, 1)</f>
        <v>6.58</v>
      </c>
      <c r="K698" s="22">
        <f>Source!P397</f>
        <v>41.91</v>
      </c>
    </row>
    <row r="699" spans="1:27" ht="14.25" x14ac:dyDescent="0.2">
      <c r="A699" s="16"/>
      <c r="B699" s="17"/>
      <c r="C699" s="17" t="s">
        <v>1626</v>
      </c>
      <c r="D699" s="19" t="s">
        <v>1627</v>
      </c>
      <c r="E699" s="18">
        <f>Source!DN397</f>
        <v>114</v>
      </c>
      <c r="F699" s="21"/>
      <c r="G699" s="20"/>
      <c r="H699" s="18"/>
      <c r="I699" s="22">
        <f>SUM(Q693:Q698)</f>
        <v>22.9</v>
      </c>
      <c r="J699" s="18">
        <f>Source!BZ397</f>
        <v>77</v>
      </c>
      <c r="K699" s="22">
        <f>SUM(R693:R698)</f>
        <v>393.54</v>
      </c>
    </row>
    <row r="700" spans="1:27" ht="14.25" x14ac:dyDescent="0.2">
      <c r="A700" s="16"/>
      <c r="B700" s="17"/>
      <c r="C700" s="17" t="s">
        <v>1628</v>
      </c>
      <c r="D700" s="19" t="s">
        <v>1627</v>
      </c>
      <c r="E700" s="18">
        <f>Source!DO397</f>
        <v>67</v>
      </c>
      <c r="F700" s="21"/>
      <c r="G700" s="20"/>
      <c r="H700" s="18"/>
      <c r="I700" s="22">
        <f>SUM(S693:S699)</f>
        <v>13.46</v>
      </c>
      <c r="J700" s="18">
        <f>Source!CA397</f>
        <v>41</v>
      </c>
      <c r="K700" s="22">
        <f>SUM(T693:T699)</f>
        <v>209.55</v>
      </c>
    </row>
    <row r="701" spans="1:27" ht="14.25" x14ac:dyDescent="0.2">
      <c r="A701" s="16"/>
      <c r="B701" s="17"/>
      <c r="C701" s="17" t="s">
        <v>1633</v>
      </c>
      <c r="D701" s="19" t="s">
        <v>1627</v>
      </c>
      <c r="E701" s="18">
        <f>175</f>
        <v>175</v>
      </c>
      <c r="F701" s="21"/>
      <c r="G701" s="20"/>
      <c r="H701" s="18"/>
      <c r="I701" s="22">
        <f>SUM(U693:U700)</f>
        <v>0.53</v>
      </c>
      <c r="J701" s="18">
        <f>157</f>
        <v>157</v>
      </c>
      <c r="K701" s="22">
        <f>SUM(V693:V700)</f>
        <v>11.98</v>
      </c>
    </row>
    <row r="702" spans="1:27" ht="14.25" x14ac:dyDescent="0.2">
      <c r="A702" s="16"/>
      <c r="B702" s="17"/>
      <c r="C702" s="17" t="s">
        <v>1629</v>
      </c>
      <c r="D702" s="19" t="s">
        <v>1630</v>
      </c>
      <c r="E702" s="18">
        <f>Source!AQ397</f>
        <v>15.45</v>
      </c>
      <c r="F702" s="21"/>
      <c r="G702" s="20" t="str">
        <f>Source!DI397</f>
        <v/>
      </c>
      <c r="H702" s="18">
        <f>Source!AV397</f>
        <v>1</v>
      </c>
      <c r="I702" s="22">
        <f>Source!U397</f>
        <v>1.5449999999999999</v>
      </c>
      <c r="J702" s="18"/>
      <c r="K702" s="22"/>
    </row>
    <row r="703" spans="1:27" ht="15" x14ac:dyDescent="0.25">
      <c r="A703" s="25"/>
      <c r="B703" s="25"/>
      <c r="C703" s="25"/>
      <c r="D703" s="25"/>
      <c r="E703" s="25"/>
      <c r="F703" s="25"/>
      <c r="G703" s="25"/>
      <c r="H703" s="54">
        <f>I695+I696+I698+I699+I700+I701</f>
        <v>64.62</v>
      </c>
      <c r="I703" s="54"/>
      <c r="J703" s="54">
        <f>K695+K696+K698+K699+K700+K701</f>
        <v>1181.28</v>
      </c>
      <c r="K703" s="54"/>
      <c r="O703" s="24">
        <f>I695+I696+I698+I699+I700+I701</f>
        <v>64.62</v>
      </c>
      <c r="P703" s="24">
        <f>K695+K696+K698+K699+K700+K701</f>
        <v>1181.28</v>
      </c>
      <c r="X703">
        <f>IF(Source!BI397&lt;=1,I695+I696+I698+I699+I700+I701-0, 0)</f>
        <v>0</v>
      </c>
      <c r="Y703">
        <f>IF(Source!BI397=2,I695+I696+I698+I699+I700+I701-0, 0)</f>
        <v>64.62</v>
      </c>
      <c r="Z703">
        <f>IF(Source!BI397=3,I695+I696+I698+I699+I700+I701-0, 0)</f>
        <v>0</v>
      </c>
      <c r="AA703">
        <f>IF(Source!BI397=4,I695+I696+I698+I699+I700+I701,0)</f>
        <v>0</v>
      </c>
    </row>
    <row r="704" spans="1:27" ht="85.5" x14ac:dyDescent="0.2">
      <c r="A704" s="16" t="str">
        <f>Source!E398</f>
        <v>80</v>
      </c>
      <c r="B704" s="17" t="str">
        <f>Source!F398</f>
        <v>4.8-218-1</v>
      </c>
      <c r="C704" s="17" t="s">
        <v>563</v>
      </c>
      <c r="D704" s="19" t="str">
        <f>Source!H398</f>
        <v>1  ШТ.</v>
      </c>
      <c r="E704" s="18">
        <f>Source!I398</f>
        <v>4</v>
      </c>
      <c r="F704" s="21"/>
      <c r="G704" s="20"/>
      <c r="H704" s="18"/>
      <c r="I704" s="22"/>
      <c r="J704" s="18"/>
      <c r="K704" s="22"/>
      <c r="Q704">
        <f>ROUND((Source!DN398/100)*ROUND((ROUND((Source!AF398*Source!AV398*Source!I398),2)),2), 2)</f>
        <v>61.07</v>
      </c>
      <c r="R704">
        <f>Source!X398</f>
        <v>1049.3699999999999</v>
      </c>
      <c r="S704">
        <f>ROUND((Source!DO398/100)*ROUND((ROUND((Source!AF398*Source!AV398*Source!I398),2)),2), 2)</f>
        <v>35.89</v>
      </c>
      <c r="T704">
        <f>Source!Y398</f>
        <v>558.76</v>
      </c>
      <c r="U704">
        <f>ROUND((175/100)*ROUND((ROUND((Source!AE398*Source!AV398*Source!I398),2)),2), 2)</f>
        <v>1.86</v>
      </c>
      <c r="V704">
        <f>ROUND((157/100)*ROUND(ROUND((ROUND((Source!AE398*Source!AV398*Source!I398),2)*Source!BS398),2), 2), 2)</f>
        <v>42.34</v>
      </c>
    </row>
    <row r="705" spans="1:27" ht="14.25" x14ac:dyDescent="0.2">
      <c r="A705" s="16"/>
      <c r="B705" s="17"/>
      <c r="C705" s="17" t="s">
        <v>1625</v>
      </c>
      <c r="D705" s="19"/>
      <c r="E705" s="18"/>
      <c r="F705" s="21">
        <f>Source!AO398</f>
        <v>16.739999999999998</v>
      </c>
      <c r="G705" s="20" t="str">
        <f>Source!DG398</f>
        <v>)*0,8</v>
      </c>
      <c r="H705" s="18">
        <f>Source!AV398</f>
        <v>1</v>
      </c>
      <c r="I705" s="22">
        <f>ROUND((ROUND((Source!AF398*Source!AV398*Source!I398),2)),2)</f>
        <v>53.57</v>
      </c>
      <c r="J705" s="18">
        <f>IF(Source!BA398&lt;&gt; 0, Source!BA398, 1)</f>
        <v>25.44</v>
      </c>
      <c r="K705" s="22">
        <f>Source!S398</f>
        <v>1362.82</v>
      </c>
      <c r="W705">
        <f>I705</f>
        <v>53.57</v>
      </c>
    </row>
    <row r="706" spans="1:27" ht="14.25" x14ac:dyDescent="0.2">
      <c r="A706" s="16"/>
      <c r="B706" s="17"/>
      <c r="C706" s="17" t="s">
        <v>1631</v>
      </c>
      <c r="D706" s="19"/>
      <c r="E706" s="18"/>
      <c r="F706" s="21">
        <f>Source!AM398</f>
        <v>4.93</v>
      </c>
      <c r="G706" s="20" t="str">
        <f>Source!DE398</f>
        <v>)*0,8</v>
      </c>
      <c r="H706" s="18">
        <f>Source!AV398</f>
        <v>1</v>
      </c>
      <c r="I706" s="22">
        <f>(ROUND((ROUND((((Source!ET398*0.8))*Source!AV398*Source!I398),2)),2)+ROUND((ROUND(((Source!AE398-((Source!EU398*0.8)))*Source!AV398*Source!I398),2)),2))</f>
        <v>15.78</v>
      </c>
      <c r="J706" s="18">
        <f>IF(Source!BB398&lt;&gt; 0, Source!BB398, 1)</f>
        <v>7.16</v>
      </c>
      <c r="K706" s="22">
        <f>Source!Q398</f>
        <v>112.98</v>
      </c>
    </row>
    <row r="707" spans="1:27" ht="14.25" x14ac:dyDescent="0.2">
      <c r="A707" s="16"/>
      <c r="B707" s="17"/>
      <c r="C707" s="17" t="s">
        <v>1632</v>
      </c>
      <c r="D707" s="19"/>
      <c r="E707" s="18"/>
      <c r="F707" s="21">
        <f>Source!AN398</f>
        <v>0.33</v>
      </c>
      <c r="G707" s="20" t="str">
        <f>Source!DF398</f>
        <v>)*0,8</v>
      </c>
      <c r="H707" s="18">
        <f>Source!AV398</f>
        <v>1</v>
      </c>
      <c r="I707" s="26">
        <f>ROUND((ROUND((Source!AE398*Source!AV398*Source!I398),2)),2)</f>
        <v>1.06</v>
      </c>
      <c r="J707" s="18">
        <f>IF(Source!BS398&lt;&gt; 0, Source!BS398, 1)</f>
        <v>25.44</v>
      </c>
      <c r="K707" s="26">
        <f>Source!R398</f>
        <v>26.97</v>
      </c>
      <c r="W707">
        <f>I707</f>
        <v>1.06</v>
      </c>
    </row>
    <row r="708" spans="1:27" ht="14.25" x14ac:dyDescent="0.2">
      <c r="A708" s="16"/>
      <c r="B708" s="17"/>
      <c r="C708" s="17" t="s">
        <v>1634</v>
      </c>
      <c r="D708" s="19"/>
      <c r="E708" s="18"/>
      <c r="F708" s="21">
        <f>Source!AL398</f>
        <v>15.47</v>
      </c>
      <c r="G708" s="20" t="str">
        <f>Source!DD398</f>
        <v/>
      </c>
      <c r="H708" s="18">
        <f>Source!AW398</f>
        <v>1</v>
      </c>
      <c r="I708" s="22">
        <f>ROUND((ROUND((Source!AC398*Source!AW398*Source!I398),2)),2)</f>
        <v>61.88</v>
      </c>
      <c r="J708" s="18">
        <f>IF(Source!BC398&lt;&gt; 0, Source!BC398, 1)</f>
        <v>6.58</v>
      </c>
      <c r="K708" s="22">
        <f>Source!P398</f>
        <v>407.17</v>
      </c>
    </row>
    <row r="709" spans="1:27" ht="14.25" x14ac:dyDescent="0.2">
      <c r="A709" s="16"/>
      <c r="B709" s="17"/>
      <c r="C709" s="17" t="s">
        <v>1626</v>
      </c>
      <c r="D709" s="19" t="s">
        <v>1627</v>
      </c>
      <c r="E709" s="18">
        <f>Source!DN398</f>
        <v>114</v>
      </c>
      <c r="F709" s="21"/>
      <c r="G709" s="20"/>
      <c r="H709" s="18"/>
      <c r="I709" s="22">
        <f>SUM(Q704:Q708)</f>
        <v>61.07</v>
      </c>
      <c r="J709" s="18">
        <f>Source!BZ398</f>
        <v>77</v>
      </c>
      <c r="K709" s="22">
        <f>SUM(R704:R708)</f>
        <v>1049.3699999999999</v>
      </c>
    </row>
    <row r="710" spans="1:27" ht="14.25" x14ac:dyDescent="0.2">
      <c r="A710" s="16"/>
      <c r="B710" s="17"/>
      <c r="C710" s="17" t="s">
        <v>1628</v>
      </c>
      <c r="D710" s="19" t="s">
        <v>1627</v>
      </c>
      <c r="E710" s="18">
        <f>Source!DO398</f>
        <v>67</v>
      </c>
      <c r="F710" s="21"/>
      <c r="G710" s="20"/>
      <c r="H710" s="18"/>
      <c r="I710" s="22">
        <f>SUM(S704:S709)</f>
        <v>35.89</v>
      </c>
      <c r="J710" s="18">
        <f>Source!CA398</f>
        <v>41</v>
      </c>
      <c r="K710" s="22">
        <f>SUM(T704:T709)</f>
        <v>558.76</v>
      </c>
    </row>
    <row r="711" spans="1:27" ht="14.25" x14ac:dyDescent="0.2">
      <c r="A711" s="16"/>
      <c r="B711" s="17"/>
      <c r="C711" s="17" t="s">
        <v>1633</v>
      </c>
      <c r="D711" s="19" t="s">
        <v>1627</v>
      </c>
      <c r="E711" s="18">
        <f>175</f>
        <v>175</v>
      </c>
      <c r="F711" s="21"/>
      <c r="G711" s="20"/>
      <c r="H711" s="18"/>
      <c r="I711" s="22">
        <f>SUM(U704:U710)</f>
        <v>1.86</v>
      </c>
      <c r="J711" s="18">
        <f>157</f>
        <v>157</v>
      </c>
      <c r="K711" s="22">
        <f>SUM(V704:V710)</f>
        <v>42.34</v>
      </c>
    </row>
    <row r="712" spans="1:27" ht="14.25" x14ac:dyDescent="0.2">
      <c r="A712" s="16"/>
      <c r="B712" s="17"/>
      <c r="C712" s="17" t="s">
        <v>1629</v>
      </c>
      <c r="D712" s="19" t="s">
        <v>1630</v>
      </c>
      <c r="E712" s="18">
        <f>Source!AQ398</f>
        <v>1.34</v>
      </c>
      <c r="F712" s="21"/>
      <c r="G712" s="20" t="str">
        <f>Source!DI398</f>
        <v>)*0,8</v>
      </c>
      <c r="H712" s="18">
        <f>Source!AV398</f>
        <v>1</v>
      </c>
      <c r="I712" s="22">
        <f>Source!U398</f>
        <v>4.2880000000000003</v>
      </c>
      <c r="J712" s="18"/>
      <c r="K712" s="22"/>
    </row>
    <row r="713" spans="1:27" ht="15" x14ac:dyDescent="0.25">
      <c r="A713" s="25"/>
      <c r="B713" s="25"/>
      <c r="C713" s="25"/>
      <c r="D713" s="25"/>
      <c r="E713" s="25"/>
      <c r="F713" s="25"/>
      <c r="G713" s="25"/>
      <c r="H713" s="54">
        <f>I705+I706+I708+I709+I710+I711</f>
        <v>230.05</v>
      </c>
      <c r="I713" s="54"/>
      <c r="J713" s="54">
        <f>K705+K706+K708+K709+K710+K711</f>
        <v>3533.4400000000005</v>
      </c>
      <c r="K713" s="54"/>
      <c r="O713" s="24">
        <f>I705+I706+I708+I709+I710+I711</f>
        <v>230.05</v>
      </c>
      <c r="P713" s="24">
        <f>K705+K706+K708+K709+K710+K711</f>
        <v>3533.4400000000005</v>
      </c>
      <c r="X713">
        <f>IF(Source!BI398&lt;=1,I705+I706+I708+I709+I710+I711-0, 0)</f>
        <v>0</v>
      </c>
      <c r="Y713">
        <f>IF(Source!BI398=2,I705+I706+I708+I709+I710+I711-0, 0)</f>
        <v>230.05</v>
      </c>
      <c r="Z713">
        <f>IF(Source!BI398=3,I705+I706+I708+I709+I710+I711-0, 0)</f>
        <v>0</v>
      </c>
      <c r="AA713">
        <f>IF(Source!BI398=4,I705+I706+I708+I709+I710+I711,0)</f>
        <v>0</v>
      </c>
    </row>
    <row r="714" spans="1:27" ht="14.25" x14ac:dyDescent="0.2">
      <c r="A714" s="16" t="str">
        <f>Source!E399</f>
        <v>81</v>
      </c>
      <c r="B714" s="17" t="str">
        <f>Source!F399</f>
        <v>4.8-300-1</v>
      </c>
      <c r="C714" s="17" t="s">
        <v>570</v>
      </c>
      <c r="D714" s="19" t="str">
        <f>Source!H399</f>
        <v>100 м</v>
      </c>
      <c r="E714" s="18">
        <f>Source!I399</f>
        <v>0.01</v>
      </c>
      <c r="F714" s="21"/>
      <c r="G714" s="20"/>
      <c r="H714" s="18"/>
      <c r="I714" s="22"/>
      <c r="J714" s="18"/>
      <c r="K714" s="22"/>
      <c r="Q714">
        <f>ROUND((Source!DN399/100)*ROUND((ROUND((Source!AF399*Source!AV399*Source!I399),2)),2), 2)</f>
        <v>3.72</v>
      </c>
      <c r="R714">
        <f>Source!X399</f>
        <v>63.86</v>
      </c>
      <c r="S714">
        <f>ROUND((Source!DO399/100)*ROUND((ROUND((Source!AF399*Source!AV399*Source!I399),2)),2), 2)</f>
        <v>2.1800000000000002</v>
      </c>
      <c r="T714">
        <f>Source!Y399</f>
        <v>34</v>
      </c>
      <c r="U714">
        <f>ROUND((175/100)*ROUND((ROUND((Source!AE399*Source!AV399*Source!I399),2)),2), 2)</f>
        <v>0.09</v>
      </c>
      <c r="V714">
        <f>ROUND((157/100)*ROUND(ROUND((ROUND((Source!AE399*Source!AV399*Source!I399),2)*Source!BS399),2), 2), 2)</f>
        <v>1.99</v>
      </c>
    </row>
    <row r="715" spans="1:27" x14ac:dyDescent="0.2">
      <c r="C715" s="23" t="str">
        <f>"Объем: "&amp;Source!I399&amp;"=1/"&amp;"100"</f>
        <v>Объем: 0,01=1/100</v>
      </c>
    </row>
    <row r="716" spans="1:27" ht="14.25" x14ac:dyDescent="0.2">
      <c r="A716" s="16"/>
      <c r="B716" s="17"/>
      <c r="C716" s="17" t="s">
        <v>1625</v>
      </c>
      <c r="D716" s="19"/>
      <c r="E716" s="18"/>
      <c r="F716" s="21">
        <f>Source!AO399</f>
        <v>325.73</v>
      </c>
      <c r="G716" s="20" t="str">
        <f>Source!DG399</f>
        <v/>
      </c>
      <c r="H716" s="18">
        <f>Source!AV399</f>
        <v>1</v>
      </c>
      <c r="I716" s="22">
        <f>ROUND((ROUND((Source!AF399*Source!AV399*Source!I399),2)),2)</f>
        <v>3.26</v>
      </c>
      <c r="J716" s="18">
        <f>IF(Source!BA399&lt;&gt; 0, Source!BA399, 1)</f>
        <v>25.44</v>
      </c>
      <c r="K716" s="22">
        <f>Source!S399</f>
        <v>82.93</v>
      </c>
      <c r="W716">
        <f>I716</f>
        <v>3.26</v>
      </c>
    </row>
    <row r="717" spans="1:27" ht="14.25" x14ac:dyDescent="0.2">
      <c r="A717" s="16"/>
      <c r="B717" s="17"/>
      <c r="C717" s="17" t="s">
        <v>1631</v>
      </c>
      <c r="D717" s="19"/>
      <c r="E717" s="18"/>
      <c r="F717" s="21">
        <f>Source!AM399</f>
        <v>42.48</v>
      </c>
      <c r="G717" s="20" t="str">
        <f>Source!DE399</f>
        <v/>
      </c>
      <c r="H717" s="18">
        <f>Source!AV399</f>
        <v>1</v>
      </c>
      <c r="I717" s="22">
        <f>(ROUND((ROUND(((Source!ET399)*Source!AV399*Source!I399),2)),2)+ROUND((ROUND(((Source!AE399-(Source!EU399))*Source!AV399*Source!I399),2)),2))</f>
        <v>0.42</v>
      </c>
      <c r="J717" s="18">
        <f>IF(Source!BB399&lt;&gt; 0, Source!BB399, 1)</f>
        <v>7.93</v>
      </c>
      <c r="K717" s="22">
        <f>Source!Q399</f>
        <v>3.33</v>
      </c>
    </row>
    <row r="718" spans="1:27" ht="14.25" x14ac:dyDescent="0.2">
      <c r="A718" s="16"/>
      <c r="B718" s="17"/>
      <c r="C718" s="17" t="s">
        <v>1632</v>
      </c>
      <c r="D718" s="19"/>
      <c r="E718" s="18"/>
      <c r="F718" s="21">
        <f>Source!AN399</f>
        <v>4.5199999999999996</v>
      </c>
      <c r="G718" s="20" t="str">
        <f>Source!DF399</f>
        <v/>
      </c>
      <c r="H718" s="18">
        <f>Source!AV399</f>
        <v>1</v>
      </c>
      <c r="I718" s="26">
        <f>ROUND((ROUND((Source!AE399*Source!AV399*Source!I399),2)),2)</f>
        <v>0.05</v>
      </c>
      <c r="J718" s="18">
        <f>IF(Source!BS399&lt;&gt; 0, Source!BS399, 1)</f>
        <v>25.44</v>
      </c>
      <c r="K718" s="26">
        <f>Source!R399</f>
        <v>1.27</v>
      </c>
      <c r="W718">
        <f>I718</f>
        <v>0.05</v>
      </c>
    </row>
    <row r="719" spans="1:27" ht="14.25" x14ac:dyDescent="0.2">
      <c r="A719" s="16"/>
      <c r="B719" s="17"/>
      <c r="C719" s="17" t="s">
        <v>1634</v>
      </c>
      <c r="D719" s="19"/>
      <c r="E719" s="18"/>
      <c r="F719" s="21">
        <f>Source!AL399</f>
        <v>36.020000000000003</v>
      </c>
      <c r="G719" s="20" t="str">
        <f>Source!DD399</f>
        <v/>
      </c>
      <c r="H719" s="18">
        <f>Source!AW399</f>
        <v>1</v>
      </c>
      <c r="I719" s="22">
        <f>ROUND((ROUND((Source!AC399*Source!AW399*Source!I399),2)),2)</f>
        <v>0.36</v>
      </c>
      <c r="J719" s="18">
        <f>IF(Source!BC399&lt;&gt; 0, Source!BC399, 1)</f>
        <v>6.58</v>
      </c>
      <c r="K719" s="22">
        <f>Source!P399</f>
        <v>2.37</v>
      </c>
    </row>
    <row r="720" spans="1:27" ht="14.25" x14ac:dyDescent="0.2">
      <c r="A720" s="16"/>
      <c r="B720" s="17"/>
      <c r="C720" s="17" t="s">
        <v>1626</v>
      </c>
      <c r="D720" s="19" t="s">
        <v>1627</v>
      </c>
      <c r="E720" s="18">
        <f>Source!DN399</f>
        <v>114</v>
      </c>
      <c r="F720" s="21"/>
      <c r="G720" s="20"/>
      <c r="H720" s="18"/>
      <c r="I720" s="22">
        <f>SUM(Q714:Q719)</f>
        <v>3.72</v>
      </c>
      <c r="J720" s="18">
        <f>Source!BZ399</f>
        <v>77</v>
      </c>
      <c r="K720" s="22">
        <f>SUM(R714:R719)</f>
        <v>63.86</v>
      </c>
    </row>
    <row r="721" spans="1:27" ht="14.25" x14ac:dyDescent="0.2">
      <c r="A721" s="16"/>
      <c r="B721" s="17"/>
      <c r="C721" s="17" t="s">
        <v>1628</v>
      </c>
      <c r="D721" s="19" t="s">
        <v>1627</v>
      </c>
      <c r="E721" s="18">
        <f>Source!DO399</f>
        <v>67</v>
      </c>
      <c r="F721" s="21"/>
      <c r="G721" s="20"/>
      <c r="H721" s="18"/>
      <c r="I721" s="22">
        <f>SUM(S714:S720)</f>
        <v>2.1800000000000002</v>
      </c>
      <c r="J721" s="18">
        <f>Source!CA399</f>
        <v>41</v>
      </c>
      <c r="K721" s="22">
        <f>SUM(T714:T720)</f>
        <v>34</v>
      </c>
    </row>
    <row r="722" spans="1:27" ht="14.25" x14ac:dyDescent="0.2">
      <c r="A722" s="16"/>
      <c r="B722" s="17"/>
      <c r="C722" s="17" t="s">
        <v>1633</v>
      </c>
      <c r="D722" s="19" t="s">
        <v>1627</v>
      </c>
      <c r="E722" s="18">
        <f>175</f>
        <v>175</v>
      </c>
      <c r="F722" s="21"/>
      <c r="G722" s="20"/>
      <c r="H722" s="18"/>
      <c r="I722" s="22">
        <f>SUM(U714:U721)</f>
        <v>0.09</v>
      </c>
      <c r="J722" s="18">
        <f>157</f>
        <v>157</v>
      </c>
      <c r="K722" s="22">
        <f>SUM(V714:V721)</f>
        <v>1.99</v>
      </c>
    </row>
    <row r="723" spans="1:27" ht="14.25" x14ac:dyDescent="0.2">
      <c r="A723" s="16"/>
      <c r="B723" s="17"/>
      <c r="C723" s="17" t="s">
        <v>1629</v>
      </c>
      <c r="D723" s="19" t="s">
        <v>1630</v>
      </c>
      <c r="E723" s="18">
        <f>Source!AQ399</f>
        <v>27.47</v>
      </c>
      <c r="F723" s="21"/>
      <c r="G723" s="20" t="str">
        <f>Source!DI399</f>
        <v/>
      </c>
      <c r="H723" s="18">
        <f>Source!AV399</f>
        <v>1</v>
      </c>
      <c r="I723" s="22">
        <f>Source!U399</f>
        <v>0.2747</v>
      </c>
      <c r="J723" s="18"/>
      <c r="K723" s="22"/>
    </row>
    <row r="724" spans="1:27" ht="15" x14ac:dyDescent="0.25">
      <c r="A724" s="25"/>
      <c r="B724" s="25"/>
      <c r="C724" s="25"/>
      <c r="D724" s="25"/>
      <c r="E724" s="25"/>
      <c r="F724" s="25"/>
      <c r="G724" s="25"/>
      <c r="H724" s="54">
        <f>I716+I717+I719+I720+I721+I722</f>
        <v>10.029999999999999</v>
      </c>
      <c r="I724" s="54"/>
      <c r="J724" s="54">
        <f>K716+K717+K719+K720+K721+K722</f>
        <v>188.48000000000002</v>
      </c>
      <c r="K724" s="54"/>
      <c r="O724" s="24">
        <f>I716+I717+I719+I720+I721+I722</f>
        <v>10.029999999999999</v>
      </c>
      <c r="P724" s="24">
        <f>K716+K717+K719+K720+K721+K722</f>
        <v>188.48000000000002</v>
      </c>
      <c r="X724">
        <f>IF(Source!BI399&lt;=1,I716+I717+I719+I720+I721+I722-0, 0)</f>
        <v>0</v>
      </c>
      <c r="Y724">
        <f>IF(Source!BI399=2,I716+I717+I719+I720+I721+I722-0, 0)</f>
        <v>10.029999999999999</v>
      </c>
      <c r="Z724">
        <f>IF(Source!BI399=3,I716+I717+I719+I720+I721+I722-0, 0)</f>
        <v>0</v>
      </c>
      <c r="AA724">
        <f>IF(Source!BI399=4,I716+I717+I719+I720+I721+I722,0)</f>
        <v>0</v>
      </c>
    </row>
    <row r="725" spans="1:27" ht="71.25" x14ac:dyDescent="0.2">
      <c r="A725" s="16" t="str">
        <f>Source!E400</f>
        <v>82</v>
      </c>
      <c r="B725" s="17" t="str">
        <f>Source!F400</f>
        <v>4.8-288-2</v>
      </c>
      <c r="C725" s="17" t="s">
        <v>576</v>
      </c>
      <c r="D725" s="19" t="str">
        <f>Source!H400</f>
        <v>100 м</v>
      </c>
      <c r="E725" s="18">
        <f>Source!I400</f>
        <v>7</v>
      </c>
      <c r="F725" s="21"/>
      <c r="G725" s="20"/>
      <c r="H725" s="18"/>
      <c r="I725" s="22"/>
      <c r="J725" s="18"/>
      <c r="K725" s="22"/>
      <c r="Q725">
        <f>ROUND((Source!DN400/100)*ROUND((ROUND((Source!AF400*Source!AV400*Source!I400),2)),2), 2)</f>
        <v>1534.23</v>
      </c>
      <c r="R725">
        <f>Source!X400</f>
        <v>26363</v>
      </c>
      <c r="S725">
        <f>ROUND((Source!DO400/100)*ROUND((ROUND((Source!AF400*Source!AV400*Source!I400),2)),2), 2)</f>
        <v>901.7</v>
      </c>
      <c r="T725">
        <f>Source!Y400</f>
        <v>14037.44</v>
      </c>
      <c r="U725">
        <f>ROUND((175/100)*ROUND((ROUND((Source!AE400*Source!AV400*Source!I400),2)),2), 2)</f>
        <v>69.95</v>
      </c>
      <c r="V725">
        <f>ROUND((157/100)*ROUND(ROUND((ROUND((Source!AE400*Source!AV400*Source!I400),2)*Source!BS400),2), 2), 2)</f>
        <v>1596.44</v>
      </c>
    </row>
    <row r="726" spans="1:27" x14ac:dyDescent="0.2">
      <c r="C726" s="23" t="str">
        <f>"Объем: "&amp;Source!I400&amp;"=700/"&amp;"100"</f>
        <v>Объем: 7=700/100</v>
      </c>
    </row>
    <row r="727" spans="1:27" ht="14.25" x14ac:dyDescent="0.2">
      <c r="A727" s="16"/>
      <c r="B727" s="17"/>
      <c r="C727" s="17" t="s">
        <v>1625</v>
      </c>
      <c r="D727" s="19"/>
      <c r="E727" s="18"/>
      <c r="F727" s="21">
        <f>Source!AO400</f>
        <v>192.26</v>
      </c>
      <c r="G727" s="20" t="str">
        <f>Source!DG400</f>
        <v/>
      </c>
      <c r="H727" s="18">
        <f>Source!AV400</f>
        <v>1</v>
      </c>
      <c r="I727" s="22">
        <f>ROUND((ROUND((Source!AF400*Source!AV400*Source!I400),2)),2)</f>
        <v>1345.82</v>
      </c>
      <c r="J727" s="18">
        <f>IF(Source!BA400&lt;&gt; 0, Source!BA400, 1)</f>
        <v>25.44</v>
      </c>
      <c r="K727" s="22">
        <f>Source!S400</f>
        <v>34237.660000000003</v>
      </c>
      <c r="W727">
        <f>I727</f>
        <v>1345.82</v>
      </c>
    </row>
    <row r="728" spans="1:27" ht="14.25" x14ac:dyDescent="0.2">
      <c r="A728" s="16"/>
      <c r="B728" s="17"/>
      <c r="C728" s="17" t="s">
        <v>1631</v>
      </c>
      <c r="D728" s="19"/>
      <c r="E728" s="18"/>
      <c r="F728" s="21">
        <f>Source!AM400</f>
        <v>32.869999999999997</v>
      </c>
      <c r="G728" s="20" t="str">
        <f>Source!DE400</f>
        <v/>
      </c>
      <c r="H728" s="18">
        <f>Source!AV400</f>
        <v>1</v>
      </c>
      <c r="I728" s="22">
        <f>(ROUND((ROUND(((Source!ET400)*Source!AV400*Source!I400),2)),2)+ROUND((ROUND(((Source!AE400-(Source!EU400))*Source!AV400*Source!I400),2)),2))</f>
        <v>230.09</v>
      </c>
      <c r="J728" s="18">
        <f>IF(Source!BB400&lt;&gt; 0, Source!BB400, 1)</f>
        <v>9.25</v>
      </c>
      <c r="K728" s="22">
        <f>Source!Q400</f>
        <v>2128.33</v>
      </c>
    </row>
    <row r="729" spans="1:27" ht="14.25" x14ac:dyDescent="0.2">
      <c r="A729" s="16"/>
      <c r="B729" s="17"/>
      <c r="C729" s="17" t="s">
        <v>1632</v>
      </c>
      <c r="D729" s="19"/>
      <c r="E729" s="18"/>
      <c r="F729" s="21">
        <f>Source!AN400</f>
        <v>5.71</v>
      </c>
      <c r="G729" s="20" t="str">
        <f>Source!DF400</f>
        <v/>
      </c>
      <c r="H729" s="18">
        <f>Source!AV400</f>
        <v>1</v>
      </c>
      <c r="I729" s="26">
        <f>ROUND((ROUND((Source!AE400*Source!AV400*Source!I400),2)),2)</f>
        <v>39.97</v>
      </c>
      <c r="J729" s="18">
        <f>IF(Source!BS400&lt;&gt; 0, Source!BS400, 1)</f>
        <v>25.44</v>
      </c>
      <c r="K729" s="26">
        <f>Source!R400</f>
        <v>1016.84</v>
      </c>
      <c r="W729">
        <f>I729</f>
        <v>39.97</v>
      </c>
    </row>
    <row r="730" spans="1:27" ht="14.25" x14ac:dyDescent="0.2">
      <c r="A730" s="16"/>
      <c r="B730" s="17"/>
      <c r="C730" s="17" t="s">
        <v>1634</v>
      </c>
      <c r="D730" s="19"/>
      <c r="E730" s="18"/>
      <c r="F730" s="21">
        <f>Source!AL400</f>
        <v>314.29000000000002</v>
      </c>
      <c r="G730" s="20" t="str">
        <f>Source!DD400</f>
        <v/>
      </c>
      <c r="H730" s="18">
        <f>Source!AW400</f>
        <v>1</v>
      </c>
      <c r="I730" s="22">
        <f>ROUND((ROUND((Source!AC400*Source!AW400*Source!I400),2)),2)</f>
        <v>2200.0300000000002</v>
      </c>
      <c r="J730" s="18">
        <f>IF(Source!BC400&lt;&gt; 0, Source!BC400, 1)</f>
        <v>6.58</v>
      </c>
      <c r="K730" s="22">
        <f>Source!P400</f>
        <v>14476.2</v>
      </c>
    </row>
    <row r="731" spans="1:27" ht="14.25" x14ac:dyDescent="0.2">
      <c r="A731" s="16"/>
      <c r="B731" s="17"/>
      <c r="C731" s="17" t="s">
        <v>1626</v>
      </c>
      <c r="D731" s="19" t="s">
        <v>1627</v>
      </c>
      <c r="E731" s="18">
        <f>Source!DN400</f>
        <v>114</v>
      </c>
      <c r="F731" s="21"/>
      <c r="G731" s="20"/>
      <c r="H731" s="18"/>
      <c r="I731" s="22">
        <f>SUM(Q725:Q730)</f>
        <v>1534.23</v>
      </c>
      <c r="J731" s="18">
        <f>Source!BZ400</f>
        <v>77</v>
      </c>
      <c r="K731" s="22">
        <f>SUM(R725:R730)</f>
        <v>26363</v>
      </c>
    </row>
    <row r="732" spans="1:27" ht="14.25" x14ac:dyDescent="0.2">
      <c r="A732" s="16"/>
      <c r="B732" s="17"/>
      <c r="C732" s="17" t="s">
        <v>1628</v>
      </c>
      <c r="D732" s="19" t="s">
        <v>1627</v>
      </c>
      <c r="E732" s="18">
        <f>Source!DO400</f>
        <v>67</v>
      </c>
      <c r="F732" s="21"/>
      <c r="G732" s="20"/>
      <c r="H732" s="18"/>
      <c r="I732" s="22">
        <f>SUM(S725:S731)</f>
        <v>901.7</v>
      </c>
      <c r="J732" s="18">
        <f>Source!CA400</f>
        <v>41</v>
      </c>
      <c r="K732" s="22">
        <f>SUM(T725:T731)</f>
        <v>14037.44</v>
      </c>
    </row>
    <row r="733" spans="1:27" ht="14.25" x14ac:dyDescent="0.2">
      <c r="A733" s="16"/>
      <c r="B733" s="17"/>
      <c r="C733" s="17" t="s">
        <v>1633</v>
      </c>
      <c r="D733" s="19" t="s">
        <v>1627</v>
      </c>
      <c r="E733" s="18">
        <f>175</f>
        <v>175</v>
      </c>
      <c r="F733" s="21"/>
      <c r="G733" s="20"/>
      <c r="H733" s="18"/>
      <c r="I733" s="22">
        <f>SUM(U725:U732)</f>
        <v>69.95</v>
      </c>
      <c r="J733" s="18">
        <f>157</f>
        <v>157</v>
      </c>
      <c r="K733" s="22">
        <f>SUM(V725:V732)</f>
        <v>1596.44</v>
      </c>
    </row>
    <row r="734" spans="1:27" ht="14.25" x14ac:dyDescent="0.2">
      <c r="A734" s="16"/>
      <c r="B734" s="17"/>
      <c r="C734" s="17" t="s">
        <v>1629</v>
      </c>
      <c r="D734" s="19" t="s">
        <v>1630</v>
      </c>
      <c r="E734" s="18">
        <f>Source!AQ400</f>
        <v>15</v>
      </c>
      <c r="F734" s="21"/>
      <c r="G734" s="20" t="str">
        <f>Source!DI400</f>
        <v/>
      </c>
      <c r="H734" s="18">
        <f>Source!AV400</f>
        <v>1</v>
      </c>
      <c r="I734" s="22">
        <f>Source!U400</f>
        <v>105</v>
      </c>
      <c r="J734" s="18"/>
      <c r="K734" s="22"/>
    </row>
    <row r="735" spans="1:27" ht="15" x14ac:dyDescent="0.25">
      <c r="A735" s="25"/>
      <c r="B735" s="25"/>
      <c r="C735" s="25"/>
      <c r="D735" s="25"/>
      <c r="E735" s="25"/>
      <c r="F735" s="25"/>
      <c r="G735" s="25"/>
      <c r="H735" s="54">
        <f>I727+I728+I730+I731+I732+I733</f>
        <v>6281.82</v>
      </c>
      <c r="I735" s="54"/>
      <c r="J735" s="54">
        <f>K727+K728+K730+K731+K732+K733</f>
        <v>92839.07</v>
      </c>
      <c r="K735" s="54"/>
      <c r="O735" s="24">
        <f>I727+I728+I730+I731+I732+I733</f>
        <v>6281.82</v>
      </c>
      <c r="P735" s="24">
        <f>K727+K728+K730+K731+K732+K733</f>
        <v>92839.07</v>
      </c>
      <c r="X735">
        <f>IF(Source!BI400&lt;=1,I727+I728+I730+I731+I732+I733-0, 0)</f>
        <v>0</v>
      </c>
      <c r="Y735">
        <f>IF(Source!BI400=2,I727+I728+I730+I731+I732+I733-0, 0)</f>
        <v>6281.82</v>
      </c>
      <c r="Z735">
        <f>IF(Source!BI400=3,I727+I728+I730+I731+I732+I733-0, 0)</f>
        <v>0</v>
      </c>
      <c r="AA735">
        <f>IF(Source!BI400=4,I727+I728+I730+I731+I732+I733,0)</f>
        <v>0</v>
      </c>
    </row>
    <row r="736" spans="1:27" ht="71.25" x14ac:dyDescent="0.2">
      <c r="A736" s="16" t="str">
        <f>Source!E401</f>
        <v>83</v>
      </c>
      <c r="B736" s="17" t="str">
        <f>Source!F401</f>
        <v>4.8-175-2</v>
      </c>
      <c r="C736" s="17" t="s">
        <v>582</v>
      </c>
      <c r="D736" s="19" t="str">
        <f>Source!H401</f>
        <v>100 м</v>
      </c>
      <c r="E736" s="18">
        <f>Source!I401</f>
        <v>7</v>
      </c>
      <c r="F736" s="21"/>
      <c r="G736" s="20"/>
      <c r="H736" s="18"/>
      <c r="I736" s="22"/>
      <c r="J736" s="18"/>
      <c r="K736" s="22"/>
      <c r="Q736">
        <f>ROUND((Source!DN401/100)*ROUND((ROUND((Source!AF401*Source!AV401*Source!I401),2)),2), 2)</f>
        <v>608.08000000000004</v>
      </c>
      <c r="R736">
        <f>Source!X401</f>
        <v>10448.67</v>
      </c>
      <c r="S736">
        <f>ROUND((Source!DO401/100)*ROUND((ROUND((Source!AF401*Source!AV401*Source!I401),2)),2), 2)</f>
        <v>357.38</v>
      </c>
      <c r="T736">
        <f>Source!Y401</f>
        <v>5563.58</v>
      </c>
      <c r="U736">
        <f>ROUND((175/100)*ROUND((ROUND((Source!AE401*Source!AV401*Source!I401),2)),2), 2)</f>
        <v>4.78</v>
      </c>
      <c r="V736">
        <f>ROUND((157/100)*ROUND(ROUND((ROUND((Source!AE401*Source!AV401*Source!I401),2)*Source!BS401),2), 2), 2)</f>
        <v>109.04</v>
      </c>
    </row>
    <row r="737" spans="1:27" x14ac:dyDescent="0.2">
      <c r="C737" s="23" t="str">
        <f>"Объем: "&amp;Source!I401&amp;"=700/"&amp;"100"</f>
        <v>Объем: 7=700/100</v>
      </c>
    </row>
    <row r="738" spans="1:27" ht="14.25" x14ac:dyDescent="0.2">
      <c r="A738" s="16"/>
      <c r="B738" s="17"/>
      <c r="C738" s="17" t="s">
        <v>1625</v>
      </c>
      <c r="D738" s="19"/>
      <c r="E738" s="18"/>
      <c r="F738" s="21">
        <f>Source!AO401</f>
        <v>76.2</v>
      </c>
      <c r="G738" s="20" t="str">
        <f>Source!DG401</f>
        <v/>
      </c>
      <c r="H738" s="18">
        <f>Source!AV401</f>
        <v>1</v>
      </c>
      <c r="I738" s="22">
        <f>ROUND((ROUND((Source!AF401*Source!AV401*Source!I401),2)),2)</f>
        <v>533.4</v>
      </c>
      <c r="J738" s="18">
        <f>IF(Source!BA401&lt;&gt; 0, Source!BA401, 1)</f>
        <v>25.44</v>
      </c>
      <c r="K738" s="22">
        <f>Source!S401</f>
        <v>13569.7</v>
      </c>
      <c r="W738">
        <f>I738</f>
        <v>533.4</v>
      </c>
    </row>
    <row r="739" spans="1:27" ht="14.25" x14ac:dyDescent="0.2">
      <c r="A739" s="16"/>
      <c r="B739" s="17"/>
      <c r="C739" s="17" t="s">
        <v>1631</v>
      </c>
      <c r="D739" s="19"/>
      <c r="E739" s="18"/>
      <c r="F739" s="21">
        <f>Source!AM401</f>
        <v>1.69</v>
      </c>
      <c r="G739" s="20" t="str">
        <f>Source!DE401</f>
        <v/>
      </c>
      <c r="H739" s="18">
        <f>Source!AV401</f>
        <v>1</v>
      </c>
      <c r="I739" s="22">
        <f>(ROUND((ROUND(((Source!ET401)*Source!AV401*Source!I401),2)),2)+ROUND((ROUND(((Source!AE401-(Source!EU401))*Source!AV401*Source!I401),2)),2))</f>
        <v>11.83</v>
      </c>
      <c r="J739" s="18">
        <f>IF(Source!BB401&lt;&gt; 0, Source!BB401, 1)</f>
        <v>10.37</v>
      </c>
      <c r="K739" s="22">
        <f>Source!Q401</f>
        <v>122.68</v>
      </c>
    </row>
    <row r="740" spans="1:27" ht="14.25" x14ac:dyDescent="0.2">
      <c r="A740" s="16"/>
      <c r="B740" s="17"/>
      <c r="C740" s="17" t="s">
        <v>1632</v>
      </c>
      <c r="D740" s="19"/>
      <c r="E740" s="18"/>
      <c r="F740" s="21">
        <f>Source!AN401</f>
        <v>0.39</v>
      </c>
      <c r="G740" s="20" t="str">
        <f>Source!DF401</f>
        <v/>
      </c>
      <c r="H740" s="18">
        <f>Source!AV401</f>
        <v>1</v>
      </c>
      <c r="I740" s="26">
        <f>ROUND((ROUND((Source!AE401*Source!AV401*Source!I401),2)),2)</f>
        <v>2.73</v>
      </c>
      <c r="J740" s="18">
        <f>IF(Source!BS401&lt;&gt; 0, Source!BS401, 1)</f>
        <v>25.44</v>
      </c>
      <c r="K740" s="26">
        <f>Source!R401</f>
        <v>69.45</v>
      </c>
      <c r="W740">
        <f>I740</f>
        <v>2.73</v>
      </c>
    </row>
    <row r="741" spans="1:27" ht="14.25" x14ac:dyDescent="0.2">
      <c r="A741" s="16"/>
      <c r="B741" s="17"/>
      <c r="C741" s="17" t="s">
        <v>1634</v>
      </c>
      <c r="D741" s="19"/>
      <c r="E741" s="18"/>
      <c r="F741" s="21">
        <f>Source!AL401</f>
        <v>9.94</v>
      </c>
      <c r="G741" s="20" t="str">
        <f>Source!DD401</f>
        <v/>
      </c>
      <c r="H741" s="18">
        <f>Source!AW401</f>
        <v>1</v>
      </c>
      <c r="I741" s="22">
        <f>ROUND((ROUND((Source!AC401*Source!AW401*Source!I401),2)),2)</f>
        <v>69.58</v>
      </c>
      <c r="J741" s="18">
        <f>IF(Source!BC401&lt;&gt; 0, Source!BC401, 1)</f>
        <v>6.58</v>
      </c>
      <c r="K741" s="22">
        <f>Source!P401</f>
        <v>457.84</v>
      </c>
    </row>
    <row r="742" spans="1:27" ht="14.25" x14ac:dyDescent="0.2">
      <c r="A742" s="16"/>
      <c r="B742" s="17"/>
      <c r="C742" s="17" t="s">
        <v>1626</v>
      </c>
      <c r="D742" s="19" t="s">
        <v>1627</v>
      </c>
      <c r="E742" s="18">
        <f>Source!DN401</f>
        <v>114</v>
      </c>
      <c r="F742" s="21"/>
      <c r="G742" s="20"/>
      <c r="H742" s="18"/>
      <c r="I742" s="22">
        <f>SUM(Q736:Q741)</f>
        <v>608.08000000000004</v>
      </c>
      <c r="J742" s="18">
        <f>Source!BZ401</f>
        <v>77</v>
      </c>
      <c r="K742" s="22">
        <f>SUM(R736:R741)</f>
        <v>10448.67</v>
      </c>
    </row>
    <row r="743" spans="1:27" ht="14.25" x14ac:dyDescent="0.2">
      <c r="A743" s="16"/>
      <c r="B743" s="17"/>
      <c r="C743" s="17" t="s">
        <v>1628</v>
      </c>
      <c r="D743" s="19" t="s">
        <v>1627</v>
      </c>
      <c r="E743" s="18">
        <f>Source!DO401</f>
        <v>67</v>
      </c>
      <c r="F743" s="21"/>
      <c r="G743" s="20"/>
      <c r="H743" s="18"/>
      <c r="I743" s="22">
        <f>SUM(S736:S742)</f>
        <v>357.38</v>
      </c>
      <c r="J743" s="18">
        <f>Source!CA401</f>
        <v>41</v>
      </c>
      <c r="K743" s="22">
        <f>SUM(T736:T742)</f>
        <v>5563.58</v>
      </c>
    </row>
    <row r="744" spans="1:27" ht="14.25" x14ac:dyDescent="0.2">
      <c r="A744" s="16"/>
      <c r="B744" s="17"/>
      <c r="C744" s="17" t="s">
        <v>1633</v>
      </c>
      <c r="D744" s="19" t="s">
        <v>1627</v>
      </c>
      <c r="E744" s="18">
        <f>175</f>
        <v>175</v>
      </c>
      <c r="F744" s="21"/>
      <c r="G744" s="20"/>
      <c r="H744" s="18"/>
      <c r="I744" s="22">
        <f>SUM(U736:U743)</f>
        <v>4.78</v>
      </c>
      <c r="J744" s="18">
        <f>157</f>
        <v>157</v>
      </c>
      <c r="K744" s="22">
        <f>SUM(V736:V743)</f>
        <v>109.04</v>
      </c>
    </row>
    <row r="745" spans="1:27" ht="14.25" x14ac:dyDescent="0.2">
      <c r="A745" s="16"/>
      <c r="B745" s="17"/>
      <c r="C745" s="17" t="s">
        <v>1629</v>
      </c>
      <c r="D745" s="19" t="s">
        <v>1630</v>
      </c>
      <c r="E745" s="18">
        <f>Source!AQ401</f>
        <v>6.18</v>
      </c>
      <c r="F745" s="21"/>
      <c r="G745" s="20" t="str">
        <f>Source!DI401</f>
        <v/>
      </c>
      <c r="H745" s="18">
        <f>Source!AV401</f>
        <v>1</v>
      </c>
      <c r="I745" s="22">
        <f>Source!U401</f>
        <v>43.26</v>
      </c>
      <c r="J745" s="18"/>
      <c r="K745" s="22"/>
    </row>
    <row r="746" spans="1:27" ht="15" x14ac:dyDescent="0.25">
      <c r="A746" s="25"/>
      <c r="B746" s="25"/>
      <c r="C746" s="25"/>
      <c r="D746" s="25"/>
      <c r="E746" s="25"/>
      <c r="F746" s="25"/>
      <c r="G746" s="25"/>
      <c r="H746" s="54">
        <f>I738+I739+I741+I742+I743+I744</f>
        <v>1585.05</v>
      </c>
      <c r="I746" s="54"/>
      <c r="J746" s="54">
        <f>K738+K739+K741+K742+K743+K744</f>
        <v>30271.510000000002</v>
      </c>
      <c r="K746" s="54"/>
      <c r="O746" s="24">
        <f>I738+I739+I741+I742+I743+I744</f>
        <v>1585.05</v>
      </c>
      <c r="P746" s="24">
        <f>K738+K739+K741+K742+K743+K744</f>
        <v>30271.510000000002</v>
      </c>
      <c r="X746">
        <f>IF(Source!BI401&lt;=1,I738+I739+I741+I742+I743+I744-0, 0)</f>
        <v>0</v>
      </c>
      <c r="Y746">
        <f>IF(Source!BI401=2,I738+I739+I741+I742+I743+I744-0, 0)</f>
        <v>1585.05</v>
      </c>
      <c r="Z746">
        <f>IF(Source!BI401=3,I738+I739+I741+I742+I743+I744-0, 0)</f>
        <v>0</v>
      </c>
      <c r="AA746">
        <f>IF(Source!BI401=4,I738+I739+I741+I742+I743+I744,0)</f>
        <v>0</v>
      </c>
    </row>
    <row r="747" spans="1:27" ht="42.75" x14ac:dyDescent="0.2">
      <c r="A747" s="16" t="str">
        <f>Source!E402</f>
        <v>84</v>
      </c>
      <c r="B747" s="17" t="str">
        <f>Source!F402</f>
        <v>3.6-1-15</v>
      </c>
      <c r="C747" s="17" t="s">
        <v>587</v>
      </c>
      <c r="D747" s="19" t="str">
        <f>Source!H402</f>
        <v>100 м3 в деле</v>
      </c>
      <c r="E747" s="18">
        <f>Source!I402</f>
        <v>0.04</v>
      </c>
      <c r="F747" s="21"/>
      <c r="G747" s="20"/>
      <c r="H747" s="18"/>
      <c r="I747" s="22"/>
      <c r="J747" s="18"/>
      <c r="K747" s="22"/>
      <c r="Q747">
        <f>ROUND((Source!DN402/100)*ROUND((ROUND((Source!AF402*Source!AV402*Source!I402),2)),2), 2)</f>
        <v>78.25</v>
      </c>
      <c r="R747">
        <f>Source!X402</f>
        <v>1592.57</v>
      </c>
      <c r="S747">
        <f>ROUND((Source!DO402/100)*ROUND((ROUND((Source!AF402*Source!AV402*Source!I402),2)),2), 2)</f>
        <v>64.44</v>
      </c>
      <c r="T747">
        <f>Source!Y402</f>
        <v>960.22</v>
      </c>
      <c r="U747">
        <f>ROUND((175/100)*ROUND((ROUND((Source!AE402*Source!AV402*Source!I402),2)),2), 2)</f>
        <v>3.78</v>
      </c>
      <c r="V747">
        <f>ROUND((157/100)*ROUND(ROUND((ROUND((Source!AE402*Source!AV402*Source!I402),2)*Source!BS402),2), 2), 2)</f>
        <v>86.27</v>
      </c>
    </row>
    <row r="748" spans="1:27" x14ac:dyDescent="0.2">
      <c r="C748" s="23" t="str">
        <f>"Объем: "&amp;Source!I402&amp;"=4/"&amp;"100"</f>
        <v>Объем: 0,04=4/100</v>
      </c>
    </row>
    <row r="749" spans="1:27" ht="14.25" x14ac:dyDescent="0.2">
      <c r="A749" s="16"/>
      <c r="B749" s="17"/>
      <c r="C749" s="17" t="s">
        <v>1625</v>
      </c>
      <c r="D749" s="19"/>
      <c r="E749" s="18"/>
      <c r="F749" s="21">
        <f>Source!AO402</f>
        <v>2001.22</v>
      </c>
      <c r="G749" s="20" t="str">
        <f>Source!DG402</f>
        <v>)*1,15</v>
      </c>
      <c r="H749" s="18">
        <f>Source!AV402</f>
        <v>1</v>
      </c>
      <c r="I749" s="22">
        <f>ROUND((ROUND((Source!AF402*Source!AV402*Source!I402),2)),2)</f>
        <v>92.06</v>
      </c>
      <c r="J749" s="18">
        <f>IF(Source!BA402&lt;&gt; 0, Source!BA402, 1)</f>
        <v>25.44</v>
      </c>
      <c r="K749" s="22">
        <f>Source!S402</f>
        <v>2342.0100000000002</v>
      </c>
      <c r="W749">
        <f>I749</f>
        <v>92.06</v>
      </c>
    </row>
    <row r="750" spans="1:27" ht="14.25" x14ac:dyDescent="0.2">
      <c r="A750" s="16"/>
      <c r="B750" s="17"/>
      <c r="C750" s="17" t="s">
        <v>1631</v>
      </c>
      <c r="D750" s="19"/>
      <c r="E750" s="18"/>
      <c r="F750" s="21">
        <f>Source!AM402</f>
        <v>1050.3699999999999</v>
      </c>
      <c r="G750" s="20" t="str">
        <f>Source!DE402</f>
        <v>)*1,25</v>
      </c>
      <c r="H750" s="18">
        <f>Source!AV402</f>
        <v>1</v>
      </c>
      <c r="I750" s="22">
        <f>(ROUND((ROUND((((Source!ET402*1.25))*Source!AV402*Source!I402),2)),2)+ROUND((ROUND(((Source!AE402-((Source!EU402*1.25)))*Source!AV402*Source!I402),2)),2))</f>
        <v>52.52</v>
      </c>
      <c r="J750" s="18">
        <f>IF(Source!BB402&lt;&gt; 0, Source!BB402, 1)</f>
        <v>9.02</v>
      </c>
      <c r="K750" s="22">
        <f>Source!Q402</f>
        <v>473.73</v>
      </c>
    </row>
    <row r="751" spans="1:27" ht="14.25" x14ac:dyDescent="0.2">
      <c r="A751" s="16"/>
      <c r="B751" s="17"/>
      <c r="C751" s="17" t="s">
        <v>1632</v>
      </c>
      <c r="D751" s="19"/>
      <c r="E751" s="18"/>
      <c r="F751" s="21">
        <f>Source!AN402</f>
        <v>43.16</v>
      </c>
      <c r="G751" s="20" t="str">
        <f>Source!DF402</f>
        <v>)*1,25</v>
      </c>
      <c r="H751" s="18">
        <f>Source!AV402</f>
        <v>1</v>
      </c>
      <c r="I751" s="26">
        <f>ROUND((ROUND((Source!AE402*Source!AV402*Source!I402),2)),2)</f>
        <v>2.16</v>
      </c>
      <c r="J751" s="18">
        <f>IF(Source!BS402&lt;&gt; 0, Source!BS402, 1)</f>
        <v>25.44</v>
      </c>
      <c r="K751" s="26">
        <f>Source!R402</f>
        <v>54.95</v>
      </c>
      <c r="W751">
        <f>I751</f>
        <v>2.16</v>
      </c>
    </row>
    <row r="752" spans="1:27" ht="14.25" x14ac:dyDescent="0.2">
      <c r="A752" s="16"/>
      <c r="B752" s="17"/>
      <c r="C752" s="17" t="s">
        <v>1634</v>
      </c>
      <c r="D752" s="19"/>
      <c r="E752" s="18"/>
      <c r="F752" s="21">
        <f>Source!AL402</f>
        <v>1800.88</v>
      </c>
      <c r="G752" s="20" t="str">
        <f>Source!DD402</f>
        <v/>
      </c>
      <c r="H752" s="18">
        <f>Source!AW402</f>
        <v>1</v>
      </c>
      <c r="I752" s="22">
        <f>ROUND((ROUND((Source!AC402*Source!AW402*Source!I402),2)),2)</f>
        <v>72.040000000000006</v>
      </c>
      <c r="J752" s="18">
        <f>IF(Source!BC402&lt;&gt; 0, Source!BC402, 1)</f>
        <v>11.88</v>
      </c>
      <c r="K752" s="22">
        <f>Source!P402</f>
        <v>855.84</v>
      </c>
    </row>
    <row r="753" spans="1:27" ht="71.25" x14ac:dyDescent="0.2">
      <c r="A753" s="16" t="str">
        <f>Source!E403</f>
        <v>84,1</v>
      </c>
      <c r="B753" s="17" t="str">
        <f>Source!F403</f>
        <v>1.3-4-9</v>
      </c>
      <c r="C753" s="17" t="s">
        <v>590</v>
      </c>
      <c r="D753" s="19" t="str">
        <f>Source!H403</f>
        <v>т</v>
      </c>
      <c r="E753" s="18">
        <f>Source!I403</f>
        <v>0.3</v>
      </c>
      <c r="F753" s="21">
        <f>Source!AK403</f>
        <v>5504.52</v>
      </c>
      <c r="G753" s="27" t="s">
        <v>3</v>
      </c>
      <c r="H753" s="18">
        <f>Source!AW403</f>
        <v>1</v>
      </c>
      <c r="I753" s="22">
        <f>ROUND((ROUND((Source!AC403*Source!AW403*Source!I403),2)),2)+(ROUND((ROUND(((Source!ET403)*Source!AV403*Source!I403),2)),2)+ROUND((ROUND(((Source!AE403-(Source!EU403))*Source!AV403*Source!I403),2)),2))+ROUND((ROUND((Source!AF403*Source!AV403*Source!I403),2)),2)</f>
        <v>1651.36</v>
      </c>
      <c r="J753" s="18">
        <f>IF(Source!BC403&lt;&gt; 0, Source!BC403, 1)</f>
        <v>14.42</v>
      </c>
      <c r="K753" s="22">
        <f>Source!O403</f>
        <v>23812.61</v>
      </c>
      <c r="Q753">
        <f>ROUND((Source!DN403/100)*ROUND((ROUND((Source!AF403*Source!AV403*Source!I403),2)),2), 2)</f>
        <v>0</v>
      </c>
      <c r="R753">
        <f>Source!X403</f>
        <v>0</v>
      </c>
      <c r="S753">
        <f>ROUND((Source!DO403/100)*ROUND((ROUND((Source!AF403*Source!AV403*Source!I403),2)),2), 2)</f>
        <v>0</v>
      </c>
      <c r="T753">
        <f>Source!Y403</f>
        <v>0</v>
      </c>
      <c r="U753">
        <f>ROUND((175/100)*ROUND((ROUND((Source!AE403*Source!AV403*Source!I403),2)),2), 2)</f>
        <v>0</v>
      </c>
      <c r="V753">
        <f>ROUND((157/100)*ROUND(ROUND((ROUND((Source!AE403*Source!AV403*Source!I403),2)*Source!BS403),2), 2), 2)</f>
        <v>0</v>
      </c>
      <c r="X753">
        <f>IF(Source!BI403&lt;=1,I753, 0)</f>
        <v>1651.36</v>
      </c>
      <c r="Y753">
        <f>IF(Source!BI403=2,I753, 0)</f>
        <v>0</v>
      </c>
      <c r="Z753">
        <f>IF(Source!BI403=3,I753, 0)</f>
        <v>0</v>
      </c>
      <c r="AA753">
        <f>IF(Source!BI403=4,I753, 0)</f>
        <v>0</v>
      </c>
    </row>
    <row r="754" spans="1:27" ht="57" x14ac:dyDescent="0.2">
      <c r="A754" s="16" t="str">
        <f>Source!E404</f>
        <v>84,2</v>
      </c>
      <c r="B754" s="17" t="str">
        <f>Source!F404</f>
        <v>1.3-1-39</v>
      </c>
      <c r="C754" s="17" t="s">
        <v>594</v>
      </c>
      <c r="D754" s="19" t="str">
        <f>Source!H404</f>
        <v>м3</v>
      </c>
      <c r="E754" s="18">
        <f>Source!I404</f>
        <v>4</v>
      </c>
      <c r="F754" s="21">
        <f>Source!AK404</f>
        <v>711.12</v>
      </c>
      <c r="G754" s="27" t="s">
        <v>3</v>
      </c>
      <c r="H754" s="18">
        <f>Source!AW404</f>
        <v>1</v>
      </c>
      <c r="I754" s="22">
        <f>ROUND((ROUND((Source!AC404*Source!AW404*Source!I404),2)),2)+(ROUND((ROUND(((Source!ET404)*Source!AV404*Source!I404),2)),2)+ROUND((ROUND(((Source!AE404-(Source!EU404))*Source!AV404*Source!I404),2)),2))+ROUND((ROUND((Source!AF404*Source!AV404*Source!I404),2)),2)</f>
        <v>2844.48</v>
      </c>
      <c r="J754" s="18">
        <f>IF(Source!BC404&lt;&gt; 0, Source!BC404, 1)</f>
        <v>5.8</v>
      </c>
      <c r="K754" s="22">
        <f>Source!O404</f>
        <v>16497.98</v>
      </c>
      <c r="Q754">
        <f>ROUND((Source!DN404/100)*ROUND((ROUND((Source!AF404*Source!AV404*Source!I404),2)),2), 2)</f>
        <v>0</v>
      </c>
      <c r="R754">
        <f>Source!X404</f>
        <v>0</v>
      </c>
      <c r="S754">
        <f>ROUND((Source!DO404/100)*ROUND((ROUND((Source!AF404*Source!AV404*Source!I404),2)),2), 2)</f>
        <v>0</v>
      </c>
      <c r="T754">
        <f>Source!Y404</f>
        <v>0</v>
      </c>
      <c r="U754">
        <f>ROUND((175/100)*ROUND((ROUND((Source!AE404*Source!AV404*Source!I404),2)),2), 2)</f>
        <v>0</v>
      </c>
      <c r="V754">
        <f>ROUND((157/100)*ROUND(ROUND((ROUND((Source!AE404*Source!AV404*Source!I404),2)*Source!BS404),2), 2), 2)</f>
        <v>0</v>
      </c>
      <c r="X754">
        <f>IF(Source!BI404&lt;=1,I754, 0)</f>
        <v>2844.48</v>
      </c>
      <c r="Y754">
        <f>IF(Source!BI404=2,I754, 0)</f>
        <v>0</v>
      </c>
      <c r="Z754">
        <f>IF(Source!BI404=3,I754, 0)</f>
        <v>0</v>
      </c>
      <c r="AA754">
        <f>IF(Source!BI404=4,I754, 0)</f>
        <v>0</v>
      </c>
    </row>
    <row r="755" spans="1:27" ht="14.25" x14ac:dyDescent="0.2">
      <c r="A755" s="16"/>
      <c r="B755" s="17"/>
      <c r="C755" s="17" t="s">
        <v>1626</v>
      </c>
      <c r="D755" s="19" t="s">
        <v>1627</v>
      </c>
      <c r="E755" s="18">
        <f>Source!DN402</f>
        <v>85</v>
      </c>
      <c r="F755" s="21"/>
      <c r="G755" s="20"/>
      <c r="H755" s="18"/>
      <c r="I755" s="22">
        <f>SUM(Q747:Q754)</f>
        <v>78.25</v>
      </c>
      <c r="J755" s="18">
        <f>Source!BZ402</f>
        <v>68</v>
      </c>
      <c r="K755" s="22">
        <f>SUM(R747:R754)</f>
        <v>1592.57</v>
      </c>
    </row>
    <row r="756" spans="1:27" ht="14.25" x14ac:dyDescent="0.2">
      <c r="A756" s="16"/>
      <c r="B756" s="17"/>
      <c r="C756" s="17" t="s">
        <v>1628</v>
      </c>
      <c r="D756" s="19" t="s">
        <v>1627</v>
      </c>
      <c r="E756" s="18">
        <f>Source!DO402</f>
        <v>70</v>
      </c>
      <c r="F756" s="21"/>
      <c r="G756" s="20"/>
      <c r="H756" s="18"/>
      <c r="I756" s="22">
        <f>SUM(S747:S755)</f>
        <v>64.44</v>
      </c>
      <c r="J756" s="18">
        <f>Source!CA402</f>
        <v>41</v>
      </c>
      <c r="K756" s="22">
        <f>SUM(T747:T755)</f>
        <v>960.22</v>
      </c>
    </row>
    <row r="757" spans="1:27" ht="14.25" x14ac:dyDescent="0.2">
      <c r="A757" s="16"/>
      <c r="B757" s="17"/>
      <c r="C757" s="17" t="s">
        <v>1633</v>
      </c>
      <c r="D757" s="19" t="s">
        <v>1627</v>
      </c>
      <c r="E757" s="18">
        <f>175</f>
        <v>175</v>
      </c>
      <c r="F757" s="21"/>
      <c r="G757" s="20"/>
      <c r="H757" s="18"/>
      <c r="I757" s="22">
        <f>SUM(U747:U756)</f>
        <v>3.78</v>
      </c>
      <c r="J757" s="18">
        <f>157</f>
        <v>157</v>
      </c>
      <c r="K757" s="22">
        <f>SUM(V747:V756)</f>
        <v>86.27</v>
      </c>
    </row>
    <row r="758" spans="1:27" ht="14.25" x14ac:dyDescent="0.2">
      <c r="A758" s="16"/>
      <c r="B758" s="17"/>
      <c r="C758" s="17" t="s">
        <v>1629</v>
      </c>
      <c r="D758" s="19" t="s">
        <v>1630</v>
      </c>
      <c r="E758" s="18">
        <f>Source!AQ402</f>
        <v>179</v>
      </c>
      <c r="F758" s="21"/>
      <c r="G758" s="20" t="str">
        <f>Source!DI402</f>
        <v>)*1,15</v>
      </c>
      <c r="H758" s="18">
        <f>Source!AV402</f>
        <v>1</v>
      </c>
      <c r="I758" s="22">
        <f>Source!U402</f>
        <v>8.234</v>
      </c>
      <c r="J758" s="18"/>
      <c r="K758" s="22"/>
    </row>
    <row r="759" spans="1:27" ht="15" x14ac:dyDescent="0.25">
      <c r="A759" s="25"/>
      <c r="B759" s="25"/>
      <c r="C759" s="25"/>
      <c r="D759" s="25"/>
      <c r="E759" s="25"/>
      <c r="F759" s="25"/>
      <c r="G759" s="25"/>
      <c r="H759" s="54">
        <f>I749+I750+I752+I755+I756+I757+SUM(I753:I754)</f>
        <v>4858.93</v>
      </c>
      <c r="I759" s="54"/>
      <c r="J759" s="54">
        <f>K749+K750+K752+K755+K756+K757+SUM(K753:K754)</f>
        <v>46621.229999999996</v>
      </c>
      <c r="K759" s="54"/>
      <c r="O759" s="24">
        <f>I749+I750+I752+I755+I756+I757+SUM(I753:I754)</f>
        <v>4858.93</v>
      </c>
      <c r="P759" s="24">
        <f>K749+K750+K752+K755+K756+K757+SUM(K753:K754)</f>
        <v>46621.229999999996</v>
      </c>
      <c r="X759">
        <f>IF(Source!BI402&lt;=1,I749+I750+I752+I755+I756+I757-0, 0)</f>
        <v>363.09</v>
      </c>
      <c r="Y759">
        <f>IF(Source!BI402=2,I749+I750+I752+I755+I756+I757-0, 0)</f>
        <v>0</v>
      </c>
      <c r="Z759">
        <f>IF(Source!BI402=3,I749+I750+I752+I755+I756+I757-0, 0)</f>
        <v>0</v>
      </c>
      <c r="AA759">
        <f>IF(Source!BI402=4,I749+I750+I752+I755+I756+I757,0)</f>
        <v>0</v>
      </c>
    </row>
    <row r="761" spans="1:27" ht="16.5" x14ac:dyDescent="0.25">
      <c r="A761" s="56" t="str">
        <f>CONCATENATE("Подраздел: ",IF(Source!G406&lt;&gt;"Новый подраздел", Source!G406, ""))</f>
        <v>Подраздел: Оборудование для автополива</v>
      </c>
      <c r="B761" s="56"/>
      <c r="C761" s="56"/>
      <c r="D761" s="56"/>
      <c r="E761" s="56"/>
      <c r="F761" s="56"/>
      <c r="G761" s="56"/>
      <c r="H761" s="56"/>
      <c r="I761" s="56"/>
      <c r="J761" s="56"/>
      <c r="K761" s="56"/>
    </row>
    <row r="762" spans="1:27" ht="96.75" x14ac:dyDescent="0.2">
      <c r="A762" s="16" t="str">
        <f>Source!E410</f>
        <v>85</v>
      </c>
      <c r="B762" s="17" t="str">
        <f>Source!F410</f>
        <v>Цена поставщика</v>
      </c>
      <c r="C762" s="17" t="s">
        <v>1654</v>
      </c>
      <c r="D762" s="19" t="str">
        <f>Source!H410</f>
        <v>шт.</v>
      </c>
      <c r="E762" s="18">
        <f>Source!I410</f>
        <v>1</v>
      </c>
      <c r="F762" s="21">
        <f>Source!AL410</f>
        <v>276206.83</v>
      </c>
      <c r="G762" s="20" t="str">
        <f>Source!DD410</f>
        <v/>
      </c>
      <c r="H762" s="18">
        <f>Source!AW410</f>
        <v>1</v>
      </c>
      <c r="I762" s="22">
        <f>ROUND((ROUND((Source!AC410*Source!AW410*Source!I410),2)),2)</f>
        <v>276206.83</v>
      </c>
      <c r="J762" s="18">
        <f>IF(Source!BC410&lt;&gt; 0, Source!BC410, 1)</f>
        <v>6.34</v>
      </c>
      <c r="K762" s="22">
        <f>Source!P410</f>
        <v>1751151.3</v>
      </c>
      <c r="Q762">
        <f>ROUND((Source!DN410/100)*ROUND((ROUND((Source!AF410*Source!AV410*Source!I410),2)),2), 2)</f>
        <v>0</v>
      </c>
      <c r="R762">
        <f>Source!X410</f>
        <v>0</v>
      </c>
      <c r="S762">
        <f>ROUND((Source!DO410/100)*ROUND((ROUND((Source!AF410*Source!AV410*Source!I410),2)),2), 2)</f>
        <v>0</v>
      </c>
      <c r="T762">
        <f>Source!Y410</f>
        <v>0</v>
      </c>
      <c r="U762">
        <f>ROUND((175/100)*ROUND((ROUND((Source!AE410*Source!AV410*Source!I410),2)),2), 2)</f>
        <v>0</v>
      </c>
      <c r="V762">
        <f>ROUND((157/100)*ROUND(ROUND((ROUND((Source!AE410*Source!AV410*Source!I410),2)*Source!BS410),2), 2), 2)</f>
        <v>0</v>
      </c>
    </row>
    <row r="763" spans="1:27" ht="15" x14ac:dyDescent="0.25">
      <c r="A763" s="25"/>
      <c r="B763" s="25"/>
      <c r="C763" s="25"/>
      <c r="D763" s="25"/>
      <c r="E763" s="25"/>
      <c r="F763" s="25"/>
      <c r="G763" s="25"/>
      <c r="H763" s="54">
        <f>I762</f>
        <v>276206.83</v>
      </c>
      <c r="I763" s="54"/>
      <c r="J763" s="54">
        <f>K762</f>
        <v>1751151.3</v>
      </c>
      <c r="K763" s="54"/>
      <c r="O763" s="24">
        <f>I762</f>
        <v>276206.83</v>
      </c>
      <c r="P763" s="24">
        <f>K762</f>
        <v>1751151.3</v>
      </c>
      <c r="X763">
        <f>IF(Source!BI410&lt;=1,I762-0, 0)</f>
        <v>276206.83</v>
      </c>
      <c r="Y763">
        <f>IF(Source!BI410=2,I762-0, 0)</f>
        <v>0</v>
      </c>
      <c r="Z763">
        <f>IF(Source!BI410=3,I762-0, 0)</f>
        <v>0</v>
      </c>
      <c r="AA763">
        <f>IF(Source!BI410=4,I762,0)</f>
        <v>0</v>
      </c>
    </row>
    <row r="764" spans="1:27" ht="84" x14ac:dyDescent="0.2">
      <c r="A764" s="16" t="str">
        <f>Source!E411</f>
        <v>86</v>
      </c>
      <c r="B764" s="17" t="str">
        <f>Source!F411</f>
        <v>Цена поставщика</v>
      </c>
      <c r="C764" s="17" t="s">
        <v>1655</v>
      </c>
      <c r="D764" s="19" t="str">
        <f>Source!H411</f>
        <v>шт.</v>
      </c>
      <c r="E764" s="18">
        <f>Source!I411</f>
        <v>1</v>
      </c>
      <c r="F764" s="21">
        <f>Source!AL411</f>
        <v>128811.78</v>
      </c>
      <c r="G764" s="20" t="str">
        <f>Source!DD411</f>
        <v/>
      </c>
      <c r="H764" s="18">
        <f>Source!AW411</f>
        <v>1</v>
      </c>
      <c r="I764" s="22">
        <f>ROUND((ROUND((Source!AC411*Source!AW411*Source!I411),2)),2)</f>
        <v>128811.78</v>
      </c>
      <c r="J764" s="18">
        <f>IF(Source!BC411&lt;&gt; 0, Source!BC411, 1)</f>
        <v>6.34</v>
      </c>
      <c r="K764" s="22">
        <f>Source!P411</f>
        <v>816666.69</v>
      </c>
      <c r="Q764">
        <f>ROUND((Source!DN411/100)*ROUND((ROUND((Source!AF411*Source!AV411*Source!I411),2)),2), 2)</f>
        <v>0</v>
      </c>
      <c r="R764">
        <f>Source!X411</f>
        <v>0</v>
      </c>
      <c r="S764">
        <f>ROUND((Source!DO411/100)*ROUND((ROUND((Source!AF411*Source!AV411*Source!I411),2)),2), 2)</f>
        <v>0</v>
      </c>
      <c r="T764">
        <f>Source!Y411</f>
        <v>0</v>
      </c>
      <c r="U764">
        <f>ROUND((175/100)*ROUND((ROUND((Source!AE411*Source!AV411*Source!I411),2)),2), 2)</f>
        <v>0</v>
      </c>
      <c r="V764">
        <f>ROUND((157/100)*ROUND(ROUND((ROUND((Source!AE411*Source!AV411*Source!I411),2)*Source!BS411),2), 2), 2)</f>
        <v>0</v>
      </c>
    </row>
    <row r="765" spans="1:27" ht="15" x14ac:dyDescent="0.25">
      <c r="A765" s="25"/>
      <c r="B765" s="25"/>
      <c r="C765" s="25"/>
      <c r="D765" s="25"/>
      <c r="E765" s="25"/>
      <c r="F765" s="25"/>
      <c r="G765" s="25"/>
      <c r="H765" s="54">
        <f>I764</f>
        <v>128811.78</v>
      </c>
      <c r="I765" s="54"/>
      <c r="J765" s="54">
        <f>K764</f>
        <v>816666.69</v>
      </c>
      <c r="K765" s="54"/>
      <c r="O765" s="24">
        <f>I764</f>
        <v>128811.78</v>
      </c>
      <c r="P765" s="24">
        <f>K764</f>
        <v>816666.69</v>
      </c>
      <c r="X765">
        <f>IF(Source!BI411&lt;=1,I764-0, 0)</f>
        <v>128811.78</v>
      </c>
      <c r="Y765">
        <f>IF(Source!BI411=2,I764-0, 0)</f>
        <v>0</v>
      </c>
      <c r="Z765">
        <f>IF(Source!BI411=3,I764-0, 0)</f>
        <v>0</v>
      </c>
      <c r="AA765">
        <f>IF(Source!BI411=4,I764,0)</f>
        <v>0</v>
      </c>
    </row>
    <row r="767" spans="1:27" ht="15" x14ac:dyDescent="0.25">
      <c r="A767" s="53" t="str">
        <f>CONCATENATE("Итого по подразделу: ",IF(Source!G413&lt;&gt;"Новый подраздел", Source!G413, ""))</f>
        <v>Итого по подразделу: Оборудование для автополива</v>
      </c>
      <c r="B767" s="53"/>
      <c r="C767" s="53"/>
      <c r="D767" s="53"/>
      <c r="E767" s="53"/>
      <c r="F767" s="53"/>
      <c r="G767" s="53"/>
      <c r="H767" s="51">
        <f>SUM(O761:O766)</f>
        <v>405018.61</v>
      </c>
      <c r="I767" s="52"/>
      <c r="J767" s="51">
        <f>SUM(P761:P766)</f>
        <v>2567817.9900000002</v>
      </c>
      <c r="K767" s="52"/>
    </row>
    <row r="768" spans="1:27" hidden="1" x14ac:dyDescent="0.2">
      <c r="A768" t="s">
        <v>1641</v>
      </c>
      <c r="H768">
        <f>SUM(AC761:AC767)</f>
        <v>0</v>
      </c>
      <c r="J768">
        <f>SUM(AD761:AD767)</f>
        <v>0</v>
      </c>
    </row>
    <row r="769" spans="1:27" hidden="1" x14ac:dyDescent="0.2">
      <c r="A769" t="s">
        <v>1642</v>
      </c>
      <c r="H769">
        <f>SUM(AE761:AE768)</f>
        <v>0</v>
      </c>
      <c r="J769">
        <f>SUM(AF761:AF768)</f>
        <v>0</v>
      </c>
    </row>
    <row r="771" spans="1:27" ht="15" x14ac:dyDescent="0.25">
      <c r="A771" s="53" t="str">
        <f>CONCATENATE("Итого по разделу: ",IF(Source!G443&lt;&gt;"Новый раздел", Source!G443, ""))</f>
        <v>Итого по разделу: Система автополива</v>
      </c>
      <c r="B771" s="53"/>
      <c r="C771" s="53"/>
      <c r="D771" s="53"/>
      <c r="E771" s="53"/>
      <c r="F771" s="53"/>
      <c r="G771" s="53"/>
      <c r="H771" s="51">
        <f>SUM(O590:O770)</f>
        <v>514897.82000000007</v>
      </c>
      <c r="I771" s="52"/>
      <c r="J771" s="51">
        <f>SUM(P590:P770)</f>
        <v>3884368.06</v>
      </c>
      <c r="K771" s="52"/>
    </row>
    <row r="772" spans="1:27" hidden="1" x14ac:dyDescent="0.2">
      <c r="A772" t="s">
        <v>1641</v>
      </c>
      <c r="H772">
        <f>SUM(AC590:AC771)</f>
        <v>0</v>
      </c>
      <c r="J772">
        <f>SUM(AD590:AD771)</f>
        <v>0</v>
      </c>
    </row>
    <row r="773" spans="1:27" hidden="1" x14ac:dyDescent="0.2">
      <c r="A773" t="s">
        <v>1642</v>
      </c>
      <c r="H773">
        <f>SUM(AE590:AE772)</f>
        <v>0</v>
      </c>
      <c r="J773">
        <f>SUM(AF590:AF772)</f>
        <v>0</v>
      </c>
    </row>
    <row r="775" spans="1:27" ht="16.5" x14ac:dyDescent="0.25">
      <c r="A775" s="56" t="str">
        <f>CONCATENATE("Раздел: ",IF(Source!G473&lt;&gt;"Новый раздел", Source!G473, ""))</f>
        <v>Раздел: Ремонт водоема с обустройством и корректировкой береговой полосы</v>
      </c>
      <c r="B775" s="56"/>
      <c r="C775" s="56"/>
      <c r="D775" s="56"/>
      <c r="E775" s="56"/>
      <c r="F775" s="56"/>
      <c r="G775" s="56"/>
      <c r="H775" s="56"/>
      <c r="I775" s="56"/>
      <c r="J775" s="56"/>
      <c r="K775" s="56"/>
    </row>
    <row r="776" spans="1:27" ht="42.75" x14ac:dyDescent="0.2">
      <c r="A776" s="16" t="str">
        <f>Source!E477</f>
        <v>87</v>
      </c>
      <c r="B776" s="17" t="str">
        <f>Source!F477</f>
        <v>14.16-10-4</v>
      </c>
      <c r="C776" s="17" t="s">
        <v>607</v>
      </c>
      <c r="D776" s="19" t="str">
        <f>Source!H477</f>
        <v>1 м3</v>
      </c>
      <c r="E776" s="18">
        <f>Source!I477</f>
        <v>250</v>
      </c>
      <c r="F776" s="21"/>
      <c r="G776" s="20"/>
      <c r="H776" s="18"/>
      <c r="I776" s="22"/>
      <c r="J776" s="18"/>
      <c r="K776" s="22"/>
      <c r="Q776">
        <f>ROUND((Source!DN477/100)*ROUND((ROUND((Source!AF477*Source!AV477*Source!I477),2)),2), 2)</f>
        <v>991.9</v>
      </c>
      <c r="R776">
        <f>Source!X477</f>
        <v>20242.61</v>
      </c>
      <c r="S776">
        <f>ROUND((Source!DO477/100)*ROUND((ROUND((Source!AF477*Source!AV477*Source!I477),2)),2), 2)</f>
        <v>763</v>
      </c>
      <c r="T776">
        <f>Source!Y477</f>
        <v>11369.14</v>
      </c>
      <c r="U776">
        <f>ROUND((175/100)*ROUND((ROUND((Source!AE477*Source!AV477*Source!I477),2)),2), 2)</f>
        <v>0</v>
      </c>
      <c r="V776">
        <f>ROUND((157/100)*ROUND(ROUND((ROUND((Source!AE477*Source!AV477*Source!I477),2)*Source!BS477),2), 2), 2)</f>
        <v>0</v>
      </c>
    </row>
    <row r="777" spans="1:27" ht="14.25" x14ac:dyDescent="0.2">
      <c r="A777" s="16"/>
      <c r="B777" s="17"/>
      <c r="C777" s="17" t="s">
        <v>1625</v>
      </c>
      <c r="D777" s="19"/>
      <c r="E777" s="18"/>
      <c r="F777" s="21">
        <f>Source!AO477</f>
        <v>4.3600000000000003</v>
      </c>
      <c r="G777" s="20" t="str">
        <f>Source!DG477</f>
        <v/>
      </c>
      <c r="H777" s="18">
        <f>Source!AV477</f>
        <v>1</v>
      </c>
      <c r="I777" s="22">
        <f>ROUND((ROUND((Source!AF477*Source!AV477*Source!I477),2)),2)</f>
        <v>1090</v>
      </c>
      <c r="J777" s="18">
        <f>IF(Source!BA477&lt;&gt; 0, Source!BA477, 1)</f>
        <v>25.44</v>
      </c>
      <c r="K777" s="22">
        <f>Source!S477</f>
        <v>27729.599999999999</v>
      </c>
      <c r="W777">
        <f>I777</f>
        <v>1090</v>
      </c>
    </row>
    <row r="778" spans="1:27" ht="14.25" x14ac:dyDescent="0.2">
      <c r="A778" s="16"/>
      <c r="B778" s="17"/>
      <c r="C778" s="17" t="s">
        <v>1626</v>
      </c>
      <c r="D778" s="19" t="s">
        <v>1627</v>
      </c>
      <c r="E778" s="18">
        <f>Source!DN477</f>
        <v>91</v>
      </c>
      <c r="F778" s="21"/>
      <c r="G778" s="20"/>
      <c r="H778" s="18"/>
      <c r="I778" s="22">
        <f>SUM(Q776:Q777)</f>
        <v>991.9</v>
      </c>
      <c r="J778" s="18">
        <f>Source!BZ477</f>
        <v>73</v>
      </c>
      <c r="K778" s="22">
        <f>SUM(R776:R777)</f>
        <v>20242.61</v>
      </c>
    </row>
    <row r="779" spans="1:27" ht="14.25" x14ac:dyDescent="0.2">
      <c r="A779" s="16"/>
      <c r="B779" s="17"/>
      <c r="C779" s="17" t="s">
        <v>1628</v>
      </c>
      <c r="D779" s="19" t="s">
        <v>1627</v>
      </c>
      <c r="E779" s="18">
        <f>Source!DO477</f>
        <v>70</v>
      </c>
      <c r="F779" s="21"/>
      <c r="G779" s="20"/>
      <c r="H779" s="18"/>
      <c r="I779" s="22">
        <f>SUM(S776:S778)</f>
        <v>763</v>
      </c>
      <c r="J779" s="18">
        <f>Source!CA477</f>
        <v>41</v>
      </c>
      <c r="K779" s="22">
        <f>SUM(T776:T778)</f>
        <v>11369.14</v>
      </c>
    </row>
    <row r="780" spans="1:27" ht="14.25" x14ac:dyDescent="0.2">
      <c r="A780" s="16"/>
      <c r="B780" s="17"/>
      <c r="C780" s="17" t="s">
        <v>1629</v>
      </c>
      <c r="D780" s="19" t="s">
        <v>1630</v>
      </c>
      <c r="E780" s="18">
        <f>Source!AQ477</f>
        <v>0.3</v>
      </c>
      <c r="F780" s="21"/>
      <c r="G780" s="20" t="str">
        <f>Source!DI477</f>
        <v/>
      </c>
      <c r="H780" s="18">
        <f>Source!AV477</f>
        <v>1</v>
      </c>
      <c r="I780" s="22">
        <f>Source!U477</f>
        <v>75</v>
      </c>
      <c r="J780" s="18"/>
      <c r="K780" s="22"/>
    </row>
    <row r="781" spans="1:27" ht="15" x14ac:dyDescent="0.25">
      <c r="A781" s="25"/>
      <c r="B781" s="25"/>
      <c r="C781" s="25"/>
      <c r="D781" s="25"/>
      <c r="E781" s="25"/>
      <c r="F781" s="25"/>
      <c r="G781" s="25"/>
      <c r="H781" s="54">
        <f>I777+I778+I779</f>
        <v>2844.9</v>
      </c>
      <c r="I781" s="54"/>
      <c r="J781" s="54">
        <f>K777+K778+K779</f>
        <v>59341.35</v>
      </c>
      <c r="K781" s="54"/>
      <c r="O781" s="24">
        <f>I777+I778+I779</f>
        <v>2844.9</v>
      </c>
      <c r="P781" s="24">
        <f>K777+K778+K779</f>
        <v>59341.35</v>
      </c>
      <c r="X781">
        <f>IF(Source!BI477&lt;=1,I777+I778+I779-0, 0)</f>
        <v>0</v>
      </c>
      <c r="Y781">
        <f>IF(Source!BI477=2,I777+I778+I779-0, 0)</f>
        <v>0</v>
      </c>
      <c r="Z781">
        <f>IF(Source!BI477=3,I777+I778+I779-0, 0)</f>
        <v>0</v>
      </c>
      <c r="AA781">
        <f>IF(Source!BI477=4,I777+I778+I779,0)</f>
        <v>2844.9</v>
      </c>
    </row>
    <row r="782" spans="1:27" ht="42.75" x14ac:dyDescent="0.2">
      <c r="A782" s="16" t="str">
        <f>Source!E478</f>
        <v>88</v>
      </c>
      <c r="B782" s="17" t="str">
        <f>Source!F478</f>
        <v>14.16-12-5</v>
      </c>
      <c r="C782" s="17" t="s">
        <v>614</v>
      </c>
      <c r="D782" s="19" t="str">
        <f>Source!H478</f>
        <v>1 м3</v>
      </c>
      <c r="E782" s="18">
        <f>Source!I478</f>
        <v>250</v>
      </c>
      <c r="F782" s="21"/>
      <c r="G782" s="20"/>
      <c r="H782" s="18"/>
      <c r="I782" s="22"/>
      <c r="J782" s="18"/>
      <c r="K782" s="22"/>
      <c r="Q782">
        <f>ROUND((Source!DN478/100)*ROUND((ROUND((Source!AF478*Source!AV478*Source!I478),2)),2), 2)</f>
        <v>395.85</v>
      </c>
      <c r="R782">
        <f>Source!X478</f>
        <v>8078.47</v>
      </c>
      <c r="S782">
        <f>ROUND((Source!DO478/100)*ROUND((ROUND((Source!AF478*Source!AV478*Source!I478),2)),2), 2)</f>
        <v>304.5</v>
      </c>
      <c r="T782">
        <f>Source!Y478</f>
        <v>4537.22</v>
      </c>
      <c r="U782">
        <f>ROUND((175/100)*ROUND((ROUND((Source!AE478*Source!AV478*Source!I478),2)),2), 2)</f>
        <v>0</v>
      </c>
      <c r="V782">
        <f>ROUND((157/100)*ROUND(ROUND((ROUND((Source!AE478*Source!AV478*Source!I478),2)*Source!BS478),2), 2), 2)</f>
        <v>0</v>
      </c>
    </row>
    <row r="783" spans="1:27" ht="14.25" x14ac:dyDescent="0.2">
      <c r="A783" s="16"/>
      <c r="B783" s="17"/>
      <c r="C783" s="17" t="s">
        <v>1625</v>
      </c>
      <c r="D783" s="19"/>
      <c r="E783" s="18"/>
      <c r="F783" s="21">
        <f>Source!AO478</f>
        <v>1.74</v>
      </c>
      <c r="G783" s="20" t="str">
        <f>Source!DG478</f>
        <v/>
      </c>
      <c r="H783" s="18">
        <f>Source!AV478</f>
        <v>1</v>
      </c>
      <c r="I783" s="22">
        <f>ROUND((ROUND((Source!AF478*Source!AV478*Source!I478),2)),2)</f>
        <v>435</v>
      </c>
      <c r="J783" s="18">
        <f>IF(Source!BA478&lt;&gt; 0, Source!BA478, 1)</f>
        <v>25.44</v>
      </c>
      <c r="K783" s="22">
        <f>Source!S478</f>
        <v>11066.4</v>
      </c>
      <c r="W783">
        <f>I783</f>
        <v>435</v>
      </c>
    </row>
    <row r="784" spans="1:27" ht="14.25" x14ac:dyDescent="0.2">
      <c r="A784" s="16" t="str">
        <f>Source!E479</f>
        <v>88,1</v>
      </c>
      <c r="B784" s="17" t="str">
        <f>Source!F479</f>
        <v>1.1-1-118</v>
      </c>
      <c r="C784" s="17" t="s">
        <v>470</v>
      </c>
      <c r="D784" s="19" t="str">
        <f>Source!H479</f>
        <v>м3</v>
      </c>
      <c r="E784" s="18">
        <f>Source!I479</f>
        <v>250</v>
      </c>
      <c r="F784" s="21">
        <f>Source!AK479</f>
        <v>7.07</v>
      </c>
      <c r="G784" s="27" t="s">
        <v>3</v>
      </c>
      <c r="H784" s="18">
        <f>Source!AW479</f>
        <v>1</v>
      </c>
      <c r="I784" s="22">
        <f>ROUND((ROUND((Source!AC479*Source!AW479*Source!I479),2)),2)+(ROUND((ROUND(((Source!ET479)*Source!AV479*Source!I479),2)),2)+ROUND((ROUND(((Source!AE479-(Source!EU479))*Source!AV479*Source!I479),2)),2))+ROUND((ROUND((Source!AF479*Source!AV479*Source!I479),2)),2)</f>
        <v>1767.5</v>
      </c>
      <c r="J784" s="18">
        <f>IF(Source!BC479&lt;&gt; 0, Source!BC479, 1)</f>
        <v>5.14</v>
      </c>
      <c r="K784" s="22">
        <f>Source!O479</f>
        <v>9084.9500000000007</v>
      </c>
      <c r="Q784">
        <f>ROUND((Source!DN479/100)*ROUND((ROUND((Source!AF479*Source!AV479*Source!I479),2)),2), 2)</f>
        <v>0</v>
      </c>
      <c r="R784">
        <f>Source!X479</f>
        <v>0</v>
      </c>
      <c r="S784">
        <f>ROUND((Source!DO479/100)*ROUND((ROUND((Source!AF479*Source!AV479*Source!I479),2)),2), 2)</f>
        <v>0</v>
      </c>
      <c r="T784">
        <f>Source!Y479</f>
        <v>0</v>
      </c>
      <c r="U784">
        <f>ROUND((175/100)*ROUND((ROUND((Source!AE479*Source!AV479*Source!I479),2)),2), 2)</f>
        <v>0</v>
      </c>
      <c r="V784">
        <f>ROUND((157/100)*ROUND(ROUND((ROUND((Source!AE479*Source!AV479*Source!I479),2)*Source!BS479),2), 2), 2)</f>
        <v>0</v>
      </c>
      <c r="X784">
        <f>IF(Source!BI479&lt;=1,I784, 0)</f>
        <v>0</v>
      </c>
      <c r="Y784">
        <f>IF(Source!BI479=2,I784, 0)</f>
        <v>0</v>
      </c>
      <c r="Z784">
        <f>IF(Source!BI479=3,I784, 0)</f>
        <v>0</v>
      </c>
      <c r="AA784">
        <f>IF(Source!BI479=4,I784, 0)</f>
        <v>1767.5</v>
      </c>
    </row>
    <row r="785" spans="1:27" ht="14.25" x14ac:dyDescent="0.2">
      <c r="A785" s="16"/>
      <c r="B785" s="17"/>
      <c r="C785" s="17" t="s">
        <v>1626</v>
      </c>
      <c r="D785" s="19" t="s">
        <v>1627</v>
      </c>
      <c r="E785" s="18">
        <f>Source!DN478</f>
        <v>91</v>
      </c>
      <c r="F785" s="21"/>
      <c r="G785" s="20"/>
      <c r="H785" s="18"/>
      <c r="I785" s="22">
        <f>SUM(Q782:Q784)</f>
        <v>395.85</v>
      </c>
      <c r="J785" s="18">
        <f>Source!BZ478</f>
        <v>73</v>
      </c>
      <c r="K785" s="22">
        <f>SUM(R782:R784)</f>
        <v>8078.47</v>
      </c>
    </row>
    <row r="786" spans="1:27" ht="14.25" x14ac:dyDescent="0.2">
      <c r="A786" s="16"/>
      <c r="B786" s="17"/>
      <c r="C786" s="17" t="s">
        <v>1628</v>
      </c>
      <c r="D786" s="19" t="s">
        <v>1627</v>
      </c>
      <c r="E786" s="18">
        <f>Source!DO478</f>
        <v>70</v>
      </c>
      <c r="F786" s="21"/>
      <c r="G786" s="20"/>
      <c r="H786" s="18"/>
      <c r="I786" s="22">
        <f>SUM(S782:S785)</f>
        <v>304.5</v>
      </c>
      <c r="J786" s="18">
        <f>Source!CA478</f>
        <v>41</v>
      </c>
      <c r="K786" s="22">
        <f>SUM(T782:T785)</f>
        <v>4537.22</v>
      </c>
    </row>
    <row r="787" spans="1:27" ht="14.25" x14ac:dyDescent="0.2">
      <c r="A787" s="16"/>
      <c r="B787" s="17"/>
      <c r="C787" s="17" t="s">
        <v>1629</v>
      </c>
      <c r="D787" s="19" t="s">
        <v>1630</v>
      </c>
      <c r="E787" s="18">
        <f>Source!AQ478</f>
        <v>0.12</v>
      </c>
      <c r="F787" s="21"/>
      <c r="G787" s="20" t="str">
        <f>Source!DI478</f>
        <v/>
      </c>
      <c r="H787" s="18">
        <f>Source!AV478</f>
        <v>1</v>
      </c>
      <c r="I787" s="22">
        <f>Source!U478</f>
        <v>30</v>
      </c>
      <c r="J787" s="18"/>
      <c r="K787" s="22"/>
    </row>
    <row r="788" spans="1:27" ht="15" x14ac:dyDescent="0.25">
      <c r="A788" s="25"/>
      <c r="B788" s="25"/>
      <c r="C788" s="25"/>
      <c r="D788" s="25"/>
      <c r="E788" s="25"/>
      <c r="F788" s="25"/>
      <c r="G788" s="25"/>
      <c r="H788" s="54">
        <f>I783+I785+I786+SUM(I784:I784)</f>
        <v>2902.85</v>
      </c>
      <c r="I788" s="54"/>
      <c r="J788" s="54">
        <f>K783+K785+K786+SUM(K784:K784)</f>
        <v>32767.040000000001</v>
      </c>
      <c r="K788" s="54"/>
      <c r="O788" s="24">
        <f>I783+I785+I786+SUM(I784:I784)</f>
        <v>2902.85</v>
      </c>
      <c r="P788" s="24">
        <f>K783+K785+K786+SUM(K784:K784)</f>
        <v>32767.040000000001</v>
      </c>
      <c r="X788">
        <f>IF(Source!BI478&lt;=1,I783+I785+I786-0, 0)</f>
        <v>0</v>
      </c>
      <c r="Y788">
        <f>IF(Source!BI478=2,I783+I785+I786-0, 0)</f>
        <v>0</v>
      </c>
      <c r="Z788">
        <f>IF(Source!BI478=3,I783+I785+I786-0, 0)</f>
        <v>0</v>
      </c>
      <c r="AA788">
        <f>IF(Source!BI478=4,I783+I785+I786,0)</f>
        <v>1135.3499999999999</v>
      </c>
    </row>
    <row r="789" spans="1:27" ht="85.5" x14ac:dyDescent="0.2">
      <c r="A789" s="16" t="str">
        <f>Source!E480</f>
        <v>89</v>
      </c>
      <c r="B789" s="17" t="str">
        <f>Source!F480</f>
        <v>6.53-2-3</v>
      </c>
      <c r="C789" s="17" t="s">
        <v>618</v>
      </c>
      <c r="D789" s="19" t="str">
        <f>Source!H480</f>
        <v>10 м3 кладки</v>
      </c>
      <c r="E789" s="18">
        <f>Source!I480</f>
        <v>21.177</v>
      </c>
      <c r="F789" s="21"/>
      <c r="G789" s="20"/>
      <c r="H789" s="18"/>
      <c r="I789" s="22"/>
      <c r="J789" s="18"/>
      <c r="K789" s="22"/>
      <c r="Q789">
        <f>ROUND((Source!DN480/100)*ROUND((ROUND((Source!AF480*Source!AV480*Source!I480),2)),2), 2)</f>
        <v>10456.39</v>
      </c>
      <c r="R789">
        <f>Source!X480</f>
        <v>226109.02</v>
      </c>
      <c r="S789">
        <f>ROUND((Source!DO480/100)*ROUND((ROUND((Source!AF480*Source!AV480*Source!I480),2)),2), 2)</f>
        <v>7188.77</v>
      </c>
      <c r="T789">
        <f>Source!Y480</f>
        <v>136330.44</v>
      </c>
      <c r="U789">
        <f>ROUND((175/100)*ROUND((ROUND((Source!AE480*Source!AV480*Source!I480),2)),2), 2)</f>
        <v>5388.5</v>
      </c>
      <c r="V789">
        <f>ROUND((157/100)*ROUND(ROUND((ROUND((Source!AE480*Source!AV480*Source!I480),2)*Source!BS480),2), 2), 2)</f>
        <v>122983.31</v>
      </c>
    </row>
    <row r="790" spans="1:27" x14ac:dyDescent="0.2">
      <c r="C790" s="23" t="str">
        <f>"Объем: "&amp;Source!I480&amp;"=211,77/"&amp;"10"</f>
        <v>Объем: 21,177=211,77/10</v>
      </c>
    </row>
    <row r="791" spans="1:27" ht="14.25" x14ac:dyDescent="0.2">
      <c r="A791" s="16"/>
      <c r="B791" s="17"/>
      <c r="C791" s="17" t="s">
        <v>1625</v>
      </c>
      <c r="D791" s="19"/>
      <c r="E791" s="18"/>
      <c r="F791" s="21">
        <f>Source!AO480</f>
        <v>1870.31</v>
      </c>
      <c r="G791" s="20" t="str">
        <f>Source!DG480</f>
        <v>*0,33</v>
      </c>
      <c r="H791" s="18">
        <f>Source!AV480</f>
        <v>1</v>
      </c>
      <c r="I791" s="22">
        <f>ROUND((ROUND((Source!AF480*Source!AV480*Source!I480),2)),2)</f>
        <v>13070.49</v>
      </c>
      <c r="J791" s="18">
        <f>IF(Source!BA480&lt;&gt; 0, Source!BA480, 1)</f>
        <v>25.44</v>
      </c>
      <c r="K791" s="22">
        <f>Source!S480</f>
        <v>332513.27</v>
      </c>
      <c r="W791">
        <f>I791</f>
        <v>13070.49</v>
      </c>
    </row>
    <row r="792" spans="1:27" ht="14.25" x14ac:dyDescent="0.2">
      <c r="A792" s="16"/>
      <c r="B792" s="17"/>
      <c r="C792" s="17" t="s">
        <v>1631</v>
      </c>
      <c r="D792" s="19"/>
      <c r="E792" s="18"/>
      <c r="F792" s="21">
        <f>Source!AM480</f>
        <v>511.64</v>
      </c>
      <c r="G792" s="20" t="str">
        <f>Source!DE480</f>
        <v/>
      </c>
      <c r="H792" s="18">
        <f>Source!AV480</f>
        <v>1</v>
      </c>
      <c r="I792" s="22">
        <f>(ROUND((ROUND(((Source!ET480)*Source!AV480*Source!I480),2)),2)+ROUND((ROUND(((Source!AE480-(Source!EU480))*Source!AV480*Source!I480),2)),2))</f>
        <v>10835</v>
      </c>
      <c r="J792" s="18">
        <f>IF(Source!BB480&lt;&gt; 0, Source!BB480, 1)</f>
        <v>10.98</v>
      </c>
      <c r="K792" s="22">
        <f>Source!Q480</f>
        <v>118968.3</v>
      </c>
    </row>
    <row r="793" spans="1:27" ht="14.25" x14ac:dyDescent="0.2">
      <c r="A793" s="16"/>
      <c r="B793" s="17"/>
      <c r="C793" s="17" t="s">
        <v>1632</v>
      </c>
      <c r="D793" s="19"/>
      <c r="E793" s="18"/>
      <c r="F793" s="21">
        <f>Source!AN480</f>
        <v>145.4</v>
      </c>
      <c r="G793" s="20" t="str">
        <f>Source!DF480</f>
        <v/>
      </c>
      <c r="H793" s="18">
        <f>Source!AV480</f>
        <v>1</v>
      </c>
      <c r="I793" s="26">
        <f>ROUND((ROUND((Source!AE480*Source!AV480*Source!I480),2)),2)</f>
        <v>3079.14</v>
      </c>
      <c r="J793" s="18">
        <f>IF(Source!BS480&lt;&gt; 0, Source!BS480, 1)</f>
        <v>25.44</v>
      </c>
      <c r="K793" s="26">
        <f>Source!R480</f>
        <v>78333.320000000007</v>
      </c>
      <c r="W793">
        <f>I793</f>
        <v>3079.14</v>
      </c>
    </row>
    <row r="794" spans="1:27" ht="14.25" x14ac:dyDescent="0.2">
      <c r="A794" s="16"/>
      <c r="B794" s="17"/>
      <c r="C794" s="17" t="s">
        <v>1626</v>
      </c>
      <c r="D794" s="19" t="s">
        <v>1627</v>
      </c>
      <c r="E794" s="18">
        <f>Source!DN480</f>
        <v>80</v>
      </c>
      <c r="F794" s="21"/>
      <c r="G794" s="20"/>
      <c r="H794" s="18"/>
      <c r="I794" s="22">
        <f>SUM(Q789:Q793)</f>
        <v>10456.39</v>
      </c>
      <c r="J794" s="18">
        <f>Source!BZ480</f>
        <v>68</v>
      </c>
      <c r="K794" s="22">
        <f>SUM(R789:R793)</f>
        <v>226109.02</v>
      </c>
    </row>
    <row r="795" spans="1:27" ht="14.25" x14ac:dyDescent="0.2">
      <c r="A795" s="16"/>
      <c r="B795" s="17"/>
      <c r="C795" s="17" t="s">
        <v>1628</v>
      </c>
      <c r="D795" s="19" t="s">
        <v>1627</v>
      </c>
      <c r="E795" s="18">
        <f>Source!DO480</f>
        <v>55</v>
      </c>
      <c r="F795" s="21"/>
      <c r="G795" s="20"/>
      <c r="H795" s="18"/>
      <c r="I795" s="22">
        <f>SUM(S789:S794)</f>
        <v>7188.77</v>
      </c>
      <c r="J795" s="18">
        <f>Source!CA480</f>
        <v>41</v>
      </c>
      <c r="K795" s="22">
        <f>SUM(T789:T794)</f>
        <v>136330.44</v>
      </c>
    </row>
    <row r="796" spans="1:27" ht="14.25" x14ac:dyDescent="0.2">
      <c r="A796" s="16"/>
      <c r="B796" s="17"/>
      <c r="C796" s="17" t="s">
        <v>1633</v>
      </c>
      <c r="D796" s="19" t="s">
        <v>1627</v>
      </c>
      <c r="E796" s="18">
        <f>175</f>
        <v>175</v>
      </c>
      <c r="F796" s="21"/>
      <c r="G796" s="20"/>
      <c r="H796" s="18"/>
      <c r="I796" s="22">
        <f>SUM(U789:U795)</f>
        <v>5388.5</v>
      </c>
      <c r="J796" s="18">
        <f>157</f>
        <v>157</v>
      </c>
      <c r="K796" s="22">
        <f>SUM(V789:V795)</f>
        <v>122983.31</v>
      </c>
    </row>
    <row r="797" spans="1:27" ht="14.25" x14ac:dyDescent="0.2">
      <c r="A797" s="16"/>
      <c r="B797" s="17"/>
      <c r="C797" s="17" t="s">
        <v>1629</v>
      </c>
      <c r="D797" s="19" t="s">
        <v>1630</v>
      </c>
      <c r="E797" s="18">
        <f>Source!AQ480</f>
        <v>188.73</v>
      </c>
      <c r="F797" s="21"/>
      <c r="G797" s="20" t="str">
        <f>Source!DI480</f>
        <v>*0,33</v>
      </c>
      <c r="H797" s="18">
        <f>Source!AV480</f>
        <v>1</v>
      </c>
      <c r="I797" s="22">
        <f>Source!U480</f>
        <v>1318.9226193</v>
      </c>
      <c r="J797" s="18"/>
      <c r="K797" s="22"/>
    </row>
    <row r="798" spans="1:27" ht="15" x14ac:dyDescent="0.25">
      <c r="A798" s="25"/>
      <c r="B798" s="25"/>
      <c r="C798" s="25"/>
      <c r="D798" s="25"/>
      <c r="E798" s="25"/>
      <c r="F798" s="25"/>
      <c r="G798" s="25"/>
      <c r="H798" s="54">
        <f>I791+I792+I794+I795+I796</f>
        <v>46939.149999999994</v>
      </c>
      <c r="I798" s="54"/>
      <c r="J798" s="54">
        <f>K791+K792+K794+K795+K796</f>
        <v>936904.34000000008</v>
      </c>
      <c r="K798" s="54"/>
      <c r="O798" s="24">
        <f>I791+I792+I794+I795+I796</f>
        <v>46939.149999999994</v>
      </c>
      <c r="P798" s="24">
        <f>K791+K792+K794+K795+K796</f>
        <v>936904.34000000008</v>
      </c>
      <c r="X798">
        <f>IF(Source!BI480&lt;=1,I791+I792+I794+I795+I796-0, 0)</f>
        <v>46939.149999999994</v>
      </c>
      <c r="Y798">
        <f>IF(Source!BI480=2,I791+I792+I794+I795+I796-0, 0)</f>
        <v>0</v>
      </c>
      <c r="Z798">
        <f>IF(Source!BI480=3,I791+I792+I794+I795+I796-0, 0)</f>
        <v>0</v>
      </c>
      <c r="AA798">
        <f>IF(Source!BI480=4,I791+I792+I794+I795+I796,0)</f>
        <v>0</v>
      </c>
    </row>
    <row r="799" spans="1:27" ht="42.75" x14ac:dyDescent="0.2">
      <c r="A799" s="16" t="str">
        <f>Source!E481</f>
        <v>90</v>
      </c>
      <c r="B799" s="17" t="str">
        <f>Source!F481</f>
        <v>6.52-1-1</v>
      </c>
      <c r="C799" s="17" t="s">
        <v>621</v>
      </c>
      <c r="D799" s="19" t="str">
        <f>Source!H481</f>
        <v>1 м3</v>
      </c>
      <c r="E799" s="18">
        <f>Source!I481</f>
        <v>180</v>
      </c>
      <c r="F799" s="21"/>
      <c r="G799" s="20"/>
      <c r="H799" s="18"/>
      <c r="I799" s="22"/>
      <c r="J799" s="18"/>
      <c r="K799" s="22"/>
      <c r="Q799">
        <f>ROUND((Source!DN481/100)*ROUND((ROUND((Source!AF481*Source!AV481*Source!I481),2)),2), 2)</f>
        <v>11736</v>
      </c>
      <c r="R799">
        <f>Source!X481</f>
        <v>253779.26</v>
      </c>
      <c r="S799">
        <f>ROUND((Source!DO481/100)*ROUND((ROUND((Source!AF481*Source!AV481*Source!I481),2)),2), 2)</f>
        <v>8068.5</v>
      </c>
      <c r="T799">
        <f>Source!Y481</f>
        <v>153013.97</v>
      </c>
      <c r="U799">
        <f>ROUND((175/100)*ROUND((ROUND((Source!AE481*Source!AV481*Source!I481),2)),2), 2)</f>
        <v>5307.75</v>
      </c>
      <c r="V799">
        <f>ROUND((157/100)*ROUND(ROUND((ROUND((Source!AE481*Source!AV481*Source!I481),2)*Source!BS481),2), 2), 2)</f>
        <v>121140.45</v>
      </c>
    </row>
    <row r="800" spans="1:27" ht="14.25" x14ac:dyDescent="0.2">
      <c r="A800" s="16"/>
      <c r="B800" s="17"/>
      <c r="C800" s="17" t="s">
        <v>1625</v>
      </c>
      <c r="D800" s="19"/>
      <c r="E800" s="18"/>
      <c r="F800" s="21">
        <f>Source!AO481</f>
        <v>81.5</v>
      </c>
      <c r="G800" s="20" t="str">
        <f>Source!DG481</f>
        <v/>
      </c>
      <c r="H800" s="18">
        <f>Source!AV481</f>
        <v>1</v>
      </c>
      <c r="I800" s="22">
        <f>ROUND((ROUND((Source!AF481*Source!AV481*Source!I481),2)),2)</f>
        <v>14670</v>
      </c>
      <c r="J800" s="18">
        <f>IF(Source!BA481&lt;&gt; 0, Source!BA481, 1)</f>
        <v>25.44</v>
      </c>
      <c r="K800" s="22">
        <f>Source!S481</f>
        <v>373204.8</v>
      </c>
      <c r="W800">
        <f>I800</f>
        <v>14670</v>
      </c>
    </row>
    <row r="801" spans="1:27" ht="14.25" x14ac:dyDescent="0.2">
      <c r="A801" s="16"/>
      <c r="B801" s="17"/>
      <c r="C801" s="17" t="s">
        <v>1631</v>
      </c>
      <c r="D801" s="19"/>
      <c r="E801" s="18"/>
      <c r="F801" s="21">
        <f>Source!AM481</f>
        <v>56.42</v>
      </c>
      <c r="G801" s="20" t="str">
        <f>Source!DE481</f>
        <v/>
      </c>
      <c r="H801" s="18">
        <f>Source!AV481</f>
        <v>1</v>
      </c>
      <c r="I801" s="22">
        <f>(ROUND((ROUND(((Source!ET481)*Source!AV481*Source!I481),2)),2)+ROUND((ROUND(((Source!AE481-(Source!EU481))*Source!AV481*Source!I481),2)),2))</f>
        <v>10155.6</v>
      </c>
      <c r="J801" s="18">
        <f>IF(Source!BB481&lt;&gt; 0, Source!BB481, 1)</f>
        <v>11.7</v>
      </c>
      <c r="K801" s="22">
        <f>Source!Q481</f>
        <v>118820.52</v>
      </c>
    </row>
    <row r="802" spans="1:27" ht="14.25" x14ac:dyDescent="0.2">
      <c r="A802" s="16"/>
      <c r="B802" s="17"/>
      <c r="C802" s="17" t="s">
        <v>1632</v>
      </c>
      <c r="D802" s="19"/>
      <c r="E802" s="18"/>
      <c r="F802" s="21">
        <f>Source!AN481</f>
        <v>16.850000000000001</v>
      </c>
      <c r="G802" s="20" t="str">
        <f>Source!DF481</f>
        <v/>
      </c>
      <c r="H802" s="18">
        <f>Source!AV481</f>
        <v>1</v>
      </c>
      <c r="I802" s="26">
        <f>ROUND((ROUND((Source!AE481*Source!AV481*Source!I481),2)),2)</f>
        <v>3033</v>
      </c>
      <c r="J802" s="18">
        <f>IF(Source!BS481&lt;&gt; 0, Source!BS481, 1)</f>
        <v>25.44</v>
      </c>
      <c r="K802" s="26">
        <f>Source!R481</f>
        <v>77159.520000000004</v>
      </c>
      <c r="W802">
        <f>I802</f>
        <v>3033</v>
      </c>
    </row>
    <row r="803" spans="1:27" ht="14.25" x14ac:dyDescent="0.2">
      <c r="A803" s="16"/>
      <c r="B803" s="17"/>
      <c r="C803" s="17" t="s">
        <v>1626</v>
      </c>
      <c r="D803" s="19" t="s">
        <v>1627</v>
      </c>
      <c r="E803" s="18">
        <f>Source!DN481</f>
        <v>80</v>
      </c>
      <c r="F803" s="21"/>
      <c r="G803" s="20"/>
      <c r="H803" s="18"/>
      <c r="I803" s="22">
        <f>SUM(Q799:Q802)</f>
        <v>11736</v>
      </c>
      <c r="J803" s="18">
        <f>Source!BZ481</f>
        <v>68</v>
      </c>
      <c r="K803" s="22">
        <f>SUM(R799:R802)</f>
        <v>253779.26</v>
      </c>
    </row>
    <row r="804" spans="1:27" ht="14.25" x14ac:dyDescent="0.2">
      <c r="A804" s="16"/>
      <c r="B804" s="17"/>
      <c r="C804" s="17" t="s">
        <v>1628</v>
      </c>
      <c r="D804" s="19" t="s">
        <v>1627</v>
      </c>
      <c r="E804" s="18">
        <f>Source!DO481</f>
        <v>55</v>
      </c>
      <c r="F804" s="21"/>
      <c r="G804" s="20"/>
      <c r="H804" s="18"/>
      <c r="I804" s="22">
        <f>SUM(S799:S803)</f>
        <v>8068.5</v>
      </c>
      <c r="J804" s="18">
        <f>Source!CA481</f>
        <v>41</v>
      </c>
      <c r="K804" s="22">
        <f>SUM(T799:T803)</f>
        <v>153013.97</v>
      </c>
    </row>
    <row r="805" spans="1:27" ht="14.25" x14ac:dyDescent="0.2">
      <c r="A805" s="16"/>
      <c r="B805" s="17"/>
      <c r="C805" s="17" t="s">
        <v>1633</v>
      </c>
      <c r="D805" s="19" t="s">
        <v>1627</v>
      </c>
      <c r="E805" s="18">
        <f>175</f>
        <v>175</v>
      </c>
      <c r="F805" s="21"/>
      <c r="G805" s="20"/>
      <c r="H805" s="18"/>
      <c r="I805" s="22">
        <f>SUM(U799:U804)</f>
        <v>5307.75</v>
      </c>
      <c r="J805" s="18">
        <f>157</f>
        <v>157</v>
      </c>
      <c r="K805" s="22">
        <f>SUM(V799:V804)</f>
        <v>121140.45</v>
      </c>
    </row>
    <row r="806" spans="1:27" ht="14.25" x14ac:dyDescent="0.2">
      <c r="A806" s="16"/>
      <c r="B806" s="17"/>
      <c r="C806" s="17" t="s">
        <v>1629</v>
      </c>
      <c r="D806" s="19" t="s">
        <v>1630</v>
      </c>
      <c r="E806" s="18">
        <f>Source!AQ481</f>
        <v>7.2</v>
      </c>
      <c r="F806" s="21"/>
      <c r="G806" s="20" t="str">
        <f>Source!DI481</f>
        <v/>
      </c>
      <c r="H806" s="18">
        <f>Source!AV481</f>
        <v>1</v>
      </c>
      <c r="I806" s="22">
        <f>Source!U481</f>
        <v>1296</v>
      </c>
      <c r="J806" s="18"/>
      <c r="K806" s="22"/>
    </row>
    <row r="807" spans="1:27" ht="15" x14ac:dyDescent="0.25">
      <c r="A807" s="25"/>
      <c r="B807" s="25"/>
      <c r="C807" s="25"/>
      <c r="D807" s="25"/>
      <c r="E807" s="25"/>
      <c r="F807" s="25"/>
      <c r="G807" s="25"/>
      <c r="H807" s="54">
        <f>I800+I801+I803+I804+I805</f>
        <v>49937.85</v>
      </c>
      <c r="I807" s="54"/>
      <c r="J807" s="54">
        <f>K800+K801+K803+K804+K805</f>
        <v>1019959</v>
      </c>
      <c r="K807" s="54"/>
      <c r="O807" s="24">
        <f>I800+I801+I803+I804+I805</f>
        <v>49937.85</v>
      </c>
      <c r="P807" s="24">
        <f>K800+K801+K803+K804+K805</f>
        <v>1019959</v>
      </c>
      <c r="X807">
        <f>IF(Source!BI481&lt;=1,I800+I801+I803+I804+I805-0, 0)</f>
        <v>49937.85</v>
      </c>
      <c r="Y807">
        <f>IF(Source!BI481=2,I800+I801+I803+I804+I805-0, 0)</f>
        <v>0</v>
      </c>
      <c r="Z807">
        <f>IF(Source!BI481=3,I800+I801+I803+I804+I805-0, 0)</f>
        <v>0</v>
      </c>
      <c r="AA807">
        <f>IF(Source!BI481=4,I800+I801+I803+I804+I805,0)</f>
        <v>0</v>
      </c>
    </row>
    <row r="808" spans="1:27" ht="128.25" x14ac:dyDescent="0.2">
      <c r="A808" s="16" t="str">
        <f>Source!E482</f>
        <v>91</v>
      </c>
      <c r="B808" s="17" t="str">
        <f>Source!F482</f>
        <v>3.1-6-10</v>
      </c>
      <c r="C808" s="17" t="s">
        <v>1589</v>
      </c>
      <c r="D808" s="19" t="str">
        <f>Source!H482</f>
        <v>100 м3 грунта</v>
      </c>
      <c r="E808" s="18">
        <f>Source!I482</f>
        <v>1.7144999999999999</v>
      </c>
      <c r="F808" s="21"/>
      <c r="G808" s="20"/>
      <c r="H808" s="18"/>
      <c r="I808" s="22"/>
      <c r="J808" s="18"/>
      <c r="K808" s="22"/>
      <c r="Q808">
        <f>ROUND((Source!DN482/100)*ROUND((ROUND((Source!AF482*Source!AV482*Source!I482),2)),2), 2)</f>
        <v>20.43</v>
      </c>
      <c r="R808">
        <f>Source!X482</f>
        <v>487.99</v>
      </c>
      <c r="S808">
        <f>ROUND((Source!DO482/100)*ROUND((ROUND((Source!AF482*Source!AV482*Source!I482),2)),2), 2)</f>
        <v>16.05</v>
      </c>
      <c r="T808">
        <f>Source!Y482</f>
        <v>265.20999999999998</v>
      </c>
      <c r="U808">
        <f>ROUND((175/100)*ROUND((ROUND((Source!AE482*Source!AV482*Source!I482),2)),2), 2)</f>
        <v>246.03</v>
      </c>
      <c r="V808">
        <f>ROUND((157/100)*ROUND(ROUND((ROUND((Source!AE482*Source!AV482*Source!I482),2)*Source!BS482),2), 2), 2)</f>
        <v>5615.28</v>
      </c>
    </row>
    <row r="809" spans="1:27" x14ac:dyDescent="0.2">
      <c r="C809" s="23" t="str">
        <f>"Объем: "&amp;Source!I482&amp;"=171,45/"&amp;"100"</f>
        <v>Объем: 1,7145=171,45/100</v>
      </c>
    </row>
    <row r="810" spans="1:27" ht="28.5" x14ac:dyDescent="0.2">
      <c r="A810" s="16"/>
      <c r="B810" s="17"/>
      <c r="C810" s="17" t="s">
        <v>1625</v>
      </c>
      <c r="D810" s="19"/>
      <c r="E810" s="18"/>
      <c r="F810" s="21">
        <f>Source!AO482</f>
        <v>14.1</v>
      </c>
      <c r="G810" s="20" t="str">
        <f>Source!DG482</f>
        <v>)*1,15*0,75</v>
      </c>
      <c r="H810" s="18">
        <f>Source!AV482</f>
        <v>1</v>
      </c>
      <c r="I810" s="22">
        <f>ROUND((ROUND((Source!AF482*Source!AV482*Source!I482),2)),2)</f>
        <v>20.85</v>
      </c>
      <c r="J810" s="18">
        <f>IF(Source!BA482&lt;&gt; 0, Source!BA482, 1)</f>
        <v>25.44</v>
      </c>
      <c r="K810" s="22">
        <f>Source!S482</f>
        <v>530.41999999999996</v>
      </c>
      <c r="W810">
        <f>I810</f>
        <v>20.85</v>
      </c>
    </row>
    <row r="811" spans="1:27" ht="28.5" x14ac:dyDescent="0.2">
      <c r="A811" s="16"/>
      <c r="B811" s="17"/>
      <c r="C811" s="17" t="s">
        <v>1631</v>
      </c>
      <c r="D811" s="19"/>
      <c r="E811" s="18"/>
      <c r="F811" s="21">
        <f>Source!AM482</f>
        <v>881.63</v>
      </c>
      <c r="G811" s="20" t="str">
        <f>Source!DE482</f>
        <v>)*1,25*0,75</v>
      </c>
      <c r="H811" s="18">
        <f>Source!AV482</f>
        <v>1</v>
      </c>
      <c r="I811" s="22">
        <f>(ROUND((ROUND((((Source!ET482*1.25*0.75))*Source!AV482*Source!I482),2)),2)+ROUND((ROUND(((Source!AE482-((Source!EU482*1.25*0.75)))*Source!AV482*Source!I482),2)),2))</f>
        <v>1417.08</v>
      </c>
      <c r="J811" s="18">
        <f>IF(Source!BB482&lt;&gt; 0, Source!BB482, 1)</f>
        <v>8.93</v>
      </c>
      <c r="K811" s="22">
        <f>Source!Q482</f>
        <v>12654.52</v>
      </c>
    </row>
    <row r="812" spans="1:27" ht="28.5" x14ac:dyDescent="0.2">
      <c r="A812" s="16"/>
      <c r="B812" s="17"/>
      <c r="C812" s="17" t="s">
        <v>1632</v>
      </c>
      <c r="D812" s="19"/>
      <c r="E812" s="18"/>
      <c r="F812" s="21">
        <f>Source!AN482</f>
        <v>87.47</v>
      </c>
      <c r="G812" s="20" t="str">
        <f>Source!DF482</f>
        <v>)*1,25*0,75</v>
      </c>
      <c r="H812" s="18">
        <f>Source!AV482</f>
        <v>1</v>
      </c>
      <c r="I812" s="26">
        <f>ROUND((ROUND((Source!AE482*Source!AV482*Source!I482),2)),2)</f>
        <v>140.59</v>
      </c>
      <c r="J812" s="18">
        <f>IF(Source!BS482&lt;&gt; 0, Source!BS482, 1)</f>
        <v>25.44</v>
      </c>
      <c r="K812" s="26">
        <f>Source!R482</f>
        <v>3576.61</v>
      </c>
      <c r="W812">
        <f>I812</f>
        <v>140.59</v>
      </c>
    </row>
    <row r="813" spans="1:27" ht="14.25" x14ac:dyDescent="0.2">
      <c r="A813" s="16"/>
      <c r="B813" s="17"/>
      <c r="C813" s="17" t="s">
        <v>1626</v>
      </c>
      <c r="D813" s="19" t="s">
        <v>1627</v>
      </c>
      <c r="E813" s="18">
        <f>Source!DN482</f>
        <v>98</v>
      </c>
      <c r="F813" s="21"/>
      <c r="G813" s="20"/>
      <c r="H813" s="18"/>
      <c r="I813" s="22">
        <f>SUM(Q808:Q812)</f>
        <v>20.43</v>
      </c>
      <c r="J813" s="18">
        <f>Source!BZ482</f>
        <v>92</v>
      </c>
      <c r="K813" s="22">
        <f>SUM(R808:R812)</f>
        <v>487.99</v>
      </c>
    </row>
    <row r="814" spans="1:27" ht="14.25" x14ac:dyDescent="0.2">
      <c r="A814" s="16"/>
      <c r="B814" s="17"/>
      <c r="C814" s="17" t="s">
        <v>1628</v>
      </c>
      <c r="D814" s="19" t="s">
        <v>1627</v>
      </c>
      <c r="E814" s="18">
        <f>Source!DO482</f>
        <v>77</v>
      </c>
      <c r="F814" s="21"/>
      <c r="G814" s="20"/>
      <c r="H814" s="18"/>
      <c r="I814" s="22">
        <f>SUM(S808:S813)</f>
        <v>16.05</v>
      </c>
      <c r="J814" s="18">
        <f>Source!CA482</f>
        <v>50</v>
      </c>
      <c r="K814" s="22">
        <f>SUM(T808:T813)</f>
        <v>265.20999999999998</v>
      </c>
    </row>
    <row r="815" spans="1:27" ht="14.25" x14ac:dyDescent="0.2">
      <c r="A815" s="16"/>
      <c r="B815" s="17"/>
      <c r="C815" s="17" t="s">
        <v>1633</v>
      </c>
      <c r="D815" s="19" t="s">
        <v>1627</v>
      </c>
      <c r="E815" s="18">
        <f>175</f>
        <v>175</v>
      </c>
      <c r="F815" s="21"/>
      <c r="G815" s="20"/>
      <c r="H815" s="18"/>
      <c r="I815" s="22">
        <f>SUM(U808:U814)</f>
        <v>246.03</v>
      </c>
      <c r="J815" s="18">
        <f>157</f>
        <v>157</v>
      </c>
      <c r="K815" s="22">
        <f>SUM(V808:V814)</f>
        <v>5615.28</v>
      </c>
    </row>
    <row r="816" spans="1:27" ht="28.5" x14ac:dyDescent="0.2">
      <c r="A816" s="16"/>
      <c r="B816" s="17"/>
      <c r="C816" s="17" t="s">
        <v>1629</v>
      </c>
      <c r="D816" s="19" t="s">
        <v>1630</v>
      </c>
      <c r="E816" s="18">
        <f>Source!AQ482</f>
        <v>1.38</v>
      </c>
      <c r="F816" s="21"/>
      <c r="G816" s="20" t="str">
        <f>Source!DI482</f>
        <v>)*1,15*0,75</v>
      </c>
      <c r="H816" s="18">
        <f>Source!AV482</f>
        <v>1</v>
      </c>
      <c r="I816" s="22">
        <f>Source!U482</f>
        <v>2.0406836249999998</v>
      </c>
      <c r="J816" s="18"/>
      <c r="K816" s="22"/>
    </row>
    <row r="817" spans="1:27" ht="15" x14ac:dyDescent="0.25">
      <c r="A817" s="25"/>
      <c r="B817" s="25"/>
      <c r="C817" s="25"/>
      <c r="D817" s="25"/>
      <c r="E817" s="25"/>
      <c r="F817" s="25"/>
      <c r="G817" s="25"/>
      <c r="H817" s="54">
        <f>I810+I811+I813+I814+I815</f>
        <v>1720.4399999999998</v>
      </c>
      <c r="I817" s="54"/>
      <c r="J817" s="54">
        <f>K810+K811+K813+K814+K815</f>
        <v>19553.419999999998</v>
      </c>
      <c r="K817" s="54"/>
      <c r="O817" s="24">
        <f>I810+I811+I813+I814+I815</f>
        <v>1720.4399999999998</v>
      </c>
      <c r="P817" s="24">
        <f>K810+K811+K813+K814+K815</f>
        <v>19553.419999999998</v>
      </c>
      <c r="X817">
        <f>IF(Source!BI482&lt;=1,I810+I811+I813+I814+I815-0, 0)</f>
        <v>1720.4399999999998</v>
      </c>
      <c r="Y817">
        <f>IF(Source!BI482=2,I810+I811+I813+I814+I815-0, 0)</f>
        <v>0</v>
      </c>
      <c r="Z817">
        <f>IF(Source!BI482=3,I810+I811+I813+I814+I815-0, 0)</f>
        <v>0</v>
      </c>
      <c r="AA817">
        <f>IF(Source!BI482=4,I810+I811+I813+I814+I815,0)</f>
        <v>0</v>
      </c>
    </row>
    <row r="818" spans="1:27" ht="42.75" x14ac:dyDescent="0.2">
      <c r="A818" s="16" t="str">
        <f>Source!E483</f>
        <v>92</v>
      </c>
      <c r="B818" s="17" t="str">
        <f>Source!F483</f>
        <v>3.1-51-1</v>
      </c>
      <c r="C818" s="17" t="s">
        <v>330</v>
      </c>
      <c r="D818" s="19" t="str">
        <f>Source!H483</f>
        <v>100 м3 грунта</v>
      </c>
      <c r="E818" s="18">
        <f>Source!I483</f>
        <v>1.7144999999999999</v>
      </c>
      <c r="F818" s="21"/>
      <c r="G818" s="20"/>
      <c r="H818" s="18"/>
      <c r="I818" s="22"/>
      <c r="J818" s="18"/>
      <c r="K818" s="22"/>
      <c r="Q818">
        <f>ROUND((Source!DN483/100)*ROUND((ROUND((Source!AF483*Source!AV483*Source!I483),2)),2), 2)</f>
        <v>916.23</v>
      </c>
      <c r="R818">
        <f>Source!X483</f>
        <v>18698.41</v>
      </c>
      <c r="S818">
        <f>ROUND((Source!DO483/100)*ROUND((ROUND((Source!AF483*Source!AV483*Source!I483),2)),2), 2)</f>
        <v>674.59</v>
      </c>
      <c r="T818">
        <f>Source!Y483</f>
        <v>10501.85</v>
      </c>
      <c r="U818">
        <f>ROUND((175/100)*ROUND((ROUND((Source!AE483*Source!AV483*Source!I483),2)),2), 2)</f>
        <v>0</v>
      </c>
      <c r="V818">
        <f>ROUND((157/100)*ROUND(ROUND((ROUND((Source!AE483*Source!AV483*Source!I483),2)*Source!BS483),2), 2), 2)</f>
        <v>0</v>
      </c>
    </row>
    <row r="819" spans="1:27" x14ac:dyDescent="0.2">
      <c r="C819" s="23" t="str">
        <f>"Объем: "&amp;Source!I483&amp;"=171,45/"&amp;"100"</f>
        <v>Объем: 1,7145=171,45/100</v>
      </c>
    </row>
    <row r="820" spans="1:27" ht="28.5" x14ac:dyDescent="0.2">
      <c r="A820" s="16"/>
      <c r="B820" s="17"/>
      <c r="C820" s="17" t="s">
        <v>1625</v>
      </c>
      <c r="D820" s="19"/>
      <c r="E820" s="18"/>
      <c r="F820" s="21">
        <f>Source!AO483</f>
        <v>2042.62</v>
      </c>
      <c r="G820" s="20" t="str">
        <f>Source!DG483</f>
        <v>)*1,15*0,25</v>
      </c>
      <c r="H820" s="18">
        <f>Source!AV483</f>
        <v>1</v>
      </c>
      <c r="I820" s="22">
        <f>ROUND((ROUND((Source!AF483*Source!AV483*Source!I483),2)),2)</f>
        <v>1006.85</v>
      </c>
      <c r="J820" s="18">
        <f>IF(Source!BA483&lt;&gt; 0, Source!BA483, 1)</f>
        <v>25.44</v>
      </c>
      <c r="K820" s="22">
        <f>Source!S483</f>
        <v>25614.26</v>
      </c>
      <c r="W820">
        <f>I820</f>
        <v>1006.85</v>
      </c>
    </row>
    <row r="821" spans="1:27" ht="14.25" x14ac:dyDescent="0.2">
      <c r="A821" s="16"/>
      <c r="B821" s="17"/>
      <c r="C821" s="17" t="s">
        <v>1626</v>
      </c>
      <c r="D821" s="19" t="s">
        <v>1627</v>
      </c>
      <c r="E821" s="18">
        <f>Source!DN483</f>
        <v>91</v>
      </c>
      <c r="F821" s="21"/>
      <c r="G821" s="20"/>
      <c r="H821" s="18"/>
      <c r="I821" s="22">
        <f>SUM(Q818:Q820)</f>
        <v>916.23</v>
      </c>
      <c r="J821" s="18">
        <f>Source!BZ483</f>
        <v>73</v>
      </c>
      <c r="K821" s="22">
        <f>SUM(R818:R820)</f>
        <v>18698.41</v>
      </c>
    </row>
    <row r="822" spans="1:27" ht="14.25" x14ac:dyDescent="0.2">
      <c r="A822" s="16"/>
      <c r="B822" s="17"/>
      <c r="C822" s="17" t="s">
        <v>1628</v>
      </c>
      <c r="D822" s="19" t="s">
        <v>1627</v>
      </c>
      <c r="E822" s="18">
        <f>Source!DO483</f>
        <v>67</v>
      </c>
      <c r="F822" s="21"/>
      <c r="G822" s="20"/>
      <c r="H822" s="18"/>
      <c r="I822" s="22">
        <f>SUM(S818:S821)</f>
        <v>674.59</v>
      </c>
      <c r="J822" s="18">
        <f>Source!CA483</f>
        <v>41</v>
      </c>
      <c r="K822" s="22">
        <f>SUM(T818:T821)</f>
        <v>10501.85</v>
      </c>
    </row>
    <row r="823" spans="1:27" ht="28.5" x14ac:dyDescent="0.2">
      <c r="A823" s="16"/>
      <c r="B823" s="17"/>
      <c r="C823" s="17" t="s">
        <v>1629</v>
      </c>
      <c r="D823" s="19" t="s">
        <v>1630</v>
      </c>
      <c r="E823" s="18">
        <f>Source!AQ483</f>
        <v>192.7</v>
      </c>
      <c r="F823" s="21"/>
      <c r="G823" s="20" t="str">
        <f>Source!DI483</f>
        <v>)*1,15*0,25</v>
      </c>
      <c r="H823" s="18">
        <f>Source!AV483</f>
        <v>1</v>
      </c>
      <c r="I823" s="22">
        <f>Source!U483</f>
        <v>94.985443124999975</v>
      </c>
      <c r="J823" s="18"/>
      <c r="K823" s="22"/>
    </row>
    <row r="824" spans="1:27" ht="15" x14ac:dyDescent="0.25">
      <c r="A824" s="25"/>
      <c r="B824" s="25"/>
      <c r="C824" s="25"/>
      <c r="D824" s="25"/>
      <c r="E824" s="25"/>
      <c r="F824" s="25"/>
      <c r="G824" s="25"/>
      <c r="H824" s="54">
        <f>I820+I821+I822</f>
        <v>2597.67</v>
      </c>
      <c r="I824" s="54"/>
      <c r="J824" s="54">
        <f>K820+K821+K822</f>
        <v>54814.52</v>
      </c>
      <c r="K824" s="54"/>
      <c r="O824" s="24">
        <f>I820+I821+I822</f>
        <v>2597.67</v>
      </c>
      <c r="P824" s="24">
        <f>K820+K821+K822</f>
        <v>54814.52</v>
      </c>
      <c r="X824">
        <f>IF(Source!BI483&lt;=1,I820+I821+I822-0, 0)</f>
        <v>2597.67</v>
      </c>
      <c r="Y824">
        <f>IF(Source!BI483=2,I820+I821+I822-0, 0)</f>
        <v>0</v>
      </c>
      <c r="Z824">
        <f>IF(Source!BI483=3,I820+I821+I822-0, 0)</f>
        <v>0</v>
      </c>
      <c r="AA824">
        <f>IF(Source!BI483=4,I820+I821+I822,0)</f>
        <v>0</v>
      </c>
    </row>
    <row r="825" spans="1:27" ht="128.25" x14ac:dyDescent="0.2">
      <c r="A825" s="16" t="str">
        <f>Source!E484</f>
        <v>93</v>
      </c>
      <c r="B825" s="17" t="str">
        <f>Source!F484</f>
        <v>3.27-69-1</v>
      </c>
      <c r="C825" s="17" t="s">
        <v>1590</v>
      </c>
      <c r="D825" s="19" t="str">
        <f>Source!H484</f>
        <v>1000 м2 поверхности</v>
      </c>
      <c r="E825" s="18">
        <f>Source!I484</f>
        <v>0.34</v>
      </c>
      <c r="F825" s="21"/>
      <c r="G825" s="20"/>
      <c r="H825" s="18"/>
      <c r="I825" s="22"/>
      <c r="J825" s="18"/>
      <c r="K825" s="22"/>
      <c r="Q825">
        <f>ROUND((Source!DN484/100)*ROUND((ROUND((Source!AF484*Source!AV484*Source!I484),2)),2), 2)</f>
        <v>156.18</v>
      </c>
      <c r="R825">
        <f>Source!X484</f>
        <v>3178.66</v>
      </c>
      <c r="S825">
        <f>ROUND((Source!DO484/100)*ROUND((ROUND((Source!AF484*Source!AV484*Source!I484),2)),2), 2)</f>
        <v>88.13</v>
      </c>
      <c r="T825">
        <f>Source!Y484</f>
        <v>1163.6199999999999</v>
      </c>
      <c r="U825">
        <f>ROUND((175/100)*ROUND((ROUND((Source!AE484*Source!AV484*Source!I484),2)),2), 2)</f>
        <v>46.32</v>
      </c>
      <c r="V825">
        <f>ROUND((157/100)*ROUND(ROUND((ROUND((Source!AE484*Source!AV484*Source!I484),2)*Source!BS484),2), 2), 2)</f>
        <v>1057.24</v>
      </c>
    </row>
    <row r="826" spans="1:27" x14ac:dyDescent="0.2">
      <c r="C826" s="23" t="str">
        <f>"Объем: "&amp;Source!I484&amp;"=340/"&amp;"1000"</f>
        <v>Объем: 0,34=340/1000</v>
      </c>
    </row>
    <row r="827" spans="1:27" ht="14.25" x14ac:dyDescent="0.2">
      <c r="A827" s="16"/>
      <c r="B827" s="17"/>
      <c r="C827" s="17" t="s">
        <v>1625</v>
      </c>
      <c r="D827" s="19"/>
      <c r="E827" s="18"/>
      <c r="F827" s="21">
        <f>Source!AO484</f>
        <v>285.31</v>
      </c>
      <c r="G827" s="20" t="str">
        <f>Source!DG484</f>
        <v>)*1,15</v>
      </c>
      <c r="H827" s="18">
        <f>Source!AV484</f>
        <v>1</v>
      </c>
      <c r="I827" s="22">
        <f>ROUND((ROUND((Source!AF484*Source!AV484*Source!I484),2)),2)</f>
        <v>111.56</v>
      </c>
      <c r="J827" s="18">
        <f>IF(Source!BA484&lt;&gt; 0, Source!BA484, 1)</f>
        <v>25.44</v>
      </c>
      <c r="K827" s="22">
        <f>Source!S484</f>
        <v>2838.09</v>
      </c>
      <c r="W827">
        <f>I827</f>
        <v>111.56</v>
      </c>
    </row>
    <row r="828" spans="1:27" ht="14.25" x14ac:dyDescent="0.2">
      <c r="A828" s="16"/>
      <c r="B828" s="17"/>
      <c r="C828" s="17" t="s">
        <v>1631</v>
      </c>
      <c r="D828" s="19"/>
      <c r="E828" s="18"/>
      <c r="F828" s="21">
        <f>Source!AM484</f>
        <v>670.35</v>
      </c>
      <c r="G828" s="20" t="str">
        <f>Source!DE484</f>
        <v>)*1,25</v>
      </c>
      <c r="H828" s="18">
        <f>Source!AV484</f>
        <v>1</v>
      </c>
      <c r="I828" s="22">
        <f>(ROUND((ROUND((((Source!ET484*1.25))*Source!AV484*Source!I484),2)),2)+ROUND((ROUND(((Source!AE484-((Source!EU484*1.25)))*Source!AV484*Source!I484),2)),2))</f>
        <v>284.89999999999998</v>
      </c>
      <c r="J828" s="18">
        <f>IF(Source!BB484&lt;&gt; 0, Source!BB484, 1)</f>
        <v>8.7799999999999994</v>
      </c>
      <c r="K828" s="22">
        <f>Source!Q484</f>
        <v>2501.42</v>
      </c>
    </row>
    <row r="829" spans="1:27" ht="14.25" x14ac:dyDescent="0.2">
      <c r="A829" s="16"/>
      <c r="B829" s="17"/>
      <c r="C829" s="17" t="s">
        <v>1632</v>
      </c>
      <c r="D829" s="19"/>
      <c r="E829" s="18"/>
      <c r="F829" s="21">
        <f>Source!AN484</f>
        <v>62.29</v>
      </c>
      <c r="G829" s="20" t="str">
        <f>Source!DF484</f>
        <v>)*1,25</v>
      </c>
      <c r="H829" s="18">
        <f>Source!AV484</f>
        <v>1</v>
      </c>
      <c r="I829" s="26">
        <f>ROUND((ROUND((Source!AE484*Source!AV484*Source!I484),2)),2)</f>
        <v>26.47</v>
      </c>
      <c r="J829" s="18">
        <f>IF(Source!BS484&lt;&gt; 0, Source!BS484, 1)</f>
        <v>25.44</v>
      </c>
      <c r="K829" s="26">
        <f>Source!R484</f>
        <v>673.4</v>
      </c>
      <c r="W829">
        <f>I829</f>
        <v>26.47</v>
      </c>
    </row>
    <row r="830" spans="1:27" ht="14.25" x14ac:dyDescent="0.2">
      <c r="A830" s="16"/>
      <c r="B830" s="17"/>
      <c r="C830" s="17" t="s">
        <v>1634</v>
      </c>
      <c r="D830" s="19"/>
      <c r="E830" s="18"/>
      <c r="F830" s="21">
        <f>Source!AL484</f>
        <v>0.49</v>
      </c>
      <c r="G830" s="20" t="str">
        <f>Source!DD484</f>
        <v/>
      </c>
      <c r="H830" s="18">
        <f>Source!AW484</f>
        <v>1</v>
      </c>
      <c r="I830" s="22">
        <f>ROUND((ROUND((Source!AC484*Source!AW484*Source!I484),2)),2)</f>
        <v>0.17</v>
      </c>
      <c r="J830" s="18">
        <f>IF(Source!BC484&lt;&gt; 0, Source!BC484, 1)</f>
        <v>6.57</v>
      </c>
      <c r="K830" s="22">
        <f>Source!P484</f>
        <v>1.1200000000000001</v>
      </c>
    </row>
    <row r="831" spans="1:27" ht="28.5" x14ac:dyDescent="0.2">
      <c r="A831" s="16" t="str">
        <f>Source!E485</f>
        <v>93,1</v>
      </c>
      <c r="B831" s="17" t="str">
        <f>Source!F485</f>
        <v>1.1-1-1605</v>
      </c>
      <c r="C831" s="17" t="s">
        <v>295</v>
      </c>
      <c r="D831" s="19" t="str">
        <f>Source!H485</f>
        <v>м2</v>
      </c>
      <c r="E831" s="18">
        <f>Source!I485</f>
        <v>340</v>
      </c>
      <c r="F831" s="21">
        <f>Source!AK485</f>
        <v>13.87</v>
      </c>
      <c r="G831" s="27" t="s">
        <v>3</v>
      </c>
      <c r="H831" s="18">
        <f>Source!AW485</f>
        <v>1</v>
      </c>
      <c r="I831" s="22">
        <f>ROUND((ROUND((Source!AC485*Source!AW485*Source!I485),2)),2)+(ROUND((ROUND(((Source!ET485)*Source!AV485*Source!I485),2)),2)+ROUND((ROUND(((Source!AE485-(Source!EU485))*Source!AV485*Source!I485),2)),2))+ROUND((ROUND((Source!AF485*Source!AV485*Source!I485),2)),2)</f>
        <v>4715.8</v>
      </c>
      <c r="J831" s="18">
        <f>IF(Source!BC485&lt;&gt; 0, Source!BC485, 1)</f>
        <v>4.26</v>
      </c>
      <c r="K831" s="22">
        <f>Source!O485</f>
        <v>20089.310000000001</v>
      </c>
      <c r="Q831">
        <f>ROUND((Source!DN485/100)*ROUND((ROUND((Source!AF485*Source!AV485*Source!I485),2)),2), 2)</f>
        <v>0</v>
      </c>
      <c r="R831">
        <f>Source!X485</f>
        <v>0</v>
      </c>
      <c r="S831">
        <f>ROUND((Source!DO485/100)*ROUND((ROUND((Source!AF485*Source!AV485*Source!I485),2)),2), 2)</f>
        <v>0</v>
      </c>
      <c r="T831">
        <f>Source!Y485</f>
        <v>0</v>
      </c>
      <c r="U831">
        <f>ROUND((175/100)*ROUND((ROUND((Source!AE485*Source!AV485*Source!I485),2)),2), 2)</f>
        <v>0</v>
      </c>
      <c r="V831">
        <f>ROUND((157/100)*ROUND(ROUND((ROUND((Source!AE485*Source!AV485*Source!I485),2)*Source!BS485),2), 2), 2)</f>
        <v>0</v>
      </c>
      <c r="X831">
        <f>IF(Source!BI485&lt;=1,I831, 0)</f>
        <v>4715.8</v>
      </c>
      <c r="Y831">
        <f>IF(Source!BI485=2,I831, 0)</f>
        <v>0</v>
      </c>
      <c r="Z831">
        <f>IF(Source!BI485=3,I831, 0)</f>
        <v>0</v>
      </c>
      <c r="AA831">
        <f>IF(Source!BI485=4,I831, 0)</f>
        <v>0</v>
      </c>
    </row>
    <row r="832" spans="1:27" ht="55.5" x14ac:dyDescent="0.2">
      <c r="A832" s="16" t="str">
        <f>Source!E486</f>
        <v>93,2</v>
      </c>
      <c r="B832" s="17" t="str">
        <f>Source!F486</f>
        <v>Цена поставщика</v>
      </c>
      <c r="C832" s="17" t="s">
        <v>1656</v>
      </c>
      <c r="D832" s="19" t="str">
        <f>Source!H486</f>
        <v>м2</v>
      </c>
      <c r="E832" s="18">
        <f>Source!I486</f>
        <v>340</v>
      </c>
      <c r="F832" s="21">
        <f>Source!AK486</f>
        <v>170.94</v>
      </c>
      <c r="G832" s="27" t="s">
        <v>3</v>
      </c>
      <c r="H832" s="18">
        <f>Source!AW486</f>
        <v>1</v>
      </c>
      <c r="I832" s="22">
        <f>ROUND((ROUND((Source!AC486*Source!AW486*Source!I486),2)),2)+(ROUND((ROUND(((Source!ET486)*Source!AV486*Source!I486),2)),2)+ROUND((ROUND(((Source!AE486-(Source!EU486))*Source!AV486*Source!I486),2)),2))+ROUND((ROUND((Source!AF486*Source!AV486*Source!I486),2)),2)</f>
        <v>58119.6</v>
      </c>
      <c r="J832" s="18">
        <f>IF(Source!BC486&lt;&gt; 0, Source!BC486, 1)</f>
        <v>6.34</v>
      </c>
      <c r="K832" s="22">
        <f>Source!O486</f>
        <v>368478.26</v>
      </c>
      <c r="Q832">
        <f>ROUND((Source!DN486/100)*ROUND((ROUND((Source!AF486*Source!AV486*Source!I486),2)),2), 2)</f>
        <v>0</v>
      </c>
      <c r="R832">
        <f>Source!X486</f>
        <v>0</v>
      </c>
      <c r="S832">
        <f>ROUND((Source!DO486/100)*ROUND((ROUND((Source!AF486*Source!AV486*Source!I486),2)),2), 2)</f>
        <v>0</v>
      </c>
      <c r="T832">
        <f>Source!Y486</f>
        <v>0</v>
      </c>
      <c r="U832">
        <f>ROUND((175/100)*ROUND((ROUND((Source!AE486*Source!AV486*Source!I486),2)),2), 2)</f>
        <v>0</v>
      </c>
      <c r="V832">
        <f>ROUND((157/100)*ROUND(ROUND((ROUND((Source!AE486*Source!AV486*Source!I486),2)*Source!BS486),2), 2), 2)</f>
        <v>0</v>
      </c>
      <c r="X832">
        <f>IF(Source!BI486&lt;=1,I832, 0)</f>
        <v>58119.6</v>
      </c>
      <c r="Y832">
        <f>IF(Source!BI486=2,I832, 0)</f>
        <v>0</v>
      </c>
      <c r="Z832">
        <f>IF(Source!BI486=3,I832, 0)</f>
        <v>0</v>
      </c>
      <c r="AA832">
        <f>IF(Source!BI486=4,I832, 0)</f>
        <v>0</v>
      </c>
    </row>
    <row r="833" spans="1:27" ht="54" x14ac:dyDescent="0.2">
      <c r="A833" s="16" t="str">
        <f>Source!E487</f>
        <v>93,3</v>
      </c>
      <c r="B833" s="17" t="str">
        <f>Source!F487</f>
        <v>Цена поставщика</v>
      </c>
      <c r="C833" s="17" t="s">
        <v>1657</v>
      </c>
      <c r="D833" s="19" t="str">
        <f>Source!H487</f>
        <v>шт.</v>
      </c>
      <c r="E833" s="18">
        <f>Source!I487</f>
        <v>2</v>
      </c>
      <c r="F833" s="21">
        <f>Source!AK487</f>
        <v>2731.4</v>
      </c>
      <c r="G833" s="27" t="s">
        <v>3</v>
      </c>
      <c r="H833" s="18">
        <f>Source!AW487</f>
        <v>1</v>
      </c>
      <c r="I833" s="22">
        <f>ROUND((ROUND((Source!AC487*Source!AW487*Source!I487),2)),2)+(ROUND((ROUND(((Source!ET487)*Source!AV487*Source!I487),2)),2)+ROUND((ROUND(((Source!AE487-(Source!EU487))*Source!AV487*Source!I487),2)),2))+ROUND((ROUND((Source!AF487*Source!AV487*Source!I487),2)),2)</f>
        <v>5462.8</v>
      </c>
      <c r="J833" s="18">
        <f>IF(Source!BC487&lt;&gt; 0, Source!BC487, 1)</f>
        <v>6.34</v>
      </c>
      <c r="K833" s="22">
        <f>Source!O487</f>
        <v>34634.15</v>
      </c>
      <c r="Q833">
        <f>ROUND((Source!DN487/100)*ROUND((ROUND((Source!AF487*Source!AV487*Source!I487),2)),2), 2)</f>
        <v>0</v>
      </c>
      <c r="R833">
        <f>Source!X487</f>
        <v>0</v>
      </c>
      <c r="S833">
        <f>ROUND((Source!DO487/100)*ROUND((ROUND((Source!AF487*Source!AV487*Source!I487),2)),2), 2)</f>
        <v>0</v>
      </c>
      <c r="T833">
        <f>Source!Y487</f>
        <v>0</v>
      </c>
      <c r="U833">
        <f>ROUND((175/100)*ROUND((ROUND((Source!AE487*Source!AV487*Source!I487),2)),2), 2)</f>
        <v>0</v>
      </c>
      <c r="V833">
        <f>ROUND((157/100)*ROUND(ROUND((ROUND((Source!AE487*Source!AV487*Source!I487),2)*Source!BS487),2), 2), 2)</f>
        <v>0</v>
      </c>
      <c r="X833">
        <f>IF(Source!BI487&lt;=1,I833, 0)</f>
        <v>5462.8</v>
      </c>
      <c r="Y833">
        <f>IF(Source!BI487=2,I833, 0)</f>
        <v>0</v>
      </c>
      <c r="Z833">
        <f>IF(Source!BI487=3,I833, 0)</f>
        <v>0</v>
      </c>
      <c r="AA833">
        <f>IF(Source!BI487=4,I833, 0)</f>
        <v>0</v>
      </c>
    </row>
    <row r="834" spans="1:27" ht="42.75" x14ac:dyDescent="0.2">
      <c r="A834" s="16" t="str">
        <f>Source!E488</f>
        <v>93,4</v>
      </c>
      <c r="B834" s="17" t="str">
        <f>Source!F488</f>
        <v>Цена поставщика</v>
      </c>
      <c r="C834" s="17" t="s">
        <v>1658</v>
      </c>
      <c r="D834" s="19" t="str">
        <f>Source!H488</f>
        <v>шт.</v>
      </c>
      <c r="E834" s="18">
        <f>Source!I488</f>
        <v>4</v>
      </c>
      <c r="F834" s="21">
        <f>Source!AK488</f>
        <v>976.03</v>
      </c>
      <c r="G834" s="27" t="s">
        <v>3</v>
      </c>
      <c r="H834" s="18">
        <f>Source!AW488</f>
        <v>1</v>
      </c>
      <c r="I834" s="22">
        <f>ROUND((ROUND((Source!AC488*Source!AW488*Source!I488),2)),2)+(ROUND((ROUND(((Source!ET488)*Source!AV488*Source!I488),2)),2)+ROUND((ROUND(((Source!AE488-(Source!EU488))*Source!AV488*Source!I488),2)),2))+ROUND((ROUND((Source!AF488*Source!AV488*Source!I488),2)),2)</f>
        <v>3904.12</v>
      </c>
      <c r="J834" s="18">
        <f>IF(Source!BC488&lt;&gt; 0, Source!BC488, 1)</f>
        <v>6.34</v>
      </c>
      <c r="K834" s="22">
        <f>Source!O488</f>
        <v>24752.12</v>
      </c>
      <c r="Q834">
        <f>ROUND((Source!DN488/100)*ROUND((ROUND((Source!AF488*Source!AV488*Source!I488),2)),2), 2)</f>
        <v>0</v>
      </c>
      <c r="R834">
        <f>Source!X488</f>
        <v>0</v>
      </c>
      <c r="S834">
        <f>ROUND((Source!DO488/100)*ROUND((ROUND((Source!AF488*Source!AV488*Source!I488),2)),2), 2)</f>
        <v>0</v>
      </c>
      <c r="T834">
        <f>Source!Y488</f>
        <v>0</v>
      </c>
      <c r="U834">
        <f>ROUND((175/100)*ROUND((ROUND((Source!AE488*Source!AV488*Source!I488),2)),2), 2)</f>
        <v>0</v>
      </c>
      <c r="V834">
        <f>ROUND((157/100)*ROUND(ROUND((ROUND((Source!AE488*Source!AV488*Source!I488),2)*Source!BS488),2), 2), 2)</f>
        <v>0</v>
      </c>
      <c r="X834">
        <f>IF(Source!BI488&lt;=1,I834, 0)</f>
        <v>3904.12</v>
      </c>
      <c r="Y834">
        <f>IF(Source!BI488=2,I834, 0)</f>
        <v>0</v>
      </c>
      <c r="Z834">
        <f>IF(Source!BI488=3,I834, 0)</f>
        <v>0</v>
      </c>
      <c r="AA834">
        <f>IF(Source!BI488=4,I834, 0)</f>
        <v>0</v>
      </c>
    </row>
    <row r="835" spans="1:27" ht="14.25" x14ac:dyDescent="0.2">
      <c r="A835" s="16"/>
      <c r="B835" s="17"/>
      <c r="C835" s="17" t="s">
        <v>1626</v>
      </c>
      <c r="D835" s="19" t="s">
        <v>1627</v>
      </c>
      <c r="E835" s="18">
        <f>Source!DN484</f>
        <v>140</v>
      </c>
      <c r="F835" s="21"/>
      <c r="G835" s="20"/>
      <c r="H835" s="18"/>
      <c r="I835" s="22">
        <f>SUM(Q825:Q834)</f>
        <v>156.18</v>
      </c>
      <c r="J835" s="18">
        <f>Source!BZ484</f>
        <v>112</v>
      </c>
      <c r="K835" s="22">
        <f>SUM(R825:R834)</f>
        <v>3178.66</v>
      </c>
    </row>
    <row r="836" spans="1:27" ht="14.25" x14ac:dyDescent="0.2">
      <c r="A836" s="16"/>
      <c r="B836" s="17"/>
      <c r="C836" s="17" t="s">
        <v>1628</v>
      </c>
      <c r="D836" s="19" t="s">
        <v>1627</v>
      </c>
      <c r="E836" s="18">
        <f>Source!DO484</f>
        <v>79</v>
      </c>
      <c r="F836" s="21"/>
      <c r="G836" s="20"/>
      <c r="H836" s="18"/>
      <c r="I836" s="22">
        <f>SUM(S825:S835)</f>
        <v>88.13</v>
      </c>
      <c r="J836" s="18">
        <f>Source!CA484</f>
        <v>41</v>
      </c>
      <c r="K836" s="22">
        <f>SUM(T825:T835)</f>
        <v>1163.6199999999999</v>
      </c>
    </row>
    <row r="837" spans="1:27" ht="14.25" x14ac:dyDescent="0.2">
      <c r="A837" s="16"/>
      <c r="B837" s="17"/>
      <c r="C837" s="17" t="s">
        <v>1633</v>
      </c>
      <c r="D837" s="19" t="s">
        <v>1627</v>
      </c>
      <c r="E837" s="18">
        <f>175</f>
        <v>175</v>
      </c>
      <c r="F837" s="21"/>
      <c r="G837" s="20"/>
      <c r="H837" s="18"/>
      <c r="I837" s="22">
        <f>SUM(U825:U836)</f>
        <v>46.32</v>
      </c>
      <c r="J837" s="18">
        <f>157</f>
        <v>157</v>
      </c>
      <c r="K837" s="22">
        <f>SUM(V825:V836)</f>
        <v>1057.24</v>
      </c>
    </row>
    <row r="838" spans="1:27" ht="14.25" x14ac:dyDescent="0.2">
      <c r="A838" s="16"/>
      <c r="B838" s="17"/>
      <c r="C838" s="17" t="s">
        <v>1629</v>
      </c>
      <c r="D838" s="19" t="s">
        <v>1630</v>
      </c>
      <c r="E838" s="18">
        <f>Source!AQ484</f>
        <v>27.7</v>
      </c>
      <c r="F838" s="21"/>
      <c r="G838" s="20" t="str">
        <f>Source!DI484</f>
        <v>)*1,15</v>
      </c>
      <c r="H838" s="18">
        <f>Source!AV484</f>
        <v>1</v>
      </c>
      <c r="I838" s="22">
        <f>Source!U484</f>
        <v>10.8307</v>
      </c>
      <c r="J838" s="18"/>
      <c r="K838" s="22"/>
    </row>
    <row r="839" spans="1:27" ht="15" x14ac:dyDescent="0.25">
      <c r="A839" s="25"/>
      <c r="B839" s="25"/>
      <c r="C839" s="25"/>
      <c r="D839" s="25"/>
      <c r="E839" s="25"/>
      <c r="F839" s="25"/>
      <c r="G839" s="25"/>
      <c r="H839" s="54">
        <f>I827+I828+I830+I835+I836+I837+SUM(I831:I834)</f>
        <v>72889.579999999987</v>
      </c>
      <c r="I839" s="54"/>
      <c r="J839" s="54">
        <f>K827+K828+K830+K835+K836+K837+SUM(K831:K834)</f>
        <v>458693.99000000005</v>
      </c>
      <c r="K839" s="54"/>
      <c r="O839" s="24">
        <f>I827+I828+I830+I835+I836+I837+SUM(I831:I834)</f>
        <v>72889.579999999987</v>
      </c>
      <c r="P839" s="24">
        <f>K827+K828+K830+K835+K836+K837+SUM(K831:K834)</f>
        <v>458693.99000000005</v>
      </c>
      <c r="X839">
        <f>IF(Source!BI484&lt;=1,I827+I828+I830+I835+I836+I837-0, 0)</f>
        <v>687.26</v>
      </c>
      <c r="Y839">
        <f>IF(Source!BI484=2,I827+I828+I830+I835+I836+I837-0, 0)</f>
        <v>0</v>
      </c>
      <c r="Z839">
        <f>IF(Source!BI484=3,I827+I828+I830+I835+I836+I837-0, 0)</f>
        <v>0</v>
      </c>
      <c r="AA839">
        <f>IF(Source!BI484=4,I827+I828+I830+I835+I836+I837,0)</f>
        <v>0</v>
      </c>
    </row>
    <row r="840" spans="1:27" ht="42.75" x14ac:dyDescent="0.2">
      <c r="A840" s="16" t="str">
        <f>Source!E489</f>
        <v>94</v>
      </c>
      <c r="B840" s="17" t="str">
        <f>Source!F489</f>
        <v>3.27-69-1</v>
      </c>
      <c r="C840" s="17" t="s">
        <v>112</v>
      </c>
      <c r="D840" s="19" t="str">
        <f>Source!H489</f>
        <v>1000 м2 поверхности</v>
      </c>
      <c r="E840" s="18">
        <f>Source!I489</f>
        <v>0.34</v>
      </c>
      <c r="F840" s="21"/>
      <c r="G840" s="20"/>
      <c r="H840" s="18"/>
      <c r="I840" s="22"/>
      <c r="J840" s="18"/>
      <c r="K840" s="22"/>
      <c r="Q840">
        <f>ROUND((Source!DN489/100)*ROUND((ROUND((Source!AF489*Source!AV489*Source!I489),2)),2), 2)</f>
        <v>156.18</v>
      </c>
      <c r="R840">
        <f>Source!X489</f>
        <v>3178.66</v>
      </c>
      <c r="S840">
        <f>ROUND((Source!DO489/100)*ROUND((ROUND((Source!AF489*Source!AV489*Source!I489),2)),2), 2)</f>
        <v>88.13</v>
      </c>
      <c r="T840">
        <f>Source!Y489</f>
        <v>1163.6199999999999</v>
      </c>
      <c r="U840">
        <f>ROUND((175/100)*ROUND((ROUND((Source!AE489*Source!AV489*Source!I489),2)),2), 2)</f>
        <v>46.32</v>
      </c>
      <c r="V840">
        <f>ROUND((157/100)*ROUND(ROUND((ROUND((Source!AE489*Source!AV489*Source!I489),2)*Source!BS489),2), 2), 2)</f>
        <v>1057.24</v>
      </c>
    </row>
    <row r="841" spans="1:27" x14ac:dyDescent="0.2">
      <c r="C841" s="23" t="str">
        <f>"Объем: "&amp;Source!I489&amp;"=340/"&amp;"1000"</f>
        <v>Объем: 0,34=340/1000</v>
      </c>
    </row>
    <row r="842" spans="1:27" ht="14.25" x14ac:dyDescent="0.2">
      <c r="A842" s="16"/>
      <c r="B842" s="17"/>
      <c r="C842" s="17" t="s">
        <v>1625</v>
      </c>
      <c r="D842" s="19"/>
      <c r="E842" s="18"/>
      <c r="F842" s="21">
        <f>Source!AO489</f>
        <v>285.31</v>
      </c>
      <c r="G842" s="20" t="str">
        <f>Source!DG489</f>
        <v>)*1,15</v>
      </c>
      <c r="H842" s="18">
        <f>Source!AV489</f>
        <v>1</v>
      </c>
      <c r="I842" s="22">
        <f>ROUND((ROUND((Source!AF489*Source!AV489*Source!I489),2)),2)</f>
        <v>111.56</v>
      </c>
      <c r="J842" s="18">
        <f>IF(Source!BA489&lt;&gt; 0, Source!BA489, 1)</f>
        <v>25.44</v>
      </c>
      <c r="K842" s="22">
        <f>Source!S489</f>
        <v>2838.09</v>
      </c>
      <c r="W842">
        <f>I842</f>
        <v>111.56</v>
      </c>
    </row>
    <row r="843" spans="1:27" ht="14.25" x14ac:dyDescent="0.2">
      <c r="A843" s="16"/>
      <c r="B843" s="17"/>
      <c r="C843" s="17" t="s">
        <v>1631</v>
      </c>
      <c r="D843" s="19"/>
      <c r="E843" s="18"/>
      <c r="F843" s="21">
        <f>Source!AM489</f>
        <v>670.35</v>
      </c>
      <c r="G843" s="20" t="str">
        <f>Source!DE489</f>
        <v>)*1,25</v>
      </c>
      <c r="H843" s="18">
        <f>Source!AV489</f>
        <v>1</v>
      </c>
      <c r="I843" s="22">
        <f>(ROUND((ROUND((((Source!ET489*1.25))*Source!AV489*Source!I489),2)),2)+ROUND((ROUND(((Source!AE489-((Source!EU489*1.25)))*Source!AV489*Source!I489),2)),2))</f>
        <v>284.89999999999998</v>
      </c>
      <c r="J843" s="18">
        <f>IF(Source!BB489&lt;&gt; 0, Source!BB489, 1)</f>
        <v>8.7799999999999994</v>
      </c>
      <c r="K843" s="22">
        <f>Source!Q489</f>
        <v>2501.42</v>
      </c>
    </row>
    <row r="844" spans="1:27" ht="14.25" x14ac:dyDescent="0.2">
      <c r="A844" s="16"/>
      <c r="B844" s="17"/>
      <c r="C844" s="17" t="s">
        <v>1632</v>
      </c>
      <c r="D844" s="19"/>
      <c r="E844" s="18"/>
      <c r="F844" s="21">
        <f>Source!AN489</f>
        <v>62.29</v>
      </c>
      <c r="G844" s="20" t="str">
        <f>Source!DF489</f>
        <v>)*1,25</v>
      </c>
      <c r="H844" s="18">
        <f>Source!AV489</f>
        <v>1</v>
      </c>
      <c r="I844" s="26">
        <f>ROUND((ROUND((Source!AE489*Source!AV489*Source!I489),2)),2)</f>
        <v>26.47</v>
      </c>
      <c r="J844" s="18">
        <f>IF(Source!BS489&lt;&gt; 0, Source!BS489, 1)</f>
        <v>25.44</v>
      </c>
      <c r="K844" s="26">
        <f>Source!R489</f>
        <v>673.4</v>
      </c>
      <c r="W844">
        <f>I844</f>
        <v>26.47</v>
      </c>
    </row>
    <row r="845" spans="1:27" ht="14.25" x14ac:dyDescent="0.2">
      <c r="A845" s="16"/>
      <c r="B845" s="17"/>
      <c r="C845" s="17" t="s">
        <v>1634</v>
      </c>
      <c r="D845" s="19"/>
      <c r="E845" s="18"/>
      <c r="F845" s="21">
        <f>Source!AL489</f>
        <v>0.49</v>
      </c>
      <c r="G845" s="20" t="str">
        <f>Source!DD489</f>
        <v/>
      </c>
      <c r="H845" s="18">
        <f>Source!AW489</f>
        <v>1</v>
      </c>
      <c r="I845" s="22">
        <f>ROUND((ROUND((Source!AC489*Source!AW489*Source!I489),2)),2)</f>
        <v>0.17</v>
      </c>
      <c r="J845" s="18">
        <f>IF(Source!BC489&lt;&gt; 0, Source!BC489, 1)</f>
        <v>6.57</v>
      </c>
      <c r="K845" s="22">
        <f>Source!P489</f>
        <v>1.1200000000000001</v>
      </c>
    </row>
    <row r="846" spans="1:27" ht="57" x14ac:dyDescent="0.2">
      <c r="A846" s="16" t="str">
        <f>Source!E490</f>
        <v>94,1</v>
      </c>
      <c r="B846" s="17" t="str">
        <f>Source!F490</f>
        <v>1.1-1-1872</v>
      </c>
      <c r="C846" s="17" t="s">
        <v>644</v>
      </c>
      <c r="D846" s="19" t="str">
        <f>Source!H490</f>
        <v>м2</v>
      </c>
      <c r="E846" s="18">
        <f>Source!I490</f>
        <v>340</v>
      </c>
      <c r="F846" s="21">
        <f>Source!AK490</f>
        <v>75.819999999999993</v>
      </c>
      <c r="G846" s="27" t="s">
        <v>3</v>
      </c>
      <c r="H846" s="18">
        <f>Source!AW490</f>
        <v>1</v>
      </c>
      <c r="I846" s="22">
        <f>ROUND((ROUND((Source!AC490*Source!AW490*Source!I490),2)),2)+(ROUND((ROUND(((Source!ET490)*Source!AV490*Source!I490),2)),2)+ROUND((ROUND(((Source!AE490-(Source!EU490))*Source!AV490*Source!I490),2)),2))+ROUND((ROUND((Source!AF490*Source!AV490*Source!I490),2)),2)</f>
        <v>25778.799999999999</v>
      </c>
      <c r="J846" s="18">
        <f>IF(Source!BC490&lt;&gt; 0, Source!BC490, 1)</f>
        <v>3.59</v>
      </c>
      <c r="K846" s="22">
        <f>Source!O490</f>
        <v>92545.89</v>
      </c>
      <c r="Q846">
        <f>ROUND((Source!DN490/100)*ROUND((ROUND((Source!AF490*Source!AV490*Source!I490),2)),2), 2)</f>
        <v>0</v>
      </c>
      <c r="R846">
        <f>Source!X490</f>
        <v>0</v>
      </c>
      <c r="S846">
        <f>ROUND((Source!DO490/100)*ROUND((ROUND((Source!AF490*Source!AV490*Source!I490),2)),2), 2)</f>
        <v>0</v>
      </c>
      <c r="T846">
        <f>Source!Y490</f>
        <v>0</v>
      </c>
      <c r="U846">
        <f>ROUND((175/100)*ROUND((ROUND((Source!AE490*Source!AV490*Source!I490),2)),2), 2)</f>
        <v>0</v>
      </c>
      <c r="V846">
        <f>ROUND((157/100)*ROUND(ROUND((ROUND((Source!AE490*Source!AV490*Source!I490),2)*Source!BS490),2), 2), 2)</f>
        <v>0</v>
      </c>
      <c r="X846">
        <f>IF(Source!BI490&lt;=1,I846, 0)</f>
        <v>25778.799999999999</v>
      </c>
      <c r="Y846">
        <f>IF(Source!BI490=2,I846, 0)</f>
        <v>0</v>
      </c>
      <c r="Z846">
        <f>IF(Source!BI490=3,I846, 0)</f>
        <v>0</v>
      </c>
      <c r="AA846">
        <f>IF(Source!BI490=4,I846, 0)</f>
        <v>0</v>
      </c>
    </row>
    <row r="847" spans="1:27" ht="14.25" x14ac:dyDescent="0.2">
      <c r="A847" s="16"/>
      <c r="B847" s="17"/>
      <c r="C847" s="17" t="s">
        <v>1626</v>
      </c>
      <c r="D847" s="19" t="s">
        <v>1627</v>
      </c>
      <c r="E847" s="18">
        <f>Source!DN489</f>
        <v>140</v>
      </c>
      <c r="F847" s="21"/>
      <c r="G847" s="20"/>
      <c r="H847" s="18"/>
      <c r="I847" s="22">
        <f>SUM(Q840:Q846)</f>
        <v>156.18</v>
      </c>
      <c r="J847" s="18">
        <f>Source!BZ489</f>
        <v>112</v>
      </c>
      <c r="K847" s="22">
        <f>SUM(R840:R846)</f>
        <v>3178.66</v>
      </c>
    </row>
    <row r="848" spans="1:27" ht="14.25" x14ac:dyDescent="0.2">
      <c r="A848" s="16"/>
      <c r="B848" s="17"/>
      <c r="C848" s="17" t="s">
        <v>1628</v>
      </c>
      <c r="D848" s="19" t="s">
        <v>1627</v>
      </c>
      <c r="E848" s="18">
        <f>Source!DO489</f>
        <v>79</v>
      </c>
      <c r="F848" s="21"/>
      <c r="G848" s="20"/>
      <c r="H848" s="18"/>
      <c r="I848" s="22">
        <f>SUM(S840:S847)</f>
        <v>88.13</v>
      </c>
      <c r="J848" s="18">
        <f>Source!CA489</f>
        <v>41</v>
      </c>
      <c r="K848" s="22">
        <f>SUM(T840:T847)</f>
        <v>1163.6199999999999</v>
      </c>
    </row>
    <row r="849" spans="1:27" ht="14.25" x14ac:dyDescent="0.2">
      <c r="A849" s="16"/>
      <c r="B849" s="17"/>
      <c r="C849" s="17" t="s">
        <v>1633</v>
      </c>
      <c r="D849" s="19" t="s">
        <v>1627</v>
      </c>
      <c r="E849" s="18">
        <f>175</f>
        <v>175</v>
      </c>
      <c r="F849" s="21"/>
      <c r="G849" s="20"/>
      <c r="H849" s="18"/>
      <c r="I849" s="22">
        <f>SUM(U840:U848)</f>
        <v>46.32</v>
      </c>
      <c r="J849" s="18">
        <f>157</f>
        <v>157</v>
      </c>
      <c r="K849" s="22">
        <f>SUM(V840:V848)</f>
        <v>1057.24</v>
      </c>
    </row>
    <row r="850" spans="1:27" ht="14.25" x14ac:dyDescent="0.2">
      <c r="A850" s="16"/>
      <c r="B850" s="17"/>
      <c r="C850" s="17" t="s">
        <v>1629</v>
      </c>
      <c r="D850" s="19" t="s">
        <v>1630</v>
      </c>
      <c r="E850" s="18">
        <f>Source!AQ489</f>
        <v>27.7</v>
      </c>
      <c r="F850" s="21"/>
      <c r="G850" s="20" t="str">
        <f>Source!DI489</f>
        <v>)*1,15</v>
      </c>
      <c r="H850" s="18">
        <f>Source!AV489</f>
        <v>1</v>
      </c>
      <c r="I850" s="22">
        <f>Source!U489</f>
        <v>10.8307</v>
      </c>
      <c r="J850" s="18"/>
      <c r="K850" s="22"/>
    </row>
    <row r="851" spans="1:27" ht="15" x14ac:dyDescent="0.25">
      <c r="A851" s="25"/>
      <c r="B851" s="25"/>
      <c r="C851" s="25"/>
      <c r="D851" s="25"/>
      <c r="E851" s="25"/>
      <c r="F851" s="25"/>
      <c r="G851" s="25"/>
      <c r="H851" s="54">
        <f>I842+I843+I845+I847+I848+I849+SUM(I846:I846)</f>
        <v>26466.059999999998</v>
      </c>
      <c r="I851" s="54"/>
      <c r="J851" s="54">
        <f>K842+K843+K845+K847+K848+K849+SUM(K846:K846)</f>
        <v>103286.04</v>
      </c>
      <c r="K851" s="54"/>
      <c r="O851" s="24">
        <f>I842+I843+I845+I847+I848+I849+SUM(I846:I846)</f>
        <v>26466.059999999998</v>
      </c>
      <c r="P851" s="24">
        <f>K842+K843+K845+K847+K848+K849+SUM(K846:K846)</f>
        <v>103286.04</v>
      </c>
      <c r="X851">
        <f>IF(Source!BI489&lt;=1,I842+I843+I845+I847+I848+I849-0, 0)</f>
        <v>687.26</v>
      </c>
      <c r="Y851">
        <f>IF(Source!BI489=2,I842+I843+I845+I847+I848+I849-0, 0)</f>
        <v>0</v>
      </c>
      <c r="Z851">
        <f>IF(Source!BI489=3,I842+I843+I845+I847+I848+I849-0, 0)</f>
        <v>0</v>
      </c>
      <c r="AA851">
        <f>IF(Source!BI489=4,I842+I843+I845+I847+I848+I849,0)</f>
        <v>0</v>
      </c>
    </row>
    <row r="852" spans="1:27" ht="99.75" x14ac:dyDescent="0.2">
      <c r="A852" s="16" t="str">
        <f>Source!E491</f>
        <v>95</v>
      </c>
      <c r="B852" s="17" t="str">
        <f>Source!F491</f>
        <v>3.47-55-1</v>
      </c>
      <c r="C852" s="17" t="s">
        <v>648</v>
      </c>
      <c r="D852" s="19" t="str">
        <f>Source!H491</f>
        <v>100 м2</v>
      </c>
      <c r="E852" s="18">
        <f>Source!I491</f>
        <v>2.7</v>
      </c>
      <c r="F852" s="21"/>
      <c r="G852" s="20"/>
      <c r="H852" s="18"/>
      <c r="I852" s="22"/>
      <c r="J852" s="18"/>
      <c r="K852" s="22"/>
      <c r="Q852">
        <f>ROUND((Source!DN491/100)*ROUND((ROUND((Source!AF491*Source!AV491*Source!I491),2)),2), 2)</f>
        <v>2084.63</v>
      </c>
      <c r="R852">
        <f>Source!X491</f>
        <v>30595.919999999998</v>
      </c>
      <c r="S852">
        <f>ROUND((Source!DO491/100)*ROUND((ROUND((Source!AF491*Source!AV491*Source!I491),2)),2), 2)</f>
        <v>1122.49</v>
      </c>
      <c r="T852">
        <f>Source!Y491</f>
        <v>13938.14</v>
      </c>
      <c r="U852">
        <f>ROUND((175/100)*ROUND((ROUND((Source!AE491*Source!AV491*Source!I491),2)),2), 2)</f>
        <v>0</v>
      </c>
      <c r="V852">
        <f>ROUND((157/100)*ROUND(ROUND((ROUND((Source!AE491*Source!AV491*Source!I491),2)*Source!BS491),2), 2), 2)</f>
        <v>0</v>
      </c>
    </row>
    <row r="853" spans="1:27" x14ac:dyDescent="0.2">
      <c r="C853" s="23" t="str">
        <f>"Объем: "&amp;Source!I491&amp;"=270/"&amp;"100"</f>
        <v>Объем: 2,7=270/100</v>
      </c>
    </row>
    <row r="854" spans="1:27" ht="14.25" x14ac:dyDescent="0.2">
      <c r="A854" s="16"/>
      <c r="B854" s="17"/>
      <c r="C854" s="17" t="s">
        <v>1625</v>
      </c>
      <c r="D854" s="19"/>
      <c r="E854" s="18"/>
      <c r="F854" s="21">
        <f>Source!AO491</f>
        <v>430.37</v>
      </c>
      <c r="G854" s="20" t="str">
        <f>Source!DG491</f>
        <v>)*1,15</v>
      </c>
      <c r="H854" s="18">
        <f>Source!AV491</f>
        <v>1</v>
      </c>
      <c r="I854" s="22">
        <f>ROUND((ROUND((Source!AF491*Source!AV491*Source!I491),2)),2)</f>
        <v>1336.3</v>
      </c>
      <c r="J854" s="18">
        <f>IF(Source!BA491&lt;&gt; 0, Source!BA491, 1)</f>
        <v>25.44</v>
      </c>
      <c r="K854" s="22">
        <f>Source!S491</f>
        <v>33995.47</v>
      </c>
      <c r="W854">
        <f>I854</f>
        <v>1336.3</v>
      </c>
    </row>
    <row r="855" spans="1:27" ht="14.25" x14ac:dyDescent="0.2">
      <c r="A855" s="16"/>
      <c r="B855" s="17"/>
      <c r="C855" s="17" t="s">
        <v>1634</v>
      </c>
      <c r="D855" s="19"/>
      <c r="E855" s="18"/>
      <c r="F855" s="21">
        <f>Source!AL491</f>
        <v>93.88</v>
      </c>
      <c r="G855" s="20" t="str">
        <f>Source!DD491</f>
        <v/>
      </c>
      <c r="H855" s="18">
        <f>Source!AW491</f>
        <v>1</v>
      </c>
      <c r="I855" s="22">
        <f>ROUND((ROUND((Source!AC491*Source!AW491*Source!I491),2)),2)</f>
        <v>253.48</v>
      </c>
      <c r="J855" s="18">
        <f>IF(Source!BC491&lt;&gt; 0, Source!BC491, 1)</f>
        <v>11.8</v>
      </c>
      <c r="K855" s="22">
        <f>Source!P491</f>
        <v>2991.06</v>
      </c>
    </row>
    <row r="856" spans="1:27" ht="42.75" x14ac:dyDescent="0.2">
      <c r="A856" s="16" t="str">
        <f>Source!E492</f>
        <v>95,1</v>
      </c>
      <c r="B856" s="17" t="str">
        <f>Source!F492</f>
        <v>Цена поставщика</v>
      </c>
      <c r="C856" s="17" t="s">
        <v>1659</v>
      </c>
      <c r="D856" s="19" t="str">
        <f>Source!H492</f>
        <v>м2</v>
      </c>
      <c r="E856" s="18">
        <f>Source!I492</f>
        <v>270</v>
      </c>
      <c r="F856" s="21">
        <f>Source!AK492</f>
        <v>49.6</v>
      </c>
      <c r="G856" s="27" t="s">
        <v>3</v>
      </c>
      <c r="H856" s="18">
        <f>Source!AW492</f>
        <v>1</v>
      </c>
      <c r="I856" s="22">
        <f>ROUND((ROUND((Source!AC492*Source!AW492*Source!I492),2)),2)+(ROUND((ROUND(((Source!ET492)*Source!AV492*Source!I492),2)),2)+ROUND((ROUND(((Source!AE492-(Source!EU492))*Source!AV492*Source!I492),2)),2))+ROUND((ROUND((Source!AF492*Source!AV492*Source!I492),2)),2)</f>
        <v>13392</v>
      </c>
      <c r="J856" s="18">
        <f>IF(Source!BC492&lt;&gt; 0, Source!BC492, 1)</f>
        <v>6.34</v>
      </c>
      <c r="K856" s="22">
        <f>Source!O492</f>
        <v>84905.279999999999</v>
      </c>
      <c r="Q856">
        <f>ROUND((Source!DN492/100)*ROUND((ROUND((Source!AF492*Source!AV492*Source!I492),2)),2), 2)</f>
        <v>0</v>
      </c>
      <c r="R856">
        <f>Source!X492</f>
        <v>0</v>
      </c>
      <c r="S856">
        <f>ROUND((Source!DO492/100)*ROUND((ROUND((Source!AF492*Source!AV492*Source!I492),2)),2), 2)</f>
        <v>0</v>
      </c>
      <c r="T856">
        <f>Source!Y492</f>
        <v>0</v>
      </c>
      <c r="U856">
        <f>ROUND((175/100)*ROUND((ROUND((Source!AE492*Source!AV492*Source!I492),2)),2), 2)</f>
        <v>0</v>
      </c>
      <c r="V856">
        <f>ROUND((157/100)*ROUND(ROUND((ROUND((Source!AE492*Source!AV492*Source!I492),2)*Source!BS492),2), 2), 2)</f>
        <v>0</v>
      </c>
      <c r="X856">
        <f>IF(Source!BI492&lt;=1,I856, 0)</f>
        <v>13392</v>
      </c>
      <c r="Y856">
        <f>IF(Source!BI492=2,I856, 0)</f>
        <v>0</v>
      </c>
      <c r="Z856">
        <f>IF(Source!BI492=3,I856, 0)</f>
        <v>0</v>
      </c>
      <c r="AA856">
        <f>IF(Source!BI492=4,I856, 0)</f>
        <v>0</v>
      </c>
    </row>
    <row r="857" spans="1:27" ht="14.25" x14ac:dyDescent="0.2">
      <c r="A857" s="16"/>
      <c r="B857" s="17"/>
      <c r="C857" s="17" t="s">
        <v>1626</v>
      </c>
      <c r="D857" s="19" t="s">
        <v>1627</v>
      </c>
      <c r="E857" s="18">
        <f>Source!DN491</f>
        <v>156</v>
      </c>
      <c r="F857" s="21"/>
      <c r="G857" s="20"/>
      <c r="H857" s="18"/>
      <c r="I857" s="22">
        <f>SUM(Q852:Q856)</f>
        <v>2084.63</v>
      </c>
      <c r="J857" s="18">
        <f>Source!BZ491</f>
        <v>90</v>
      </c>
      <c r="K857" s="22">
        <f>SUM(R852:R856)</f>
        <v>30595.919999999998</v>
      </c>
    </row>
    <row r="858" spans="1:27" ht="14.25" x14ac:dyDescent="0.2">
      <c r="A858" s="16"/>
      <c r="B858" s="17"/>
      <c r="C858" s="17" t="s">
        <v>1628</v>
      </c>
      <c r="D858" s="19" t="s">
        <v>1627</v>
      </c>
      <c r="E858" s="18">
        <f>Source!DO491</f>
        <v>84</v>
      </c>
      <c r="F858" s="21"/>
      <c r="G858" s="20"/>
      <c r="H858" s="18"/>
      <c r="I858" s="22">
        <f>SUM(S852:S857)</f>
        <v>1122.49</v>
      </c>
      <c r="J858" s="18">
        <f>Source!CA491</f>
        <v>41</v>
      </c>
      <c r="K858" s="22">
        <f>SUM(T852:T857)</f>
        <v>13938.14</v>
      </c>
    </row>
    <row r="859" spans="1:27" ht="14.25" x14ac:dyDescent="0.2">
      <c r="A859" s="16"/>
      <c r="B859" s="17"/>
      <c r="C859" s="17" t="s">
        <v>1629</v>
      </c>
      <c r="D859" s="19" t="s">
        <v>1630</v>
      </c>
      <c r="E859" s="18">
        <f>Source!AQ491</f>
        <v>39.159999999999997</v>
      </c>
      <c r="F859" s="21"/>
      <c r="G859" s="20" t="str">
        <f>Source!DI491</f>
        <v>)*1,15</v>
      </c>
      <c r="H859" s="18">
        <f>Source!AV491</f>
        <v>1</v>
      </c>
      <c r="I859" s="22">
        <f>Source!U491</f>
        <v>121.59179999999999</v>
      </c>
      <c r="J859" s="18"/>
      <c r="K859" s="22"/>
    </row>
    <row r="860" spans="1:27" ht="15" x14ac:dyDescent="0.25">
      <c r="A860" s="25"/>
      <c r="B860" s="25"/>
      <c r="C860" s="25"/>
      <c r="D860" s="25"/>
      <c r="E860" s="25"/>
      <c r="F860" s="25"/>
      <c r="G860" s="25"/>
      <c r="H860" s="54">
        <f>I854+I855+I857+I858+SUM(I856:I856)</f>
        <v>18188.900000000001</v>
      </c>
      <c r="I860" s="54"/>
      <c r="J860" s="54">
        <f>K854+K855+K857+K858+SUM(K856:K856)</f>
        <v>166425.87</v>
      </c>
      <c r="K860" s="54"/>
      <c r="O860" s="24">
        <f>I854+I855+I857+I858+SUM(I856:I856)</f>
        <v>18188.900000000001</v>
      </c>
      <c r="P860" s="24">
        <f>K854+K855+K857+K858+SUM(K856:K856)</f>
        <v>166425.87</v>
      </c>
      <c r="X860">
        <f>IF(Source!BI491&lt;=1,I854+I855+I857+I858-0, 0)</f>
        <v>4796.8999999999996</v>
      </c>
      <c r="Y860">
        <f>IF(Source!BI491=2,I854+I855+I857+I858-0, 0)</f>
        <v>0</v>
      </c>
      <c r="Z860">
        <f>IF(Source!BI491=3,I854+I855+I857+I858-0, 0)</f>
        <v>0</v>
      </c>
      <c r="AA860">
        <f>IF(Source!BI491=4,I854+I855+I857+I858,0)</f>
        <v>0</v>
      </c>
    </row>
    <row r="861" spans="1:27" ht="128.25" x14ac:dyDescent="0.2">
      <c r="A861" s="16" t="str">
        <f>Source!E493</f>
        <v>96</v>
      </c>
      <c r="B861" s="17" t="str">
        <f>Source!F493</f>
        <v>3.42-21-1</v>
      </c>
      <c r="C861" s="17" t="s">
        <v>1591</v>
      </c>
      <c r="D861" s="19" t="str">
        <f>Source!H493</f>
        <v>100 м3</v>
      </c>
      <c r="E861" s="18">
        <f>Source!I493</f>
        <v>1.1519999999999999</v>
      </c>
      <c r="F861" s="21"/>
      <c r="G861" s="20"/>
      <c r="H861" s="18"/>
      <c r="I861" s="22"/>
      <c r="J861" s="18"/>
      <c r="K861" s="22"/>
      <c r="Q861">
        <f>ROUND((Source!DN493/100)*ROUND((ROUND((Source!AF493*Source!AV493*Source!I493),2)),2), 2)</f>
        <v>414.42</v>
      </c>
      <c r="R861">
        <f>Source!X493</f>
        <v>11295.97</v>
      </c>
      <c r="S861">
        <f>ROUND((Source!DO493/100)*ROUND((ROUND((Source!AF493*Source!AV493*Source!I493),2)),2), 2)</f>
        <v>562.42999999999995</v>
      </c>
      <c r="T861">
        <f>Source!Y493</f>
        <v>6777.58</v>
      </c>
      <c r="U861">
        <f>ROUND((175/100)*ROUND((ROUND((Source!AE493*Source!AV493*Source!I493),2)),2), 2)</f>
        <v>1034.97</v>
      </c>
      <c r="V861">
        <f>ROUND((157/100)*ROUND(ROUND((ROUND((Source!AE493*Source!AV493*Source!I493),2)*Source!BS493),2), 2), 2)</f>
        <v>23621.39</v>
      </c>
    </row>
    <row r="862" spans="1:27" x14ac:dyDescent="0.2">
      <c r="C862" s="23" t="str">
        <f>"Объем: "&amp;Source!I493&amp;"=115,2/"&amp;"100"</f>
        <v>Объем: 1,152=115,2/100</v>
      </c>
    </row>
    <row r="863" spans="1:27" ht="14.25" x14ac:dyDescent="0.2">
      <c r="A863" s="16"/>
      <c r="B863" s="17"/>
      <c r="C863" s="17" t="s">
        <v>1625</v>
      </c>
      <c r="D863" s="19"/>
      <c r="E863" s="18"/>
      <c r="F863" s="21">
        <f>Source!AO493</f>
        <v>372.4</v>
      </c>
      <c r="G863" s="20" t="str">
        <f>Source!DG493</f>
        <v>)*1,15</v>
      </c>
      <c r="H863" s="18">
        <f>Source!AV493</f>
        <v>1</v>
      </c>
      <c r="I863" s="22">
        <f>ROUND((ROUND((Source!AF493*Source!AV493*Source!I493),2)),2)</f>
        <v>493.36</v>
      </c>
      <c r="J863" s="18">
        <f>IF(Source!BA493&lt;&gt; 0, Source!BA493, 1)</f>
        <v>25.44</v>
      </c>
      <c r="K863" s="22">
        <f>Source!S493</f>
        <v>12551.08</v>
      </c>
      <c r="W863">
        <f>I863</f>
        <v>493.36</v>
      </c>
    </row>
    <row r="864" spans="1:27" ht="14.25" x14ac:dyDescent="0.2">
      <c r="A864" s="16"/>
      <c r="B864" s="17"/>
      <c r="C864" s="17" t="s">
        <v>1631</v>
      </c>
      <c r="D864" s="19"/>
      <c r="E864" s="18"/>
      <c r="F864" s="21">
        <f>Source!AM493</f>
        <v>2110.87</v>
      </c>
      <c r="G864" s="20" t="str">
        <f>Source!DE493</f>
        <v>)*1,25</v>
      </c>
      <c r="H864" s="18">
        <f>Source!AV493</f>
        <v>1</v>
      </c>
      <c r="I864" s="22">
        <f>(ROUND((ROUND((((Source!ET493*1.25))*Source!AV493*Source!I493),2)),2)+ROUND((ROUND(((Source!AE493-((Source!EU493*1.25)))*Source!AV493*Source!I493),2)),2))</f>
        <v>3039.65</v>
      </c>
      <c r="J864" s="18">
        <f>IF(Source!BB493&lt;&gt; 0, Source!BB493, 1)</f>
        <v>9.4</v>
      </c>
      <c r="K864" s="22">
        <f>Source!Q493</f>
        <v>28572.71</v>
      </c>
    </row>
    <row r="865" spans="1:27" ht="14.25" x14ac:dyDescent="0.2">
      <c r="A865" s="16"/>
      <c r="B865" s="17"/>
      <c r="C865" s="17" t="s">
        <v>1632</v>
      </c>
      <c r="D865" s="19"/>
      <c r="E865" s="18"/>
      <c r="F865" s="21">
        <f>Source!AN493</f>
        <v>410.7</v>
      </c>
      <c r="G865" s="20" t="str">
        <f>Source!DF493</f>
        <v>)*1,25</v>
      </c>
      <c r="H865" s="18">
        <f>Source!AV493</f>
        <v>1</v>
      </c>
      <c r="I865" s="26">
        <f>ROUND((ROUND((Source!AE493*Source!AV493*Source!I493),2)),2)</f>
        <v>591.41</v>
      </c>
      <c r="J865" s="18">
        <f>IF(Source!BS493&lt;&gt; 0, Source!BS493, 1)</f>
        <v>25.44</v>
      </c>
      <c r="K865" s="26">
        <f>Source!R493</f>
        <v>15045.47</v>
      </c>
      <c r="W865">
        <f>I865</f>
        <v>591.41</v>
      </c>
    </row>
    <row r="866" spans="1:27" ht="42.75" x14ac:dyDescent="0.2">
      <c r="A866" s="16" t="str">
        <f>Source!E494</f>
        <v>96,1</v>
      </c>
      <c r="B866" s="17" t="str">
        <f>Source!F494</f>
        <v>1.1-1-1555</v>
      </c>
      <c r="C866" s="17" t="s">
        <v>663</v>
      </c>
      <c r="D866" s="19" t="str">
        <f>Source!H494</f>
        <v>м3</v>
      </c>
      <c r="E866" s="18">
        <f>Source!I494</f>
        <v>38.4</v>
      </c>
      <c r="F866" s="21">
        <f>Source!AK494</f>
        <v>160.62</v>
      </c>
      <c r="G866" s="27" t="s">
        <v>3</v>
      </c>
      <c r="H866" s="18">
        <f>Source!AW494</f>
        <v>1</v>
      </c>
      <c r="I866" s="22">
        <f>ROUND((ROUND((Source!AC494*Source!AW494*Source!I494),2)),2)+(ROUND((ROUND(((Source!ET494)*Source!AV494*Source!I494),2)),2)+ROUND((ROUND(((Source!AE494-(Source!EU494))*Source!AV494*Source!I494),2)),2))+ROUND((ROUND((Source!AF494*Source!AV494*Source!I494),2)),2)</f>
        <v>6167.81</v>
      </c>
      <c r="J866" s="18">
        <f>IF(Source!BC494&lt;&gt; 0, Source!BC494, 1)</f>
        <v>13.94</v>
      </c>
      <c r="K866" s="22">
        <f>Source!O494</f>
        <v>85979.27</v>
      </c>
      <c r="Q866">
        <f>ROUND((Source!DN494/100)*ROUND((ROUND((Source!AF494*Source!AV494*Source!I494),2)),2), 2)</f>
        <v>0</v>
      </c>
      <c r="R866">
        <f>Source!X494</f>
        <v>0</v>
      </c>
      <c r="S866">
        <f>ROUND((Source!DO494/100)*ROUND((ROUND((Source!AF494*Source!AV494*Source!I494),2)),2), 2)</f>
        <v>0</v>
      </c>
      <c r="T866">
        <f>Source!Y494</f>
        <v>0</v>
      </c>
      <c r="U866">
        <f>ROUND((175/100)*ROUND((ROUND((Source!AE494*Source!AV494*Source!I494),2)),2), 2)</f>
        <v>0</v>
      </c>
      <c r="V866">
        <f>ROUND((157/100)*ROUND(ROUND((ROUND((Source!AE494*Source!AV494*Source!I494),2)*Source!BS494),2), 2), 2)</f>
        <v>0</v>
      </c>
      <c r="X866">
        <f>IF(Source!BI494&lt;=1,I866, 0)</f>
        <v>6167.81</v>
      </c>
      <c r="Y866">
        <f>IF(Source!BI494=2,I866, 0)</f>
        <v>0</v>
      </c>
      <c r="Z866">
        <f>IF(Source!BI494=3,I866, 0)</f>
        <v>0</v>
      </c>
      <c r="AA866">
        <f>IF(Source!BI494=4,I866, 0)</f>
        <v>0</v>
      </c>
    </row>
    <row r="867" spans="1:27" ht="42.75" x14ac:dyDescent="0.2">
      <c r="A867" s="16" t="str">
        <f>Source!E495</f>
        <v>96,2</v>
      </c>
      <c r="B867" s="17" t="str">
        <f>Source!F495</f>
        <v>1.1-1-1557</v>
      </c>
      <c r="C867" s="17" t="s">
        <v>83</v>
      </c>
      <c r="D867" s="19" t="str">
        <f>Source!H495</f>
        <v>м3</v>
      </c>
      <c r="E867" s="18">
        <f>Source!I495</f>
        <v>38.4</v>
      </c>
      <c r="F867" s="21">
        <f>Source!AK495</f>
        <v>158.22</v>
      </c>
      <c r="G867" s="27" t="s">
        <v>3</v>
      </c>
      <c r="H867" s="18">
        <f>Source!AW495</f>
        <v>1</v>
      </c>
      <c r="I867" s="22">
        <f>ROUND((ROUND((Source!AC495*Source!AW495*Source!I495),2)),2)+(ROUND((ROUND(((Source!ET495)*Source!AV495*Source!I495),2)),2)+ROUND((ROUND(((Source!AE495-(Source!EU495))*Source!AV495*Source!I495),2)),2))+ROUND((ROUND((Source!AF495*Source!AV495*Source!I495),2)),2)</f>
        <v>6075.65</v>
      </c>
      <c r="J867" s="18">
        <f>IF(Source!BC495&lt;&gt; 0, Source!BC495, 1)</f>
        <v>14.49</v>
      </c>
      <c r="K867" s="22">
        <f>Source!O495</f>
        <v>88036.17</v>
      </c>
      <c r="Q867">
        <f>ROUND((Source!DN495/100)*ROUND((ROUND((Source!AF495*Source!AV495*Source!I495),2)),2), 2)</f>
        <v>0</v>
      </c>
      <c r="R867">
        <f>Source!X495</f>
        <v>0</v>
      </c>
      <c r="S867">
        <f>ROUND((Source!DO495/100)*ROUND((ROUND((Source!AF495*Source!AV495*Source!I495),2)),2), 2)</f>
        <v>0</v>
      </c>
      <c r="T867">
        <f>Source!Y495</f>
        <v>0</v>
      </c>
      <c r="U867">
        <f>ROUND((175/100)*ROUND((ROUND((Source!AE495*Source!AV495*Source!I495),2)),2), 2)</f>
        <v>0</v>
      </c>
      <c r="V867">
        <f>ROUND((157/100)*ROUND(ROUND((ROUND((Source!AE495*Source!AV495*Source!I495),2)*Source!BS495),2), 2), 2)</f>
        <v>0</v>
      </c>
      <c r="X867">
        <f>IF(Source!BI495&lt;=1,I867, 0)</f>
        <v>6075.65</v>
      </c>
      <c r="Y867">
        <f>IF(Source!BI495=2,I867, 0)</f>
        <v>0</v>
      </c>
      <c r="Z867">
        <f>IF(Source!BI495=3,I867, 0)</f>
        <v>0</v>
      </c>
      <c r="AA867">
        <f>IF(Source!BI495=4,I867, 0)</f>
        <v>0</v>
      </c>
    </row>
    <row r="868" spans="1:27" ht="42.75" x14ac:dyDescent="0.2">
      <c r="A868" s="16" t="str">
        <f>Source!E496</f>
        <v>96,3</v>
      </c>
      <c r="B868" s="17" t="str">
        <f>Source!F496</f>
        <v>Цена поставщика</v>
      </c>
      <c r="C868" s="17" t="s">
        <v>1660</v>
      </c>
      <c r="D868" s="19" t="str">
        <f>Source!H496</f>
        <v>м3</v>
      </c>
      <c r="E868" s="18">
        <f>Source!I496</f>
        <v>38.4</v>
      </c>
      <c r="F868" s="21">
        <f>Source!AK496</f>
        <v>1340.7</v>
      </c>
      <c r="G868" s="27" t="s">
        <v>3</v>
      </c>
      <c r="H868" s="18">
        <f>Source!AW496</f>
        <v>1</v>
      </c>
      <c r="I868" s="22">
        <f>ROUND((ROUND((Source!AC496*Source!AW496*Source!I496),2)),2)+(ROUND((ROUND(((Source!ET496)*Source!AV496*Source!I496),2)),2)+ROUND((ROUND(((Source!AE496-(Source!EU496))*Source!AV496*Source!I496),2)),2))+ROUND((ROUND((Source!AF496*Source!AV496*Source!I496),2)),2)</f>
        <v>51482.879999999997</v>
      </c>
      <c r="J868" s="18">
        <f>IF(Source!BC496&lt;&gt; 0, Source!BC496, 1)</f>
        <v>6.34</v>
      </c>
      <c r="K868" s="22">
        <f>Source!O496</f>
        <v>326401.46000000002</v>
      </c>
      <c r="Q868">
        <f>ROUND((Source!DN496/100)*ROUND((ROUND((Source!AF496*Source!AV496*Source!I496),2)),2), 2)</f>
        <v>0</v>
      </c>
      <c r="R868">
        <f>Source!X496</f>
        <v>0</v>
      </c>
      <c r="S868">
        <f>ROUND((Source!DO496/100)*ROUND((ROUND((Source!AF496*Source!AV496*Source!I496),2)),2), 2)</f>
        <v>0</v>
      </c>
      <c r="T868">
        <f>Source!Y496</f>
        <v>0</v>
      </c>
      <c r="U868">
        <f>ROUND((175/100)*ROUND((ROUND((Source!AE496*Source!AV496*Source!I496),2)),2), 2)</f>
        <v>0</v>
      </c>
      <c r="V868">
        <f>ROUND((157/100)*ROUND(ROUND((ROUND((Source!AE496*Source!AV496*Source!I496),2)*Source!BS496),2), 2), 2)</f>
        <v>0</v>
      </c>
      <c r="X868">
        <f>IF(Source!BI496&lt;=1,I868, 0)</f>
        <v>51482.879999999997</v>
      </c>
      <c r="Y868">
        <f>IF(Source!BI496=2,I868, 0)</f>
        <v>0</v>
      </c>
      <c r="Z868">
        <f>IF(Source!BI496=3,I868, 0)</f>
        <v>0</v>
      </c>
      <c r="AA868">
        <f>IF(Source!BI496=4,I868, 0)</f>
        <v>0</v>
      </c>
    </row>
    <row r="869" spans="1:27" ht="14.25" x14ac:dyDescent="0.2">
      <c r="A869" s="16"/>
      <c r="B869" s="17"/>
      <c r="C869" s="17" t="s">
        <v>1626</v>
      </c>
      <c r="D869" s="19" t="s">
        <v>1627</v>
      </c>
      <c r="E869" s="18">
        <f>Source!DN493</f>
        <v>84</v>
      </c>
      <c r="F869" s="21"/>
      <c r="G869" s="20"/>
      <c r="H869" s="18"/>
      <c r="I869" s="22">
        <f>SUM(Q861:Q868)</f>
        <v>414.42</v>
      </c>
      <c r="J869" s="18">
        <f>Source!BZ493</f>
        <v>90</v>
      </c>
      <c r="K869" s="22">
        <f>SUM(R861:R868)</f>
        <v>11295.97</v>
      </c>
    </row>
    <row r="870" spans="1:27" ht="14.25" x14ac:dyDescent="0.2">
      <c r="A870" s="16"/>
      <c r="B870" s="17"/>
      <c r="C870" s="17" t="s">
        <v>1628</v>
      </c>
      <c r="D870" s="19" t="s">
        <v>1627</v>
      </c>
      <c r="E870" s="18">
        <f>Source!DO493</f>
        <v>114</v>
      </c>
      <c r="F870" s="21"/>
      <c r="G870" s="20"/>
      <c r="H870" s="18"/>
      <c r="I870" s="22">
        <f>SUM(S861:S869)</f>
        <v>562.42999999999995</v>
      </c>
      <c r="J870" s="18">
        <f>Source!CA493</f>
        <v>54</v>
      </c>
      <c r="K870" s="22">
        <f>SUM(T861:T869)</f>
        <v>6777.58</v>
      </c>
    </row>
    <row r="871" spans="1:27" ht="14.25" x14ac:dyDescent="0.2">
      <c r="A871" s="16"/>
      <c r="B871" s="17"/>
      <c r="C871" s="17" t="s">
        <v>1633</v>
      </c>
      <c r="D871" s="19" t="s">
        <v>1627</v>
      </c>
      <c r="E871" s="18">
        <f>175</f>
        <v>175</v>
      </c>
      <c r="F871" s="21"/>
      <c r="G871" s="20"/>
      <c r="H871" s="18"/>
      <c r="I871" s="22">
        <f>SUM(U861:U870)</f>
        <v>1034.97</v>
      </c>
      <c r="J871" s="18">
        <f>157</f>
        <v>157</v>
      </c>
      <c r="K871" s="22">
        <f>SUM(V861:V870)</f>
        <v>23621.39</v>
      </c>
    </row>
    <row r="872" spans="1:27" ht="14.25" x14ac:dyDescent="0.2">
      <c r="A872" s="16"/>
      <c r="B872" s="17"/>
      <c r="C872" s="17" t="s">
        <v>1629</v>
      </c>
      <c r="D872" s="19" t="s">
        <v>1630</v>
      </c>
      <c r="E872" s="18">
        <f>Source!AQ493</f>
        <v>36.119999999999997</v>
      </c>
      <c r="F872" s="21"/>
      <c r="G872" s="20" t="str">
        <f>Source!DI493</f>
        <v>)*1,15</v>
      </c>
      <c r="H872" s="18">
        <f>Source!AV493</f>
        <v>1</v>
      </c>
      <c r="I872" s="22">
        <f>Source!U493</f>
        <v>47.851775999999994</v>
      </c>
      <c r="J872" s="18"/>
      <c r="K872" s="22"/>
    </row>
    <row r="873" spans="1:27" ht="15" x14ac:dyDescent="0.25">
      <c r="A873" s="25"/>
      <c r="B873" s="25"/>
      <c r="C873" s="25"/>
      <c r="D873" s="25"/>
      <c r="E873" s="25"/>
      <c r="F873" s="25"/>
      <c r="G873" s="25"/>
      <c r="H873" s="54">
        <f>I863+I864+I869+I870+I871+SUM(I866:I868)</f>
        <v>69271.17</v>
      </c>
      <c r="I873" s="54"/>
      <c r="J873" s="54">
        <f>K863+K864+K869+K870+K871+SUM(K866:K868)</f>
        <v>583235.63</v>
      </c>
      <c r="K873" s="54"/>
      <c r="O873" s="24">
        <f>I863+I864+I869+I870+I871+SUM(I866:I868)</f>
        <v>69271.17</v>
      </c>
      <c r="P873" s="24">
        <f>K863+K864+K869+K870+K871+SUM(K866:K868)</f>
        <v>583235.63</v>
      </c>
      <c r="X873">
        <f>IF(Source!BI493&lt;=1,I863+I864+I869+I870+I871-0, 0)</f>
        <v>5544.8300000000008</v>
      </c>
      <c r="Y873">
        <f>IF(Source!BI493=2,I863+I864+I869+I870+I871-0, 0)</f>
        <v>0</v>
      </c>
      <c r="Z873">
        <f>IF(Source!BI493=3,I863+I864+I869+I870+I871-0, 0)</f>
        <v>0</v>
      </c>
      <c r="AA873">
        <f>IF(Source!BI493=4,I863+I864+I869+I870+I871,0)</f>
        <v>0</v>
      </c>
    </row>
    <row r="874" spans="1:27" ht="85.5" x14ac:dyDescent="0.2">
      <c r="A874" s="16" t="str">
        <f>Source!E497</f>
        <v>97</v>
      </c>
      <c r="B874" s="17" t="str">
        <f>Source!F497</f>
        <v>3.42-1-1</v>
      </c>
      <c r="C874" s="17" t="s">
        <v>671</v>
      </c>
      <c r="D874" s="19" t="str">
        <f>Source!H497</f>
        <v>1 м3</v>
      </c>
      <c r="E874" s="18">
        <f>Source!I497</f>
        <v>54</v>
      </c>
      <c r="F874" s="21"/>
      <c r="G874" s="20"/>
      <c r="H874" s="18"/>
      <c r="I874" s="22"/>
      <c r="J874" s="18"/>
      <c r="K874" s="22"/>
      <c r="Q874">
        <f>ROUND((Source!DN497/100)*ROUND((ROUND((Source!AF497*Source!AV497*Source!I497),2)),2), 2)</f>
        <v>1550.83</v>
      </c>
      <c r="R874">
        <f>Source!X497</f>
        <v>42271.28</v>
      </c>
      <c r="S874">
        <f>ROUND((Source!DO497/100)*ROUND((ROUND((Source!AF497*Source!AV497*Source!I497),2)),2), 2)</f>
        <v>2104.6999999999998</v>
      </c>
      <c r="T874">
        <f>Source!Y497</f>
        <v>25362.77</v>
      </c>
      <c r="U874">
        <f>ROUND((175/100)*ROUND((ROUND((Source!AE497*Source!AV497*Source!I497),2)),2), 2)</f>
        <v>543.38</v>
      </c>
      <c r="V874">
        <f>ROUND((157/100)*ROUND(ROUND((ROUND((Source!AE497*Source!AV497*Source!I497),2)*Source!BS497),2), 2), 2)</f>
        <v>12401.62</v>
      </c>
    </row>
    <row r="875" spans="1:27" ht="14.25" x14ac:dyDescent="0.2">
      <c r="A875" s="16"/>
      <c r="B875" s="17"/>
      <c r="C875" s="17" t="s">
        <v>1625</v>
      </c>
      <c r="D875" s="19"/>
      <c r="E875" s="18"/>
      <c r="F875" s="21">
        <f>Source!AO497</f>
        <v>29.73</v>
      </c>
      <c r="G875" s="20" t="str">
        <f>Source!DG497</f>
        <v>)*1,15</v>
      </c>
      <c r="H875" s="18">
        <f>Source!AV497</f>
        <v>1</v>
      </c>
      <c r="I875" s="22">
        <f>ROUND((ROUND((Source!AF497*Source!AV497*Source!I497),2)),2)</f>
        <v>1846.23</v>
      </c>
      <c r="J875" s="18">
        <f>IF(Source!BA497&lt;&gt; 0, Source!BA497, 1)</f>
        <v>25.44</v>
      </c>
      <c r="K875" s="22">
        <f>Source!S497</f>
        <v>46968.09</v>
      </c>
      <c r="W875">
        <f>I875</f>
        <v>1846.23</v>
      </c>
    </row>
    <row r="876" spans="1:27" ht="14.25" x14ac:dyDescent="0.2">
      <c r="A876" s="16"/>
      <c r="B876" s="17"/>
      <c r="C876" s="17" t="s">
        <v>1631</v>
      </c>
      <c r="D876" s="19"/>
      <c r="E876" s="18"/>
      <c r="F876" s="21">
        <f>Source!AM497</f>
        <v>24.58</v>
      </c>
      <c r="G876" s="20" t="str">
        <f>Source!DE497</f>
        <v>)*1,25</v>
      </c>
      <c r="H876" s="18">
        <f>Source!AV497</f>
        <v>1</v>
      </c>
      <c r="I876" s="22">
        <f>(ROUND((ROUND((((Source!ET497*1.25))*Source!AV497*Source!I497),2)),2)+ROUND((ROUND(((Source!AE497-((Source!EU497*1.25)))*Source!AV497*Source!I497),2)),2))</f>
        <v>1659.15</v>
      </c>
      <c r="J876" s="18">
        <f>IF(Source!BB497&lt;&gt; 0, Source!BB497, 1)</f>
        <v>9.74</v>
      </c>
      <c r="K876" s="22">
        <f>Source!Q497</f>
        <v>16160.12</v>
      </c>
    </row>
    <row r="877" spans="1:27" ht="14.25" x14ac:dyDescent="0.2">
      <c r="A877" s="16"/>
      <c r="B877" s="17"/>
      <c r="C877" s="17" t="s">
        <v>1632</v>
      </c>
      <c r="D877" s="19"/>
      <c r="E877" s="18"/>
      <c r="F877" s="21">
        <f>Source!AN497</f>
        <v>4.5999999999999996</v>
      </c>
      <c r="G877" s="20" t="str">
        <f>Source!DF497</f>
        <v>)*1,25</v>
      </c>
      <c r="H877" s="18">
        <f>Source!AV497</f>
        <v>1</v>
      </c>
      <c r="I877" s="26">
        <f>ROUND((ROUND((Source!AE497*Source!AV497*Source!I497),2)),2)</f>
        <v>310.5</v>
      </c>
      <c r="J877" s="18">
        <f>IF(Source!BS497&lt;&gt; 0, Source!BS497, 1)</f>
        <v>25.44</v>
      </c>
      <c r="K877" s="26">
        <f>Source!R497</f>
        <v>7899.12</v>
      </c>
      <c r="W877">
        <f>I877</f>
        <v>310.5</v>
      </c>
    </row>
    <row r="878" spans="1:27" ht="42.75" x14ac:dyDescent="0.2">
      <c r="A878" s="16" t="str">
        <f>Source!E498</f>
        <v>97,1</v>
      </c>
      <c r="B878" s="17" t="str">
        <f>Source!F498</f>
        <v>1.1-1-1557</v>
      </c>
      <c r="C878" s="17" t="s">
        <v>83</v>
      </c>
      <c r="D878" s="19" t="str">
        <f>Source!H498</f>
        <v>м3</v>
      </c>
      <c r="E878" s="18">
        <f>Source!I498</f>
        <v>70.2</v>
      </c>
      <c r="F878" s="21">
        <f>Source!AK498</f>
        <v>158.22</v>
      </c>
      <c r="G878" s="27" t="s">
        <v>3</v>
      </c>
      <c r="H878" s="18">
        <f>Source!AW498</f>
        <v>1</v>
      </c>
      <c r="I878" s="22">
        <f>ROUND((ROUND((Source!AC498*Source!AW498*Source!I498),2)),2)+(ROUND((ROUND(((Source!ET498)*Source!AV498*Source!I498),2)),2)+ROUND((ROUND(((Source!AE498-(Source!EU498))*Source!AV498*Source!I498),2)),2))+ROUND((ROUND((Source!AF498*Source!AV498*Source!I498),2)),2)</f>
        <v>11107.04</v>
      </c>
      <c r="J878" s="18">
        <f>IF(Source!BC498&lt;&gt; 0, Source!BC498, 1)</f>
        <v>14.49</v>
      </c>
      <c r="K878" s="22">
        <f>Source!O498</f>
        <v>160941.01</v>
      </c>
      <c r="Q878">
        <f>ROUND((Source!DN498/100)*ROUND((ROUND((Source!AF498*Source!AV498*Source!I498),2)),2), 2)</f>
        <v>0</v>
      </c>
      <c r="R878">
        <f>Source!X498</f>
        <v>0</v>
      </c>
      <c r="S878">
        <f>ROUND((Source!DO498/100)*ROUND((ROUND((Source!AF498*Source!AV498*Source!I498),2)),2), 2)</f>
        <v>0</v>
      </c>
      <c r="T878">
        <f>Source!Y498</f>
        <v>0</v>
      </c>
      <c r="U878">
        <f>ROUND((175/100)*ROUND((ROUND((Source!AE498*Source!AV498*Source!I498),2)),2), 2)</f>
        <v>0</v>
      </c>
      <c r="V878">
        <f>ROUND((157/100)*ROUND(ROUND((ROUND((Source!AE498*Source!AV498*Source!I498),2)*Source!BS498),2), 2), 2)</f>
        <v>0</v>
      </c>
      <c r="X878">
        <f>IF(Source!BI498&lt;=1,I878, 0)</f>
        <v>11107.04</v>
      </c>
      <c r="Y878">
        <f>IF(Source!BI498=2,I878, 0)</f>
        <v>0</v>
      </c>
      <c r="Z878">
        <f>IF(Source!BI498=3,I878, 0)</f>
        <v>0</v>
      </c>
      <c r="AA878">
        <f>IF(Source!BI498=4,I878, 0)</f>
        <v>0</v>
      </c>
    </row>
    <row r="879" spans="1:27" ht="14.25" x14ac:dyDescent="0.2">
      <c r="A879" s="16"/>
      <c r="B879" s="17"/>
      <c r="C879" s="17" t="s">
        <v>1626</v>
      </c>
      <c r="D879" s="19" t="s">
        <v>1627</v>
      </c>
      <c r="E879" s="18">
        <f>Source!DN497</f>
        <v>84</v>
      </c>
      <c r="F879" s="21"/>
      <c r="G879" s="20"/>
      <c r="H879" s="18"/>
      <c r="I879" s="22">
        <f>SUM(Q874:Q878)</f>
        <v>1550.83</v>
      </c>
      <c r="J879" s="18">
        <f>Source!BZ497</f>
        <v>90</v>
      </c>
      <c r="K879" s="22">
        <f>SUM(R874:R878)</f>
        <v>42271.28</v>
      </c>
    </row>
    <row r="880" spans="1:27" ht="14.25" x14ac:dyDescent="0.2">
      <c r="A880" s="16"/>
      <c r="B880" s="17"/>
      <c r="C880" s="17" t="s">
        <v>1628</v>
      </c>
      <c r="D880" s="19" t="s">
        <v>1627</v>
      </c>
      <c r="E880" s="18">
        <f>Source!DO497</f>
        <v>114</v>
      </c>
      <c r="F880" s="21"/>
      <c r="G880" s="20"/>
      <c r="H880" s="18"/>
      <c r="I880" s="22">
        <f>SUM(S874:S879)</f>
        <v>2104.6999999999998</v>
      </c>
      <c r="J880" s="18">
        <f>Source!CA497</f>
        <v>54</v>
      </c>
      <c r="K880" s="22">
        <f>SUM(T874:T879)</f>
        <v>25362.77</v>
      </c>
    </row>
    <row r="881" spans="1:27" ht="14.25" x14ac:dyDescent="0.2">
      <c r="A881" s="16"/>
      <c r="B881" s="17"/>
      <c r="C881" s="17" t="s">
        <v>1633</v>
      </c>
      <c r="D881" s="19" t="s">
        <v>1627</v>
      </c>
      <c r="E881" s="18">
        <f>175</f>
        <v>175</v>
      </c>
      <c r="F881" s="21"/>
      <c r="G881" s="20"/>
      <c r="H881" s="18"/>
      <c r="I881" s="22">
        <f>SUM(U874:U880)</f>
        <v>543.38</v>
      </c>
      <c r="J881" s="18">
        <f>157</f>
        <v>157</v>
      </c>
      <c r="K881" s="22">
        <f>SUM(V874:V880)</f>
        <v>12401.62</v>
      </c>
    </row>
    <row r="882" spans="1:27" ht="14.25" x14ac:dyDescent="0.2">
      <c r="A882" s="16"/>
      <c r="B882" s="17"/>
      <c r="C882" s="17" t="s">
        <v>1629</v>
      </c>
      <c r="D882" s="19" t="s">
        <v>1630</v>
      </c>
      <c r="E882" s="18">
        <f>Source!AQ497</f>
        <v>3</v>
      </c>
      <c r="F882" s="21"/>
      <c r="G882" s="20" t="str">
        <f>Source!DI497</f>
        <v>)*1,15</v>
      </c>
      <c r="H882" s="18">
        <f>Source!AV497</f>
        <v>1</v>
      </c>
      <c r="I882" s="22">
        <f>Source!U497</f>
        <v>186.29999999999998</v>
      </c>
      <c r="J882" s="18"/>
      <c r="K882" s="22"/>
    </row>
    <row r="883" spans="1:27" ht="15" x14ac:dyDescent="0.25">
      <c r="A883" s="25"/>
      <c r="B883" s="25"/>
      <c r="C883" s="25"/>
      <c r="D883" s="25"/>
      <c r="E883" s="25"/>
      <c r="F883" s="25"/>
      <c r="G883" s="25"/>
      <c r="H883" s="54">
        <f>I875+I876+I879+I880+I881+SUM(I878:I878)</f>
        <v>18811.330000000002</v>
      </c>
      <c r="I883" s="54"/>
      <c r="J883" s="54">
        <f>K875+K876+K879+K880+K881+SUM(K878:K878)</f>
        <v>304104.89</v>
      </c>
      <c r="K883" s="54"/>
      <c r="O883" s="24">
        <f>I875+I876+I879+I880+I881+SUM(I878:I878)</f>
        <v>18811.330000000002</v>
      </c>
      <c r="P883" s="24">
        <f>K875+K876+K879+K880+K881+SUM(K878:K878)</f>
        <v>304104.89</v>
      </c>
      <c r="X883">
        <f>IF(Source!BI497&lt;=1,I875+I876+I879+I880+I881-0, 0)</f>
        <v>7704.29</v>
      </c>
      <c r="Y883">
        <f>IF(Source!BI497=2,I875+I876+I879+I880+I881-0, 0)</f>
        <v>0</v>
      </c>
      <c r="Z883">
        <f>IF(Source!BI497=3,I875+I876+I879+I880+I881-0, 0)</f>
        <v>0</v>
      </c>
      <c r="AA883">
        <f>IF(Source!BI497=4,I875+I876+I879+I880+I881,0)</f>
        <v>0</v>
      </c>
    </row>
    <row r="884" spans="1:27" ht="42.75" x14ac:dyDescent="0.2">
      <c r="A884" s="16" t="str">
        <f>Source!E499</f>
        <v>98</v>
      </c>
      <c r="B884" s="17" t="str">
        <f>Source!F499</f>
        <v>3.1-43-1</v>
      </c>
      <c r="C884" s="17" t="s">
        <v>678</v>
      </c>
      <c r="D884" s="19" t="str">
        <f>Source!H499</f>
        <v>100 м3 камня в деле</v>
      </c>
      <c r="E884" s="18">
        <f>Source!I499</f>
        <v>0.36</v>
      </c>
      <c r="F884" s="21"/>
      <c r="G884" s="20"/>
      <c r="H884" s="18"/>
      <c r="I884" s="22"/>
      <c r="J884" s="18"/>
      <c r="K884" s="22"/>
      <c r="Q884">
        <f>ROUND((Source!DN499/100)*ROUND((ROUND((Source!AF499*Source!AV499*Source!I499),2)),2), 2)</f>
        <v>1241.54</v>
      </c>
      <c r="R884">
        <f>Source!X499</f>
        <v>29651.08</v>
      </c>
      <c r="S884">
        <f>ROUND((Source!DO499/100)*ROUND((ROUND((Source!AF499*Source!AV499*Source!I499),2)),2), 2)</f>
        <v>975.5</v>
      </c>
      <c r="T884">
        <f>Source!Y499</f>
        <v>16114.72</v>
      </c>
      <c r="U884">
        <f>ROUND((175/100)*ROUND((ROUND((Source!AE499*Source!AV499*Source!I499),2)),2), 2)</f>
        <v>1.54</v>
      </c>
      <c r="V884">
        <f>ROUND((157/100)*ROUND(ROUND((ROUND((Source!AE499*Source!AV499*Source!I499),2)*Source!BS499),2), 2), 2)</f>
        <v>35.15</v>
      </c>
    </row>
    <row r="885" spans="1:27" x14ac:dyDescent="0.2">
      <c r="C885" s="23" t="str">
        <f>"Объем: "&amp;Source!I499&amp;"=36/"&amp;"100"</f>
        <v>Объем: 0,36=36/100</v>
      </c>
    </row>
    <row r="886" spans="1:27" ht="14.25" x14ac:dyDescent="0.2">
      <c r="A886" s="16"/>
      <c r="B886" s="17"/>
      <c r="C886" s="17" t="s">
        <v>1625</v>
      </c>
      <c r="D886" s="19"/>
      <c r="E886" s="18"/>
      <c r="F886" s="21">
        <f>Source!AO499</f>
        <v>3060.09</v>
      </c>
      <c r="G886" s="20" t="str">
        <f>Source!DG499</f>
        <v>)*1,15</v>
      </c>
      <c r="H886" s="18">
        <f>Source!AV499</f>
        <v>1</v>
      </c>
      <c r="I886" s="22">
        <f>ROUND((ROUND((Source!AF499*Source!AV499*Source!I499),2)),2)</f>
        <v>1266.8800000000001</v>
      </c>
      <c r="J886" s="18">
        <f>IF(Source!BA499&lt;&gt; 0, Source!BA499, 1)</f>
        <v>25.44</v>
      </c>
      <c r="K886" s="22">
        <f>Source!S499</f>
        <v>32229.43</v>
      </c>
      <c r="W886">
        <f>I886</f>
        <v>1266.8800000000001</v>
      </c>
    </row>
    <row r="887" spans="1:27" ht="14.25" x14ac:dyDescent="0.2">
      <c r="A887" s="16"/>
      <c r="B887" s="17"/>
      <c r="C887" s="17" t="s">
        <v>1631</v>
      </c>
      <c r="D887" s="19"/>
      <c r="E887" s="18"/>
      <c r="F887" s="21">
        <f>Source!AM499</f>
        <v>8.2100000000000009</v>
      </c>
      <c r="G887" s="20" t="str">
        <f>Source!DE499</f>
        <v>)*1,25</v>
      </c>
      <c r="H887" s="18">
        <f>Source!AV499</f>
        <v>1</v>
      </c>
      <c r="I887" s="22">
        <f>(ROUND((ROUND((((Source!ET499*1.25))*Source!AV499*Source!I499),2)),2)+ROUND((ROUND(((Source!AE499-((Source!EU499*1.25)))*Source!AV499*Source!I499),2)),2))</f>
        <v>3.69</v>
      </c>
      <c r="J887" s="18">
        <f>IF(Source!BB499&lt;&gt; 0, Source!BB499, 1)</f>
        <v>10.53</v>
      </c>
      <c r="K887" s="22">
        <f>Source!Q499</f>
        <v>38.86</v>
      </c>
    </row>
    <row r="888" spans="1:27" ht="14.25" x14ac:dyDescent="0.2">
      <c r="A888" s="16"/>
      <c r="B888" s="17"/>
      <c r="C888" s="17" t="s">
        <v>1632</v>
      </c>
      <c r="D888" s="19"/>
      <c r="E888" s="18"/>
      <c r="F888" s="21">
        <f>Source!AN499</f>
        <v>1.96</v>
      </c>
      <c r="G888" s="20" t="str">
        <f>Source!DF499</f>
        <v>)*1,25</v>
      </c>
      <c r="H888" s="18">
        <f>Source!AV499</f>
        <v>1</v>
      </c>
      <c r="I888" s="26">
        <f>ROUND((ROUND((Source!AE499*Source!AV499*Source!I499),2)),2)</f>
        <v>0.88</v>
      </c>
      <c r="J888" s="18">
        <f>IF(Source!BS499&lt;&gt; 0, Source!BS499, 1)</f>
        <v>25.44</v>
      </c>
      <c r="K888" s="26">
        <f>Source!R499</f>
        <v>22.39</v>
      </c>
      <c r="W888">
        <f>I888</f>
        <v>0.88</v>
      </c>
    </row>
    <row r="889" spans="1:27" ht="54" x14ac:dyDescent="0.2">
      <c r="A889" s="16" t="str">
        <f>Source!E500</f>
        <v>98,1</v>
      </c>
      <c r="B889" s="17" t="str">
        <f>Source!F500</f>
        <v>Цена поставщика</v>
      </c>
      <c r="C889" s="17" t="s">
        <v>1661</v>
      </c>
      <c r="D889" s="19" t="str">
        <f>Source!H500</f>
        <v>т</v>
      </c>
      <c r="E889" s="18">
        <f>Source!I500</f>
        <v>15.000000000000002</v>
      </c>
      <c r="F889" s="21">
        <f>Source!AK500</f>
        <v>1474.77</v>
      </c>
      <c r="G889" s="27" t="s">
        <v>3</v>
      </c>
      <c r="H889" s="18">
        <f>Source!AW500</f>
        <v>1</v>
      </c>
      <c r="I889" s="22">
        <f>ROUND((ROUND((Source!AC500*Source!AW500*Source!I500),2)),2)+(ROUND((ROUND(((Source!ET500)*Source!AV500*Source!I500),2)),2)+ROUND((ROUND(((Source!AE500-(Source!EU500))*Source!AV500*Source!I500),2)),2))+ROUND((ROUND((Source!AF500*Source!AV500*Source!I500),2)),2)</f>
        <v>22121.55</v>
      </c>
      <c r="J889" s="18">
        <f>IF(Source!BC500&lt;&gt; 0, Source!BC500, 1)</f>
        <v>6.34</v>
      </c>
      <c r="K889" s="22">
        <f>Source!O500</f>
        <v>140250.63</v>
      </c>
      <c r="Q889">
        <f>ROUND((Source!DN500/100)*ROUND((ROUND((Source!AF500*Source!AV500*Source!I500),2)),2), 2)</f>
        <v>0</v>
      </c>
      <c r="R889">
        <f>Source!X500</f>
        <v>0</v>
      </c>
      <c r="S889">
        <f>ROUND((Source!DO500/100)*ROUND((ROUND((Source!AF500*Source!AV500*Source!I500),2)),2), 2)</f>
        <v>0</v>
      </c>
      <c r="T889">
        <f>Source!Y500</f>
        <v>0</v>
      </c>
      <c r="U889">
        <f>ROUND((175/100)*ROUND((ROUND((Source!AE500*Source!AV500*Source!I500),2)),2), 2)</f>
        <v>0</v>
      </c>
      <c r="V889">
        <f>ROUND((157/100)*ROUND(ROUND((ROUND((Source!AE500*Source!AV500*Source!I500),2)*Source!BS500),2), 2), 2)</f>
        <v>0</v>
      </c>
      <c r="X889">
        <f>IF(Source!BI500&lt;=1,I889, 0)</f>
        <v>22121.55</v>
      </c>
      <c r="Y889">
        <f>IF(Source!BI500=2,I889, 0)</f>
        <v>0</v>
      </c>
      <c r="Z889">
        <f>IF(Source!BI500=3,I889, 0)</f>
        <v>0</v>
      </c>
      <c r="AA889">
        <f>IF(Source!BI500=4,I889, 0)</f>
        <v>0</v>
      </c>
    </row>
    <row r="890" spans="1:27" ht="14.25" x14ac:dyDescent="0.2">
      <c r="A890" s="16"/>
      <c r="B890" s="17"/>
      <c r="C890" s="17" t="s">
        <v>1626</v>
      </c>
      <c r="D890" s="19" t="s">
        <v>1627</v>
      </c>
      <c r="E890" s="18">
        <f>Source!DN499</f>
        <v>98</v>
      </c>
      <c r="F890" s="21"/>
      <c r="G890" s="20"/>
      <c r="H890" s="18"/>
      <c r="I890" s="22">
        <f>SUM(Q884:Q889)</f>
        <v>1241.54</v>
      </c>
      <c r="J890" s="18">
        <f>Source!BZ499</f>
        <v>92</v>
      </c>
      <c r="K890" s="22">
        <f>SUM(R884:R889)</f>
        <v>29651.08</v>
      </c>
    </row>
    <row r="891" spans="1:27" ht="14.25" x14ac:dyDescent="0.2">
      <c r="A891" s="16"/>
      <c r="B891" s="17"/>
      <c r="C891" s="17" t="s">
        <v>1628</v>
      </c>
      <c r="D891" s="19" t="s">
        <v>1627</v>
      </c>
      <c r="E891" s="18">
        <f>Source!DO499</f>
        <v>77</v>
      </c>
      <c r="F891" s="21"/>
      <c r="G891" s="20"/>
      <c r="H891" s="18"/>
      <c r="I891" s="22">
        <f>SUM(S884:S890)</f>
        <v>975.5</v>
      </c>
      <c r="J891" s="18">
        <f>Source!CA499</f>
        <v>50</v>
      </c>
      <c r="K891" s="22">
        <f>SUM(T884:T890)</f>
        <v>16114.72</v>
      </c>
    </row>
    <row r="892" spans="1:27" ht="14.25" x14ac:dyDescent="0.2">
      <c r="A892" s="16"/>
      <c r="B892" s="17"/>
      <c r="C892" s="17" t="s">
        <v>1633</v>
      </c>
      <c r="D892" s="19" t="s">
        <v>1627</v>
      </c>
      <c r="E892" s="18">
        <f>175</f>
        <v>175</v>
      </c>
      <c r="F892" s="21"/>
      <c r="G892" s="20"/>
      <c r="H892" s="18"/>
      <c r="I892" s="22">
        <f>SUM(U884:U891)</f>
        <v>1.54</v>
      </c>
      <c r="J892" s="18">
        <f>157</f>
        <v>157</v>
      </c>
      <c r="K892" s="22">
        <f>SUM(V884:V891)</f>
        <v>35.15</v>
      </c>
    </row>
    <row r="893" spans="1:27" ht="14.25" x14ac:dyDescent="0.2">
      <c r="A893" s="16"/>
      <c r="B893" s="17"/>
      <c r="C893" s="17" t="s">
        <v>1629</v>
      </c>
      <c r="D893" s="19" t="s">
        <v>1630</v>
      </c>
      <c r="E893" s="18">
        <f>Source!AQ499</f>
        <v>281</v>
      </c>
      <c r="F893" s="21"/>
      <c r="G893" s="20" t="str">
        <f>Source!DI499</f>
        <v>)*1,15</v>
      </c>
      <c r="H893" s="18">
        <f>Source!AV499</f>
        <v>1</v>
      </c>
      <c r="I893" s="22">
        <f>Source!U499</f>
        <v>116.33399999999999</v>
      </c>
      <c r="J893" s="18"/>
      <c r="K893" s="22"/>
    </row>
    <row r="894" spans="1:27" ht="15" x14ac:dyDescent="0.25">
      <c r="A894" s="25"/>
      <c r="B894" s="25"/>
      <c r="C894" s="25"/>
      <c r="D894" s="25"/>
      <c r="E894" s="25"/>
      <c r="F894" s="25"/>
      <c r="G894" s="25"/>
      <c r="H894" s="54">
        <f>I886+I887+I890+I891+I892+SUM(I889:I889)</f>
        <v>25610.7</v>
      </c>
      <c r="I894" s="54"/>
      <c r="J894" s="54">
        <f>K886+K887+K890+K891+K892+SUM(K889:K889)</f>
        <v>218319.87</v>
      </c>
      <c r="K894" s="54"/>
      <c r="O894" s="24">
        <f>I886+I887+I890+I891+I892+SUM(I889:I889)</f>
        <v>25610.7</v>
      </c>
      <c r="P894" s="24">
        <f>K886+K887+K890+K891+K892+SUM(K889:K889)</f>
        <v>218319.87</v>
      </c>
      <c r="X894">
        <f>IF(Source!BI499&lt;=1,I886+I887+I890+I891+I892-0, 0)</f>
        <v>3489.15</v>
      </c>
      <c r="Y894">
        <f>IF(Source!BI499=2,I886+I887+I890+I891+I892-0, 0)</f>
        <v>0</v>
      </c>
      <c r="Z894">
        <f>IF(Source!BI499=3,I886+I887+I890+I891+I892-0, 0)</f>
        <v>0</v>
      </c>
      <c r="AA894">
        <f>IF(Source!BI499=4,I886+I887+I890+I891+I892,0)</f>
        <v>0</v>
      </c>
    </row>
    <row r="895" spans="1:27" ht="42.75" x14ac:dyDescent="0.2">
      <c r="A895" s="16" t="str">
        <f>Source!E501</f>
        <v>99</v>
      </c>
      <c r="B895" s="17" t="str">
        <f>Source!F501</f>
        <v>6.68-13-1</v>
      </c>
      <c r="C895" s="17" t="s">
        <v>316</v>
      </c>
      <c r="D895" s="19" t="str">
        <f>Source!H501</f>
        <v>1 Т</v>
      </c>
      <c r="E895" s="18">
        <f>Source!I501</f>
        <v>959</v>
      </c>
      <c r="F895" s="21"/>
      <c r="G895" s="20"/>
      <c r="H895" s="18"/>
      <c r="I895" s="22"/>
      <c r="J895" s="18"/>
      <c r="K895" s="22"/>
      <c r="Q895">
        <f>ROUND((Source!DN501/100)*ROUND((ROUND((Source!AF501*Source!AV501*Source!I501),2)),2), 2)</f>
        <v>0</v>
      </c>
      <c r="R895">
        <f>Source!X501</f>
        <v>0</v>
      </c>
      <c r="S895">
        <f>ROUND((Source!DO501/100)*ROUND((ROUND((Source!AF501*Source!AV501*Source!I501),2)),2), 2)</f>
        <v>0</v>
      </c>
      <c r="T895">
        <f>Source!Y501</f>
        <v>0</v>
      </c>
      <c r="U895">
        <f>ROUND((175/100)*ROUND((ROUND((Source!AE501*Source!AV501*Source!I501),2)),2), 2)</f>
        <v>2483.81</v>
      </c>
      <c r="V895">
        <f>ROUND((157/100)*ROUND(ROUND((ROUND((Source!AE501*Source!AV501*Source!I501),2)*Source!BS501),2), 2), 2)</f>
        <v>56688.78</v>
      </c>
    </row>
    <row r="896" spans="1:27" ht="14.25" x14ac:dyDescent="0.2">
      <c r="A896" s="16"/>
      <c r="B896" s="17"/>
      <c r="C896" s="17" t="s">
        <v>1631</v>
      </c>
      <c r="D896" s="19"/>
      <c r="E896" s="18"/>
      <c r="F896" s="21">
        <f>Source!AM501</f>
        <v>8.86</v>
      </c>
      <c r="G896" s="20" t="str">
        <f>Source!DE501</f>
        <v/>
      </c>
      <c r="H896" s="18">
        <f>Source!AV501</f>
        <v>1</v>
      </c>
      <c r="I896" s="22">
        <f>(ROUND((ROUND(((Source!ET501)*Source!AV501*Source!I501),2)),2)+ROUND((ROUND(((Source!AE501-(Source!EU501))*Source!AV501*Source!I501),2)),2))</f>
        <v>8496.74</v>
      </c>
      <c r="J896" s="18">
        <f>IF(Source!BB501&lt;&gt; 0, Source!BB501, 1)</f>
        <v>9.1199999999999992</v>
      </c>
      <c r="K896" s="22">
        <f>Source!Q501</f>
        <v>77490.27</v>
      </c>
    </row>
    <row r="897" spans="1:27" ht="14.25" x14ac:dyDescent="0.2">
      <c r="A897" s="16"/>
      <c r="B897" s="17"/>
      <c r="C897" s="17" t="s">
        <v>1632</v>
      </c>
      <c r="D897" s="19"/>
      <c r="E897" s="18"/>
      <c r="F897" s="21">
        <f>Source!AN501</f>
        <v>1.48</v>
      </c>
      <c r="G897" s="20" t="str">
        <f>Source!DF501</f>
        <v/>
      </c>
      <c r="H897" s="18">
        <f>Source!AV501</f>
        <v>1</v>
      </c>
      <c r="I897" s="26">
        <f>ROUND((ROUND((Source!AE501*Source!AV501*Source!I501),2)),2)</f>
        <v>1419.32</v>
      </c>
      <c r="J897" s="18">
        <f>IF(Source!BS501&lt;&gt; 0, Source!BS501, 1)</f>
        <v>25.44</v>
      </c>
      <c r="K897" s="26">
        <f>Source!R501</f>
        <v>36107.5</v>
      </c>
      <c r="W897">
        <f>I897</f>
        <v>1419.32</v>
      </c>
    </row>
    <row r="898" spans="1:27" ht="14.25" x14ac:dyDescent="0.2">
      <c r="A898" s="16"/>
      <c r="B898" s="17"/>
      <c r="C898" s="17" t="s">
        <v>1633</v>
      </c>
      <c r="D898" s="19" t="s">
        <v>1627</v>
      </c>
      <c r="E898" s="18">
        <f>175</f>
        <v>175</v>
      </c>
      <c r="F898" s="21"/>
      <c r="G898" s="20"/>
      <c r="H898" s="18"/>
      <c r="I898" s="22">
        <f>SUM(U895:U897)</f>
        <v>2483.81</v>
      </c>
      <c r="J898" s="18">
        <f>157</f>
        <v>157</v>
      </c>
      <c r="K898" s="22">
        <f>SUM(V895:V897)</f>
        <v>56688.78</v>
      </c>
    </row>
    <row r="899" spans="1:27" ht="15" x14ac:dyDescent="0.25">
      <c r="A899" s="25"/>
      <c r="B899" s="25"/>
      <c r="C899" s="25"/>
      <c r="D899" s="25"/>
      <c r="E899" s="25"/>
      <c r="F899" s="25"/>
      <c r="G899" s="25"/>
      <c r="H899" s="54">
        <f>I896+I898</f>
        <v>10980.55</v>
      </c>
      <c r="I899" s="54"/>
      <c r="J899" s="54">
        <f>K896+K898</f>
        <v>134179.04999999999</v>
      </c>
      <c r="K899" s="54"/>
      <c r="O899" s="24">
        <f>I896+I898</f>
        <v>10980.55</v>
      </c>
      <c r="P899" s="24">
        <f>K896+K898</f>
        <v>134179.04999999999</v>
      </c>
      <c r="X899">
        <f>IF(Source!BI501&lt;=1,I896+I898-0, 0)</f>
        <v>10980.55</v>
      </c>
      <c r="Y899">
        <f>IF(Source!BI501=2,I896+I898-0, 0)</f>
        <v>0</v>
      </c>
      <c r="Z899">
        <f>IF(Source!BI501=3,I896+I898-0, 0)</f>
        <v>0</v>
      </c>
      <c r="AA899">
        <f>IF(Source!BI501=4,I896+I898,0)</f>
        <v>0</v>
      </c>
    </row>
    <row r="900" spans="1:27" ht="71.25" x14ac:dyDescent="0.2">
      <c r="A900" s="16" t="str">
        <f>Source!E502</f>
        <v>100</v>
      </c>
      <c r="B900" s="17" t="str">
        <f>Source!F502</f>
        <v>15.2-43-10</v>
      </c>
      <c r="C900" s="17" t="s">
        <v>688</v>
      </c>
      <c r="D900" s="19" t="str">
        <f>Source!H502</f>
        <v>т</v>
      </c>
      <c r="E900" s="18">
        <f>Source!I502</f>
        <v>959</v>
      </c>
      <c r="F900" s="21"/>
      <c r="G900" s="20"/>
      <c r="H900" s="18"/>
      <c r="I900" s="22"/>
      <c r="J900" s="18"/>
      <c r="K900" s="22"/>
      <c r="Q900">
        <f>ROUND((Source!DN502/100)*ROUND((ROUND((Source!AF502*Source!AV502*Source!I502),2)),2), 2)</f>
        <v>0</v>
      </c>
      <c r="R900">
        <f>Source!X502</f>
        <v>0</v>
      </c>
      <c r="S900">
        <f>ROUND((Source!DO502/100)*ROUND((ROUND((Source!AF502*Source!AV502*Source!I502),2)),2), 2)</f>
        <v>0</v>
      </c>
      <c r="T900">
        <f>Source!Y502</f>
        <v>0</v>
      </c>
      <c r="U900">
        <f>ROUND((175/100)*ROUND((ROUND((Source!AE502*Source!AV502*Source!I502),2)),2), 2)</f>
        <v>0</v>
      </c>
      <c r="V900">
        <f>ROUND((157/100)*ROUND(ROUND((ROUND((Source!AE502*Source!AV502*Source!I502),2)*Source!BS502),2), 2), 2)</f>
        <v>0</v>
      </c>
    </row>
    <row r="901" spans="1:27" ht="14.25" x14ac:dyDescent="0.2">
      <c r="A901" s="16"/>
      <c r="B901" s="17"/>
      <c r="C901" s="17" t="s">
        <v>1631</v>
      </c>
      <c r="D901" s="19"/>
      <c r="E901" s="18"/>
      <c r="F901" s="21">
        <f>Source!AM502</f>
        <v>38.92</v>
      </c>
      <c r="G901" s="20" t="str">
        <f>Source!DE502</f>
        <v/>
      </c>
      <c r="H901" s="18">
        <f>Source!AV502</f>
        <v>1</v>
      </c>
      <c r="I901" s="22">
        <f>(ROUND((ROUND(((Source!ET502)*Source!AV502*Source!I502),2)),2)+ROUND((ROUND(((Source!AE502-(Source!EU502))*Source!AV502*Source!I502),2)),2))</f>
        <v>37324.28</v>
      </c>
      <c r="J901" s="18">
        <f>IF(Source!BB502&lt;&gt; 0, Source!BB502, 1)</f>
        <v>11.64</v>
      </c>
      <c r="K901" s="22">
        <f>Source!Q502</f>
        <v>434454.62</v>
      </c>
    </row>
    <row r="902" spans="1:27" ht="15" x14ac:dyDescent="0.25">
      <c r="A902" s="25"/>
      <c r="B902" s="25"/>
      <c r="C902" s="25"/>
      <c r="D902" s="25"/>
      <c r="E902" s="25"/>
      <c r="F902" s="25"/>
      <c r="G902" s="25"/>
      <c r="H902" s="54">
        <f>I901</f>
        <v>37324.28</v>
      </c>
      <c r="I902" s="54"/>
      <c r="J902" s="54">
        <f>K901</f>
        <v>434454.62</v>
      </c>
      <c r="K902" s="54"/>
      <c r="O902" s="24">
        <f>I901</f>
        <v>37324.28</v>
      </c>
      <c r="P902" s="24">
        <f>K901</f>
        <v>434454.62</v>
      </c>
      <c r="X902">
        <f>IF(Source!BI502&lt;=1,I901-0, 0)</f>
        <v>0</v>
      </c>
      <c r="Y902">
        <f>IF(Source!BI502=2,I901-0, 0)</f>
        <v>0</v>
      </c>
      <c r="Z902">
        <f>IF(Source!BI502=3,I901-0, 0)</f>
        <v>0</v>
      </c>
      <c r="AA902">
        <f>IF(Source!BI502=4,I901,0)</f>
        <v>37324.28</v>
      </c>
    </row>
    <row r="903" spans="1:27" ht="71.25" x14ac:dyDescent="0.2">
      <c r="A903" s="16" t="str">
        <f>Source!E503</f>
        <v>101</v>
      </c>
      <c r="B903" s="17" t="str">
        <f>Source!F503</f>
        <v>15.2-46-1</v>
      </c>
      <c r="C903" s="17" t="s">
        <v>690</v>
      </c>
      <c r="D903" s="19" t="str">
        <f>Source!H503</f>
        <v>т</v>
      </c>
      <c r="E903" s="18">
        <f>Source!I503</f>
        <v>274</v>
      </c>
      <c r="F903" s="21"/>
      <c r="G903" s="20"/>
      <c r="H903" s="18"/>
      <c r="I903" s="22"/>
      <c r="J903" s="18"/>
      <c r="K903" s="22"/>
      <c r="Q903">
        <f>ROUND((Source!DN503/100)*ROUND((ROUND((Source!AF503*Source!AV503*Source!I503),2)),2), 2)</f>
        <v>0</v>
      </c>
      <c r="R903">
        <f>Source!X503</f>
        <v>0</v>
      </c>
      <c r="S903">
        <f>ROUND((Source!DO503/100)*ROUND((ROUND((Source!AF503*Source!AV503*Source!I503),2)),2), 2)</f>
        <v>0</v>
      </c>
      <c r="T903">
        <f>Source!Y503</f>
        <v>0</v>
      </c>
      <c r="U903">
        <f>ROUND((175/100)*ROUND((ROUND((Source!AE503*Source!AV503*Source!I503),2)),2), 2)</f>
        <v>0</v>
      </c>
      <c r="V903">
        <f>ROUND((157/100)*ROUND(ROUND((ROUND((Source!AE503*Source!AV503*Source!I503),2)*Source!BS503),2), 2), 2)</f>
        <v>0</v>
      </c>
    </row>
    <row r="904" spans="1:27" ht="14.25" x14ac:dyDescent="0.2">
      <c r="A904" s="16"/>
      <c r="B904" s="17"/>
      <c r="C904" s="17" t="s">
        <v>1631</v>
      </c>
      <c r="D904" s="19"/>
      <c r="E904" s="18"/>
      <c r="F904" s="21">
        <f>Source!AM503</f>
        <v>46</v>
      </c>
      <c r="G904" s="20" t="str">
        <f>Source!DE503</f>
        <v/>
      </c>
      <c r="H904" s="18">
        <f>Source!AV503</f>
        <v>1</v>
      </c>
      <c r="I904" s="22">
        <f>(ROUND((ROUND(((Source!ET503)*Source!AV503*Source!I503),2)),2)+ROUND((ROUND(((Source!AE503-(Source!EU503))*Source!AV503*Source!I503),2)),2))</f>
        <v>12604</v>
      </c>
      <c r="J904" s="18">
        <f>IF(Source!BB503&lt;&gt; 0, Source!BB503, 1)</f>
        <v>12.21</v>
      </c>
      <c r="K904" s="22">
        <f>Source!Q503</f>
        <v>153894.84</v>
      </c>
    </row>
    <row r="905" spans="1:27" ht="15" x14ac:dyDescent="0.25">
      <c r="A905" s="25"/>
      <c r="B905" s="25"/>
      <c r="C905" s="25"/>
      <c r="D905" s="25"/>
      <c r="E905" s="25"/>
      <c r="F905" s="25"/>
      <c r="G905" s="25"/>
      <c r="H905" s="54">
        <f>I904</f>
        <v>12604</v>
      </c>
      <c r="I905" s="54"/>
      <c r="J905" s="54">
        <f>K904</f>
        <v>153894.84</v>
      </c>
      <c r="K905" s="54"/>
      <c r="O905" s="24">
        <f>I904</f>
        <v>12604</v>
      </c>
      <c r="P905" s="24">
        <f>K904</f>
        <v>153894.84</v>
      </c>
      <c r="X905">
        <f>IF(Source!BI503&lt;=1,I904-0, 0)</f>
        <v>0</v>
      </c>
      <c r="Y905">
        <f>IF(Source!BI503=2,I904-0, 0)</f>
        <v>0</v>
      </c>
      <c r="Z905">
        <f>IF(Source!BI503=3,I904-0, 0)</f>
        <v>0</v>
      </c>
      <c r="AA905">
        <f>IF(Source!BI503=4,I904,0)</f>
        <v>12604</v>
      </c>
    </row>
    <row r="906" spans="1:27" ht="42.75" x14ac:dyDescent="0.2">
      <c r="A906" s="16" t="str">
        <f>Source!E504</f>
        <v>102</v>
      </c>
      <c r="B906" s="17" t="str">
        <f>Source!F504</f>
        <v>15.1-1102-01</v>
      </c>
      <c r="C906" s="17" t="s">
        <v>211</v>
      </c>
      <c r="D906" s="19" t="str">
        <f>Source!H504</f>
        <v>1 Т</v>
      </c>
      <c r="E906" s="18">
        <f>Source!I504</f>
        <v>274</v>
      </c>
      <c r="F906" s="21"/>
      <c r="G906" s="20"/>
      <c r="H906" s="18"/>
      <c r="I906" s="22"/>
      <c r="J906" s="18"/>
      <c r="K906" s="22"/>
      <c r="Q906">
        <f>ROUND((Source!DN504/100)*ROUND((ROUND((Source!AF504*Source!AV504*Source!I504),2)),2), 2)</f>
        <v>0</v>
      </c>
      <c r="R906">
        <f>Source!X504</f>
        <v>0</v>
      </c>
      <c r="S906">
        <f>ROUND((Source!DO504/100)*ROUND((ROUND((Source!AF504*Source!AV504*Source!I504),2)),2), 2)</f>
        <v>0</v>
      </c>
      <c r="T906">
        <f>Source!Y504</f>
        <v>0</v>
      </c>
      <c r="U906">
        <f>ROUND((175/100)*ROUND((ROUND((Source!AE504*Source!AV504*Source!I504),2)),2), 2)</f>
        <v>0</v>
      </c>
      <c r="V906">
        <f>ROUND((157/100)*ROUND(ROUND((ROUND((Source!AE504*Source!AV504*Source!I504),2)*Source!BS504),2), 2), 2)</f>
        <v>0</v>
      </c>
    </row>
    <row r="907" spans="1:27" ht="14.25" x14ac:dyDescent="0.2">
      <c r="A907" s="16"/>
      <c r="B907" s="17"/>
      <c r="C907" s="17" t="s">
        <v>1631</v>
      </c>
      <c r="D907" s="19"/>
      <c r="E907" s="18"/>
      <c r="F907" s="21">
        <f>Source!AM504</f>
        <v>12.61</v>
      </c>
      <c r="G907" s="20" t="str">
        <f>Source!DE504</f>
        <v/>
      </c>
      <c r="H907" s="18">
        <f>Source!AV504</f>
        <v>1</v>
      </c>
      <c r="I907" s="22">
        <f>(ROUND((ROUND(((Source!ET504)*Source!AV504*Source!I504),2)),2)+ROUND((ROUND(((Source!AE504-(Source!EU504))*Source!AV504*Source!I504),2)),2))</f>
        <v>3455.14</v>
      </c>
      <c r="J907" s="18">
        <f>IF(Source!BB504&lt;&gt; 0, Source!BB504, 1)</f>
        <v>7.63</v>
      </c>
      <c r="K907" s="22">
        <f>Source!Q504</f>
        <v>26362.720000000001</v>
      </c>
    </row>
    <row r="908" spans="1:27" ht="15" x14ac:dyDescent="0.25">
      <c r="A908" s="25"/>
      <c r="B908" s="25"/>
      <c r="C908" s="25"/>
      <c r="D908" s="25"/>
      <c r="E908" s="25"/>
      <c r="F908" s="25"/>
      <c r="G908" s="25"/>
      <c r="H908" s="54">
        <f>I907</f>
        <v>3455.14</v>
      </c>
      <c r="I908" s="54"/>
      <c r="J908" s="54">
        <f>K907</f>
        <v>26362.720000000001</v>
      </c>
      <c r="K908" s="54"/>
      <c r="O908" s="24">
        <f>I907</f>
        <v>3455.14</v>
      </c>
      <c r="P908" s="24">
        <f>K907</f>
        <v>26362.720000000001</v>
      </c>
      <c r="X908">
        <f>IF(Source!BI504&lt;=1,I907-0, 0)</f>
        <v>0</v>
      </c>
      <c r="Y908">
        <f>IF(Source!BI504=2,I907-0, 0)</f>
        <v>0</v>
      </c>
      <c r="Z908">
        <f>IF(Source!BI504=3,I907-0, 0)</f>
        <v>0</v>
      </c>
      <c r="AA908">
        <f>IF(Source!BI504=4,I907,0)</f>
        <v>3455.14</v>
      </c>
    </row>
    <row r="909" spans="1:27" ht="42.75" x14ac:dyDescent="0.2">
      <c r="A909" s="16" t="str">
        <f>Source!E505</f>
        <v>103</v>
      </c>
      <c r="B909" s="17" t="str">
        <f>Source!F505</f>
        <v>15.1-1106-02</v>
      </c>
      <c r="C909" s="17" t="s">
        <v>693</v>
      </c>
      <c r="D909" s="19" t="str">
        <f>Source!H505</f>
        <v>1 Т</v>
      </c>
      <c r="E909" s="18">
        <f>Source!I505</f>
        <v>959.44</v>
      </c>
      <c r="F909" s="21"/>
      <c r="G909" s="20"/>
      <c r="H909" s="18"/>
      <c r="I909" s="22"/>
      <c r="J909" s="18"/>
      <c r="K909" s="22"/>
      <c r="Q909">
        <f>ROUND((Source!DN505/100)*ROUND((ROUND((Source!AF505*Source!AV505*Source!I505),2)),2), 2)</f>
        <v>0</v>
      </c>
      <c r="R909">
        <f>Source!X505</f>
        <v>0</v>
      </c>
      <c r="S909">
        <f>ROUND((Source!DO505/100)*ROUND((ROUND((Source!AF505*Source!AV505*Source!I505),2)),2), 2)</f>
        <v>0</v>
      </c>
      <c r="T909">
        <f>Source!Y505</f>
        <v>0</v>
      </c>
      <c r="U909">
        <f>ROUND((175/100)*ROUND((ROUND((Source!AE505*Source!AV505*Source!I505),2)),2), 2)</f>
        <v>0</v>
      </c>
      <c r="V909">
        <f>ROUND((157/100)*ROUND(ROUND((ROUND((Source!AE505*Source!AV505*Source!I505),2)*Source!BS505),2), 2), 2)</f>
        <v>0</v>
      </c>
    </row>
    <row r="910" spans="1:27" ht="14.25" x14ac:dyDescent="0.2">
      <c r="A910" s="16"/>
      <c r="B910" s="17"/>
      <c r="C910" s="17" t="s">
        <v>1631</v>
      </c>
      <c r="D910" s="19"/>
      <c r="E910" s="18"/>
      <c r="F910" s="21">
        <f>Source!AM505</f>
        <v>17.84</v>
      </c>
      <c r="G910" s="20" t="str">
        <f>Source!DE505</f>
        <v/>
      </c>
      <c r="H910" s="18">
        <f>Source!AV505</f>
        <v>1</v>
      </c>
      <c r="I910" s="22">
        <f>(ROUND((ROUND(((Source!ET505)*Source!AV505*Source!I505),2)),2)+ROUND((ROUND(((Source!AE505-(Source!EU505))*Source!AV505*Source!I505),2)),2))</f>
        <v>17116.41</v>
      </c>
      <c r="J910" s="18">
        <f>IF(Source!BB505&lt;&gt; 0, Source!BB505, 1)</f>
        <v>7.63</v>
      </c>
      <c r="K910" s="22">
        <f>Source!Q505</f>
        <v>130598.21</v>
      </c>
    </row>
    <row r="911" spans="1:27" ht="15" x14ac:dyDescent="0.25">
      <c r="A911" s="25"/>
      <c r="B911" s="25"/>
      <c r="C911" s="25"/>
      <c r="D911" s="25"/>
      <c r="E911" s="25"/>
      <c r="F911" s="25"/>
      <c r="G911" s="25"/>
      <c r="H911" s="54">
        <f>I910</f>
        <v>17116.41</v>
      </c>
      <c r="I911" s="54"/>
      <c r="J911" s="54">
        <f>K910</f>
        <v>130598.21</v>
      </c>
      <c r="K911" s="54"/>
      <c r="O911" s="24">
        <f>I910</f>
        <v>17116.41</v>
      </c>
      <c r="P911" s="24">
        <f>K910</f>
        <v>130598.21</v>
      </c>
      <c r="X911">
        <f>IF(Source!BI505&lt;=1,I910-0, 0)</f>
        <v>0</v>
      </c>
      <c r="Y911">
        <f>IF(Source!BI505=2,I910-0, 0)</f>
        <v>0</v>
      </c>
      <c r="Z911">
        <f>IF(Source!BI505=3,I910-0, 0)</f>
        <v>0</v>
      </c>
      <c r="AA911">
        <f>IF(Source!BI505=4,I910,0)</f>
        <v>17116.41</v>
      </c>
    </row>
    <row r="913" spans="1:38" ht="30" x14ac:dyDescent="0.25">
      <c r="A913" s="53" t="str">
        <f>CONCATENATE("Итого по разделу: ",IF(Source!G507&lt;&gt;"Новый раздел", Source!G507, ""))</f>
        <v>Итого по разделу: Ремонт водоема с обустройством и корректировкой береговой полосы</v>
      </c>
      <c r="B913" s="53"/>
      <c r="C913" s="53"/>
      <c r="D913" s="53"/>
      <c r="E913" s="53"/>
      <c r="F913" s="53"/>
      <c r="G913" s="53"/>
      <c r="H913" s="51">
        <f>SUM(O775:O912)</f>
        <v>419660.98000000004</v>
      </c>
      <c r="I913" s="52"/>
      <c r="J913" s="51">
        <f>SUM(P775:P912)</f>
        <v>4836895.3999999994</v>
      </c>
      <c r="K913" s="52"/>
      <c r="AL913" s="30" t="str">
        <f>CONCATENATE("Итого по разделу: ",IF(Source!G507&lt;&gt;"Новый раздел", Source!G507, ""))</f>
        <v>Итого по разделу: Ремонт водоема с обустройством и корректировкой береговой полосы</v>
      </c>
    </row>
    <row r="914" spans="1:38" hidden="1" x14ac:dyDescent="0.2">
      <c r="A914" t="s">
        <v>1641</v>
      </c>
      <c r="H914">
        <f>SUM(AC775:AC913)</f>
        <v>0</v>
      </c>
      <c r="J914">
        <f>SUM(AD775:AD913)</f>
        <v>0</v>
      </c>
    </row>
    <row r="915" spans="1:38" hidden="1" x14ac:dyDescent="0.2">
      <c r="A915" t="s">
        <v>1642</v>
      </c>
      <c r="H915">
        <f>SUM(AE775:AE914)</f>
        <v>0</v>
      </c>
      <c r="J915">
        <f>SUM(AF775:AF914)</f>
        <v>0</v>
      </c>
    </row>
    <row r="917" spans="1:38" ht="16.5" x14ac:dyDescent="0.25">
      <c r="A917" s="56" t="str">
        <f>CONCATENATE("Раздел: ",IF(Source!G537&lt;&gt;"Новый раздел", Source!G537, ""))</f>
        <v>Раздел: Водный каскад (с ремонтом свода)</v>
      </c>
      <c r="B917" s="56"/>
      <c r="C917" s="56"/>
      <c r="D917" s="56"/>
      <c r="E917" s="56"/>
      <c r="F917" s="56"/>
      <c r="G917" s="56"/>
      <c r="H917" s="56"/>
      <c r="I917" s="56"/>
      <c r="J917" s="56"/>
      <c r="K917" s="56"/>
    </row>
    <row r="918" spans="1:38" ht="42.75" x14ac:dyDescent="0.2">
      <c r="A918" s="16" t="str">
        <f>Source!E541</f>
        <v>104</v>
      </c>
      <c r="B918" s="17" t="str">
        <f>Source!F541</f>
        <v>6.53-2-3</v>
      </c>
      <c r="C918" s="17" t="s">
        <v>696</v>
      </c>
      <c r="D918" s="19" t="str">
        <f>Source!H541</f>
        <v>10 м3 кладки</v>
      </c>
      <c r="E918" s="18">
        <f>Source!I541</f>
        <v>3.375</v>
      </c>
      <c r="F918" s="21"/>
      <c r="G918" s="20"/>
      <c r="H918" s="18"/>
      <c r="I918" s="22"/>
      <c r="J918" s="18"/>
      <c r="K918" s="22"/>
      <c r="Q918">
        <f>ROUND((Source!DN541/100)*ROUND((ROUND((Source!AF541*Source!AV541*Source!I541),2)),2), 2)</f>
        <v>1666.45</v>
      </c>
      <c r="R918">
        <f>Source!X541</f>
        <v>36035.269999999997</v>
      </c>
      <c r="S918">
        <f>ROUND((Source!DO541/100)*ROUND((ROUND((Source!AF541*Source!AV541*Source!I541),2)),2), 2)</f>
        <v>1145.68</v>
      </c>
      <c r="T918">
        <f>Source!Y541</f>
        <v>21727.15</v>
      </c>
      <c r="U918">
        <f>ROUND((175/100)*ROUND((ROUND((Source!AE541*Source!AV541*Source!I541),2)),2), 2)</f>
        <v>858.78</v>
      </c>
      <c r="V918">
        <f>ROUND((157/100)*ROUND(ROUND((ROUND((Source!AE541*Source!AV541*Source!I541),2)*Source!BS541),2), 2), 2)</f>
        <v>19600.150000000001</v>
      </c>
    </row>
    <row r="919" spans="1:38" x14ac:dyDescent="0.2">
      <c r="C919" s="23" t="str">
        <f>"Объем: "&amp;Source!I541&amp;"=33,75/"&amp;"10"</f>
        <v>Объем: 3,375=33,75/10</v>
      </c>
    </row>
    <row r="920" spans="1:38" ht="14.25" x14ac:dyDescent="0.2">
      <c r="A920" s="16"/>
      <c r="B920" s="17"/>
      <c r="C920" s="17" t="s">
        <v>1625</v>
      </c>
      <c r="D920" s="19"/>
      <c r="E920" s="18"/>
      <c r="F920" s="21">
        <f>Source!AO541</f>
        <v>1870.31</v>
      </c>
      <c r="G920" s="20" t="str">
        <f>Source!DG541</f>
        <v>*0,33</v>
      </c>
      <c r="H920" s="18">
        <f>Source!AV541</f>
        <v>1</v>
      </c>
      <c r="I920" s="22">
        <f>ROUND((ROUND((Source!AF541*Source!AV541*Source!I541),2)),2)</f>
        <v>2083.06</v>
      </c>
      <c r="J920" s="18">
        <f>IF(Source!BA541&lt;&gt; 0, Source!BA541, 1)</f>
        <v>25.44</v>
      </c>
      <c r="K920" s="22">
        <f>Source!S541</f>
        <v>52993.05</v>
      </c>
      <c r="W920">
        <f>I920</f>
        <v>2083.06</v>
      </c>
    </row>
    <row r="921" spans="1:38" ht="14.25" x14ac:dyDescent="0.2">
      <c r="A921" s="16"/>
      <c r="B921" s="17"/>
      <c r="C921" s="17" t="s">
        <v>1631</v>
      </c>
      <c r="D921" s="19"/>
      <c r="E921" s="18"/>
      <c r="F921" s="21">
        <f>Source!AM541</f>
        <v>511.64</v>
      </c>
      <c r="G921" s="20" t="str">
        <f>Source!DE541</f>
        <v/>
      </c>
      <c r="H921" s="18">
        <f>Source!AV541</f>
        <v>1</v>
      </c>
      <c r="I921" s="22">
        <f>(ROUND((ROUND(((Source!ET541)*Source!AV541*Source!I541),2)),2)+ROUND((ROUND(((Source!AE541-(Source!EU541))*Source!AV541*Source!I541),2)),2))</f>
        <v>1726.79</v>
      </c>
      <c r="J921" s="18">
        <f>IF(Source!BB541&lt;&gt; 0, Source!BB541, 1)</f>
        <v>10.98</v>
      </c>
      <c r="K921" s="22">
        <f>Source!Q541</f>
        <v>18960.150000000001</v>
      </c>
    </row>
    <row r="922" spans="1:38" ht="14.25" x14ac:dyDescent="0.2">
      <c r="A922" s="16"/>
      <c r="B922" s="17"/>
      <c r="C922" s="17" t="s">
        <v>1632</v>
      </c>
      <c r="D922" s="19"/>
      <c r="E922" s="18"/>
      <c r="F922" s="21">
        <f>Source!AN541</f>
        <v>145.4</v>
      </c>
      <c r="G922" s="20" t="str">
        <f>Source!DF541</f>
        <v/>
      </c>
      <c r="H922" s="18">
        <f>Source!AV541</f>
        <v>1</v>
      </c>
      <c r="I922" s="26">
        <f>ROUND((ROUND((Source!AE541*Source!AV541*Source!I541),2)),2)</f>
        <v>490.73</v>
      </c>
      <c r="J922" s="18">
        <f>IF(Source!BS541&lt;&gt; 0, Source!BS541, 1)</f>
        <v>25.44</v>
      </c>
      <c r="K922" s="26">
        <f>Source!R541</f>
        <v>12484.17</v>
      </c>
      <c r="W922">
        <f>I922</f>
        <v>490.73</v>
      </c>
    </row>
    <row r="923" spans="1:38" ht="14.25" x14ac:dyDescent="0.2">
      <c r="A923" s="16"/>
      <c r="B923" s="17"/>
      <c r="C923" s="17" t="s">
        <v>1626</v>
      </c>
      <c r="D923" s="19" t="s">
        <v>1627</v>
      </c>
      <c r="E923" s="18">
        <f>Source!DN541</f>
        <v>80</v>
      </c>
      <c r="F923" s="21"/>
      <c r="G923" s="20"/>
      <c r="H923" s="18"/>
      <c r="I923" s="22">
        <f>SUM(Q918:Q922)</f>
        <v>1666.45</v>
      </c>
      <c r="J923" s="18">
        <f>Source!BZ541</f>
        <v>68</v>
      </c>
      <c r="K923" s="22">
        <f>SUM(R918:R922)</f>
        <v>36035.269999999997</v>
      </c>
    </row>
    <row r="924" spans="1:38" ht="14.25" x14ac:dyDescent="0.2">
      <c r="A924" s="16"/>
      <c r="B924" s="17"/>
      <c r="C924" s="17" t="s">
        <v>1628</v>
      </c>
      <c r="D924" s="19" t="s">
        <v>1627</v>
      </c>
      <c r="E924" s="18">
        <f>Source!DO541</f>
        <v>55</v>
      </c>
      <c r="F924" s="21"/>
      <c r="G924" s="20"/>
      <c r="H924" s="18"/>
      <c r="I924" s="22">
        <f>SUM(S918:S923)</f>
        <v>1145.68</v>
      </c>
      <c r="J924" s="18">
        <f>Source!CA541</f>
        <v>41</v>
      </c>
      <c r="K924" s="22">
        <f>SUM(T918:T923)</f>
        <v>21727.15</v>
      </c>
    </row>
    <row r="925" spans="1:38" ht="14.25" x14ac:dyDescent="0.2">
      <c r="A925" s="16"/>
      <c r="B925" s="17"/>
      <c r="C925" s="17" t="s">
        <v>1633</v>
      </c>
      <c r="D925" s="19" t="s">
        <v>1627</v>
      </c>
      <c r="E925" s="18">
        <f>175</f>
        <v>175</v>
      </c>
      <c r="F925" s="21"/>
      <c r="G925" s="20"/>
      <c r="H925" s="18"/>
      <c r="I925" s="22">
        <f>SUM(U918:U924)</f>
        <v>858.78</v>
      </c>
      <c r="J925" s="18">
        <f>157</f>
        <v>157</v>
      </c>
      <c r="K925" s="22">
        <f>SUM(V918:V924)</f>
        <v>19600.150000000001</v>
      </c>
    </row>
    <row r="926" spans="1:38" ht="14.25" x14ac:dyDescent="0.2">
      <c r="A926" s="16"/>
      <c r="B926" s="17"/>
      <c r="C926" s="17" t="s">
        <v>1629</v>
      </c>
      <c r="D926" s="19" t="s">
        <v>1630</v>
      </c>
      <c r="E926" s="18">
        <f>Source!AQ541</f>
        <v>188.73</v>
      </c>
      <c r="F926" s="21"/>
      <c r="G926" s="20" t="str">
        <f>Source!DI541</f>
        <v>*0,33</v>
      </c>
      <c r="H926" s="18">
        <f>Source!AV541</f>
        <v>1</v>
      </c>
      <c r="I926" s="22">
        <f>Source!U541</f>
        <v>210.1980375</v>
      </c>
      <c r="J926" s="18"/>
      <c r="K926" s="22"/>
    </row>
    <row r="927" spans="1:38" ht="15" x14ac:dyDescent="0.25">
      <c r="A927" s="25"/>
      <c r="B927" s="25"/>
      <c r="C927" s="25"/>
      <c r="D927" s="25"/>
      <c r="E927" s="25"/>
      <c r="F927" s="25"/>
      <c r="G927" s="25"/>
      <c r="H927" s="54">
        <f>I920+I921+I923+I924+I925</f>
        <v>7480.76</v>
      </c>
      <c r="I927" s="54"/>
      <c r="J927" s="54">
        <f>K920+K921+K923+K924+K925</f>
        <v>149315.76999999999</v>
      </c>
      <c r="K927" s="54"/>
      <c r="O927" s="24">
        <f>I920+I921+I923+I924+I925</f>
        <v>7480.76</v>
      </c>
      <c r="P927" s="24">
        <f>K920+K921+K923+K924+K925</f>
        <v>149315.76999999999</v>
      </c>
      <c r="X927">
        <f>IF(Source!BI541&lt;=1,I920+I921+I923+I924+I925-0, 0)</f>
        <v>7480.76</v>
      </c>
      <c r="Y927">
        <f>IF(Source!BI541=2,I920+I921+I923+I924+I925-0, 0)</f>
        <v>0</v>
      </c>
      <c r="Z927">
        <f>IF(Source!BI541=3,I920+I921+I923+I924+I925-0, 0)</f>
        <v>0</v>
      </c>
      <c r="AA927">
        <f>IF(Source!BI541=4,I920+I921+I923+I924+I925,0)</f>
        <v>0</v>
      </c>
    </row>
    <row r="928" spans="1:38" ht="57" x14ac:dyDescent="0.2">
      <c r="A928" s="16" t="str">
        <f>Source!E542</f>
        <v>105</v>
      </c>
      <c r="B928" s="17" t="str">
        <f>Source!F542</f>
        <v>3.8-17-1</v>
      </c>
      <c r="C928" s="17" t="s">
        <v>699</v>
      </c>
      <c r="D928" s="19" t="str">
        <f>Source!H542</f>
        <v>1 м3 кладки блоков</v>
      </c>
      <c r="E928" s="18">
        <f>Source!I542</f>
        <v>33.75</v>
      </c>
      <c r="F928" s="21"/>
      <c r="G928" s="20"/>
      <c r="H928" s="18"/>
      <c r="I928" s="22"/>
      <c r="J928" s="18"/>
      <c r="K928" s="22"/>
      <c r="Q928">
        <f>ROUND((Source!DN542/100)*ROUND((ROUND((Source!AF542*Source!AV542*Source!I542),2)),2), 2)</f>
        <v>1607.39</v>
      </c>
      <c r="R928">
        <f>Source!X542</f>
        <v>32803.43</v>
      </c>
      <c r="S928">
        <f>ROUND((Source!DO542/100)*ROUND((ROUND((Source!AF542*Source!AV542*Source!I542),2)),2), 2)</f>
        <v>1236.45</v>
      </c>
      <c r="T928">
        <f>Source!Y542</f>
        <v>18423.84</v>
      </c>
      <c r="U928">
        <f>ROUND((175/100)*ROUND((ROUND((Source!AE542*Source!AV542*Source!I542),2)),2), 2)</f>
        <v>0</v>
      </c>
      <c r="V928">
        <f>ROUND((157/100)*ROUND(ROUND((ROUND((Source!AE542*Source!AV542*Source!I542),2)*Source!BS542),2), 2), 2)</f>
        <v>0</v>
      </c>
    </row>
    <row r="929" spans="1:27" ht="14.25" x14ac:dyDescent="0.2">
      <c r="A929" s="16"/>
      <c r="B929" s="17"/>
      <c r="C929" s="17" t="s">
        <v>1625</v>
      </c>
      <c r="D929" s="19"/>
      <c r="E929" s="18"/>
      <c r="F929" s="21">
        <f>Source!AO542</f>
        <v>45.51</v>
      </c>
      <c r="G929" s="20" t="str">
        <f>Source!DG542</f>
        <v>)*1,15</v>
      </c>
      <c r="H929" s="18">
        <f>Source!AV542</f>
        <v>1</v>
      </c>
      <c r="I929" s="22">
        <f>ROUND((ROUND((Source!AF542*Source!AV542*Source!I542),2)),2)</f>
        <v>1766.36</v>
      </c>
      <c r="J929" s="18">
        <f>IF(Source!BA542&lt;&gt; 0, Source!BA542, 1)</f>
        <v>25.44</v>
      </c>
      <c r="K929" s="22">
        <f>Source!S542</f>
        <v>44936.2</v>
      </c>
      <c r="W929">
        <f>I929</f>
        <v>1766.36</v>
      </c>
    </row>
    <row r="930" spans="1:27" ht="14.25" x14ac:dyDescent="0.2">
      <c r="A930" s="16"/>
      <c r="B930" s="17"/>
      <c r="C930" s="17" t="s">
        <v>1634</v>
      </c>
      <c r="D930" s="19"/>
      <c r="E930" s="18"/>
      <c r="F930" s="21">
        <f>Source!AL542</f>
        <v>8.1300000000000008</v>
      </c>
      <c r="G930" s="20" t="str">
        <f>Source!DD542</f>
        <v/>
      </c>
      <c r="H930" s="18">
        <f>Source!AW542</f>
        <v>1</v>
      </c>
      <c r="I930" s="22">
        <f>ROUND((ROUND((Source!AC542*Source!AW542*Source!I542),2)),2)</f>
        <v>274.39</v>
      </c>
      <c r="J930" s="18">
        <f>IF(Source!BC542&lt;&gt; 0, Source!BC542, 1)</f>
        <v>6.6</v>
      </c>
      <c r="K930" s="22">
        <f>Source!P542</f>
        <v>1810.97</v>
      </c>
    </row>
    <row r="931" spans="1:27" ht="54" x14ac:dyDescent="0.2">
      <c r="A931" s="16" t="str">
        <f>Source!E543</f>
        <v>105,1</v>
      </c>
      <c r="B931" s="17" t="str">
        <f>Source!F543</f>
        <v>Цена поставщика</v>
      </c>
      <c r="C931" s="17" t="s">
        <v>1662</v>
      </c>
      <c r="D931" s="19" t="str">
        <f>Source!H543</f>
        <v>м3</v>
      </c>
      <c r="E931" s="18">
        <f>Source!I543</f>
        <v>33.75</v>
      </c>
      <c r="F931" s="21">
        <f>Source!AK543</f>
        <v>1340.7</v>
      </c>
      <c r="G931" s="27" t="s">
        <v>3</v>
      </c>
      <c r="H931" s="18">
        <f>Source!AW543</f>
        <v>1</v>
      </c>
      <c r="I931" s="22">
        <f>ROUND((ROUND((Source!AC543*Source!AW543*Source!I543),2)),2)+(ROUND((ROUND(((Source!ET543)*Source!AV543*Source!I543),2)),2)+ROUND((ROUND(((Source!AE543-(Source!EU543))*Source!AV543*Source!I543),2)),2))+ROUND((ROUND((Source!AF543*Source!AV543*Source!I543),2)),2)</f>
        <v>45248.63</v>
      </c>
      <c r="J931" s="18">
        <f>IF(Source!BC543&lt;&gt; 0, Source!BC543, 1)</f>
        <v>6.34</v>
      </c>
      <c r="K931" s="22">
        <f>Source!O543</f>
        <v>286876.31</v>
      </c>
      <c r="Q931">
        <f>ROUND((Source!DN543/100)*ROUND((ROUND((Source!AF543*Source!AV543*Source!I543),2)),2), 2)</f>
        <v>0</v>
      </c>
      <c r="R931">
        <f>Source!X543</f>
        <v>0</v>
      </c>
      <c r="S931">
        <f>ROUND((Source!DO543/100)*ROUND((ROUND((Source!AF543*Source!AV543*Source!I543),2)),2), 2)</f>
        <v>0</v>
      </c>
      <c r="T931">
        <f>Source!Y543</f>
        <v>0</v>
      </c>
      <c r="U931">
        <f>ROUND((175/100)*ROUND((ROUND((Source!AE543*Source!AV543*Source!I543),2)),2), 2)</f>
        <v>0</v>
      </c>
      <c r="V931">
        <f>ROUND((157/100)*ROUND(ROUND((ROUND((Source!AE543*Source!AV543*Source!I543),2)*Source!BS543),2), 2), 2)</f>
        <v>0</v>
      </c>
      <c r="X931">
        <f>IF(Source!BI543&lt;=1,I931, 0)</f>
        <v>45248.63</v>
      </c>
      <c r="Y931">
        <f>IF(Source!BI543=2,I931, 0)</f>
        <v>0</v>
      </c>
      <c r="Z931">
        <f>IF(Source!BI543=3,I931, 0)</f>
        <v>0</v>
      </c>
      <c r="AA931">
        <f>IF(Source!BI543=4,I931, 0)</f>
        <v>0</v>
      </c>
    </row>
    <row r="932" spans="1:27" ht="28.5" x14ac:dyDescent="0.2">
      <c r="A932" s="16" t="str">
        <f>Source!E544</f>
        <v>105,2</v>
      </c>
      <c r="B932" s="17" t="str">
        <f>Source!F544</f>
        <v>1.3-2-13</v>
      </c>
      <c r="C932" s="17" t="s">
        <v>706</v>
      </c>
      <c r="D932" s="19" t="str">
        <f>Source!H544</f>
        <v>м3</v>
      </c>
      <c r="E932" s="18">
        <f>Source!I544</f>
        <v>2.3624999999999998</v>
      </c>
      <c r="F932" s="21">
        <f>Source!AK544</f>
        <v>481.69</v>
      </c>
      <c r="G932" s="27" t="s">
        <v>3</v>
      </c>
      <c r="H932" s="18">
        <f>Source!AW544</f>
        <v>1</v>
      </c>
      <c r="I932" s="22">
        <f>ROUND((ROUND((Source!AC544*Source!AW544*Source!I544),2)),2)+(ROUND((ROUND(((Source!ET544)*Source!AV544*Source!I544),2)),2)+ROUND((ROUND(((Source!AE544-(Source!EU544))*Source!AV544*Source!I544),2)),2))+ROUND((ROUND((Source!AF544*Source!AV544*Source!I544),2)),2)</f>
        <v>1137.99</v>
      </c>
      <c r="J932" s="18">
        <f>IF(Source!BC544&lt;&gt; 0, Source!BC544, 1)</f>
        <v>6.74</v>
      </c>
      <c r="K932" s="22">
        <f>Source!O544</f>
        <v>7670.05</v>
      </c>
      <c r="Q932">
        <f>ROUND((Source!DN544/100)*ROUND((ROUND((Source!AF544*Source!AV544*Source!I544),2)),2), 2)</f>
        <v>0</v>
      </c>
      <c r="R932">
        <f>Source!X544</f>
        <v>0</v>
      </c>
      <c r="S932">
        <f>ROUND((Source!DO544/100)*ROUND((ROUND((Source!AF544*Source!AV544*Source!I544),2)),2), 2)</f>
        <v>0</v>
      </c>
      <c r="T932">
        <f>Source!Y544</f>
        <v>0</v>
      </c>
      <c r="U932">
        <f>ROUND((175/100)*ROUND((ROUND((Source!AE544*Source!AV544*Source!I544),2)),2), 2)</f>
        <v>0</v>
      </c>
      <c r="V932">
        <f>ROUND((157/100)*ROUND(ROUND((ROUND((Source!AE544*Source!AV544*Source!I544),2)*Source!BS544),2), 2), 2)</f>
        <v>0</v>
      </c>
      <c r="X932">
        <f>IF(Source!BI544&lt;=1,I932, 0)</f>
        <v>1137.99</v>
      </c>
      <c r="Y932">
        <f>IF(Source!BI544=2,I932, 0)</f>
        <v>0</v>
      </c>
      <c r="Z932">
        <f>IF(Source!BI544=3,I932, 0)</f>
        <v>0</v>
      </c>
      <c r="AA932">
        <f>IF(Source!BI544=4,I932, 0)</f>
        <v>0</v>
      </c>
    </row>
    <row r="933" spans="1:27" ht="14.25" x14ac:dyDescent="0.2">
      <c r="A933" s="16"/>
      <c r="B933" s="17"/>
      <c r="C933" s="17" t="s">
        <v>1626</v>
      </c>
      <c r="D933" s="19" t="s">
        <v>1627</v>
      </c>
      <c r="E933" s="18">
        <f>Source!DN542</f>
        <v>91</v>
      </c>
      <c r="F933" s="21"/>
      <c r="G933" s="20"/>
      <c r="H933" s="18"/>
      <c r="I933" s="22">
        <f>SUM(Q928:Q932)</f>
        <v>1607.39</v>
      </c>
      <c r="J933" s="18">
        <f>Source!BZ542</f>
        <v>73</v>
      </c>
      <c r="K933" s="22">
        <f>SUM(R928:R932)</f>
        <v>32803.43</v>
      </c>
    </row>
    <row r="934" spans="1:27" ht="14.25" x14ac:dyDescent="0.2">
      <c r="A934" s="16"/>
      <c r="B934" s="17"/>
      <c r="C934" s="17" t="s">
        <v>1628</v>
      </c>
      <c r="D934" s="19" t="s">
        <v>1627</v>
      </c>
      <c r="E934" s="18">
        <f>Source!DO542</f>
        <v>70</v>
      </c>
      <c r="F934" s="21"/>
      <c r="G934" s="20"/>
      <c r="H934" s="18"/>
      <c r="I934" s="22">
        <f>SUM(S928:S933)</f>
        <v>1236.45</v>
      </c>
      <c r="J934" s="18">
        <f>Source!CA542</f>
        <v>41</v>
      </c>
      <c r="K934" s="22">
        <f>SUM(T928:T933)</f>
        <v>18423.84</v>
      </c>
    </row>
    <row r="935" spans="1:27" ht="14.25" x14ac:dyDescent="0.2">
      <c r="A935" s="16"/>
      <c r="B935" s="17"/>
      <c r="C935" s="17" t="s">
        <v>1629</v>
      </c>
      <c r="D935" s="19" t="s">
        <v>1630</v>
      </c>
      <c r="E935" s="18">
        <f>Source!AQ542</f>
        <v>4.0199999999999996</v>
      </c>
      <c r="F935" s="21"/>
      <c r="G935" s="20" t="str">
        <f>Source!DI542</f>
        <v>)*1,15</v>
      </c>
      <c r="H935" s="18">
        <f>Source!AV542</f>
        <v>1</v>
      </c>
      <c r="I935" s="22">
        <f>Source!U542</f>
        <v>156.02624999999998</v>
      </c>
      <c r="J935" s="18"/>
      <c r="K935" s="22"/>
    </row>
    <row r="936" spans="1:27" ht="15" x14ac:dyDescent="0.25">
      <c r="A936" s="25"/>
      <c r="B936" s="25"/>
      <c r="C936" s="25"/>
      <c r="D936" s="25"/>
      <c r="E936" s="25"/>
      <c r="F936" s="25"/>
      <c r="G936" s="25"/>
      <c r="H936" s="54">
        <f>I929+I930+I933+I934+SUM(I931:I932)</f>
        <v>51271.209999999992</v>
      </c>
      <c r="I936" s="54"/>
      <c r="J936" s="54">
        <f>K929+K930+K933+K934+SUM(K931:K932)</f>
        <v>392520.8</v>
      </c>
      <c r="K936" s="54"/>
      <c r="O936" s="24">
        <f>I929+I930+I933+I934+SUM(I931:I932)</f>
        <v>51271.209999999992</v>
      </c>
      <c r="P936" s="24">
        <f>K929+K930+K933+K934+SUM(K931:K932)</f>
        <v>392520.8</v>
      </c>
      <c r="X936">
        <f>IF(Source!BI542&lt;=1,I929+I930+I933+I934-0, 0)</f>
        <v>4884.59</v>
      </c>
      <c r="Y936">
        <f>IF(Source!BI542=2,I929+I930+I933+I934-0, 0)</f>
        <v>0</v>
      </c>
      <c r="Z936">
        <f>IF(Source!BI542=3,I929+I930+I933+I934-0, 0)</f>
        <v>0</v>
      </c>
      <c r="AA936">
        <f>IF(Source!BI542=4,I929+I930+I933+I934,0)</f>
        <v>0</v>
      </c>
    </row>
    <row r="937" spans="1:27" ht="409.5" x14ac:dyDescent="0.2">
      <c r="A937" s="16" t="str">
        <f>Source!E545</f>
        <v>106</v>
      </c>
      <c r="B937" s="17" t="str">
        <f>Source!F545</f>
        <v>6.53-41-1</v>
      </c>
      <c r="C937" s="17" t="s">
        <v>1592</v>
      </c>
      <c r="D937" s="19" t="str">
        <f>Source!H545</f>
        <v>100 м</v>
      </c>
      <c r="E937" s="18">
        <f>Source!I545</f>
        <v>0.28000000000000003</v>
      </c>
      <c r="F937" s="21"/>
      <c r="G937" s="20"/>
      <c r="H937" s="18"/>
      <c r="I937" s="22"/>
      <c r="J937" s="18"/>
      <c r="K937" s="22"/>
      <c r="Q937">
        <f>ROUND((Source!DN545/100)*ROUND((ROUND((Source!AF545*Source!AV545*Source!I545),2)),2), 2)</f>
        <v>465.22</v>
      </c>
      <c r="R937">
        <f>Source!X545</f>
        <v>9494.15</v>
      </c>
      <c r="S937">
        <f>ROUND((Source!DO545/100)*ROUND((ROUND((Source!AF545*Source!AV545*Source!I545),2)),2), 2)</f>
        <v>357.86</v>
      </c>
      <c r="T937">
        <f>Source!Y545</f>
        <v>5332.33</v>
      </c>
      <c r="U937">
        <f>ROUND((175/100)*ROUND((ROUND((Source!AE545*Source!AV545*Source!I545),2)),2), 2)</f>
        <v>16.59</v>
      </c>
      <c r="V937">
        <f>ROUND((157/100)*ROUND(ROUND((ROUND((Source!AE545*Source!AV545*Source!I545),2)*Source!BS545),2), 2), 2)</f>
        <v>378.64</v>
      </c>
    </row>
    <row r="938" spans="1:27" x14ac:dyDescent="0.2">
      <c r="C938" s="23" t="str">
        <f>"Объем: "&amp;Source!I545&amp;"=28/"&amp;"100"</f>
        <v>Объем: 0,28=28/100</v>
      </c>
    </row>
    <row r="939" spans="1:27" ht="14.25" x14ac:dyDescent="0.2">
      <c r="A939" s="16"/>
      <c r="B939" s="17"/>
      <c r="C939" s="17" t="s">
        <v>1625</v>
      </c>
      <c r="D939" s="19"/>
      <c r="E939" s="18"/>
      <c r="F939" s="21">
        <f>Source!AO545</f>
        <v>1825.81</v>
      </c>
      <c r="G939" s="20" t="str">
        <f>Source!DG545</f>
        <v/>
      </c>
      <c r="H939" s="18">
        <f>Source!AV545</f>
        <v>1</v>
      </c>
      <c r="I939" s="22">
        <f>ROUND((ROUND((Source!AF545*Source!AV545*Source!I545),2)),2)</f>
        <v>511.23</v>
      </c>
      <c r="J939" s="18">
        <f>IF(Source!BA545&lt;&gt; 0, Source!BA545, 1)</f>
        <v>25.44</v>
      </c>
      <c r="K939" s="22">
        <f>Source!S545</f>
        <v>13005.69</v>
      </c>
      <c r="W939">
        <f>I939</f>
        <v>511.23</v>
      </c>
    </row>
    <row r="940" spans="1:27" ht="14.25" x14ac:dyDescent="0.2">
      <c r="A940" s="16"/>
      <c r="B940" s="17"/>
      <c r="C940" s="17" t="s">
        <v>1631</v>
      </c>
      <c r="D940" s="19"/>
      <c r="E940" s="18"/>
      <c r="F940" s="21">
        <f>Source!AM545</f>
        <v>442.43</v>
      </c>
      <c r="G940" s="20" t="str">
        <f>Source!DE545</f>
        <v/>
      </c>
      <c r="H940" s="18">
        <f>Source!AV545</f>
        <v>1</v>
      </c>
      <c r="I940" s="22">
        <f>(ROUND((ROUND(((Source!ET545)*Source!AV545*Source!I545),2)),2)+ROUND((ROUND(((Source!AE545-(Source!EU545))*Source!AV545*Source!I545),2)),2))</f>
        <v>123.88</v>
      </c>
      <c r="J940" s="18">
        <f>IF(Source!BB545&lt;&gt; 0, Source!BB545, 1)</f>
        <v>6.01</v>
      </c>
      <c r="K940" s="22">
        <f>Source!Q545</f>
        <v>744.52</v>
      </c>
    </row>
    <row r="941" spans="1:27" ht="14.25" x14ac:dyDescent="0.2">
      <c r="A941" s="16"/>
      <c r="B941" s="17"/>
      <c r="C941" s="17" t="s">
        <v>1632</v>
      </c>
      <c r="D941" s="19"/>
      <c r="E941" s="18"/>
      <c r="F941" s="21">
        <f>Source!AN545</f>
        <v>33.869999999999997</v>
      </c>
      <c r="G941" s="20" t="str">
        <f>Source!DF545</f>
        <v/>
      </c>
      <c r="H941" s="18">
        <f>Source!AV545</f>
        <v>1</v>
      </c>
      <c r="I941" s="26">
        <f>ROUND((ROUND((Source!AE545*Source!AV545*Source!I545),2)),2)</f>
        <v>9.48</v>
      </c>
      <c r="J941" s="18">
        <f>IF(Source!BS545&lt;&gt; 0, Source!BS545, 1)</f>
        <v>25.44</v>
      </c>
      <c r="K941" s="26">
        <f>Source!R545</f>
        <v>241.17</v>
      </c>
      <c r="W941">
        <f>I941</f>
        <v>9.48</v>
      </c>
    </row>
    <row r="942" spans="1:27" ht="14.25" x14ac:dyDescent="0.2">
      <c r="A942" s="16"/>
      <c r="B942" s="17"/>
      <c r="C942" s="17" t="s">
        <v>1634</v>
      </c>
      <c r="D942" s="19"/>
      <c r="E942" s="18"/>
      <c r="F942" s="21">
        <f>Source!AL545</f>
        <v>0.35</v>
      </c>
      <c r="G942" s="20" t="str">
        <f>Source!DD545</f>
        <v/>
      </c>
      <c r="H942" s="18">
        <f>Source!AW545</f>
        <v>1</v>
      </c>
      <c r="I942" s="22">
        <f>ROUND((ROUND((Source!AC545*Source!AW545*Source!I545),2)),2)</f>
        <v>0.1</v>
      </c>
      <c r="J942" s="18">
        <f>IF(Source!BC545&lt;&gt; 0, Source!BC545, 1)</f>
        <v>5.2</v>
      </c>
      <c r="K942" s="22">
        <f>Source!P545</f>
        <v>0.52</v>
      </c>
    </row>
    <row r="943" spans="1:27" ht="71.25" x14ac:dyDescent="0.2">
      <c r="A943" s="16" t="str">
        <f>Source!E546</f>
        <v>106,1</v>
      </c>
      <c r="B943" s="17" t="str">
        <f>Source!F546</f>
        <v>1.7-11-7</v>
      </c>
      <c r="C943" s="17" t="s">
        <v>715</v>
      </c>
      <c r="D943" s="19" t="str">
        <f>Source!H546</f>
        <v>м</v>
      </c>
      <c r="E943" s="18">
        <f>Source!I546</f>
        <v>186.67599999999999</v>
      </c>
      <c r="F943" s="21">
        <f>Source!AK546</f>
        <v>139.99</v>
      </c>
      <c r="G943" s="27" t="s">
        <v>3</v>
      </c>
      <c r="H943" s="18">
        <f>Source!AW546</f>
        <v>1</v>
      </c>
      <c r="I943" s="22">
        <f>ROUND((ROUND((Source!AC546*Source!AW546*Source!I546),2)),2)+(ROUND((ROUND(((Source!ET546)*Source!AV546*Source!I546),2)),2)+ROUND((ROUND(((Source!AE546-(Source!EU546))*Source!AV546*Source!I546),2)),2))+ROUND((ROUND((Source!AF546*Source!AV546*Source!I546),2)),2)</f>
        <v>26132.77</v>
      </c>
      <c r="J943" s="18">
        <f>IF(Source!BC546&lt;&gt; 0, Source!BC546, 1)</f>
        <v>1.44</v>
      </c>
      <c r="K943" s="22">
        <f>Source!O546</f>
        <v>37631.19</v>
      </c>
      <c r="Q943">
        <f>ROUND((Source!DN546/100)*ROUND((ROUND((Source!AF546*Source!AV546*Source!I546),2)),2), 2)</f>
        <v>0</v>
      </c>
      <c r="R943">
        <f>Source!X546</f>
        <v>0</v>
      </c>
      <c r="S943">
        <f>ROUND((Source!DO546/100)*ROUND((ROUND((Source!AF546*Source!AV546*Source!I546),2)),2), 2)</f>
        <v>0</v>
      </c>
      <c r="T943">
        <f>Source!Y546</f>
        <v>0</v>
      </c>
      <c r="U943">
        <f>ROUND((175/100)*ROUND((ROUND((Source!AE546*Source!AV546*Source!I546),2)),2), 2)</f>
        <v>0</v>
      </c>
      <c r="V943">
        <f>ROUND((157/100)*ROUND(ROUND((ROUND((Source!AE546*Source!AV546*Source!I546),2)*Source!BS546),2), 2), 2)</f>
        <v>0</v>
      </c>
      <c r="X943">
        <f>IF(Source!BI546&lt;=1,I943, 0)</f>
        <v>26132.77</v>
      </c>
      <c r="Y943">
        <f>IF(Source!BI546=2,I943, 0)</f>
        <v>0</v>
      </c>
      <c r="Z943">
        <f>IF(Source!BI546=3,I943, 0)</f>
        <v>0</v>
      </c>
      <c r="AA943">
        <f>IF(Source!BI546=4,I943, 0)</f>
        <v>0</v>
      </c>
    </row>
    <row r="944" spans="1:27" ht="228" x14ac:dyDescent="0.2">
      <c r="A944" s="16" t="str">
        <f>Source!E547</f>
        <v>106,2</v>
      </c>
      <c r="B944" s="17" t="str">
        <f>Source!F547</f>
        <v>1.3-2-248</v>
      </c>
      <c r="C944" s="17" t="s">
        <v>1593</v>
      </c>
      <c r="D944" s="19" t="str">
        <f>Source!H547</f>
        <v>кг</v>
      </c>
      <c r="E944" s="18">
        <f>Source!I547</f>
        <v>95.76</v>
      </c>
      <c r="F944" s="21">
        <f>Source!AK547</f>
        <v>144.4</v>
      </c>
      <c r="G944" s="27" t="s">
        <v>3</v>
      </c>
      <c r="H944" s="18">
        <f>Source!AW547</f>
        <v>1</v>
      </c>
      <c r="I944" s="22">
        <f>ROUND((ROUND((Source!AC547*Source!AW547*Source!I547),2)),2)+(ROUND((ROUND(((Source!ET547)*Source!AV547*Source!I547),2)),2)+ROUND((ROUND(((Source!AE547-(Source!EU547))*Source!AV547*Source!I547),2)),2))+ROUND((ROUND((Source!AF547*Source!AV547*Source!I547),2)),2)</f>
        <v>13827.74</v>
      </c>
      <c r="J944" s="18">
        <f>IF(Source!BC547&lt;&gt; 0, Source!BC547, 1)</f>
        <v>2.88</v>
      </c>
      <c r="K944" s="22">
        <f>Source!O547</f>
        <v>39823.89</v>
      </c>
      <c r="Q944">
        <f>ROUND((Source!DN547/100)*ROUND((ROUND((Source!AF547*Source!AV547*Source!I547),2)),2), 2)</f>
        <v>0</v>
      </c>
      <c r="R944">
        <f>Source!X547</f>
        <v>0</v>
      </c>
      <c r="S944">
        <f>ROUND((Source!DO547/100)*ROUND((ROUND((Source!AF547*Source!AV547*Source!I547),2)),2), 2)</f>
        <v>0</v>
      </c>
      <c r="T944">
        <f>Source!Y547</f>
        <v>0</v>
      </c>
      <c r="U944">
        <f>ROUND((175/100)*ROUND((ROUND((Source!AE547*Source!AV547*Source!I547),2)),2), 2)</f>
        <v>0</v>
      </c>
      <c r="V944">
        <f>ROUND((157/100)*ROUND(ROUND((ROUND((Source!AE547*Source!AV547*Source!I547),2)*Source!BS547),2), 2), 2)</f>
        <v>0</v>
      </c>
      <c r="X944">
        <f>IF(Source!BI547&lt;=1,I944, 0)</f>
        <v>13827.74</v>
      </c>
      <c r="Y944">
        <f>IF(Source!BI547=2,I944, 0)</f>
        <v>0</v>
      </c>
      <c r="Z944">
        <f>IF(Source!BI547=3,I944, 0)</f>
        <v>0</v>
      </c>
      <c r="AA944">
        <f>IF(Source!BI547=4,I944, 0)</f>
        <v>0</v>
      </c>
    </row>
    <row r="945" spans="1:27" ht="14.25" x14ac:dyDescent="0.2">
      <c r="A945" s="16"/>
      <c r="B945" s="17"/>
      <c r="C945" s="17" t="s">
        <v>1626</v>
      </c>
      <c r="D945" s="19" t="s">
        <v>1627</v>
      </c>
      <c r="E945" s="18">
        <f>Source!DN545</f>
        <v>91</v>
      </c>
      <c r="F945" s="21"/>
      <c r="G945" s="20"/>
      <c r="H945" s="18"/>
      <c r="I945" s="22">
        <f>SUM(Q937:Q944)</f>
        <v>465.22</v>
      </c>
      <c r="J945" s="18">
        <f>Source!BZ545</f>
        <v>73</v>
      </c>
      <c r="K945" s="22">
        <f>SUM(R937:R944)</f>
        <v>9494.15</v>
      </c>
    </row>
    <row r="946" spans="1:27" ht="14.25" x14ac:dyDescent="0.2">
      <c r="A946" s="16"/>
      <c r="B946" s="17"/>
      <c r="C946" s="17" t="s">
        <v>1628</v>
      </c>
      <c r="D946" s="19" t="s">
        <v>1627</v>
      </c>
      <c r="E946" s="18">
        <f>Source!DO545</f>
        <v>70</v>
      </c>
      <c r="F946" s="21"/>
      <c r="G946" s="20"/>
      <c r="H946" s="18"/>
      <c r="I946" s="22">
        <f>SUM(S937:S945)</f>
        <v>357.86</v>
      </c>
      <c r="J946" s="18">
        <f>Source!CA545</f>
        <v>41</v>
      </c>
      <c r="K946" s="22">
        <f>SUM(T937:T945)</f>
        <v>5332.33</v>
      </c>
    </row>
    <row r="947" spans="1:27" ht="14.25" x14ac:dyDescent="0.2">
      <c r="A947" s="16"/>
      <c r="B947" s="17"/>
      <c r="C947" s="17" t="s">
        <v>1633</v>
      </c>
      <c r="D947" s="19" t="s">
        <v>1627</v>
      </c>
      <c r="E947" s="18">
        <f>175</f>
        <v>175</v>
      </c>
      <c r="F947" s="21"/>
      <c r="G947" s="20"/>
      <c r="H947" s="18"/>
      <c r="I947" s="22">
        <f>SUM(U937:U946)</f>
        <v>16.59</v>
      </c>
      <c r="J947" s="18">
        <f>157</f>
        <v>157</v>
      </c>
      <c r="K947" s="22">
        <f>SUM(V937:V946)</f>
        <v>378.64</v>
      </c>
    </row>
    <row r="948" spans="1:27" ht="14.25" x14ac:dyDescent="0.2">
      <c r="A948" s="16"/>
      <c r="B948" s="17"/>
      <c r="C948" s="17" t="s">
        <v>1629</v>
      </c>
      <c r="D948" s="19" t="s">
        <v>1630</v>
      </c>
      <c r="E948" s="18">
        <f>Source!AQ545</f>
        <v>148.12</v>
      </c>
      <c r="F948" s="21"/>
      <c r="G948" s="20" t="str">
        <f>Source!DI545</f>
        <v/>
      </c>
      <c r="H948" s="18">
        <f>Source!AV545</f>
        <v>1</v>
      </c>
      <c r="I948" s="22">
        <f>Source!U545</f>
        <v>41.473600000000005</v>
      </c>
      <c r="J948" s="18"/>
      <c r="K948" s="22"/>
    </row>
    <row r="949" spans="1:27" ht="15" x14ac:dyDescent="0.25">
      <c r="A949" s="25"/>
      <c r="B949" s="25"/>
      <c r="C949" s="25"/>
      <c r="D949" s="25"/>
      <c r="E949" s="25"/>
      <c r="F949" s="25"/>
      <c r="G949" s="25"/>
      <c r="H949" s="54">
        <f>I939+I940+I942+I945+I946+I947+SUM(I943:I944)</f>
        <v>41435.39</v>
      </c>
      <c r="I949" s="54"/>
      <c r="J949" s="54">
        <f>K939+K940+K942+K945+K946+K947+SUM(K943:K944)</f>
        <v>106410.93</v>
      </c>
      <c r="K949" s="54"/>
      <c r="O949" s="24">
        <f>I939+I940+I942+I945+I946+I947+SUM(I943:I944)</f>
        <v>41435.39</v>
      </c>
      <c r="P949" s="24">
        <f>K939+K940+K942+K945+K946+K947+SUM(K943:K944)</f>
        <v>106410.93</v>
      </c>
      <c r="X949">
        <f>IF(Source!BI545&lt;=1,I939+I940+I942+I945+I946+I947-0, 0)</f>
        <v>1474.8799999999999</v>
      </c>
      <c r="Y949">
        <f>IF(Source!BI545=2,I939+I940+I942+I945+I946+I947-0, 0)</f>
        <v>0</v>
      </c>
      <c r="Z949">
        <f>IF(Source!BI545=3,I939+I940+I942+I945+I946+I947-0, 0)</f>
        <v>0</v>
      </c>
      <c r="AA949">
        <f>IF(Source!BI545=4,I939+I940+I942+I945+I946+I947,0)</f>
        <v>0</v>
      </c>
    </row>
    <row r="950" spans="1:27" ht="57" x14ac:dyDescent="0.2">
      <c r="A950" s="16" t="str">
        <f>Source!E548</f>
        <v>107</v>
      </c>
      <c r="B950" s="17" t="str">
        <f>Source!F548</f>
        <v>6.68-13-1</v>
      </c>
      <c r="C950" s="17" t="s">
        <v>721</v>
      </c>
      <c r="D950" s="19" t="str">
        <f>Source!H548</f>
        <v>1 Т</v>
      </c>
      <c r="E950" s="18">
        <f>Source!I548</f>
        <v>81</v>
      </c>
      <c r="F950" s="21"/>
      <c r="G950" s="20"/>
      <c r="H950" s="18"/>
      <c r="I950" s="22"/>
      <c r="J950" s="18"/>
      <c r="K950" s="22"/>
      <c r="Q950">
        <f>ROUND((Source!DN548/100)*ROUND((ROUND((Source!AF548*Source!AV548*Source!I548),2)),2), 2)</f>
        <v>0</v>
      </c>
      <c r="R950">
        <f>Source!X548</f>
        <v>0</v>
      </c>
      <c r="S950">
        <f>ROUND((Source!DO548/100)*ROUND((ROUND((Source!AF548*Source!AV548*Source!I548),2)),2), 2)</f>
        <v>0</v>
      </c>
      <c r="T950">
        <f>Source!Y548</f>
        <v>0</v>
      </c>
      <c r="U950">
        <f>ROUND((175/100)*ROUND((ROUND((Source!AE548*Source!AV548*Source!I548),2)),2), 2)</f>
        <v>209.79</v>
      </c>
      <c r="V950">
        <f>ROUND((157/100)*ROUND(ROUND((ROUND((Source!AE548*Source!AV548*Source!I548),2)*Source!BS548),2), 2), 2)</f>
        <v>4788.1099999999997</v>
      </c>
    </row>
    <row r="951" spans="1:27" ht="14.25" x14ac:dyDescent="0.2">
      <c r="A951" s="16"/>
      <c r="B951" s="17"/>
      <c r="C951" s="17" t="s">
        <v>1631</v>
      </c>
      <c r="D951" s="19"/>
      <c r="E951" s="18"/>
      <c r="F951" s="21">
        <f>Source!AM548</f>
        <v>8.86</v>
      </c>
      <c r="G951" s="20" t="str">
        <f>Source!DE548</f>
        <v/>
      </c>
      <c r="H951" s="18">
        <f>Source!AV548</f>
        <v>1</v>
      </c>
      <c r="I951" s="22">
        <f>(ROUND((ROUND(((Source!ET548)*Source!AV548*Source!I548),2)),2)+ROUND((ROUND(((Source!AE548-(Source!EU548))*Source!AV548*Source!I548),2)),2))</f>
        <v>717.66</v>
      </c>
      <c r="J951" s="18">
        <f>IF(Source!BB548&lt;&gt; 0, Source!BB548, 1)</f>
        <v>9.1199999999999992</v>
      </c>
      <c r="K951" s="22">
        <f>Source!Q548</f>
        <v>6545.06</v>
      </c>
    </row>
    <row r="952" spans="1:27" ht="14.25" x14ac:dyDescent="0.2">
      <c r="A952" s="16"/>
      <c r="B952" s="17"/>
      <c r="C952" s="17" t="s">
        <v>1632</v>
      </c>
      <c r="D952" s="19"/>
      <c r="E952" s="18"/>
      <c r="F952" s="21">
        <f>Source!AN548</f>
        <v>1.48</v>
      </c>
      <c r="G952" s="20" t="str">
        <f>Source!DF548</f>
        <v/>
      </c>
      <c r="H952" s="18">
        <f>Source!AV548</f>
        <v>1</v>
      </c>
      <c r="I952" s="26">
        <f>ROUND((ROUND((Source!AE548*Source!AV548*Source!I548),2)),2)</f>
        <v>119.88</v>
      </c>
      <c r="J952" s="18">
        <f>IF(Source!BS548&lt;&gt; 0, Source!BS548, 1)</f>
        <v>25.44</v>
      </c>
      <c r="K952" s="26">
        <f>Source!R548</f>
        <v>3049.75</v>
      </c>
      <c r="W952">
        <f>I952</f>
        <v>119.88</v>
      </c>
    </row>
    <row r="953" spans="1:27" ht="14.25" x14ac:dyDescent="0.2">
      <c r="A953" s="16"/>
      <c r="B953" s="17"/>
      <c r="C953" s="17" t="s">
        <v>1633</v>
      </c>
      <c r="D953" s="19" t="s">
        <v>1627</v>
      </c>
      <c r="E953" s="18">
        <f>175</f>
        <v>175</v>
      </c>
      <c r="F953" s="21"/>
      <c r="G953" s="20"/>
      <c r="H953" s="18"/>
      <c r="I953" s="22">
        <f>SUM(U950:U952)</f>
        <v>209.79</v>
      </c>
      <c r="J953" s="18">
        <f>157</f>
        <v>157</v>
      </c>
      <c r="K953" s="22">
        <f>SUM(V950:V952)</f>
        <v>4788.1099999999997</v>
      </c>
    </row>
    <row r="954" spans="1:27" ht="15" x14ac:dyDescent="0.25">
      <c r="A954" s="25"/>
      <c r="B954" s="25"/>
      <c r="C954" s="25"/>
      <c r="D954" s="25"/>
      <c r="E954" s="25"/>
      <c r="F954" s="25"/>
      <c r="G954" s="25"/>
      <c r="H954" s="54">
        <f>I951+I953</f>
        <v>927.44999999999993</v>
      </c>
      <c r="I954" s="54"/>
      <c r="J954" s="54">
        <f>K951+K953</f>
        <v>11333.17</v>
      </c>
      <c r="K954" s="54"/>
      <c r="O954" s="24">
        <f>I951+I953</f>
        <v>927.44999999999993</v>
      </c>
      <c r="P954" s="24">
        <f>K951+K953</f>
        <v>11333.17</v>
      </c>
      <c r="X954">
        <f>IF(Source!BI548&lt;=1,I951+I953-0, 0)</f>
        <v>927.44999999999993</v>
      </c>
      <c r="Y954">
        <f>IF(Source!BI548=2,I951+I953-0, 0)</f>
        <v>0</v>
      </c>
      <c r="Z954">
        <f>IF(Source!BI548=3,I951+I953-0, 0)</f>
        <v>0</v>
      </c>
      <c r="AA954">
        <f>IF(Source!BI548=4,I951+I953,0)</f>
        <v>0</v>
      </c>
    </row>
    <row r="955" spans="1:27" ht="42.75" x14ac:dyDescent="0.2">
      <c r="A955" s="16" t="str">
        <f>Source!E549</f>
        <v>108</v>
      </c>
      <c r="B955" s="17" t="str">
        <f>Source!F549</f>
        <v>15.2-43-10</v>
      </c>
      <c r="C955" s="17" t="s">
        <v>188</v>
      </c>
      <c r="D955" s="19" t="str">
        <f>Source!H549</f>
        <v>т</v>
      </c>
      <c r="E955" s="18">
        <f>Source!I549</f>
        <v>81</v>
      </c>
      <c r="F955" s="21"/>
      <c r="G955" s="20"/>
      <c r="H955" s="18"/>
      <c r="I955" s="22"/>
      <c r="J955" s="18"/>
      <c r="K955" s="22"/>
      <c r="Q955">
        <f>ROUND((Source!DN549/100)*ROUND((ROUND((Source!AF549*Source!AV549*Source!I549),2)),2), 2)</f>
        <v>0</v>
      </c>
      <c r="R955">
        <f>Source!X549</f>
        <v>0</v>
      </c>
      <c r="S955">
        <f>ROUND((Source!DO549/100)*ROUND((ROUND((Source!AF549*Source!AV549*Source!I549),2)),2), 2)</f>
        <v>0</v>
      </c>
      <c r="T955">
        <f>Source!Y549</f>
        <v>0</v>
      </c>
      <c r="U955">
        <f>ROUND((175/100)*ROUND((ROUND((Source!AE549*Source!AV549*Source!I549),2)),2), 2)</f>
        <v>0</v>
      </c>
      <c r="V955">
        <f>ROUND((157/100)*ROUND(ROUND((ROUND((Source!AE549*Source!AV549*Source!I549),2)*Source!BS549),2), 2), 2)</f>
        <v>0</v>
      </c>
    </row>
    <row r="956" spans="1:27" ht="14.25" x14ac:dyDescent="0.2">
      <c r="A956" s="16"/>
      <c r="B956" s="17"/>
      <c r="C956" s="17" t="s">
        <v>1631</v>
      </c>
      <c r="D956" s="19"/>
      <c r="E956" s="18"/>
      <c r="F956" s="21">
        <f>Source!AM549</f>
        <v>38.92</v>
      </c>
      <c r="G956" s="20" t="str">
        <f>Source!DE549</f>
        <v/>
      </c>
      <c r="H956" s="18">
        <f>Source!AV549</f>
        <v>1</v>
      </c>
      <c r="I956" s="22">
        <f>(ROUND((ROUND(((Source!ET549)*Source!AV549*Source!I549),2)),2)+ROUND((ROUND(((Source!AE549-(Source!EU549))*Source!AV549*Source!I549),2)),2))</f>
        <v>3152.52</v>
      </c>
      <c r="J956" s="18">
        <f>IF(Source!BB549&lt;&gt; 0, Source!BB549, 1)</f>
        <v>11.64</v>
      </c>
      <c r="K956" s="22">
        <f>Source!Q549</f>
        <v>36695.33</v>
      </c>
    </row>
    <row r="957" spans="1:27" ht="15" x14ac:dyDescent="0.25">
      <c r="A957" s="25"/>
      <c r="B957" s="25"/>
      <c r="C957" s="25"/>
      <c r="D957" s="25"/>
      <c r="E957" s="25"/>
      <c r="F957" s="25"/>
      <c r="G957" s="25"/>
      <c r="H957" s="54">
        <f>I956</f>
        <v>3152.52</v>
      </c>
      <c r="I957" s="54"/>
      <c r="J957" s="54">
        <f>K956</f>
        <v>36695.33</v>
      </c>
      <c r="K957" s="54"/>
      <c r="O957" s="24">
        <f>I956</f>
        <v>3152.52</v>
      </c>
      <c r="P957" s="24">
        <f>K956</f>
        <v>36695.33</v>
      </c>
      <c r="X957">
        <f>IF(Source!BI549&lt;=1,I956-0, 0)</f>
        <v>0</v>
      </c>
      <c r="Y957">
        <f>IF(Source!BI549=2,I956-0, 0)</f>
        <v>0</v>
      </c>
      <c r="Z957">
        <f>IF(Source!BI549=3,I956-0, 0)</f>
        <v>0</v>
      </c>
      <c r="AA957">
        <f>IF(Source!BI549=4,I956,0)</f>
        <v>3152.52</v>
      </c>
    </row>
    <row r="958" spans="1:27" ht="42.75" x14ac:dyDescent="0.2">
      <c r="A958" s="16" t="str">
        <f>Source!E550</f>
        <v>109</v>
      </c>
      <c r="B958" s="17" t="str">
        <f>Source!F550</f>
        <v>15.1-1106-02</v>
      </c>
      <c r="C958" s="17" t="s">
        <v>724</v>
      </c>
      <c r="D958" s="19" t="str">
        <f>Source!H550</f>
        <v>1 Т</v>
      </c>
      <c r="E958" s="18">
        <f>Source!I550</f>
        <v>81</v>
      </c>
      <c r="F958" s="21"/>
      <c r="G958" s="20"/>
      <c r="H958" s="18"/>
      <c r="I958" s="22"/>
      <c r="J958" s="18"/>
      <c r="K958" s="22"/>
      <c r="Q958">
        <f>ROUND((Source!DN550/100)*ROUND((ROUND((Source!AF550*Source!AV550*Source!I550),2)),2), 2)</f>
        <v>0</v>
      </c>
      <c r="R958">
        <f>Source!X550</f>
        <v>0</v>
      </c>
      <c r="S958">
        <f>ROUND((Source!DO550/100)*ROUND((ROUND((Source!AF550*Source!AV550*Source!I550),2)),2), 2)</f>
        <v>0</v>
      </c>
      <c r="T958">
        <f>Source!Y550</f>
        <v>0</v>
      </c>
      <c r="U958">
        <f>ROUND((175/100)*ROUND((ROUND((Source!AE550*Source!AV550*Source!I550),2)),2), 2)</f>
        <v>0</v>
      </c>
      <c r="V958">
        <f>ROUND((157/100)*ROUND(ROUND((ROUND((Source!AE550*Source!AV550*Source!I550),2)*Source!BS550),2), 2), 2)</f>
        <v>0</v>
      </c>
    </row>
    <row r="959" spans="1:27" ht="14.25" x14ac:dyDescent="0.2">
      <c r="A959" s="16"/>
      <c r="B959" s="17"/>
      <c r="C959" s="17" t="s">
        <v>1631</v>
      </c>
      <c r="D959" s="19"/>
      <c r="E959" s="18"/>
      <c r="F959" s="21">
        <f>Source!AM550</f>
        <v>17.84</v>
      </c>
      <c r="G959" s="20" t="str">
        <f>Source!DE550</f>
        <v/>
      </c>
      <c r="H959" s="18">
        <f>Source!AV550</f>
        <v>1</v>
      </c>
      <c r="I959" s="22">
        <f>(ROUND((ROUND(((Source!ET550)*Source!AV550*Source!I550),2)),2)+ROUND((ROUND(((Source!AE550-(Source!EU550))*Source!AV550*Source!I550),2)),2))</f>
        <v>1445.04</v>
      </c>
      <c r="J959" s="18">
        <f>IF(Source!BB550&lt;&gt; 0, Source!BB550, 1)</f>
        <v>7.63</v>
      </c>
      <c r="K959" s="22">
        <f>Source!Q550</f>
        <v>11025.66</v>
      </c>
    </row>
    <row r="960" spans="1:27" ht="15" x14ac:dyDescent="0.25">
      <c r="A960" s="25"/>
      <c r="B960" s="25"/>
      <c r="C960" s="25"/>
      <c r="D960" s="25"/>
      <c r="E960" s="25"/>
      <c r="F960" s="25"/>
      <c r="G960" s="25"/>
      <c r="H960" s="54">
        <f>I959</f>
        <v>1445.04</v>
      </c>
      <c r="I960" s="54"/>
      <c r="J960" s="54">
        <f>K959</f>
        <v>11025.66</v>
      </c>
      <c r="K960" s="54"/>
      <c r="O960" s="24">
        <f>I959</f>
        <v>1445.04</v>
      </c>
      <c r="P960" s="24">
        <f>K959</f>
        <v>11025.66</v>
      </c>
      <c r="X960">
        <f>IF(Source!BI550&lt;=1,I959-0, 0)</f>
        <v>0</v>
      </c>
      <c r="Y960">
        <f>IF(Source!BI550=2,I959-0, 0)</f>
        <v>0</v>
      </c>
      <c r="Z960">
        <f>IF(Source!BI550=3,I959-0, 0)</f>
        <v>0</v>
      </c>
      <c r="AA960">
        <f>IF(Source!BI550=4,I959,0)</f>
        <v>1445.04</v>
      </c>
    </row>
    <row r="962" spans="1:27" ht="15" x14ac:dyDescent="0.25">
      <c r="A962" s="53" t="str">
        <f>CONCATENATE("Итого по разделу: ",IF(Source!G552&lt;&gt;"Новый раздел", Source!G552, ""))</f>
        <v>Итого по разделу: Водный каскад (с ремонтом свода)</v>
      </c>
      <c r="B962" s="53"/>
      <c r="C962" s="53"/>
      <c r="D962" s="53"/>
      <c r="E962" s="53"/>
      <c r="F962" s="53"/>
      <c r="G962" s="53"/>
      <c r="H962" s="51">
        <f>SUM(O917:O961)</f>
        <v>105712.36999999998</v>
      </c>
      <c r="I962" s="52"/>
      <c r="J962" s="51">
        <f>SUM(P917:P961)</f>
        <v>707301.66</v>
      </c>
      <c r="K962" s="52"/>
    </row>
    <row r="963" spans="1:27" hidden="1" x14ac:dyDescent="0.2">
      <c r="A963" t="s">
        <v>1641</v>
      </c>
      <c r="H963">
        <f>SUM(AC917:AC962)</f>
        <v>0</v>
      </c>
      <c r="J963">
        <f>SUM(AD917:AD962)</f>
        <v>0</v>
      </c>
    </row>
    <row r="964" spans="1:27" hidden="1" x14ac:dyDescent="0.2">
      <c r="A964" t="s">
        <v>1642</v>
      </c>
      <c r="H964">
        <f>SUM(AE917:AE963)</f>
        <v>0</v>
      </c>
      <c r="J964">
        <f>SUM(AF917:AF963)</f>
        <v>0</v>
      </c>
    </row>
    <row r="966" spans="1:27" ht="16.5" x14ac:dyDescent="0.25">
      <c r="A966" s="56" t="str">
        <f>CONCATENATE("Раздел: ",IF(Source!G582&lt;&gt;"Новый раздел", Source!G582, ""))</f>
        <v>Раздел: Посадка растений, дренажная система</v>
      </c>
      <c r="B966" s="56"/>
      <c r="C966" s="56"/>
      <c r="D966" s="56"/>
      <c r="E966" s="56"/>
      <c r="F966" s="56"/>
      <c r="G966" s="56"/>
      <c r="H966" s="56"/>
      <c r="I966" s="56"/>
      <c r="J966" s="56"/>
      <c r="K966" s="56"/>
    </row>
    <row r="968" spans="1:27" ht="16.5" x14ac:dyDescent="0.25">
      <c r="A968" s="55" t="str">
        <f>CONCATENATE("Подраздел: ",IF(Source!G586&lt;&gt;"Новый подраздел", Source!G586, ""))</f>
        <v>Подраздел: Дренажная система</v>
      </c>
      <c r="B968" s="55"/>
      <c r="C968" s="55"/>
      <c r="D968" s="55"/>
      <c r="E968" s="55"/>
      <c r="F968" s="55"/>
      <c r="G968" s="55"/>
      <c r="H968" s="55"/>
      <c r="I968" s="55"/>
      <c r="J968" s="55"/>
      <c r="K968" s="55"/>
    </row>
    <row r="969" spans="1:27" ht="42.75" x14ac:dyDescent="0.2">
      <c r="A969" s="16" t="str">
        <f>Source!E590</f>
        <v>110</v>
      </c>
      <c r="B969" s="17" t="str">
        <f>Source!F590</f>
        <v>3.23-47-2</v>
      </c>
      <c r="C969" s="17" t="s">
        <v>728</v>
      </c>
      <c r="D969" s="19" t="str">
        <f>Source!H590</f>
        <v>100 м</v>
      </c>
      <c r="E969" s="18">
        <f>Source!I590</f>
        <v>2.9</v>
      </c>
      <c r="F969" s="21"/>
      <c r="G969" s="20"/>
      <c r="H969" s="18"/>
      <c r="I969" s="22"/>
      <c r="J969" s="18"/>
      <c r="K969" s="22"/>
      <c r="Q969">
        <f>ROUND((Source!DN590/100)*ROUND((ROUND((Source!AF590*Source!AV590*Source!I590),2)),2), 2)</f>
        <v>1162.0899999999999</v>
      </c>
      <c r="R969">
        <f>Source!X590</f>
        <v>23956.639999999999</v>
      </c>
      <c r="S969">
        <f>ROUND((Source!DO590/100)*ROUND((ROUND((Source!AF590*Source!AV590*Source!I590),2)),2), 2)</f>
        <v>681.22</v>
      </c>
      <c r="T969">
        <f>Source!Y590</f>
        <v>10449.17</v>
      </c>
      <c r="U969">
        <f>ROUND((175/100)*ROUND((ROUND((Source!AE590*Source!AV590*Source!I590),2)),2), 2)</f>
        <v>22.09</v>
      </c>
      <c r="V969">
        <f>ROUND((157/100)*ROUND(ROUND((ROUND((Source!AE590*Source!AV590*Source!I590),2)*Source!BS590),2), 2), 2)</f>
        <v>504.05</v>
      </c>
    </row>
    <row r="970" spans="1:27" x14ac:dyDescent="0.2">
      <c r="C970" s="23" t="str">
        <f>"Объем: "&amp;Source!I590&amp;"=290/"&amp;"100"</f>
        <v>Объем: 2,9=290/100</v>
      </c>
    </row>
    <row r="971" spans="1:27" ht="14.25" x14ac:dyDescent="0.2">
      <c r="A971" s="16"/>
      <c r="B971" s="17"/>
      <c r="C971" s="17" t="s">
        <v>1625</v>
      </c>
      <c r="D971" s="19"/>
      <c r="E971" s="18"/>
      <c r="F971" s="21">
        <f>Source!AO590</f>
        <v>300.39</v>
      </c>
      <c r="G971" s="20" t="str">
        <f>Source!DG590</f>
        <v>)*1,15</v>
      </c>
      <c r="H971" s="18">
        <f>Source!AV590</f>
        <v>1</v>
      </c>
      <c r="I971" s="22">
        <f>ROUND((ROUND((Source!AF590*Source!AV590*Source!I590),2)),2)</f>
        <v>1001.8</v>
      </c>
      <c r="J971" s="18">
        <f>IF(Source!BA590&lt;&gt; 0, Source!BA590, 1)</f>
        <v>25.44</v>
      </c>
      <c r="K971" s="22">
        <f>Source!S590</f>
        <v>25485.79</v>
      </c>
      <c r="W971">
        <f>I971</f>
        <v>1001.8</v>
      </c>
    </row>
    <row r="972" spans="1:27" ht="14.25" x14ac:dyDescent="0.2">
      <c r="A972" s="16"/>
      <c r="B972" s="17"/>
      <c r="C972" s="17" t="s">
        <v>1631</v>
      </c>
      <c r="D972" s="19"/>
      <c r="E972" s="18"/>
      <c r="F972" s="21">
        <f>Source!AM590</f>
        <v>22.43</v>
      </c>
      <c r="G972" s="20" t="str">
        <f>Source!DE590</f>
        <v>)*1,25</v>
      </c>
      <c r="H972" s="18">
        <f>Source!AV590</f>
        <v>1</v>
      </c>
      <c r="I972" s="22">
        <f>(ROUND((ROUND((((Source!ET590*1.25))*Source!AV590*Source!I590),2)),2)+ROUND((ROUND(((Source!AE590-((Source!EU590*1.25)))*Source!AV590*Source!I590),2)),2))</f>
        <v>81.31</v>
      </c>
      <c r="J972" s="18">
        <f>IF(Source!BB590&lt;&gt; 0, Source!BB590, 1)</f>
        <v>9.93</v>
      </c>
      <c r="K972" s="22">
        <f>Source!Q590</f>
        <v>807.41</v>
      </c>
    </row>
    <row r="973" spans="1:27" ht="14.25" x14ac:dyDescent="0.2">
      <c r="A973" s="16"/>
      <c r="B973" s="17"/>
      <c r="C973" s="17" t="s">
        <v>1632</v>
      </c>
      <c r="D973" s="19"/>
      <c r="E973" s="18"/>
      <c r="F973" s="21">
        <f>Source!AN590</f>
        <v>3.48</v>
      </c>
      <c r="G973" s="20" t="str">
        <f>Source!DF590</f>
        <v>)*1,25</v>
      </c>
      <c r="H973" s="18">
        <f>Source!AV590</f>
        <v>1</v>
      </c>
      <c r="I973" s="26">
        <f>ROUND((ROUND((Source!AE590*Source!AV590*Source!I590),2)),2)</f>
        <v>12.62</v>
      </c>
      <c r="J973" s="18">
        <f>IF(Source!BS590&lt;&gt; 0, Source!BS590, 1)</f>
        <v>25.44</v>
      </c>
      <c r="K973" s="26">
        <f>Source!R590</f>
        <v>321.05</v>
      </c>
      <c r="W973">
        <f>I973</f>
        <v>12.62</v>
      </c>
    </row>
    <row r="974" spans="1:27" ht="14.25" x14ac:dyDescent="0.2">
      <c r="A974" s="16"/>
      <c r="B974" s="17"/>
      <c r="C974" s="17" t="s">
        <v>1634</v>
      </c>
      <c r="D974" s="19"/>
      <c r="E974" s="18"/>
      <c r="F974" s="21">
        <f>Source!AL590</f>
        <v>12029.92</v>
      </c>
      <c r="G974" s="20" t="str">
        <f>Source!DD590</f>
        <v/>
      </c>
      <c r="H974" s="18">
        <f>Source!AW590</f>
        <v>1</v>
      </c>
      <c r="I974" s="22">
        <f>ROUND((ROUND((Source!AC590*Source!AW590*Source!I590),2)),2)</f>
        <v>34886.769999999997</v>
      </c>
      <c r="J974" s="18">
        <f>IF(Source!BC590&lt;&gt; 0, Source!BC590, 1)</f>
        <v>6.71</v>
      </c>
      <c r="K974" s="22">
        <f>Source!P590</f>
        <v>234090.23</v>
      </c>
    </row>
    <row r="975" spans="1:27" ht="55.5" x14ac:dyDescent="0.2">
      <c r="A975" s="16" t="str">
        <f>Source!E591</f>
        <v>110,1</v>
      </c>
      <c r="B975" s="17" t="str">
        <f>Source!F591</f>
        <v>Цена поставщика</v>
      </c>
      <c r="C975" s="17" t="s">
        <v>1663</v>
      </c>
      <c r="D975" s="19" t="str">
        <f>Source!H591</f>
        <v>м</v>
      </c>
      <c r="E975" s="18">
        <f>Source!I591</f>
        <v>290</v>
      </c>
      <c r="F975" s="21">
        <f>Source!AK591</f>
        <v>44.25</v>
      </c>
      <c r="G975" s="27" t="s">
        <v>3</v>
      </c>
      <c r="H975" s="18">
        <f>Source!AW591</f>
        <v>1</v>
      </c>
      <c r="I975" s="22">
        <f>ROUND((ROUND((Source!AC591*Source!AW591*Source!I591),2)),2)+(ROUND((ROUND(((Source!ET591)*Source!AV591*Source!I591),2)),2)+ROUND((ROUND(((Source!AE591-(Source!EU591))*Source!AV591*Source!I591),2)),2))+ROUND((ROUND((Source!AF591*Source!AV591*Source!I591),2)),2)</f>
        <v>12832.5</v>
      </c>
      <c r="J975" s="18">
        <f>IF(Source!BC591&lt;&gt; 0, Source!BC591, 1)</f>
        <v>6.34</v>
      </c>
      <c r="K975" s="22">
        <f>Source!O591</f>
        <v>81358.05</v>
      </c>
      <c r="Q975">
        <f>ROUND((Source!DN591/100)*ROUND((ROUND((Source!AF591*Source!AV591*Source!I591),2)),2), 2)</f>
        <v>0</v>
      </c>
      <c r="R975">
        <f>Source!X591</f>
        <v>0</v>
      </c>
      <c r="S975">
        <f>ROUND((Source!DO591/100)*ROUND((ROUND((Source!AF591*Source!AV591*Source!I591),2)),2), 2)</f>
        <v>0</v>
      </c>
      <c r="T975">
        <f>Source!Y591</f>
        <v>0</v>
      </c>
      <c r="U975">
        <f>ROUND((175/100)*ROUND((ROUND((Source!AE591*Source!AV591*Source!I591),2)),2), 2)</f>
        <v>0</v>
      </c>
      <c r="V975">
        <f>ROUND((157/100)*ROUND(ROUND((ROUND((Source!AE591*Source!AV591*Source!I591),2)*Source!BS591),2), 2), 2)</f>
        <v>0</v>
      </c>
      <c r="X975">
        <f>IF(Source!BI591&lt;=1,I975, 0)</f>
        <v>12832.5</v>
      </c>
      <c r="Y975">
        <f>IF(Source!BI591=2,I975, 0)</f>
        <v>0</v>
      </c>
      <c r="Z975">
        <f>IF(Source!BI591=3,I975, 0)</f>
        <v>0</v>
      </c>
      <c r="AA975">
        <f>IF(Source!BI591=4,I975, 0)</f>
        <v>0</v>
      </c>
    </row>
    <row r="976" spans="1:27" ht="14.25" x14ac:dyDescent="0.2">
      <c r="A976" s="16"/>
      <c r="B976" s="17"/>
      <c r="C976" s="17" t="s">
        <v>1626</v>
      </c>
      <c r="D976" s="19" t="s">
        <v>1627</v>
      </c>
      <c r="E976" s="18">
        <f>Source!DN590</f>
        <v>116</v>
      </c>
      <c r="F976" s="21"/>
      <c r="G976" s="20"/>
      <c r="H976" s="18"/>
      <c r="I976" s="22">
        <f>SUM(Q969:Q975)</f>
        <v>1162.0899999999999</v>
      </c>
      <c r="J976" s="18">
        <f>Source!BZ590</f>
        <v>94</v>
      </c>
      <c r="K976" s="22">
        <f>SUM(R969:R975)</f>
        <v>23956.639999999999</v>
      </c>
    </row>
    <row r="977" spans="1:27" ht="14.25" x14ac:dyDescent="0.2">
      <c r="A977" s="16"/>
      <c r="B977" s="17"/>
      <c r="C977" s="17" t="s">
        <v>1628</v>
      </c>
      <c r="D977" s="19" t="s">
        <v>1627</v>
      </c>
      <c r="E977" s="18">
        <f>Source!DO590</f>
        <v>68</v>
      </c>
      <c r="F977" s="21"/>
      <c r="G977" s="20"/>
      <c r="H977" s="18"/>
      <c r="I977" s="22">
        <f>SUM(S969:S976)</f>
        <v>681.22</v>
      </c>
      <c r="J977" s="18">
        <f>Source!CA590</f>
        <v>41</v>
      </c>
      <c r="K977" s="22">
        <f>SUM(T969:T976)</f>
        <v>10449.17</v>
      </c>
    </row>
    <row r="978" spans="1:27" ht="14.25" x14ac:dyDescent="0.2">
      <c r="A978" s="16"/>
      <c r="B978" s="17"/>
      <c r="C978" s="17" t="s">
        <v>1633</v>
      </c>
      <c r="D978" s="19" t="s">
        <v>1627</v>
      </c>
      <c r="E978" s="18">
        <f>175</f>
        <v>175</v>
      </c>
      <c r="F978" s="21"/>
      <c r="G978" s="20"/>
      <c r="H978" s="18"/>
      <c r="I978" s="22">
        <f>SUM(U969:U977)</f>
        <v>22.09</v>
      </c>
      <c r="J978" s="18">
        <f>157</f>
        <v>157</v>
      </c>
      <c r="K978" s="22">
        <f>SUM(V969:V977)</f>
        <v>504.05</v>
      </c>
    </row>
    <row r="979" spans="1:27" ht="14.25" x14ac:dyDescent="0.2">
      <c r="A979" s="16"/>
      <c r="B979" s="17"/>
      <c r="C979" s="17" t="s">
        <v>1629</v>
      </c>
      <c r="D979" s="19" t="s">
        <v>1630</v>
      </c>
      <c r="E979" s="18">
        <f>Source!AQ590</f>
        <v>26.08</v>
      </c>
      <c r="F979" s="21"/>
      <c r="G979" s="20" t="str">
        <f>Source!DI590</f>
        <v>)*1,15</v>
      </c>
      <c r="H979" s="18">
        <f>Source!AV590</f>
        <v>1</v>
      </c>
      <c r="I979" s="22">
        <f>Source!U590</f>
        <v>86.976799999999983</v>
      </c>
      <c r="J979" s="18"/>
      <c r="K979" s="22"/>
    </row>
    <row r="980" spans="1:27" ht="15" x14ac:dyDescent="0.25">
      <c r="A980" s="25"/>
      <c r="B980" s="25"/>
      <c r="C980" s="25"/>
      <c r="D980" s="25"/>
      <c r="E980" s="25"/>
      <c r="F980" s="25"/>
      <c r="G980" s="25"/>
      <c r="H980" s="54">
        <f>I971+I972+I974+I976+I977+I978+SUM(I975:I975)</f>
        <v>50667.779999999992</v>
      </c>
      <c r="I980" s="54"/>
      <c r="J980" s="54">
        <f>K971+K972+K974+K976+K977+K978+SUM(K975:K975)</f>
        <v>376651.33999999997</v>
      </c>
      <c r="K980" s="54"/>
      <c r="O980" s="24">
        <f>I971+I972+I974+I976+I977+I978+SUM(I975:I975)</f>
        <v>50667.779999999992</v>
      </c>
      <c r="P980" s="24">
        <f>K971+K972+K974+K976+K977+K978+SUM(K975:K975)</f>
        <v>376651.33999999997</v>
      </c>
      <c r="X980">
        <f>IF(Source!BI590&lt;=1,I971+I972+I974+I976+I977+I978-0, 0)</f>
        <v>37835.279999999992</v>
      </c>
      <c r="Y980">
        <f>IF(Source!BI590=2,I971+I972+I974+I976+I977+I978-0, 0)</f>
        <v>0</v>
      </c>
      <c r="Z980">
        <f>IF(Source!BI590=3,I971+I972+I974+I976+I977+I978-0, 0)</f>
        <v>0</v>
      </c>
      <c r="AA980">
        <f>IF(Source!BI590=4,I971+I972+I974+I976+I977+I978,0)</f>
        <v>0</v>
      </c>
    </row>
    <row r="981" spans="1:27" ht="99.75" x14ac:dyDescent="0.2">
      <c r="A981" s="16" t="str">
        <f>Source!E592</f>
        <v>111</v>
      </c>
      <c r="B981" s="17" t="str">
        <f>Source!F592</f>
        <v>3.27-12-1</v>
      </c>
      <c r="C981" s="17" t="s">
        <v>733</v>
      </c>
      <c r="D981" s="19" t="str">
        <f>Source!H592</f>
        <v>100 м3 материала основания (в плотном теле)</v>
      </c>
      <c r="E981" s="18">
        <f>Source!I592</f>
        <v>0.09</v>
      </c>
      <c r="F981" s="21"/>
      <c r="G981" s="20"/>
      <c r="H981" s="18"/>
      <c r="I981" s="22"/>
      <c r="J981" s="18"/>
      <c r="K981" s="22"/>
      <c r="Q981">
        <f>ROUND((Source!DN592/100)*ROUND((ROUND((Source!AF592*Source!AV592*Source!I592),2)),2), 2)</f>
        <v>21.95</v>
      </c>
      <c r="R981">
        <f>Source!X592</f>
        <v>446.77</v>
      </c>
      <c r="S981">
        <f>ROUND((Source!DO592/100)*ROUND((ROUND((Source!AF592*Source!AV592*Source!I592),2)),2), 2)</f>
        <v>12.39</v>
      </c>
      <c r="T981">
        <f>Source!Y592</f>
        <v>163.55000000000001</v>
      </c>
      <c r="U981">
        <f>ROUND((175/100)*ROUND((ROUND((Source!AE592*Source!AV592*Source!I592),2)),2), 2)</f>
        <v>20.86</v>
      </c>
      <c r="V981">
        <f>ROUND((157/100)*ROUND(ROUND((ROUND((Source!AE592*Source!AV592*Source!I592),2)*Source!BS592),2), 2), 2)</f>
        <v>476.09</v>
      </c>
    </row>
    <row r="982" spans="1:27" x14ac:dyDescent="0.2">
      <c r="C982" s="23" t="str">
        <f>"Объем: "&amp;Source!I592&amp;"=9/"&amp;"100"</f>
        <v>Объем: 0,09=9/100</v>
      </c>
    </row>
    <row r="983" spans="1:27" ht="14.25" x14ac:dyDescent="0.2">
      <c r="A983" s="16"/>
      <c r="B983" s="17"/>
      <c r="C983" s="17" t="s">
        <v>1625</v>
      </c>
      <c r="D983" s="19"/>
      <c r="E983" s="18"/>
      <c r="F983" s="21">
        <f>Source!AO592</f>
        <v>151.49</v>
      </c>
      <c r="G983" s="20" t="str">
        <f>Source!DG592</f>
        <v>)*1,15</v>
      </c>
      <c r="H983" s="18">
        <f>Source!AV592</f>
        <v>1</v>
      </c>
      <c r="I983" s="22">
        <f>ROUND((ROUND((Source!AF592*Source!AV592*Source!I592),2)),2)</f>
        <v>15.68</v>
      </c>
      <c r="J983" s="18">
        <f>IF(Source!BA592&lt;&gt; 0, Source!BA592, 1)</f>
        <v>25.44</v>
      </c>
      <c r="K983" s="22">
        <f>Source!S592</f>
        <v>398.9</v>
      </c>
      <c r="W983">
        <f>I983</f>
        <v>15.68</v>
      </c>
    </row>
    <row r="984" spans="1:27" ht="14.25" x14ac:dyDescent="0.2">
      <c r="A984" s="16"/>
      <c r="B984" s="17"/>
      <c r="C984" s="17" t="s">
        <v>1631</v>
      </c>
      <c r="D984" s="19"/>
      <c r="E984" s="18"/>
      <c r="F984" s="21">
        <f>Source!AM592</f>
        <v>745.18</v>
      </c>
      <c r="G984" s="20" t="str">
        <f>Source!DE592</f>
        <v>)*1,25</v>
      </c>
      <c r="H984" s="18">
        <f>Source!AV592</f>
        <v>1</v>
      </c>
      <c r="I984" s="22">
        <f>(ROUND((ROUND((((Source!ET592*1.25))*Source!AV592*Source!I592),2)),2)+ROUND((ROUND(((Source!AE592-((Source!EU592*1.25)))*Source!AV592*Source!I592),2)),2))</f>
        <v>83.83</v>
      </c>
      <c r="J984" s="18">
        <f>IF(Source!BB592&lt;&gt; 0, Source!BB592, 1)</f>
        <v>9.77</v>
      </c>
      <c r="K984" s="22">
        <f>Source!Q592</f>
        <v>819.02</v>
      </c>
    </row>
    <row r="985" spans="1:27" ht="14.25" x14ac:dyDescent="0.2">
      <c r="A985" s="16"/>
      <c r="B985" s="17"/>
      <c r="C985" s="17" t="s">
        <v>1632</v>
      </c>
      <c r="D985" s="19"/>
      <c r="E985" s="18"/>
      <c r="F985" s="21">
        <f>Source!AN592</f>
        <v>105.99</v>
      </c>
      <c r="G985" s="20" t="str">
        <f>Source!DF592</f>
        <v>)*1,25</v>
      </c>
      <c r="H985" s="18">
        <f>Source!AV592</f>
        <v>1</v>
      </c>
      <c r="I985" s="26">
        <f>ROUND((ROUND((Source!AE592*Source!AV592*Source!I592),2)),2)</f>
        <v>11.92</v>
      </c>
      <c r="J985" s="18">
        <f>IF(Source!BS592&lt;&gt; 0, Source!BS592, 1)</f>
        <v>25.44</v>
      </c>
      <c r="K985" s="26">
        <f>Source!R592</f>
        <v>303.24</v>
      </c>
      <c r="W985">
        <f>I985</f>
        <v>11.92</v>
      </c>
    </row>
    <row r="986" spans="1:27" ht="14.25" x14ac:dyDescent="0.2">
      <c r="A986" s="16"/>
      <c r="B986" s="17"/>
      <c r="C986" s="17" t="s">
        <v>1634</v>
      </c>
      <c r="D986" s="19"/>
      <c r="E986" s="18"/>
      <c r="F986" s="21">
        <f>Source!AL592</f>
        <v>35.35</v>
      </c>
      <c r="G986" s="20" t="str">
        <f>Source!DD592</f>
        <v/>
      </c>
      <c r="H986" s="18">
        <f>Source!AW592</f>
        <v>1</v>
      </c>
      <c r="I986" s="22">
        <f>ROUND((ROUND((Source!AC592*Source!AW592*Source!I592),2)),2)</f>
        <v>3.18</v>
      </c>
      <c r="J986" s="18">
        <f>IF(Source!BC592&lt;&gt; 0, Source!BC592, 1)</f>
        <v>5.14</v>
      </c>
      <c r="K986" s="22">
        <f>Source!P592</f>
        <v>16.350000000000001</v>
      </c>
    </row>
    <row r="987" spans="1:27" ht="28.5" x14ac:dyDescent="0.2">
      <c r="A987" s="16" t="str">
        <f>Source!E593</f>
        <v>111,1</v>
      </c>
      <c r="B987" s="17" t="str">
        <f>Source!F593</f>
        <v>1.1-1-766</v>
      </c>
      <c r="C987" s="17" t="s">
        <v>92</v>
      </c>
      <c r="D987" s="19" t="str">
        <f>Source!H593</f>
        <v>м3</v>
      </c>
      <c r="E987" s="18">
        <f>Source!I593</f>
        <v>9</v>
      </c>
      <c r="F987" s="21">
        <f>Source!AK593</f>
        <v>104.99</v>
      </c>
      <c r="G987" s="27" t="s">
        <v>3</v>
      </c>
      <c r="H987" s="18">
        <f>Source!AW593</f>
        <v>1</v>
      </c>
      <c r="I987" s="22">
        <f>ROUND((ROUND((Source!AC593*Source!AW593*Source!I593),2)),2)+(ROUND((ROUND(((Source!ET593)*Source!AV593*Source!I593),2)),2)+ROUND((ROUND(((Source!AE593-(Source!EU593))*Source!AV593*Source!I593),2)),2))+ROUND((ROUND((Source!AF593*Source!AV593*Source!I593),2)),2)</f>
        <v>944.91</v>
      </c>
      <c r="J987" s="18">
        <f>IF(Source!BC593&lt;&gt; 0, Source!BC593, 1)</f>
        <v>5.51</v>
      </c>
      <c r="K987" s="22">
        <f>Source!O593</f>
        <v>5206.45</v>
      </c>
      <c r="Q987">
        <f>ROUND((Source!DN593/100)*ROUND((ROUND((Source!AF593*Source!AV593*Source!I593),2)),2), 2)</f>
        <v>0</v>
      </c>
      <c r="R987">
        <f>Source!X593</f>
        <v>0</v>
      </c>
      <c r="S987">
        <f>ROUND((Source!DO593/100)*ROUND((ROUND((Source!AF593*Source!AV593*Source!I593),2)),2), 2)</f>
        <v>0</v>
      </c>
      <c r="T987">
        <f>Source!Y593</f>
        <v>0</v>
      </c>
      <c r="U987">
        <f>ROUND((175/100)*ROUND((ROUND((Source!AE593*Source!AV593*Source!I593),2)),2), 2)</f>
        <v>0</v>
      </c>
      <c r="V987">
        <f>ROUND((157/100)*ROUND(ROUND((ROUND((Source!AE593*Source!AV593*Source!I593),2)*Source!BS593),2), 2), 2)</f>
        <v>0</v>
      </c>
      <c r="X987">
        <f>IF(Source!BI593&lt;=1,I987, 0)</f>
        <v>944.91</v>
      </c>
      <c r="Y987">
        <f>IF(Source!BI593=2,I987, 0)</f>
        <v>0</v>
      </c>
      <c r="Z987">
        <f>IF(Source!BI593=3,I987, 0)</f>
        <v>0</v>
      </c>
      <c r="AA987">
        <f>IF(Source!BI593=4,I987, 0)</f>
        <v>0</v>
      </c>
    </row>
    <row r="988" spans="1:27" ht="28.5" x14ac:dyDescent="0.2">
      <c r="A988" s="16" t="str">
        <f>Source!E594</f>
        <v>111,2</v>
      </c>
      <c r="B988" s="17" t="str">
        <f>Source!F594</f>
        <v>2.1-5-48</v>
      </c>
      <c r="C988" s="17" t="s">
        <v>737</v>
      </c>
      <c r="D988" s="19" t="str">
        <f>Source!H594</f>
        <v>маш.-ч.</v>
      </c>
      <c r="E988" s="18">
        <f>Source!I594</f>
        <v>-0.174375</v>
      </c>
      <c r="F988" s="21">
        <f>Source!AK594</f>
        <v>125.13</v>
      </c>
      <c r="G988" s="27" t="s">
        <v>1664</v>
      </c>
      <c r="H988" s="18">
        <f>Source!AV594</f>
        <v>1</v>
      </c>
      <c r="I988" s="22">
        <f>ROUND((ROUND((Source!AC594*Source!AW594*Source!I594),2)),2)+(ROUND((ROUND(((Source!ET594)*Source!AV594*Source!I594),2)),2)+ROUND((ROUND(((Source!AE594-(Source!EU594))*Source!AV594*Source!I594),2)),2))+ROUND((ROUND((Source!AF594*Source!AV594*Source!I594),2)),2)</f>
        <v>-21.82</v>
      </c>
      <c r="J988" s="18">
        <f>IF(Source!BB594&lt;&gt; 0, Source!BB594, 1)</f>
        <v>12.15</v>
      </c>
      <c r="K988" s="22">
        <f>Source!O594</f>
        <v>-265.11</v>
      </c>
      <c r="Q988">
        <f>ROUND((Source!DN594/100)*ROUND((ROUND((Source!AF594*Source!AV594*Source!I594),2)),2), 2)</f>
        <v>0</v>
      </c>
      <c r="R988">
        <f>Source!X594</f>
        <v>0</v>
      </c>
      <c r="S988">
        <f>ROUND((Source!DO594/100)*ROUND((ROUND((Source!AF594*Source!AV594*Source!I594),2)),2), 2)</f>
        <v>0</v>
      </c>
      <c r="T988">
        <f>Source!Y594</f>
        <v>0</v>
      </c>
      <c r="U988">
        <f>ROUND((175/100)*ROUND((ROUND((Source!AE594*Source!AV594*Source!I594),2)),2), 2)</f>
        <v>-7.54</v>
      </c>
      <c r="V988">
        <f>ROUND((157/100)*ROUND(ROUND((ROUND((Source!AE594*Source!AV594*Source!I594),2)*Source!BS594),2), 2), 2)</f>
        <v>-172.15</v>
      </c>
      <c r="X988">
        <f>IF(Source!BI594&lt;=1,I988, 0)</f>
        <v>-21.82</v>
      </c>
      <c r="Y988">
        <f>IF(Source!BI594=2,I988, 0)</f>
        <v>0</v>
      </c>
      <c r="Z988">
        <f>IF(Source!BI594=3,I988, 0)</f>
        <v>0</v>
      </c>
      <c r="AA988">
        <f>IF(Source!BI594=4,I988, 0)</f>
        <v>0</v>
      </c>
    </row>
    <row r="989" spans="1:27" ht="28.5" x14ac:dyDescent="0.2">
      <c r="A989" s="16" t="str">
        <f>Source!E595</f>
        <v>111,3</v>
      </c>
      <c r="B989" s="17" t="str">
        <f>Source!F595</f>
        <v>2.1-5-7</v>
      </c>
      <c r="C989" s="17" t="s">
        <v>742</v>
      </c>
      <c r="D989" s="19" t="str">
        <f>Source!H595</f>
        <v>маш.-ч.</v>
      </c>
      <c r="E989" s="18">
        <f>Source!I595</f>
        <v>-5.8499999999999996E-2</v>
      </c>
      <c r="F989" s="21">
        <f>Source!AK595</f>
        <v>177.54</v>
      </c>
      <c r="G989" s="27" t="s">
        <v>1664</v>
      </c>
      <c r="H989" s="18">
        <f>Source!AV595</f>
        <v>1</v>
      </c>
      <c r="I989" s="22">
        <f>ROUND((ROUND((Source!AC595*Source!AW595*Source!I595),2)),2)+(ROUND((ROUND(((Source!ET595)*Source!AV595*Source!I595),2)),2)+ROUND((ROUND(((Source!AE595-(Source!EU595))*Source!AV595*Source!I595),2)),2))+ROUND((ROUND((Source!AF595*Source!AV595*Source!I595),2)),2)</f>
        <v>-10.39</v>
      </c>
      <c r="J989" s="18">
        <f>IF(Source!BB595&lt;&gt; 0, Source!BB595, 1)</f>
        <v>8.8800000000000008</v>
      </c>
      <c r="K989" s="22">
        <f>Source!O595</f>
        <v>-92.26</v>
      </c>
      <c r="Q989">
        <f>ROUND((Source!DN595/100)*ROUND((ROUND((Source!AF595*Source!AV595*Source!I595),2)),2), 2)</f>
        <v>0</v>
      </c>
      <c r="R989">
        <f>Source!X595</f>
        <v>0</v>
      </c>
      <c r="S989">
        <f>ROUND((Source!DO595/100)*ROUND((ROUND((Source!AF595*Source!AV595*Source!I595),2)),2), 2)</f>
        <v>0</v>
      </c>
      <c r="T989">
        <f>Source!Y595</f>
        <v>0</v>
      </c>
      <c r="U989">
        <f>ROUND((175/100)*ROUND((ROUND((Source!AE595*Source!AV595*Source!I595),2)),2), 2)</f>
        <v>-1.79</v>
      </c>
      <c r="V989">
        <f>ROUND((157/100)*ROUND(ROUND((ROUND((Source!AE595*Source!AV595*Source!I595),2)*Source!BS595),2), 2), 2)</f>
        <v>-40.74</v>
      </c>
      <c r="X989">
        <f>IF(Source!BI595&lt;=1,I989, 0)</f>
        <v>-10.39</v>
      </c>
      <c r="Y989">
        <f>IF(Source!BI595=2,I989, 0)</f>
        <v>0</v>
      </c>
      <c r="Z989">
        <f>IF(Source!BI595=3,I989, 0)</f>
        <v>0</v>
      </c>
      <c r="AA989">
        <f>IF(Source!BI595=4,I989, 0)</f>
        <v>0</v>
      </c>
    </row>
    <row r="990" spans="1:27" ht="28.5" x14ac:dyDescent="0.2">
      <c r="A990" s="16" t="str">
        <f>Source!E596</f>
        <v>111,4</v>
      </c>
      <c r="B990" s="17" t="str">
        <f>Source!F596</f>
        <v>2.1-5-18</v>
      </c>
      <c r="C990" s="17" t="s">
        <v>746</v>
      </c>
      <c r="D990" s="19" t="str">
        <f>Source!H596</f>
        <v>маш.-ч.</v>
      </c>
      <c r="E990" s="18">
        <f>Source!I596</f>
        <v>-7.3124999999999996E-2</v>
      </c>
      <c r="F990" s="21">
        <f>Source!AK596</f>
        <v>246.68</v>
      </c>
      <c r="G990" s="27" t="s">
        <v>1664</v>
      </c>
      <c r="H990" s="18">
        <f>Source!AV596</f>
        <v>1</v>
      </c>
      <c r="I990" s="22">
        <f>ROUND((ROUND((Source!AC596*Source!AW596*Source!I596),2)),2)+(ROUND((ROUND(((Source!ET596)*Source!AV596*Source!I596),2)),2)+ROUND((ROUND(((Source!AE596-(Source!EU596))*Source!AV596*Source!I596),2)),2))+ROUND((ROUND((Source!AF596*Source!AV596*Source!I596),2)),2)</f>
        <v>-18.04</v>
      </c>
      <c r="J990" s="18">
        <f>IF(Source!BB596&lt;&gt; 0, Source!BB596, 1)</f>
        <v>8.25</v>
      </c>
      <c r="K990" s="22">
        <f>Source!O596</f>
        <v>-148.83000000000001</v>
      </c>
      <c r="Q990">
        <f>ROUND((Source!DN596/100)*ROUND((ROUND((Source!AF596*Source!AV596*Source!I596),2)),2), 2)</f>
        <v>0</v>
      </c>
      <c r="R990">
        <f>Source!X596</f>
        <v>0</v>
      </c>
      <c r="S990">
        <f>ROUND((Source!DO596/100)*ROUND((ROUND((Source!AF596*Source!AV596*Source!I596),2)),2), 2)</f>
        <v>0</v>
      </c>
      <c r="T990">
        <f>Source!Y596</f>
        <v>0</v>
      </c>
      <c r="U990">
        <f>ROUND((175/100)*ROUND((ROUND((Source!AE596*Source!AV596*Source!I596),2)),2), 2)</f>
        <v>-1.72</v>
      </c>
      <c r="V990">
        <f>ROUND((157/100)*ROUND(ROUND((ROUND((Source!AE596*Source!AV596*Source!I596),2)*Source!BS596),2), 2), 2)</f>
        <v>-39.14</v>
      </c>
      <c r="X990">
        <f>IF(Source!BI596&lt;=1,I990, 0)</f>
        <v>-18.04</v>
      </c>
      <c r="Y990">
        <f>IF(Source!BI596=2,I990, 0)</f>
        <v>0</v>
      </c>
      <c r="Z990">
        <f>IF(Source!BI596=3,I990, 0)</f>
        <v>0</v>
      </c>
      <c r="AA990">
        <f>IF(Source!BI596=4,I990, 0)</f>
        <v>0</v>
      </c>
    </row>
    <row r="991" spans="1:27" ht="28.5" x14ac:dyDescent="0.2">
      <c r="A991" s="16" t="str">
        <f>Source!E597</f>
        <v>111,5</v>
      </c>
      <c r="B991" s="17" t="str">
        <f>Source!F597</f>
        <v>2.1-5-15</v>
      </c>
      <c r="C991" s="17" t="s">
        <v>750</v>
      </c>
      <c r="D991" s="19" t="str">
        <f>Source!H597</f>
        <v>маш.-ч.</v>
      </c>
      <c r="E991" s="18">
        <f>Source!I597</f>
        <v>-0.18675</v>
      </c>
      <c r="F991" s="21">
        <f>Source!AK597</f>
        <v>62.97</v>
      </c>
      <c r="G991" s="27" t="s">
        <v>1664</v>
      </c>
      <c r="H991" s="18">
        <f>Source!AV597</f>
        <v>1</v>
      </c>
      <c r="I991" s="22">
        <f>ROUND((ROUND((Source!AC597*Source!AW597*Source!I597),2)),2)+(ROUND((ROUND(((Source!ET597)*Source!AV597*Source!I597),2)),2)+ROUND((ROUND(((Source!AE597-(Source!EU597))*Source!AV597*Source!I597),2)),2))+ROUND((ROUND((Source!AF597*Source!AV597*Source!I597),2)),2)</f>
        <v>-11.76</v>
      </c>
      <c r="J991" s="18">
        <f>IF(Source!BB597&lt;&gt; 0, Source!BB597, 1)</f>
        <v>6.88</v>
      </c>
      <c r="K991" s="22">
        <f>Source!O597</f>
        <v>-80.91</v>
      </c>
      <c r="Q991">
        <f>ROUND((Source!DN597/100)*ROUND((ROUND((Source!AF597*Source!AV597*Source!I597),2)),2), 2)</f>
        <v>0</v>
      </c>
      <c r="R991">
        <f>Source!X597</f>
        <v>0</v>
      </c>
      <c r="S991">
        <f>ROUND((Source!DO597/100)*ROUND((ROUND((Source!AF597*Source!AV597*Source!I597),2)),2), 2)</f>
        <v>0</v>
      </c>
      <c r="T991">
        <f>Source!Y597</f>
        <v>0</v>
      </c>
      <c r="U991">
        <f>ROUND((175/100)*ROUND((ROUND((Source!AE597*Source!AV597*Source!I597),2)),2), 2)</f>
        <v>-2.17</v>
      </c>
      <c r="V991">
        <f>ROUND((157/100)*ROUND(ROUND((ROUND((Source!AE597*Source!AV597*Source!I597),2)*Source!BS597),2), 2), 2)</f>
        <v>-49.53</v>
      </c>
      <c r="X991">
        <f>IF(Source!BI597&lt;=1,I991, 0)</f>
        <v>-11.76</v>
      </c>
      <c r="Y991">
        <f>IF(Source!BI597=2,I991, 0)</f>
        <v>0</v>
      </c>
      <c r="Z991">
        <f>IF(Source!BI597=3,I991, 0)</f>
        <v>0</v>
      </c>
      <c r="AA991">
        <f>IF(Source!BI597=4,I991, 0)</f>
        <v>0</v>
      </c>
    </row>
    <row r="992" spans="1:27" ht="14.25" x14ac:dyDescent="0.2">
      <c r="A992" s="16"/>
      <c r="B992" s="17"/>
      <c r="C992" s="17" t="s">
        <v>1626</v>
      </c>
      <c r="D992" s="19" t="s">
        <v>1627</v>
      </c>
      <c r="E992" s="18">
        <f>Source!DN592</f>
        <v>140</v>
      </c>
      <c r="F992" s="21"/>
      <c r="G992" s="20"/>
      <c r="H992" s="18"/>
      <c r="I992" s="22">
        <f>SUM(Q981:Q991)</f>
        <v>21.95</v>
      </c>
      <c r="J992" s="18">
        <f>Source!BZ592</f>
        <v>112</v>
      </c>
      <c r="K992" s="22">
        <f>SUM(R981:R991)</f>
        <v>446.77</v>
      </c>
    </row>
    <row r="993" spans="1:27" ht="14.25" x14ac:dyDescent="0.2">
      <c r="A993" s="16"/>
      <c r="B993" s="17"/>
      <c r="C993" s="17" t="s">
        <v>1628</v>
      </c>
      <c r="D993" s="19" t="s">
        <v>1627</v>
      </c>
      <c r="E993" s="18">
        <f>Source!DO592</f>
        <v>79</v>
      </c>
      <c r="F993" s="21"/>
      <c r="G993" s="20"/>
      <c r="H993" s="18"/>
      <c r="I993" s="22">
        <f>SUM(S981:S992)</f>
        <v>12.39</v>
      </c>
      <c r="J993" s="18">
        <f>Source!CA592</f>
        <v>41</v>
      </c>
      <c r="K993" s="22">
        <f>SUM(T981:T992)</f>
        <v>163.55000000000001</v>
      </c>
    </row>
    <row r="994" spans="1:27" ht="14.25" x14ac:dyDescent="0.2">
      <c r="A994" s="16"/>
      <c r="B994" s="17"/>
      <c r="C994" s="17" t="s">
        <v>1633</v>
      </c>
      <c r="D994" s="19" t="s">
        <v>1627</v>
      </c>
      <c r="E994" s="18">
        <f>175</f>
        <v>175</v>
      </c>
      <c r="F994" s="21"/>
      <c r="G994" s="20"/>
      <c r="H994" s="18"/>
      <c r="I994" s="22">
        <f>SUM(U981:U993)</f>
        <v>7.6400000000000006</v>
      </c>
      <c r="J994" s="18">
        <f>157</f>
        <v>157</v>
      </c>
      <c r="K994" s="22">
        <f>SUM(V981:V993)</f>
        <v>174.52999999999994</v>
      </c>
    </row>
    <row r="995" spans="1:27" ht="14.25" x14ac:dyDescent="0.2">
      <c r="A995" s="16"/>
      <c r="B995" s="17"/>
      <c r="C995" s="17" t="s">
        <v>1629</v>
      </c>
      <c r="D995" s="19" t="s">
        <v>1630</v>
      </c>
      <c r="E995" s="18">
        <f>Source!AQ592</f>
        <v>14.4</v>
      </c>
      <c r="F995" s="21"/>
      <c r="G995" s="20" t="str">
        <f>Source!DI592</f>
        <v>)*1,15</v>
      </c>
      <c r="H995" s="18">
        <f>Source!AV592</f>
        <v>1</v>
      </c>
      <c r="I995" s="22">
        <f>Source!U592</f>
        <v>1.4903999999999997</v>
      </c>
      <c r="J995" s="18"/>
      <c r="K995" s="22"/>
    </row>
    <row r="996" spans="1:27" ht="15" x14ac:dyDescent="0.25">
      <c r="A996" s="25"/>
      <c r="B996" s="25"/>
      <c r="C996" s="25"/>
      <c r="D996" s="25"/>
      <c r="E996" s="25"/>
      <c r="F996" s="25"/>
      <c r="G996" s="25"/>
      <c r="H996" s="54">
        <f>I983+I984+I986+I992+I993+I994+SUM(I987:I991)</f>
        <v>1027.57</v>
      </c>
      <c r="I996" s="54"/>
      <c r="J996" s="54">
        <f>K983+K984+K986+K992+K993+K994+SUM(K987:K991)</f>
        <v>6638.46</v>
      </c>
      <c r="K996" s="54"/>
      <c r="O996" s="24">
        <f>I983+I984+I986+I992+I993+I994+SUM(I987:I991)</f>
        <v>1027.57</v>
      </c>
      <c r="P996" s="24">
        <f>K983+K984+K986+K992+K993+K994+SUM(K987:K991)</f>
        <v>6638.46</v>
      </c>
      <c r="X996">
        <f>IF(Source!BI592&lt;=1,I983+I984+I986+I992+I993+I994-0, 0)</f>
        <v>144.67000000000002</v>
      </c>
      <c r="Y996">
        <f>IF(Source!BI592=2,I983+I984+I986+I992+I993+I994-0, 0)</f>
        <v>0</v>
      </c>
      <c r="Z996">
        <f>IF(Source!BI592=3,I983+I984+I986+I992+I993+I994-0, 0)</f>
        <v>0</v>
      </c>
      <c r="AA996">
        <f>IF(Source!BI592=4,I983+I984+I986+I992+I993+I994,0)</f>
        <v>0</v>
      </c>
    </row>
    <row r="997" spans="1:27" ht="99.75" x14ac:dyDescent="0.2">
      <c r="A997" s="16" t="str">
        <f>Source!E598</f>
        <v>112</v>
      </c>
      <c r="B997" s="17" t="str">
        <f>Source!F598</f>
        <v>3.27-12-2</v>
      </c>
      <c r="C997" s="17" t="s">
        <v>753</v>
      </c>
      <c r="D997" s="19" t="str">
        <f>Source!H598</f>
        <v>100 м3 материала основания (в плотном теле)</v>
      </c>
      <c r="E997" s="18">
        <f>Source!I598</f>
        <v>0.32</v>
      </c>
      <c r="F997" s="21"/>
      <c r="G997" s="20"/>
      <c r="H997" s="18"/>
      <c r="I997" s="22"/>
      <c r="J997" s="18"/>
      <c r="K997" s="22"/>
      <c r="Q997">
        <f>ROUND((Source!DN598/100)*ROUND((ROUND((Source!AF598*Source!AV598*Source!I598),2)),2), 2)</f>
        <v>117.07</v>
      </c>
      <c r="R997">
        <f>Source!X598</f>
        <v>2382.56</v>
      </c>
      <c r="S997">
        <f>ROUND((Source!DO598/100)*ROUND((ROUND((Source!AF598*Source!AV598*Source!I598),2)),2), 2)</f>
        <v>66.06</v>
      </c>
      <c r="T997">
        <f>Source!Y598</f>
        <v>872.19</v>
      </c>
      <c r="U997">
        <f>ROUND((175/100)*ROUND((ROUND((Source!AE598*Source!AV598*Source!I598),2)),2), 2)</f>
        <v>325.64</v>
      </c>
      <c r="V997">
        <f>ROUND((157/100)*ROUND(ROUND((ROUND((Source!AE598*Source!AV598*Source!I598),2)*Source!BS598),2), 2), 2)</f>
        <v>7432.19</v>
      </c>
    </row>
    <row r="998" spans="1:27" x14ac:dyDescent="0.2">
      <c r="C998" s="23" t="str">
        <f>"Объем: "&amp;Source!I598&amp;"=32/"&amp;"100"</f>
        <v>Объем: 0,32=32/100</v>
      </c>
    </row>
    <row r="999" spans="1:27" ht="14.25" x14ac:dyDescent="0.2">
      <c r="A999" s="16"/>
      <c r="B999" s="17"/>
      <c r="C999" s="17" t="s">
        <v>1625</v>
      </c>
      <c r="D999" s="19"/>
      <c r="E999" s="18"/>
      <c r="F999" s="21">
        <f>Source!AO598</f>
        <v>227.23</v>
      </c>
      <c r="G999" s="20" t="str">
        <f>Source!DG598</f>
        <v>)*1,15</v>
      </c>
      <c r="H999" s="18">
        <f>Source!AV598</f>
        <v>1</v>
      </c>
      <c r="I999" s="22">
        <f>ROUND((ROUND((Source!AF598*Source!AV598*Source!I598),2)),2)</f>
        <v>83.62</v>
      </c>
      <c r="J999" s="18">
        <f>IF(Source!BA598&lt;&gt; 0, Source!BA598, 1)</f>
        <v>25.44</v>
      </c>
      <c r="K999" s="22">
        <f>Source!S598</f>
        <v>2127.29</v>
      </c>
      <c r="W999">
        <f>I999</f>
        <v>83.62</v>
      </c>
    </row>
    <row r="1000" spans="1:27" ht="14.25" x14ac:dyDescent="0.2">
      <c r="A1000" s="16"/>
      <c r="B1000" s="17"/>
      <c r="C1000" s="17" t="s">
        <v>1631</v>
      </c>
      <c r="D1000" s="19"/>
      <c r="E1000" s="18"/>
      <c r="F1000" s="21">
        <f>Source!AM598</f>
        <v>5344.54</v>
      </c>
      <c r="G1000" s="20" t="str">
        <f>Source!DE598</f>
        <v>)*1,25</v>
      </c>
      <c r="H1000" s="18">
        <f>Source!AV598</f>
        <v>1</v>
      </c>
      <c r="I1000" s="22">
        <f>(ROUND((ROUND((((Source!ET598*1.25))*Source!AV598*Source!I598),2)),2)+ROUND((ROUND(((Source!AE598-((Source!EU598*1.25)))*Source!AV598*Source!I598),2)),2))</f>
        <v>2137.8200000000002</v>
      </c>
      <c r="J1000" s="18">
        <f>IF(Source!BB598&lt;&gt; 0, Source!BB598, 1)</f>
        <v>8.73</v>
      </c>
      <c r="K1000" s="22">
        <f>Source!Q598</f>
        <v>18663.169999999998</v>
      </c>
    </row>
    <row r="1001" spans="1:27" ht="14.25" x14ac:dyDescent="0.2">
      <c r="A1001" s="16"/>
      <c r="B1001" s="17"/>
      <c r="C1001" s="17" t="s">
        <v>1632</v>
      </c>
      <c r="D1001" s="19"/>
      <c r="E1001" s="18"/>
      <c r="F1001" s="21">
        <f>Source!AN598</f>
        <v>465.21</v>
      </c>
      <c r="G1001" s="20" t="str">
        <f>Source!DF598</f>
        <v>)*1,25</v>
      </c>
      <c r="H1001" s="18">
        <f>Source!AV598</f>
        <v>1</v>
      </c>
      <c r="I1001" s="26">
        <f>ROUND((ROUND((Source!AE598*Source!AV598*Source!I598),2)),2)</f>
        <v>186.08</v>
      </c>
      <c r="J1001" s="18">
        <f>IF(Source!BS598&lt;&gt; 0, Source!BS598, 1)</f>
        <v>25.44</v>
      </c>
      <c r="K1001" s="26">
        <f>Source!R598</f>
        <v>4733.88</v>
      </c>
      <c r="W1001">
        <f>I1001</f>
        <v>186.08</v>
      </c>
    </row>
    <row r="1002" spans="1:27" ht="14.25" x14ac:dyDescent="0.2">
      <c r="A1002" s="16"/>
      <c r="B1002" s="17"/>
      <c r="C1002" s="17" t="s">
        <v>1634</v>
      </c>
      <c r="D1002" s="19"/>
      <c r="E1002" s="18"/>
      <c r="F1002" s="21">
        <f>Source!AL598</f>
        <v>49.49</v>
      </c>
      <c r="G1002" s="20" t="str">
        <f>Source!DD598</f>
        <v/>
      </c>
      <c r="H1002" s="18">
        <f>Source!AW598</f>
        <v>1</v>
      </c>
      <c r="I1002" s="22">
        <f>ROUND((ROUND((Source!AC598*Source!AW598*Source!I598),2)),2)</f>
        <v>15.84</v>
      </c>
      <c r="J1002" s="18">
        <f>IF(Source!BC598&lt;&gt; 0, Source!BC598, 1)</f>
        <v>5.14</v>
      </c>
      <c r="K1002" s="22">
        <f>Source!P598</f>
        <v>81.42</v>
      </c>
    </row>
    <row r="1003" spans="1:27" ht="42.75" x14ac:dyDescent="0.2">
      <c r="A1003" s="16" t="str">
        <f>Source!E599</f>
        <v>112,1</v>
      </c>
      <c r="B1003" s="17" t="str">
        <f>Source!F599</f>
        <v>1.1-1-1548</v>
      </c>
      <c r="C1003" s="17" t="s">
        <v>756</v>
      </c>
      <c r="D1003" s="19" t="str">
        <f>Source!H599</f>
        <v>м3</v>
      </c>
      <c r="E1003" s="18">
        <f>Source!I599</f>
        <v>20</v>
      </c>
      <c r="F1003" s="21">
        <f>Source!AK599</f>
        <v>206.56</v>
      </c>
      <c r="G1003" s="27" t="s">
        <v>3</v>
      </c>
      <c r="H1003" s="18">
        <f>Source!AW599</f>
        <v>1</v>
      </c>
      <c r="I1003" s="22">
        <f>ROUND((ROUND((Source!AC599*Source!AW599*Source!I599),2)),2)+(ROUND((ROUND(((Source!ET599)*Source!AV599*Source!I599),2)),2)+ROUND((ROUND(((Source!AE599-(Source!EU599))*Source!AV599*Source!I599),2)),2))+ROUND((ROUND((Source!AF599*Source!AV599*Source!I599),2)),2)</f>
        <v>4131.2</v>
      </c>
      <c r="J1003" s="18">
        <f>IF(Source!BC599&lt;&gt; 0, Source!BC599, 1)</f>
        <v>9.41</v>
      </c>
      <c r="K1003" s="22">
        <f>Source!O599</f>
        <v>38874.589999999997</v>
      </c>
      <c r="Q1003">
        <f>ROUND((Source!DN599/100)*ROUND((ROUND((Source!AF599*Source!AV599*Source!I599),2)),2), 2)</f>
        <v>0</v>
      </c>
      <c r="R1003">
        <f>Source!X599</f>
        <v>0</v>
      </c>
      <c r="S1003">
        <f>ROUND((Source!DO599/100)*ROUND((ROUND((Source!AF599*Source!AV599*Source!I599),2)),2), 2)</f>
        <v>0</v>
      </c>
      <c r="T1003">
        <f>Source!Y599</f>
        <v>0</v>
      </c>
      <c r="U1003">
        <f>ROUND((175/100)*ROUND((ROUND((Source!AE599*Source!AV599*Source!I599),2)),2), 2)</f>
        <v>0</v>
      </c>
      <c r="V1003">
        <f>ROUND((157/100)*ROUND(ROUND((ROUND((Source!AE599*Source!AV599*Source!I599),2)*Source!BS599),2), 2), 2)</f>
        <v>0</v>
      </c>
      <c r="X1003">
        <f>IF(Source!BI599&lt;=1,I1003, 0)</f>
        <v>4131.2</v>
      </c>
      <c r="Y1003">
        <f>IF(Source!BI599=2,I1003, 0)</f>
        <v>0</v>
      </c>
      <c r="Z1003">
        <f>IF(Source!BI599=3,I1003, 0)</f>
        <v>0</v>
      </c>
      <c r="AA1003">
        <f>IF(Source!BI599=4,I1003, 0)</f>
        <v>0</v>
      </c>
    </row>
    <row r="1004" spans="1:27" ht="42.75" x14ac:dyDescent="0.2">
      <c r="A1004" s="16" t="str">
        <f>Source!E600</f>
        <v>112,2</v>
      </c>
      <c r="B1004" s="17" t="str">
        <f>Source!F600</f>
        <v>1.1-1-1550</v>
      </c>
      <c r="C1004" s="17" t="s">
        <v>760</v>
      </c>
      <c r="D1004" s="19" t="str">
        <f>Source!H600</f>
        <v>м3</v>
      </c>
      <c r="E1004" s="18">
        <f>Source!I600</f>
        <v>12</v>
      </c>
      <c r="F1004" s="21">
        <f>Source!AK600</f>
        <v>173.37</v>
      </c>
      <c r="G1004" s="27" t="s">
        <v>3</v>
      </c>
      <c r="H1004" s="18">
        <f>Source!AW600</f>
        <v>1</v>
      </c>
      <c r="I1004" s="22">
        <f>ROUND((ROUND((Source!AC600*Source!AW600*Source!I600),2)),2)+(ROUND((ROUND(((Source!ET600)*Source!AV600*Source!I600),2)),2)+ROUND((ROUND(((Source!AE600-(Source!EU600))*Source!AV600*Source!I600),2)),2))+ROUND((ROUND((Source!AF600*Source!AV600*Source!I600),2)),2)</f>
        <v>2080.44</v>
      </c>
      <c r="J1004" s="18">
        <f>IF(Source!BC600&lt;&gt; 0, Source!BC600, 1)</f>
        <v>11.55</v>
      </c>
      <c r="K1004" s="22">
        <f>Source!O600</f>
        <v>24029.08</v>
      </c>
      <c r="Q1004">
        <f>ROUND((Source!DN600/100)*ROUND((ROUND((Source!AF600*Source!AV600*Source!I600),2)),2), 2)</f>
        <v>0</v>
      </c>
      <c r="R1004">
        <f>Source!X600</f>
        <v>0</v>
      </c>
      <c r="S1004">
        <f>ROUND((Source!DO600/100)*ROUND((ROUND((Source!AF600*Source!AV600*Source!I600),2)),2), 2)</f>
        <v>0</v>
      </c>
      <c r="T1004">
        <f>Source!Y600</f>
        <v>0</v>
      </c>
      <c r="U1004">
        <f>ROUND((175/100)*ROUND((ROUND((Source!AE600*Source!AV600*Source!I600),2)),2), 2)</f>
        <v>0</v>
      </c>
      <c r="V1004">
        <f>ROUND((157/100)*ROUND(ROUND((ROUND((Source!AE600*Source!AV600*Source!I600),2)*Source!BS600),2), 2), 2)</f>
        <v>0</v>
      </c>
      <c r="X1004">
        <f>IF(Source!BI600&lt;=1,I1004, 0)</f>
        <v>2080.44</v>
      </c>
      <c r="Y1004">
        <f>IF(Source!BI600=2,I1004, 0)</f>
        <v>0</v>
      </c>
      <c r="Z1004">
        <f>IF(Source!BI600=3,I1004, 0)</f>
        <v>0</v>
      </c>
      <c r="AA1004">
        <f>IF(Source!BI600=4,I1004, 0)</f>
        <v>0</v>
      </c>
    </row>
    <row r="1005" spans="1:27" ht="28.5" x14ac:dyDescent="0.2">
      <c r="A1005" s="16" t="str">
        <f>Source!E601</f>
        <v>112,3</v>
      </c>
      <c r="B1005" s="17" t="str">
        <f>Source!F601</f>
        <v>2.1-5-7</v>
      </c>
      <c r="C1005" s="17" t="s">
        <v>742</v>
      </c>
      <c r="D1005" s="19" t="str">
        <f>Source!H601</f>
        <v>маш.-ч.</v>
      </c>
      <c r="E1005" s="18">
        <f>Source!I601</f>
        <v>-0.20800000000000002</v>
      </c>
      <c r="F1005" s="21">
        <f>Source!AK601</f>
        <v>177.54</v>
      </c>
      <c r="G1005" s="27" t="s">
        <v>1664</v>
      </c>
      <c r="H1005" s="18">
        <f>Source!AV601</f>
        <v>1</v>
      </c>
      <c r="I1005" s="22">
        <f>ROUND((ROUND((Source!AC601*Source!AW601*Source!I601),2)),2)+(ROUND((ROUND(((Source!ET601)*Source!AV601*Source!I601),2)),2)+ROUND((ROUND(((Source!AE601-(Source!EU601))*Source!AV601*Source!I601),2)),2))+ROUND((ROUND((Source!AF601*Source!AV601*Source!I601),2)),2)</f>
        <v>-36.93</v>
      </c>
      <c r="J1005" s="18">
        <f>IF(Source!BB601&lt;&gt; 0, Source!BB601, 1)</f>
        <v>8.8800000000000008</v>
      </c>
      <c r="K1005" s="22">
        <f>Source!O601</f>
        <v>-327.94</v>
      </c>
      <c r="Q1005">
        <f>ROUND((Source!DN601/100)*ROUND((ROUND((Source!AF601*Source!AV601*Source!I601),2)),2), 2)</f>
        <v>0</v>
      </c>
      <c r="R1005">
        <f>Source!X601</f>
        <v>0</v>
      </c>
      <c r="S1005">
        <f>ROUND((Source!DO601/100)*ROUND((ROUND((Source!AF601*Source!AV601*Source!I601),2)),2), 2)</f>
        <v>0</v>
      </c>
      <c r="T1005">
        <f>Source!Y601</f>
        <v>0</v>
      </c>
      <c r="U1005">
        <f>ROUND((175/100)*ROUND((ROUND((Source!AE601*Source!AV601*Source!I601),2)),2), 2)</f>
        <v>-6.34</v>
      </c>
      <c r="V1005">
        <f>ROUND((157/100)*ROUND(ROUND((ROUND((Source!AE601*Source!AV601*Source!I601),2)*Source!BS601),2), 2), 2)</f>
        <v>-144.58000000000001</v>
      </c>
      <c r="X1005">
        <f>IF(Source!BI601&lt;=1,I1005, 0)</f>
        <v>-36.93</v>
      </c>
      <c r="Y1005">
        <f>IF(Source!BI601=2,I1005, 0)</f>
        <v>0</v>
      </c>
      <c r="Z1005">
        <f>IF(Source!BI601=3,I1005, 0)</f>
        <v>0</v>
      </c>
      <c r="AA1005">
        <f>IF(Source!BI601=4,I1005, 0)</f>
        <v>0</v>
      </c>
    </row>
    <row r="1006" spans="1:27" ht="28.5" x14ac:dyDescent="0.2">
      <c r="A1006" s="16" t="str">
        <f>Source!E602</f>
        <v>112,4</v>
      </c>
      <c r="B1006" s="17" t="str">
        <f>Source!F602</f>
        <v>2.1-5-48</v>
      </c>
      <c r="C1006" s="17" t="s">
        <v>737</v>
      </c>
      <c r="D1006" s="19" t="str">
        <f>Source!H602</f>
        <v>маш.-ч.</v>
      </c>
      <c r="E1006" s="18">
        <f>Source!I602</f>
        <v>-0.71599999999999997</v>
      </c>
      <c r="F1006" s="21">
        <f>Source!AK602</f>
        <v>125.13</v>
      </c>
      <c r="G1006" s="27" t="s">
        <v>1664</v>
      </c>
      <c r="H1006" s="18">
        <f>Source!AV602</f>
        <v>1</v>
      </c>
      <c r="I1006" s="22">
        <f>ROUND((ROUND((Source!AC602*Source!AW602*Source!I602),2)),2)+(ROUND((ROUND(((Source!ET602)*Source!AV602*Source!I602),2)),2)+ROUND((ROUND(((Source!AE602-(Source!EU602))*Source!AV602*Source!I602),2)),2))+ROUND((ROUND((Source!AF602*Source!AV602*Source!I602),2)),2)</f>
        <v>-89.59</v>
      </c>
      <c r="J1006" s="18">
        <f>IF(Source!BB602&lt;&gt; 0, Source!BB602, 1)</f>
        <v>12.15</v>
      </c>
      <c r="K1006" s="22">
        <f>Source!O602</f>
        <v>-1088.52</v>
      </c>
      <c r="Q1006">
        <f>ROUND((Source!DN602/100)*ROUND((ROUND((Source!AF602*Source!AV602*Source!I602),2)),2), 2)</f>
        <v>0</v>
      </c>
      <c r="R1006">
        <f>Source!X602</f>
        <v>0</v>
      </c>
      <c r="S1006">
        <f>ROUND((Source!DO602/100)*ROUND((ROUND((Source!AF602*Source!AV602*Source!I602),2)),2), 2)</f>
        <v>0</v>
      </c>
      <c r="T1006">
        <f>Source!Y602</f>
        <v>0</v>
      </c>
      <c r="U1006">
        <f>ROUND((175/100)*ROUND((ROUND((Source!AE602*Source!AV602*Source!I602),2)),2), 2)</f>
        <v>-30.99</v>
      </c>
      <c r="V1006">
        <f>ROUND((157/100)*ROUND(ROUND((ROUND((Source!AE602*Source!AV602*Source!I602),2)*Source!BS602),2), 2), 2)</f>
        <v>-707.35</v>
      </c>
      <c r="X1006">
        <f>IF(Source!BI602&lt;=1,I1006, 0)</f>
        <v>-89.59</v>
      </c>
      <c r="Y1006">
        <f>IF(Source!BI602=2,I1006, 0)</f>
        <v>0</v>
      </c>
      <c r="Z1006">
        <f>IF(Source!BI602=3,I1006, 0)</f>
        <v>0</v>
      </c>
      <c r="AA1006">
        <f>IF(Source!BI602=4,I1006, 0)</f>
        <v>0</v>
      </c>
    </row>
    <row r="1007" spans="1:27" ht="28.5" x14ac:dyDescent="0.2">
      <c r="A1007" s="16" t="str">
        <f>Source!E603</f>
        <v>112,5</v>
      </c>
      <c r="B1007" s="17" t="str">
        <f>Source!F603</f>
        <v>2.1-5-3</v>
      </c>
      <c r="C1007" s="17" t="s">
        <v>766</v>
      </c>
      <c r="D1007" s="19" t="str">
        <f>Source!H603</f>
        <v>маш.-ч.</v>
      </c>
      <c r="E1007" s="18">
        <f>Source!I603</f>
        <v>-5.84</v>
      </c>
      <c r="F1007" s="21">
        <f>Source!AK603</f>
        <v>219.5</v>
      </c>
      <c r="G1007" s="27" t="s">
        <v>1664</v>
      </c>
      <c r="H1007" s="18">
        <f>Source!AV603</f>
        <v>1</v>
      </c>
      <c r="I1007" s="22">
        <f>ROUND((ROUND((Source!AC603*Source!AW603*Source!I603),2)),2)+(ROUND((ROUND(((Source!ET603)*Source!AV603*Source!I603),2)),2)+ROUND((ROUND(((Source!AE603-(Source!EU603))*Source!AV603*Source!I603),2)),2))+ROUND((ROUND((Source!AF603*Source!AV603*Source!I603),2)),2)</f>
        <v>-1281.8800000000001</v>
      </c>
      <c r="J1007" s="18">
        <f>IF(Source!BB603&lt;&gt; 0, Source!BB603, 1)</f>
        <v>8.6199999999999992</v>
      </c>
      <c r="K1007" s="22">
        <f>Source!O603</f>
        <v>-11049.81</v>
      </c>
      <c r="Q1007">
        <f>ROUND((Source!DN603/100)*ROUND((ROUND((Source!AF603*Source!AV603*Source!I603),2)),2), 2)</f>
        <v>0</v>
      </c>
      <c r="R1007">
        <f>Source!X603</f>
        <v>0</v>
      </c>
      <c r="S1007">
        <f>ROUND((Source!DO603/100)*ROUND((ROUND((Source!AF603*Source!AV603*Source!I603),2)),2), 2)</f>
        <v>0</v>
      </c>
      <c r="T1007">
        <f>Source!Y603</f>
        <v>0</v>
      </c>
      <c r="U1007">
        <f>ROUND((175/100)*ROUND((ROUND((Source!AE603*Source!AV603*Source!I603),2)),2), 2)</f>
        <v>-178.96</v>
      </c>
      <c r="V1007">
        <f>ROUND((157/100)*ROUND(ROUND((ROUND((Source!AE603*Source!AV603*Source!I603),2)*Source!BS603),2), 2), 2)</f>
        <v>-4084.34</v>
      </c>
      <c r="X1007">
        <f>IF(Source!BI603&lt;=1,I1007, 0)</f>
        <v>-1281.8800000000001</v>
      </c>
      <c r="Y1007">
        <f>IF(Source!BI603=2,I1007, 0)</f>
        <v>0</v>
      </c>
      <c r="Z1007">
        <f>IF(Source!BI603=3,I1007, 0)</f>
        <v>0</v>
      </c>
      <c r="AA1007">
        <f>IF(Source!BI603=4,I1007, 0)</f>
        <v>0</v>
      </c>
    </row>
    <row r="1008" spans="1:27" ht="28.5" x14ac:dyDescent="0.2">
      <c r="A1008" s="16" t="str">
        <f>Source!E604</f>
        <v>112,6</v>
      </c>
      <c r="B1008" s="17" t="str">
        <f>Source!F604</f>
        <v>2.1-1-43</v>
      </c>
      <c r="C1008" s="17" t="s">
        <v>770</v>
      </c>
      <c r="D1008" s="19" t="str">
        <f>Source!H604</f>
        <v>маш.-ч.</v>
      </c>
      <c r="E1008" s="18">
        <f>Source!I604</f>
        <v>-0.94000000000000006</v>
      </c>
      <c r="F1008" s="21">
        <f>Source!AK604</f>
        <v>163.47999999999999</v>
      </c>
      <c r="G1008" s="27" t="s">
        <v>1664</v>
      </c>
      <c r="H1008" s="18">
        <f>Source!AV604</f>
        <v>1</v>
      </c>
      <c r="I1008" s="22">
        <f>ROUND((ROUND((Source!AC604*Source!AW604*Source!I604),2)),2)+(ROUND((ROUND(((Source!ET604)*Source!AV604*Source!I604),2)),2)+ROUND((ROUND(((Source!AE604-(Source!EU604))*Source!AV604*Source!I604),2)),2))+ROUND((ROUND((Source!AF604*Source!AV604*Source!I604),2)),2)</f>
        <v>-153.66999999999999</v>
      </c>
      <c r="J1008" s="18">
        <f>IF(Source!BB604&lt;&gt; 0, Source!BB604, 1)</f>
        <v>8.5500000000000007</v>
      </c>
      <c r="K1008" s="22">
        <f>Source!O604</f>
        <v>-1313.88</v>
      </c>
      <c r="Q1008">
        <f>ROUND((Source!DN604/100)*ROUND((ROUND((Source!AF604*Source!AV604*Source!I604),2)),2), 2)</f>
        <v>0</v>
      </c>
      <c r="R1008">
        <f>Source!X604</f>
        <v>0</v>
      </c>
      <c r="S1008">
        <f>ROUND((Source!DO604/100)*ROUND((ROUND((Source!AF604*Source!AV604*Source!I604),2)),2), 2)</f>
        <v>0</v>
      </c>
      <c r="T1008">
        <f>Source!Y604</f>
        <v>0</v>
      </c>
      <c r="U1008">
        <f>ROUND((175/100)*ROUND((ROUND((Source!AE604*Source!AV604*Source!I604),2)),2), 2)</f>
        <v>-25.45</v>
      </c>
      <c r="V1008">
        <f>ROUND((157/100)*ROUND(ROUND((ROUND((Source!AE604*Source!AV604*Source!I604),2)*Source!BS604),2), 2), 2)</f>
        <v>-580.74</v>
      </c>
      <c r="X1008">
        <f>IF(Source!BI604&lt;=1,I1008, 0)</f>
        <v>-153.66999999999999</v>
      </c>
      <c r="Y1008">
        <f>IF(Source!BI604=2,I1008, 0)</f>
        <v>0</v>
      </c>
      <c r="Z1008">
        <f>IF(Source!BI604=3,I1008, 0)</f>
        <v>0</v>
      </c>
      <c r="AA1008">
        <f>IF(Source!BI604=4,I1008, 0)</f>
        <v>0</v>
      </c>
    </row>
    <row r="1009" spans="1:27" ht="28.5" x14ac:dyDescent="0.2">
      <c r="A1009" s="16" t="str">
        <f>Source!E605</f>
        <v>112,7</v>
      </c>
      <c r="B1009" s="17" t="str">
        <f>Source!F605</f>
        <v>2.1-5-18</v>
      </c>
      <c r="C1009" s="17" t="s">
        <v>746</v>
      </c>
      <c r="D1009" s="19" t="str">
        <f>Source!H605</f>
        <v>маш.-ч.</v>
      </c>
      <c r="E1009" s="18">
        <f>Source!I605</f>
        <v>-0.36399999999999999</v>
      </c>
      <c r="F1009" s="21">
        <f>Source!AK605</f>
        <v>246.68</v>
      </c>
      <c r="G1009" s="27" t="s">
        <v>1664</v>
      </c>
      <c r="H1009" s="18">
        <f>Source!AV605</f>
        <v>1</v>
      </c>
      <c r="I1009" s="22">
        <f>ROUND((ROUND((Source!AC605*Source!AW605*Source!I605),2)),2)+(ROUND((ROUND(((Source!ET605)*Source!AV605*Source!I605),2)),2)+ROUND((ROUND(((Source!AE605-(Source!EU605))*Source!AV605*Source!I605),2)),2))+ROUND((ROUND((Source!AF605*Source!AV605*Source!I605),2)),2)</f>
        <v>-89.79</v>
      </c>
      <c r="J1009" s="18">
        <f>IF(Source!BB605&lt;&gt; 0, Source!BB605, 1)</f>
        <v>8.25</v>
      </c>
      <c r="K1009" s="22">
        <f>Source!O605</f>
        <v>-740.77</v>
      </c>
      <c r="Q1009">
        <f>ROUND((Source!DN605/100)*ROUND((ROUND((Source!AF605*Source!AV605*Source!I605),2)),2), 2)</f>
        <v>0</v>
      </c>
      <c r="R1009">
        <f>Source!X605</f>
        <v>0</v>
      </c>
      <c r="S1009">
        <f>ROUND((Source!DO605/100)*ROUND((ROUND((Source!AF605*Source!AV605*Source!I605),2)),2), 2)</f>
        <v>0</v>
      </c>
      <c r="T1009">
        <f>Source!Y605</f>
        <v>0</v>
      </c>
      <c r="U1009">
        <f>ROUND((175/100)*ROUND((ROUND((Source!AE605*Source!AV605*Source!I605),2)),2), 2)</f>
        <v>-8.52</v>
      </c>
      <c r="V1009">
        <f>ROUND((157/100)*ROUND(ROUND((ROUND((Source!AE605*Source!AV605*Source!I605),2)*Source!BS605),2), 2), 2)</f>
        <v>-194.51</v>
      </c>
      <c r="X1009">
        <f>IF(Source!BI605&lt;=1,I1009, 0)</f>
        <v>-89.79</v>
      </c>
      <c r="Y1009">
        <f>IF(Source!BI605=2,I1009, 0)</f>
        <v>0</v>
      </c>
      <c r="Z1009">
        <f>IF(Source!BI605=3,I1009, 0)</f>
        <v>0</v>
      </c>
      <c r="AA1009">
        <f>IF(Source!BI605=4,I1009, 0)</f>
        <v>0</v>
      </c>
    </row>
    <row r="1010" spans="1:27" ht="14.25" x14ac:dyDescent="0.2">
      <c r="A1010" s="16"/>
      <c r="B1010" s="17"/>
      <c r="C1010" s="17" t="s">
        <v>1626</v>
      </c>
      <c r="D1010" s="19" t="s">
        <v>1627</v>
      </c>
      <c r="E1010" s="18">
        <f>Source!DN598</f>
        <v>140</v>
      </c>
      <c r="F1010" s="21"/>
      <c r="G1010" s="20"/>
      <c r="H1010" s="18"/>
      <c r="I1010" s="22">
        <f>SUM(Q997:Q1009)</f>
        <v>117.07</v>
      </c>
      <c r="J1010" s="18">
        <f>Source!BZ598</f>
        <v>112</v>
      </c>
      <c r="K1010" s="22">
        <f>SUM(R997:R1009)</f>
        <v>2382.56</v>
      </c>
    </row>
    <row r="1011" spans="1:27" ht="14.25" x14ac:dyDescent="0.2">
      <c r="A1011" s="16"/>
      <c r="B1011" s="17"/>
      <c r="C1011" s="17" t="s">
        <v>1628</v>
      </c>
      <c r="D1011" s="19" t="s">
        <v>1627</v>
      </c>
      <c r="E1011" s="18">
        <f>Source!DO598</f>
        <v>79</v>
      </c>
      <c r="F1011" s="21"/>
      <c r="G1011" s="20"/>
      <c r="H1011" s="18"/>
      <c r="I1011" s="22">
        <f>SUM(S997:S1010)</f>
        <v>66.06</v>
      </c>
      <c r="J1011" s="18">
        <f>Source!CA598</f>
        <v>41</v>
      </c>
      <c r="K1011" s="22">
        <f>SUM(T997:T1010)</f>
        <v>872.19</v>
      </c>
    </row>
    <row r="1012" spans="1:27" ht="14.25" x14ac:dyDescent="0.2">
      <c r="A1012" s="16"/>
      <c r="B1012" s="17"/>
      <c r="C1012" s="17" t="s">
        <v>1633</v>
      </c>
      <c r="D1012" s="19" t="s">
        <v>1627</v>
      </c>
      <c r="E1012" s="18">
        <f>175</f>
        <v>175</v>
      </c>
      <c r="F1012" s="21"/>
      <c r="G1012" s="20"/>
      <c r="H1012" s="18"/>
      <c r="I1012" s="22">
        <f>SUM(U997:U1011)</f>
        <v>75.38</v>
      </c>
      <c r="J1012" s="18">
        <f>157</f>
        <v>157</v>
      </c>
      <c r="K1012" s="22">
        <f>SUM(V997:V1011)</f>
        <v>1720.6699999999992</v>
      </c>
    </row>
    <row r="1013" spans="1:27" ht="14.25" x14ac:dyDescent="0.2">
      <c r="A1013" s="16"/>
      <c r="B1013" s="17"/>
      <c r="C1013" s="17" t="s">
        <v>1629</v>
      </c>
      <c r="D1013" s="19" t="s">
        <v>1630</v>
      </c>
      <c r="E1013" s="18">
        <f>Source!AQ598</f>
        <v>21.6</v>
      </c>
      <c r="F1013" s="21"/>
      <c r="G1013" s="20" t="str">
        <f>Source!DI598</f>
        <v>)*1,15</v>
      </c>
      <c r="H1013" s="18">
        <f>Source!AV598</f>
        <v>1</v>
      </c>
      <c r="I1013" s="22">
        <f>Source!U598</f>
        <v>7.9488000000000003</v>
      </c>
      <c r="J1013" s="18"/>
      <c r="K1013" s="22"/>
    </row>
    <row r="1014" spans="1:27" ht="15" x14ac:dyDescent="0.25">
      <c r="A1014" s="25"/>
      <c r="B1014" s="25"/>
      <c r="C1014" s="25"/>
      <c r="D1014" s="25"/>
      <c r="E1014" s="25"/>
      <c r="F1014" s="25"/>
      <c r="G1014" s="25"/>
      <c r="H1014" s="54">
        <f>I999+I1000+I1002+I1010+I1011+I1012+SUM(I1003:I1009)</f>
        <v>7055.57</v>
      </c>
      <c r="I1014" s="54"/>
      <c r="J1014" s="54">
        <f>K999+K1000+K1002+K1010+K1011+K1012+SUM(K1003:K1009)</f>
        <v>74230.05</v>
      </c>
      <c r="K1014" s="54"/>
      <c r="O1014" s="24">
        <f>I999+I1000+I1002+I1010+I1011+I1012+SUM(I1003:I1009)</f>
        <v>7055.57</v>
      </c>
      <c r="P1014" s="24">
        <f>K999+K1000+K1002+K1010+K1011+K1012+SUM(K1003:K1009)</f>
        <v>74230.05</v>
      </c>
      <c r="X1014">
        <f>IF(Source!BI598&lt;=1,I999+I1000+I1002+I1010+I1011+I1012-0, 0)</f>
        <v>2495.7900000000004</v>
      </c>
      <c r="Y1014">
        <f>IF(Source!BI598=2,I999+I1000+I1002+I1010+I1011+I1012-0, 0)</f>
        <v>0</v>
      </c>
      <c r="Z1014">
        <f>IF(Source!BI598=3,I999+I1000+I1002+I1010+I1011+I1012-0, 0)</f>
        <v>0</v>
      </c>
      <c r="AA1014">
        <f>IF(Source!BI598=4,I999+I1000+I1002+I1010+I1011+I1012,0)</f>
        <v>0</v>
      </c>
    </row>
    <row r="1015" spans="1:27" ht="42.75" x14ac:dyDescent="0.2">
      <c r="A1015" s="16" t="str">
        <f>Source!E606</f>
        <v>113</v>
      </c>
      <c r="B1015" s="17" t="str">
        <f>Source!F606</f>
        <v>3.23-36-3</v>
      </c>
      <c r="C1015" s="17" t="s">
        <v>775</v>
      </c>
      <c r="D1015" s="19" t="str">
        <f>Source!H606</f>
        <v>1  ШТ.</v>
      </c>
      <c r="E1015" s="18">
        <f>Source!I606</f>
        <v>2</v>
      </c>
      <c r="F1015" s="21"/>
      <c r="G1015" s="20"/>
      <c r="H1015" s="18"/>
      <c r="I1015" s="22"/>
      <c r="J1015" s="18"/>
      <c r="K1015" s="22"/>
      <c r="Q1015">
        <f>ROUND((Source!DN606/100)*ROUND((ROUND((Source!AF606*Source!AV606*Source!I606),2)),2), 2)</f>
        <v>228.59</v>
      </c>
      <c r="R1015">
        <f>Source!X606</f>
        <v>4712.42</v>
      </c>
      <c r="S1015">
        <f>ROUND((Source!DO606/100)*ROUND((ROUND((Source!AF606*Source!AV606*Source!I606),2)),2), 2)</f>
        <v>134</v>
      </c>
      <c r="T1015">
        <f>Source!Y606</f>
        <v>2055.42</v>
      </c>
      <c r="U1015">
        <f>ROUND((175/100)*ROUND((ROUND((Source!AE606*Source!AV606*Source!I606),2)),2), 2)</f>
        <v>2.98</v>
      </c>
      <c r="V1015">
        <f>ROUND((157/100)*ROUND(ROUND((ROUND((Source!AE606*Source!AV606*Source!I606),2)*Source!BS606),2), 2), 2)</f>
        <v>67.900000000000006</v>
      </c>
    </row>
    <row r="1016" spans="1:27" ht="14.25" x14ac:dyDescent="0.2">
      <c r="A1016" s="16"/>
      <c r="B1016" s="17"/>
      <c r="C1016" s="17" t="s">
        <v>1625</v>
      </c>
      <c r="D1016" s="19"/>
      <c r="E1016" s="18"/>
      <c r="F1016" s="21">
        <f>Source!AO606</f>
        <v>85.68</v>
      </c>
      <c r="G1016" s="20" t="str">
        <f>Source!DG606</f>
        <v>)*1,15</v>
      </c>
      <c r="H1016" s="18">
        <f>Source!AV606</f>
        <v>1</v>
      </c>
      <c r="I1016" s="22">
        <f>ROUND((ROUND((Source!AF606*Source!AV606*Source!I606),2)),2)</f>
        <v>197.06</v>
      </c>
      <c r="J1016" s="18">
        <f>IF(Source!BA606&lt;&gt; 0, Source!BA606, 1)</f>
        <v>25.44</v>
      </c>
      <c r="K1016" s="22">
        <f>Source!S606</f>
        <v>5013.21</v>
      </c>
      <c r="W1016">
        <f>I1016</f>
        <v>197.06</v>
      </c>
    </row>
    <row r="1017" spans="1:27" ht="14.25" x14ac:dyDescent="0.2">
      <c r="A1017" s="16"/>
      <c r="B1017" s="17"/>
      <c r="C1017" s="17" t="s">
        <v>1631</v>
      </c>
      <c r="D1017" s="19"/>
      <c r="E1017" s="18"/>
      <c r="F1017" s="21">
        <f>Source!AM606</f>
        <v>6.35</v>
      </c>
      <c r="G1017" s="20" t="str">
        <f>Source!DE606</f>
        <v>)*1,25</v>
      </c>
      <c r="H1017" s="18">
        <f>Source!AV606</f>
        <v>1</v>
      </c>
      <c r="I1017" s="22">
        <f>(ROUND((ROUND((((Source!ET606*1.25))*Source!AV606*Source!I606),2)),2)+ROUND((ROUND(((Source!AE606-((Source!EU606*1.25)))*Source!AV606*Source!I606),2)),2))</f>
        <v>15.88</v>
      </c>
      <c r="J1017" s="18">
        <f>IF(Source!BB606&lt;&gt; 0, Source!BB606, 1)</f>
        <v>8.5399999999999991</v>
      </c>
      <c r="K1017" s="22">
        <f>Source!Q606</f>
        <v>135.62</v>
      </c>
    </row>
    <row r="1018" spans="1:27" ht="14.25" x14ac:dyDescent="0.2">
      <c r="A1018" s="16"/>
      <c r="B1018" s="17"/>
      <c r="C1018" s="17" t="s">
        <v>1632</v>
      </c>
      <c r="D1018" s="19"/>
      <c r="E1018" s="18"/>
      <c r="F1018" s="21">
        <f>Source!AN606</f>
        <v>0.68</v>
      </c>
      <c r="G1018" s="20" t="str">
        <f>Source!DF606</f>
        <v>)*1,25</v>
      </c>
      <c r="H1018" s="18">
        <f>Source!AV606</f>
        <v>1</v>
      </c>
      <c r="I1018" s="26">
        <f>ROUND((ROUND((Source!AE606*Source!AV606*Source!I606),2)),2)</f>
        <v>1.7</v>
      </c>
      <c r="J1018" s="18">
        <f>IF(Source!BS606&lt;&gt; 0, Source!BS606, 1)</f>
        <v>25.44</v>
      </c>
      <c r="K1018" s="26">
        <f>Source!R606</f>
        <v>43.25</v>
      </c>
      <c r="W1018">
        <f>I1018</f>
        <v>1.7</v>
      </c>
    </row>
    <row r="1019" spans="1:27" ht="14.25" x14ac:dyDescent="0.2">
      <c r="A1019" s="16"/>
      <c r="B1019" s="17"/>
      <c r="C1019" s="17" t="s">
        <v>1634</v>
      </c>
      <c r="D1019" s="19"/>
      <c r="E1019" s="18"/>
      <c r="F1019" s="21">
        <f>Source!AL606</f>
        <v>314.24</v>
      </c>
      <c r="G1019" s="20" t="str">
        <f>Source!DD606</f>
        <v/>
      </c>
      <c r="H1019" s="18">
        <f>Source!AW606</f>
        <v>1</v>
      </c>
      <c r="I1019" s="22">
        <f>ROUND((ROUND((Source!AC606*Source!AW606*Source!I606),2)),2)</f>
        <v>628.48</v>
      </c>
      <c r="J1019" s="18">
        <f>IF(Source!BC606&lt;&gt; 0, Source!BC606, 1)</f>
        <v>5.78</v>
      </c>
      <c r="K1019" s="22">
        <f>Source!P606</f>
        <v>3632.61</v>
      </c>
    </row>
    <row r="1020" spans="1:27" ht="85.5" x14ac:dyDescent="0.2">
      <c r="A1020" s="16" t="str">
        <f>Source!E607</f>
        <v>113,1</v>
      </c>
      <c r="B1020" s="17" t="str">
        <f>Source!F607</f>
        <v>1.17-8-20</v>
      </c>
      <c r="C1020" s="17" t="s">
        <v>778</v>
      </c>
      <c r="D1020" s="19" t="str">
        <f>Source!H607</f>
        <v>шт.</v>
      </c>
      <c r="E1020" s="18">
        <f>Source!I607</f>
        <v>2</v>
      </c>
      <c r="F1020" s="21">
        <f>Source!AK607</f>
        <v>7360.97</v>
      </c>
      <c r="G1020" s="27" t="s">
        <v>3</v>
      </c>
      <c r="H1020" s="18">
        <f>Source!AW607</f>
        <v>1</v>
      </c>
      <c r="I1020" s="22">
        <f>ROUND((ROUND((Source!AC607*Source!AW607*Source!I607),2)),2)+(ROUND((ROUND(((Source!ET607)*Source!AV607*Source!I607),2)),2)+ROUND((ROUND(((Source!AE607-(Source!EU607))*Source!AV607*Source!I607),2)),2))+ROUND((ROUND((Source!AF607*Source!AV607*Source!I607),2)),2)</f>
        <v>14721.94</v>
      </c>
      <c r="J1020" s="18">
        <f>IF(Source!BC607&lt;&gt; 0, Source!BC607, 1)</f>
        <v>10.07</v>
      </c>
      <c r="K1020" s="22">
        <f>Source!O607</f>
        <v>148249.94</v>
      </c>
      <c r="Q1020">
        <f>ROUND((Source!DN607/100)*ROUND((ROUND((Source!AF607*Source!AV607*Source!I607),2)),2), 2)</f>
        <v>0</v>
      </c>
      <c r="R1020">
        <f>Source!X607</f>
        <v>0</v>
      </c>
      <c r="S1020">
        <f>ROUND((Source!DO607/100)*ROUND((ROUND((Source!AF607*Source!AV607*Source!I607),2)),2), 2)</f>
        <v>0</v>
      </c>
      <c r="T1020">
        <f>Source!Y607</f>
        <v>0</v>
      </c>
      <c r="U1020">
        <f>ROUND((175/100)*ROUND((ROUND((Source!AE607*Source!AV607*Source!I607),2)),2), 2)</f>
        <v>0</v>
      </c>
      <c r="V1020">
        <f>ROUND((157/100)*ROUND(ROUND((ROUND((Source!AE607*Source!AV607*Source!I607),2)*Source!BS607),2), 2), 2)</f>
        <v>0</v>
      </c>
      <c r="X1020">
        <f>IF(Source!BI607&lt;=1,I1020, 0)</f>
        <v>14721.94</v>
      </c>
      <c r="Y1020">
        <f>IF(Source!BI607=2,I1020, 0)</f>
        <v>0</v>
      </c>
      <c r="Z1020">
        <f>IF(Source!BI607=3,I1020, 0)</f>
        <v>0</v>
      </c>
      <c r="AA1020">
        <f>IF(Source!BI607=4,I1020, 0)</f>
        <v>0</v>
      </c>
    </row>
    <row r="1021" spans="1:27" ht="71.25" x14ac:dyDescent="0.2">
      <c r="A1021" s="16" t="str">
        <f>Source!E608</f>
        <v>113,2</v>
      </c>
      <c r="B1021" s="17" t="str">
        <f>Source!F608</f>
        <v>1.17-8-17</v>
      </c>
      <c r="C1021" s="17" t="s">
        <v>173</v>
      </c>
      <c r="D1021" s="19" t="str">
        <f>Source!H608</f>
        <v>шт.</v>
      </c>
      <c r="E1021" s="18">
        <f>Source!I608</f>
        <v>2</v>
      </c>
      <c r="F1021" s="21">
        <f>Source!AK608</f>
        <v>1902.4</v>
      </c>
      <c r="G1021" s="27" t="s">
        <v>3</v>
      </c>
      <c r="H1021" s="18">
        <f>Source!AW608</f>
        <v>1</v>
      </c>
      <c r="I1021" s="22">
        <f>ROUND((ROUND((Source!AC608*Source!AW608*Source!I608),2)),2)+(ROUND((ROUND(((Source!ET608)*Source!AV608*Source!I608),2)),2)+ROUND((ROUND(((Source!AE608-(Source!EU608))*Source!AV608*Source!I608),2)),2))+ROUND((ROUND((Source!AF608*Source!AV608*Source!I608),2)),2)</f>
        <v>3804.8</v>
      </c>
      <c r="J1021" s="18">
        <f>IF(Source!BC608&lt;&gt; 0, Source!BC608, 1)</f>
        <v>11.28</v>
      </c>
      <c r="K1021" s="22">
        <f>Source!O608</f>
        <v>42918.14</v>
      </c>
      <c r="Q1021">
        <f>ROUND((Source!DN608/100)*ROUND((ROUND((Source!AF608*Source!AV608*Source!I608),2)),2), 2)</f>
        <v>0</v>
      </c>
      <c r="R1021">
        <f>Source!X608</f>
        <v>0</v>
      </c>
      <c r="S1021">
        <f>ROUND((Source!DO608/100)*ROUND((ROUND((Source!AF608*Source!AV608*Source!I608),2)),2), 2)</f>
        <v>0</v>
      </c>
      <c r="T1021">
        <f>Source!Y608</f>
        <v>0</v>
      </c>
      <c r="U1021">
        <f>ROUND((175/100)*ROUND((ROUND((Source!AE608*Source!AV608*Source!I608),2)),2), 2)</f>
        <v>0</v>
      </c>
      <c r="V1021">
        <f>ROUND((157/100)*ROUND(ROUND((ROUND((Source!AE608*Source!AV608*Source!I608),2)*Source!BS608),2), 2), 2)</f>
        <v>0</v>
      </c>
      <c r="X1021">
        <f>IF(Source!BI608&lt;=1,I1021, 0)</f>
        <v>3804.8</v>
      </c>
      <c r="Y1021">
        <f>IF(Source!BI608=2,I1021, 0)</f>
        <v>0</v>
      </c>
      <c r="Z1021">
        <f>IF(Source!BI608=3,I1021, 0)</f>
        <v>0</v>
      </c>
      <c r="AA1021">
        <f>IF(Source!BI608=4,I1021, 0)</f>
        <v>0</v>
      </c>
    </row>
    <row r="1022" spans="1:27" ht="57" x14ac:dyDescent="0.2">
      <c r="A1022" s="16" t="str">
        <f>Source!E609</f>
        <v>113,3</v>
      </c>
      <c r="B1022" s="17" t="str">
        <f>Source!F609</f>
        <v>1.17-8-23</v>
      </c>
      <c r="C1022" s="17" t="s">
        <v>168</v>
      </c>
      <c r="D1022" s="19" t="str">
        <f>Source!H609</f>
        <v>шт.</v>
      </c>
      <c r="E1022" s="18">
        <f>Source!I609</f>
        <v>2</v>
      </c>
      <c r="F1022" s="21">
        <f>Source!AK609</f>
        <v>1732.62</v>
      </c>
      <c r="G1022" s="27" t="s">
        <v>3</v>
      </c>
      <c r="H1022" s="18">
        <f>Source!AW609</f>
        <v>1</v>
      </c>
      <c r="I1022" s="22">
        <f>ROUND((ROUND((Source!AC609*Source!AW609*Source!I609),2)),2)+(ROUND((ROUND(((Source!ET609)*Source!AV609*Source!I609),2)),2)+ROUND((ROUND(((Source!AE609-(Source!EU609))*Source!AV609*Source!I609),2)),2))+ROUND((ROUND((Source!AF609*Source!AV609*Source!I609),2)),2)</f>
        <v>3465.24</v>
      </c>
      <c r="J1022" s="18">
        <f>IF(Source!BC609&lt;&gt; 0, Source!BC609, 1)</f>
        <v>6.13</v>
      </c>
      <c r="K1022" s="22">
        <f>Source!O609</f>
        <v>21241.919999999998</v>
      </c>
      <c r="Q1022">
        <f>ROUND((Source!DN609/100)*ROUND((ROUND((Source!AF609*Source!AV609*Source!I609),2)),2), 2)</f>
        <v>0</v>
      </c>
      <c r="R1022">
        <f>Source!X609</f>
        <v>0</v>
      </c>
      <c r="S1022">
        <f>ROUND((Source!DO609/100)*ROUND((ROUND((Source!AF609*Source!AV609*Source!I609),2)),2), 2)</f>
        <v>0</v>
      </c>
      <c r="T1022">
        <f>Source!Y609</f>
        <v>0</v>
      </c>
      <c r="U1022">
        <f>ROUND((175/100)*ROUND((ROUND((Source!AE609*Source!AV609*Source!I609),2)),2), 2)</f>
        <v>0</v>
      </c>
      <c r="V1022">
        <f>ROUND((157/100)*ROUND(ROUND((ROUND((Source!AE609*Source!AV609*Source!I609),2)*Source!BS609),2), 2), 2)</f>
        <v>0</v>
      </c>
      <c r="X1022">
        <f>IF(Source!BI609&lt;=1,I1022, 0)</f>
        <v>3465.24</v>
      </c>
      <c r="Y1022">
        <f>IF(Source!BI609=2,I1022, 0)</f>
        <v>0</v>
      </c>
      <c r="Z1022">
        <f>IF(Source!BI609=3,I1022, 0)</f>
        <v>0</v>
      </c>
      <c r="AA1022">
        <f>IF(Source!BI609=4,I1022, 0)</f>
        <v>0</v>
      </c>
    </row>
    <row r="1023" spans="1:27" ht="14.25" x14ac:dyDescent="0.2">
      <c r="A1023" s="16"/>
      <c r="B1023" s="17"/>
      <c r="C1023" s="17" t="s">
        <v>1626</v>
      </c>
      <c r="D1023" s="19" t="s">
        <v>1627</v>
      </c>
      <c r="E1023" s="18">
        <f>Source!DN606</f>
        <v>116</v>
      </c>
      <c r="F1023" s="21"/>
      <c r="G1023" s="20"/>
      <c r="H1023" s="18"/>
      <c r="I1023" s="22">
        <f>SUM(Q1015:Q1022)</f>
        <v>228.59</v>
      </c>
      <c r="J1023" s="18">
        <f>Source!BZ606</f>
        <v>94</v>
      </c>
      <c r="K1023" s="22">
        <f>SUM(R1015:R1022)</f>
        <v>4712.42</v>
      </c>
    </row>
    <row r="1024" spans="1:27" ht="14.25" x14ac:dyDescent="0.2">
      <c r="A1024" s="16"/>
      <c r="B1024" s="17"/>
      <c r="C1024" s="17" t="s">
        <v>1628</v>
      </c>
      <c r="D1024" s="19" t="s">
        <v>1627</v>
      </c>
      <c r="E1024" s="18">
        <f>Source!DO606</f>
        <v>68</v>
      </c>
      <c r="F1024" s="21"/>
      <c r="G1024" s="20"/>
      <c r="H1024" s="18"/>
      <c r="I1024" s="22">
        <f>SUM(S1015:S1023)</f>
        <v>134</v>
      </c>
      <c r="J1024" s="18">
        <f>Source!CA606</f>
        <v>41</v>
      </c>
      <c r="K1024" s="22">
        <f>SUM(T1015:T1023)</f>
        <v>2055.42</v>
      </c>
    </row>
    <row r="1025" spans="1:27" ht="14.25" x14ac:dyDescent="0.2">
      <c r="A1025" s="16"/>
      <c r="B1025" s="17"/>
      <c r="C1025" s="17" t="s">
        <v>1633</v>
      </c>
      <c r="D1025" s="19" t="s">
        <v>1627</v>
      </c>
      <c r="E1025" s="18">
        <f>175</f>
        <v>175</v>
      </c>
      <c r="F1025" s="21"/>
      <c r="G1025" s="20"/>
      <c r="H1025" s="18"/>
      <c r="I1025" s="22">
        <f>SUM(U1015:U1024)</f>
        <v>2.98</v>
      </c>
      <c r="J1025" s="18">
        <f>157</f>
        <v>157</v>
      </c>
      <c r="K1025" s="22">
        <f>SUM(V1015:V1024)</f>
        <v>67.900000000000006</v>
      </c>
    </row>
    <row r="1026" spans="1:27" ht="14.25" x14ac:dyDescent="0.2">
      <c r="A1026" s="16"/>
      <c r="B1026" s="17"/>
      <c r="C1026" s="17" t="s">
        <v>1629</v>
      </c>
      <c r="D1026" s="19" t="s">
        <v>1630</v>
      </c>
      <c r="E1026" s="18">
        <f>Source!AQ606</f>
        <v>7.32</v>
      </c>
      <c r="F1026" s="21"/>
      <c r="G1026" s="20" t="str">
        <f>Source!DI606</f>
        <v>)*1,15</v>
      </c>
      <c r="H1026" s="18">
        <f>Source!AV606</f>
        <v>1</v>
      </c>
      <c r="I1026" s="22">
        <f>Source!U606</f>
        <v>16.835999999999999</v>
      </c>
      <c r="J1026" s="18"/>
      <c r="K1026" s="22"/>
    </row>
    <row r="1027" spans="1:27" ht="15" x14ac:dyDescent="0.25">
      <c r="A1027" s="25"/>
      <c r="B1027" s="25"/>
      <c r="C1027" s="25"/>
      <c r="D1027" s="25"/>
      <c r="E1027" s="25"/>
      <c r="F1027" s="25"/>
      <c r="G1027" s="25"/>
      <c r="H1027" s="54">
        <f>I1016+I1017+I1019+I1023+I1024+I1025+SUM(I1020:I1022)</f>
        <v>23198.970000000005</v>
      </c>
      <c r="I1027" s="54"/>
      <c r="J1027" s="54">
        <f>K1016+K1017+K1019+K1023+K1024+K1025+SUM(K1020:K1022)</f>
        <v>228027.18</v>
      </c>
      <c r="K1027" s="54"/>
      <c r="O1027" s="24">
        <f>I1016+I1017+I1019+I1023+I1024+I1025+SUM(I1020:I1022)</f>
        <v>23198.970000000005</v>
      </c>
      <c r="P1027" s="24">
        <f>K1016+K1017+K1019+K1023+K1024+K1025+SUM(K1020:K1022)</f>
        <v>228027.18</v>
      </c>
      <c r="X1027">
        <f>IF(Source!BI606&lt;=1,I1016+I1017+I1019+I1023+I1024+I1025-0, 0)</f>
        <v>1206.99</v>
      </c>
      <c r="Y1027">
        <f>IF(Source!BI606=2,I1016+I1017+I1019+I1023+I1024+I1025-0, 0)</f>
        <v>0</v>
      </c>
      <c r="Z1027">
        <f>IF(Source!BI606=3,I1016+I1017+I1019+I1023+I1024+I1025-0, 0)</f>
        <v>0</v>
      </c>
      <c r="AA1027">
        <f>IF(Source!BI606=4,I1016+I1017+I1019+I1023+I1024+I1025,0)</f>
        <v>0</v>
      </c>
    </row>
    <row r="1029" spans="1:27" ht="15" x14ac:dyDescent="0.25">
      <c r="A1029" s="53" t="str">
        <f>CONCATENATE("Итого по подразделу: ",IF(Source!G611&lt;&gt;"Новый подраздел", Source!G611, ""))</f>
        <v>Итого по подразделу: Дренажная система</v>
      </c>
      <c r="B1029" s="53"/>
      <c r="C1029" s="53"/>
      <c r="D1029" s="53"/>
      <c r="E1029" s="53"/>
      <c r="F1029" s="53"/>
      <c r="G1029" s="53"/>
      <c r="H1029" s="51">
        <f>SUM(O968:O1028)</f>
        <v>81949.89</v>
      </c>
      <c r="I1029" s="52"/>
      <c r="J1029" s="51">
        <f>SUM(P968:P1028)</f>
        <v>685547.03</v>
      </c>
      <c r="K1029" s="52"/>
    </row>
    <row r="1030" spans="1:27" hidden="1" x14ac:dyDescent="0.2">
      <c r="A1030" t="s">
        <v>1641</v>
      </c>
      <c r="H1030">
        <f>SUM(AC968:AC1029)</f>
        <v>0</v>
      </c>
      <c r="J1030">
        <f>SUM(AD968:AD1029)</f>
        <v>0</v>
      </c>
    </row>
    <row r="1031" spans="1:27" hidden="1" x14ac:dyDescent="0.2">
      <c r="A1031" t="s">
        <v>1642</v>
      </c>
      <c r="H1031">
        <f>SUM(AE968:AE1030)</f>
        <v>0</v>
      </c>
      <c r="J1031">
        <f>SUM(AF968:AF1030)</f>
        <v>0</v>
      </c>
    </row>
    <row r="1033" spans="1:27" ht="16.5" x14ac:dyDescent="0.25">
      <c r="A1033" s="56" t="str">
        <f>CONCATENATE("Подраздел: ",IF(Source!G641&lt;&gt;"Новый подраздел", Source!G641, ""))</f>
        <v>Подраздел: Оборудование системы фильтрации</v>
      </c>
      <c r="B1033" s="56"/>
      <c r="C1033" s="56"/>
      <c r="D1033" s="56"/>
      <c r="E1033" s="56"/>
      <c r="F1033" s="56"/>
      <c r="G1033" s="56"/>
      <c r="H1033" s="56"/>
      <c r="I1033" s="56"/>
      <c r="J1033" s="56"/>
      <c r="K1033" s="56"/>
    </row>
    <row r="1034" spans="1:27" ht="54" x14ac:dyDescent="0.2">
      <c r="A1034" s="16" t="str">
        <f>Source!E645</f>
        <v>114</v>
      </c>
      <c r="B1034" s="17" t="str">
        <f>Source!F645</f>
        <v>Цена поставщика</v>
      </c>
      <c r="C1034" s="17" t="s">
        <v>1665</v>
      </c>
      <c r="D1034" s="19" t="str">
        <f>Source!H645</f>
        <v>шт.</v>
      </c>
      <c r="E1034" s="18">
        <f>Source!I645</f>
        <v>1</v>
      </c>
      <c r="F1034" s="21">
        <f>Source!AL645</f>
        <v>45851.73</v>
      </c>
      <c r="G1034" s="20" t="str">
        <f>Source!DD645</f>
        <v/>
      </c>
      <c r="H1034" s="18">
        <f>Source!AW645</f>
        <v>1</v>
      </c>
      <c r="I1034" s="22">
        <f>ROUND((ROUND((Source!AC645*Source!AW645*Source!I645),2)),2)</f>
        <v>45851.73</v>
      </c>
      <c r="J1034" s="18">
        <f>IF(Source!BC645&lt;&gt; 0, Source!BC645, 1)</f>
        <v>6.34</v>
      </c>
      <c r="K1034" s="22">
        <f>Source!P645</f>
        <v>290699.96999999997</v>
      </c>
      <c r="Q1034">
        <f>ROUND((Source!DN645/100)*ROUND((ROUND((Source!AF645*Source!AV645*Source!I645),2)),2), 2)</f>
        <v>0</v>
      </c>
      <c r="R1034">
        <f>Source!X645</f>
        <v>0</v>
      </c>
      <c r="S1034">
        <f>ROUND((Source!DO645/100)*ROUND((ROUND((Source!AF645*Source!AV645*Source!I645),2)),2), 2)</f>
        <v>0</v>
      </c>
      <c r="T1034">
        <f>Source!Y645</f>
        <v>0</v>
      </c>
      <c r="U1034">
        <f>ROUND((175/100)*ROUND((ROUND((Source!AE645*Source!AV645*Source!I645),2)),2), 2)</f>
        <v>0</v>
      </c>
      <c r="V1034">
        <f>ROUND((157/100)*ROUND(ROUND((ROUND((Source!AE645*Source!AV645*Source!I645),2)*Source!BS645),2), 2), 2)</f>
        <v>0</v>
      </c>
    </row>
    <row r="1035" spans="1:27" ht="15" x14ac:dyDescent="0.25">
      <c r="A1035" s="25"/>
      <c r="B1035" s="25"/>
      <c r="C1035" s="25"/>
      <c r="D1035" s="25"/>
      <c r="E1035" s="25"/>
      <c r="F1035" s="25"/>
      <c r="G1035" s="25"/>
      <c r="H1035" s="54">
        <f>I1034</f>
        <v>45851.73</v>
      </c>
      <c r="I1035" s="54"/>
      <c r="J1035" s="54">
        <f>K1034</f>
        <v>290699.96999999997</v>
      </c>
      <c r="K1035" s="54"/>
      <c r="O1035" s="24">
        <f>I1034</f>
        <v>45851.73</v>
      </c>
      <c r="P1035" s="24">
        <f>K1034</f>
        <v>290699.96999999997</v>
      </c>
      <c r="X1035">
        <f>IF(Source!BI645&lt;=1,I1034-0, 0)</f>
        <v>45851.73</v>
      </c>
      <c r="Y1035">
        <f>IF(Source!BI645=2,I1034-0, 0)</f>
        <v>0</v>
      </c>
      <c r="Z1035">
        <f>IF(Source!BI645=3,I1034-0, 0)</f>
        <v>0</v>
      </c>
      <c r="AA1035">
        <f>IF(Source!BI645=4,I1034,0)</f>
        <v>0</v>
      </c>
    </row>
    <row r="1036" spans="1:27" ht="54" x14ac:dyDescent="0.2">
      <c r="A1036" s="16" t="str">
        <f>Source!E646</f>
        <v>115</v>
      </c>
      <c r="B1036" s="17" t="str">
        <f>Source!F646</f>
        <v>Цена поставщика</v>
      </c>
      <c r="C1036" s="17" t="s">
        <v>1666</v>
      </c>
      <c r="D1036" s="19" t="str">
        <f>Source!H646</f>
        <v>шт.</v>
      </c>
      <c r="E1036" s="18">
        <f>Source!I646</f>
        <v>1</v>
      </c>
      <c r="F1036" s="21">
        <f>Source!AL646</f>
        <v>8718.18</v>
      </c>
      <c r="G1036" s="20" t="str">
        <f>Source!DD646</f>
        <v/>
      </c>
      <c r="H1036" s="18">
        <f>Source!AW646</f>
        <v>1</v>
      </c>
      <c r="I1036" s="22">
        <f>ROUND((ROUND((Source!AC646*Source!AW646*Source!I646),2)),2)</f>
        <v>8718.18</v>
      </c>
      <c r="J1036" s="18">
        <f>IF(Source!BC646&lt;&gt; 0, Source!BC646, 1)</f>
        <v>6.34</v>
      </c>
      <c r="K1036" s="22">
        <f>Source!P646</f>
        <v>55273.26</v>
      </c>
      <c r="Q1036">
        <f>ROUND((Source!DN646/100)*ROUND((ROUND((Source!AF646*Source!AV646*Source!I646),2)),2), 2)</f>
        <v>0</v>
      </c>
      <c r="R1036">
        <f>Source!X646</f>
        <v>0</v>
      </c>
      <c r="S1036">
        <f>ROUND((Source!DO646/100)*ROUND((ROUND((Source!AF646*Source!AV646*Source!I646),2)),2), 2)</f>
        <v>0</v>
      </c>
      <c r="T1036">
        <f>Source!Y646</f>
        <v>0</v>
      </c>
      <c r="U1036">
        <f>ROUND((175/100)*ROUND((ROUND((Source!AE646*Source!AV646*Source!I646),2)),2), 2)</f>
        <v>0</v>
      </c>
      <c r="V1036">
        <f>ROUND((157/100)*ROUND(ROUND((ROUND((Source!AE646*Source!AV646*Source!I646),2)*Source!BS646),2), 2), 2)</f>
        <v>0</v>
      </c>
    </row>
    <row r="1037" spans="1:27" ht="15" x14ac:dyDescent="0.25">
      <c r="A1037" s="25"/>
      <c r="B1037" s="25"/>
      <c r="C1037" s="25"/>
      <c r="D1037" s="25"/>
      <c r="E1037" s="25"/>
      <c r="F1037" s="25"/>
      <c r="G1037" s="25"/>
      <c r="H1037" s="54">
        <f>I1036</f>
        <v>8718.18</v>
      </c>
      <c r="I1037" s="54"/>
      <c r="J1037" s="54">
        <f>K1036</f>
        <v>55273.26</v>
      </c>
      <c r="K1037" s="54"/>
      <c r="O1037" s="24">
        <f>I1036</f>
        <v>8718.18</v>
      </c>
      <c r="P1037" s="24">
        <f>K1036</f>
        <v>55273.26</v>
      </c>
      <c r="X1037">
        <f>IF(Source!BI646&lt;=1,I1036-0, 0)</f>
        <v>8718.18</v>
      </c>
      <c r="Y1037">
        <f>IF(Source!BI646=2,I1036-0, 0)</f>
        <v>0</v>
      </c>
      <c r="Z1037">
        <f>IF(Source!BI646=3,I1036-0, 0)</f>
        <v>0</v>
      </c>
      <c r="AA1037">
        <f>IF(Source!BI646=4,I1036,0)</f>
        <v>0</v>
      </c>
    </row>
    <row r="1038" spans="1:27" ht="54" x14ac:dyDescent="0.2">
      <c r="A1038" s="16" t="str">
        <f>Source!E647</f>
        <v>116</v>
      </c>
      <c r="B1038" s="17" t="str">
        <f>Source!F647</f>
        <v>Цена поставщика</v>
      </c>
      <c r="C1038" s="17" t="s">
        <v>1667</v>
      </c>
      <c r="D1038" s="19" t="str">
        <f>Source!H647</f>
        <v>шт.</v>
      </c>
      <c r="E1038" s="18">
        <f>Source!I647</f>
        <v>2</v>
      </c>
      <c r="F1038" s="21">
        <f>Source!AL647</f>
        <v>9314.91</v>
      </c>
      <c r="G1038" s="20" t="str">
        <f>Source!DD647</f>
        <v/>
      </c>
      <c r="H1038" s="18">
        <f>Source!AW647</f>
        <v>1</v>
      </c>
      <c r="I1038" s="22">
        <f>ROUND((ROUND((Source!AC647*Source!AW647*Source!I647),2)),2)</f>
        <v>18629.82</v>
      </c>
      <c r="J1038" s="18">
        <f>IF(Source!BC647&lt;&gt; 0, Source!BC647, 1)</f>
        <v>6.34</v>
      </c>
      <c r="K1038" s="22">
        <f>Source!P647</f>
        <v>118113.06</v>
      </c>
      <c r="Q1038">
        <f>ROUND((Source!DN647/100)*ROUND((ROUND((Source!AF647*Source!AV647*Source!I647),2)),2), 2)</f>
        <v>0</v>
      </c>
      <c r="R1038">
        <f>Source!X647</f>
        <v>0</v>
      </c>
      <c r="S1038">
        <f>ROUND((Source!DO647/100)*ROUND((ROUND((Source!AF647*Source!AV647*Source!I647),2)),2), 2)</f>
        <v>0</v>
      </c>
      <c r="T1038">
        <f>Source!Y647</f>
        <v>0</v>
      </c>
      <c r="U1038">
        <f>ROUND((175/100)*ROUND((ROUND((Source!AE647*Source!AV647*Source!I647),2)),2), 2)</f>
        <v>0</v>
      </c>
      <c r="V1038">
        <f>ROUND((157/100)*ROUND(ROUND((ROUND((Source!AE647*Source!AV647*Source!I647),2)*Source!BS647),2), 2), 2)</f>
        <v>0</v>
      </c>
    </row>
    <row r="1039" spans="1:27" ht="15" x14ac:dyDescent="0.25">
      <c r="A1039" s="25"/>
      <c r="B1039" s="25"/>
      <c r="C1039" s="25"/>
      <c r="D1039" s="25"/>
      <c r="E1039" s="25"/>
      <c r="F1039" s="25"/>
      <c r="G1039" s="25"/>
      <c r="H1039" s="54">
        <f>I1038</f>
        <v>18629.82</v>
      </c>
      <c r="I1039" s="54"/>
      <c r="J1039" s="54">
        <f>K1038</f>
        <v>118113.06</v>
      </c>
      <c r="K1039" s="54"/>
      <c r="O1039" s="24">
        <f>I1038</f>
        <v>18629.82</v>
      </c>
      <c r="P1039" s="24">
        <f>K1038</f>
        <v>118113.06</v>
      </c>
      <c r="X1039">
        <f>IF(Source!BI647&lt;=1,I1038-0, 0)</f>
        <v>18629.82</v>
      </c>
      <c r="Y1039">
        <f>IF(Source!BI647=2,I1038-0, 0)</f>
        <v>0</v>
      </c>
      <c r="Z1039">
        <f>IF(Source!BI647=3,I1038-0, 0)</f>
        <v>0</v>
      </c>
      <c r="AA1039">
        <f>IF(Source!BI647=4,I1038,0)</f>
        <v>0</v>
      </c>
    </row>
    <row r="1040" spans="1:27" ht="42.75" x14ac:dyDescent="0.2">
      <c r="A1040" s="16" t="str">
        <f>Source!E648</f>
        <v>117</v>
      </c>
      <c r="B1040" s="17" t="str">
        <f>Source!F648</f>
        <v>Цена поставщика</v>
      </c>
      <c r="C1040" s="17" t="s">
        <v>1668</v>
      </c>
      <c r="D1040" s="19" t="str">
        <f>Source!H648</f>
        <v>м</v>
      </c>
      <c r="E1040" s="18">
        <f>Source!I648</f>
        <v>30</v>
      </c>
      <c r="F1040" s="21">
        <f>Source!AL648</f>
        <v>18.64</v>
      </c>
      <c r="G1040" s="20" t="str">
        <f>Source!DD648</f>
        <v/>
      </c>
      <c r="H1040" s="18">
        <f>Source!AW648</f>
        <v>1</v>
      </c>
      <c r="I1040" s="22">
        <f>ROUND((ROUND((Source!AC648*Source!AW648*Source!I648),2)),2)</f>
        <v>559.20000000000005</v>
      </c>
      <c r="J1040" s="18">
        <f>IF(Source!BC648&lt;&gt; 0, Source!BC648, 1)</f>
        <v>6.34</v>
      </c>
      <c r="K1040" s="22">
        <f>Source!P648</f>
        <v>3545.33</v>
      </c>
      <c r="Q1040">
        <f>ROUND((Source!DN648/100)*ROUND((ROUND((Source!AF648*Source!AV648*Source!I648),2)),2), 2)</f>
        <v>0</v>
      </c>
      <c r="R1040">
        <f>Source!X648</f>
        <v>0</v>
      </c>
      <c r="S1040">
        <f>ROUND((Source!DO648/100)*ROUND((ROUND((Source!AF648*Source!AV648*Source!I648),2)),2), 2)</f>
        <v>0</v>
      </c>
      <c r="T1040">
        <f>Source!Y648</f>
        <v>0</v>
      </c>
      <c r="U1040">
        <f>ROUND((175/100)*ROUND((ROUND((Source!AE648*Source!AV648*Source!I648),2)),2), 2)</f>
        <v>0</v>
      </c>
      <c r="V1040">
        <f>ROUND((157/100)*ROUND(ROUND((ROUND((Source!AE648*Source!AV648*Source!I648),2)*Source!BS648),2), 2), 2)</f>
        <v>0</v>
      </c>
    </row>
    <row r="1041" spans="1:27" ht="15" x14ac:dyDescent="0.25">
      <c r="A1041" s="25"/>
      <c r="B1041" s="25"/>
      <c r="C1041" s="25"/>
      <c r="D1041" s="25"/>
      <c r="E1041" s="25"/>
      <c r="F1041" s="25"/>
      <c r="G1041" s="25"/>
      <c r="H1041" s="54">
        <f>I1040</f>
        <v>559.20000000000005</v>
      </c>
      <c r="I1041" s="54"/>
      <c r="J1041" s="54">
        <f>K1040</f>
        <v>3545.33</v>
      </c>
      <c r="K1041" s="54"/>
      <c r="O1041" s="24">
        <f>I1040</f>
        <v>559.20000000000005</v>
      </c>
      <c r="P1041" s="24">
        <f>K1040</f>
        <v>3545.33</v>
      </c>
      <c r="X1041">
        <f>IF(Source!BI648&lt;=1,I1040-0, 0)</f>
        <v>559.20000000000005</v>
      </c>
      <c r="Y1041">
        <f>IF(Source!BI648=2,I1040-0, 0)</f>
        <v>0</v>
      </c>
      <c r="Z1041">
        <f>IF(Source!BI648=3,I1040-0, 0)</f>
        <v>0</v>
      </c>
      <c r="AA1041">
        <f>IF(Source!BI648=4,I1040,0)</f>
        <v>0</v>
      </c>
    </row>
    <row r="1042" spans="1:27" ht="42.75" x14ac:dyDescent="0.2">
      <c r="A1042" s="16" t="str">
        <f>Source!E649</f>
        <v>118</v>
      </c>
      <c r="B1042" s="17" t="str">
        <f>Source!F649</f>
        <v>Цена поставщика</v>
      </c>
      <c r="C1042" s="17" t="s">
        <v>1669</v>
      </c>
      <c r="D1042" s="19" t="str">
        <f>Source!H649</f>
        <v>м</v>
      </c>
      <c r="E1042" s="18">
        <f>Source!I649</f>
        <v>30</v>
      </c>
      <c r="F1042" s="21">
        <f>Source!AL649</f>
        <v>67.429999999999993</v>
      </c>
      <c r="G1042" s="20" t="str">
        <f>Source!DD649</f>
        <v/>
      </c>
      <c r="H1042" s="18">
        <f>Source!AW649</f>
        <v>1</v>
      </c>
      <c r="I1042" s="22">
        <f>ROUND((ROUND((Source!AC649*Source!AW649*Source!I649),2)),2)</f>
        <v>2022.9</v>
      </c>
      <c r="J1042" s="18">
        <f>IF(Source!BC649&lt;&gt; 0, Source!BC649, 1)</f>
        <v>6.34</v>
      </c>
      <c r="K1042" s="22">
        <f>Source!P649</f>
        <v>12825.19</v>
      </c>
      <c r="Q1042">
        <f>ROUND((Source!DN649/100)*ROUND((ROUND((Source!AF649*Source!AV649*Source!I649),2)),2), 2)</f>
        <v>0</v>
      </c>
      <c r="R1042">
        <f>Source!X649</f>
        <v>0</v>
      </c>
      <c r="S1042">
        <f>ROUND((Source!DO649/100)*ROUND((ROUND((Source!AF649*Source!AV649*Source!I649),2)),2), 2)</f>
        <v>0</v>
      </c>
      <c r="T1042">
        <f>Source!Y649</f>
        <v>0</v>
      </c>
      <c r="U1042">
        <f>ROUND((175/100)*ROUND((ROUND((Source!AE649*Source!AV649*Source!I649),2)),2), 2)</f>
        <v>0</v>
      </c>
      <c r="V1042">
        <f>ROUND((157/100)*ROUND(ROUND((ROUND((Source!AE649*Source!AV649*Source!I649),2)*Source!BS649),2), 2), 2)</f>
        <v>0</v>
      </c>
    </row>
    <row r="1043" spans="1:27" ht="15" x14ac:dyDescent="0.25">
      <c r="A1043" s="25"/>
      <c r="B1043" s="25"/>
      <c r="C1043" s="25"/>
      <c r="D1043" s="25"/>
      <c r="E1043" s="25"/>
      <c r="F1043" s="25"/>
      <c r="G1043" s="25"/>
      <c r="H1043" s="54">
        <f>I1042</f>
        <v>2022.9</v>
      </c>
      <c r="I1043" s="54"/>
      <c r="J1043" s="54">
        <f>K1042</f>
        <v>12825.19</v>
      </c>
      <c r="K1043" s="54"/>
      <c r="O1043" s="24">
        <f>I1042</f>
        <v>2022.9</v>
      </c>
      <c r="P1043" s="24">
        <f>K1042</f>
        <v>12825.19</v>
      </c>
      <c r="X1043">
        <f>IF(Source!BI649&lt;=1,I1042-0, 0)</f>
        <v>2022.9</v>
      </c>
      <c r="Y1043">
        <f>IF(Source!BI649=2,I1042-0, 0)</f>
        <v>0</v>
      </c>
      <c r="Z1043">
        <f>IF(Source!BI649=3,I1042-0, 0)</f>
        <v>0</v>
      </c>
      <c r="AA1043">
        <f>IF(Source!BI649=4,I1042,0)</f>
        <v>0</v>
      </c>
    </row>
    <row r="1044" spans="1:27" ht="42.75" x14ac:dyDescent="0.2">
      <c r="A1044" s="16" t="str">
        <f>Source!E650</f>
        <v>119</v>
      </c>
      <c r="B1044" s="17" t="str">
        <f>Source!F650</f>
        <v>Цена поставщика</v>
      </c>
      <c r="C1044" s="17" t="s">
        <v>1670</v>
      </c>
      <c r="D1044" s="19" t="str">
        <f>Source!H650</f>
        <v>шт.</v>
      </c>
      <c r="E1044" s="18">
        <f>Source!I650</f>
        <v>1</v>
      </c>
      <c r="F1044" s="21">
        <f>Source!AL650</f>
        <v>183.01</v>
      </c>
      <c r="G1044" s="20" t="str">
        <f>Source!DD650</f>
        <v/>
      </c>
      <c r="H1044" s="18">
        <f>Source!AW650</f>
        <v>1</v>
      </c>
      <c r="I1044" s="22">
        <f>ROUND((ROUND((Source!AC650*Source!AW650*Source!I650),2)),2)</f>
        <v>183.01</v>
      </c>
      <c r="J1044" s="18">
        <f>IF(Source!BC650&lt;&gt; 0, Source!BC650, 1)</f>
        <v>6.34</v>
      </c>
      <c r="K1044" s="22">
        <f>Source!P650</f>
        <v>1160.28</v>
      </c>
      <c r="Q1044">
        <f>ROUND((Source!DN650/100)*ROUND((ROUND((Source!AF650*Source!AV650*Source!I650),2)),2), 2)</f>
        <v>0</v>
      </c>
      <c r="R1044">
        <f>Source!X650</f>
        <v>0</v>
      </c>
      <c r="S1044">
        <f>ROUND((Source!DO650/100)*ROUND((ROUND((Source!AF650*Source!AV650*Source!I650),2)),2), 2)</f>
        <v>0</v>
      </c>
      <c r="T1044">
        <f>Source!Y650</f>
        <v>0</v>
      </c>
      <c r="U1044">
        <f>ROUND((175/100)*ROUND((ROUND((Source!AE650*Source!AV650*Source!I650),2)),2), 2)</f>
        <v>0</v>
      </c>
      <c r="V1044">
        <f>ROUND((157/100)*ROUND(ROUND((ROUND((Source!AE650*Source!AV650*Source!I650),2)*Source!BS650),2), 2), 2)</f>
        <v>0</v>
      </c>
    </row>
    <row r="1045" spans="1:27" ht="15" x14ac:dyDescent="0.25">
      <c r="A1045" s="25"/>
      <c r="B1045" s="25"/>
      <c r="C1045" s="25"/>
      <c r="D1045" s="25"/>
      <c r="E1045" s="25"/>
      <c r="F1045" s="25"/>
      <c r="G1045" s="25"/>
      <c r="H1045" s="54">
        <f>I1044</f>
        <v>183.01</v>
      </c>
      <c r="I1045" s="54"/>
      <c r="J1045" s="54">
        <f>K1044</f>
        <v>1160.28</v>
      </c>
      <c r="K1045" s="54"/>
      <c r="O1045" s="24">
        <f>I1044</f>
        <v>183.01</v>
      </c>
      <c r="P1045" s="24">
        <f>K1044</f>
        <v>1160.28</v>
      </c>
      <c r="X1045">
        <f>IF(Source!BI650&lt;=1,I1044-0, 0)</f>
        <v>183.01</v>
      </c>
      <c r="Y1045">
        <f>IF(Source!BI650=2,I1044-0, 0)</f>
        <v>0</v>
      </c>
      <c r="Z1045">
        <f>IF(Source!BI650=3,I1044-0, 0)</f>
        <v>0</v>
      </c>
      <c r="AA1045">
        <f>IF(Source!BI650=4,I1044,0)</f>
        <v>0</v>
      </c>
    </row>
    <row r="1046" spans="1:27" ht="42.75" x14ac:dyDescent="0.2">
      <c r="A1046" s="16" t="str">
        <f>Source!E651</f>
        <v>120</v>
      </c>
      <c r="B1046" s="17" t="str">
        <f>Source!F651</f>
        <v>Цена поставщика</v>
      </c>
      <c r="C1046" s="17" t="s">
        <v>1671</v>
      </c>
      <c r="D1046" s="19" t="str">
        <f>Source!H651</f>
        <v>шт.</v>
      </c>
      <c r="E1046" s="18">
        <f>Source!I651</f>
        <v>1</v>
      </c>
      <c r="F1046" s="21">
        <f>Source!AL651</f>
        <v>516.83000000000004</v>
      </c>
      <c r="G1046" s="20" t="str">
        <f>Source!DD651</f>
        <v/>
      </c>
      <c r="H1046" s="18">
        <f>Source!AW651</f>
        <v>1</v>
      </c>
      <c r="I1046" s="22">
        <f>ROUND((ROUND((Source!AC651*Source!AW651*Source!I651),2)),2)</f>
        <v>516.83000000000004</v>
      </c>
      <c r="J1046" s="18">
        <f>IF(Source!BC651&lt;&gt; 0, Source!BC651, 1)</f>
        <v>6.34</v>
      </c>
      <c r="K1046" s="22">
        <f>Source!P651</f>
        <v>3276.7</v>
      </c>
      <c r="Q1046">
        <f>ROUND((Source!DN651/100)*ROUND((ROUND((Source!AF651*Source!AV651*Source!I651),2)),2), 2)</f>
        <v>0</v>
      </c>
      <c r="R1046">
        <f>Source!X651</f>
        <v>0</v>
      </c>
      <c r="S1046">
        <f>ROUND((Source!DO651/100)*ROUND((ROUND((Source!AF651*Source!AV651*Source!I651),2)),2), 2)</f>
        <v>0</v>
      </c>
      <c r="T1046">
        <f>Source!Y651</f>
        <v>0</v>
      </c>
      <c r="U1046">
        <f>ROUND((175/100)*ROUND((ROUND((Source!AE651*Source!AV651*Source!I651),2)),2), 2)</f>
        <v>0</v>
      </c>
      <c r="V1046">
        <f>ROUND((157/100)*ROUND(ROUND((ROUND((Source!AE651*Source!AV651*Source!I651),2)*Source!BS651),2), 2), 2)</f>
        <v>0</v>
      </c>
    </row>
    <row r="1047" spans="1:27" ht="15" x14ac:dyDescent="0.25">
      <c r="A1047" s="25"/>
      <c r="B1047" s="25"/>
      <c r="C1047" s="25"/>
      <c r="D1047" s="25"/>
      <c r="E1047" s="25"/>
      <c r="F1047" s="25"/>
      <c r="G1047" s="25"/>
      <c r="H1047" s="54">
        <f>I1046</f>
        <v>516.83000000000004</v>
      </c>
      <c r="I1047" s="54"/>
      <c r="J1047" s="54">
        <f>K1046</f>
        <v>3276.7</v>
      </c>
      <c r="K1047" s="54"/>
      <c r="O1047" s="24">
        <f>I1046</f>
        <v>516.83000000000004</v>
      </c>
      <c r="P1047" s="24">
        <f>K1046</f>
        <v>3276.7</v>
      </c>
      <c r="X1047">
        <f>IF(Source!BI651&lt;=1,I1046-0, 0)</f>
        <v>516.83000000000004</v>
      </c>
      <c r="Y1047">
        <f>IF(Source!BI651=2,I1046-0, 0)</f>
        <v>0</v>
      </c>
      <c r="Z1047">
        <f>IF(Source!BI651=3,I1046-0, 0)</f>
        <v>0</v>
      </c>
      <c r="AA1047">
        <f>IF(Source!BI651=4,I1046,0)</f>
        <v>0</v>
      </c>
    </row>
    <row r="1048" spans="1:27" ht="42.75" x14ac:dyDescent="0.2">
      <c r="A1048" s="16" t="str">
        <f>Source!E652</f>
        <v>121</v>
      </c>
      <c r="B1048" s="17" t="str">
        <f>Source!F652</f>
        <v>Цена поставщика</v>
      </c>
      <c r="C1048" s="17" t="s">
        <v>1672</v>
      </c>
      <c r="D1048" s="19" t="str">
        <f>Source!H652</f>
        <v>шт.</v>
      </c>
      <c r="E1048" s="18">
        <f>Source!I652</f>
        <v>2</v>
      </c>
      <c r="F1048" s="21">
        <f>Source!AL652</f>
        <v>52.83</v>
      </c>
      <c r="G1048" s="20" t="str">
        <f>Source!DD652</f>
        <v/>
      </c>
      <c r="H1048" s="18">
        <f>Source!AW652</f>
        <v>1</v>
      </c>
      <c r="I1048" s="22">
        <f>ROUND((ROUND((Source!AC652*Source!AW652*Source!I652),2)),2)</f>
        <v>105.66</v>
      </c>
      <c r="J1048" s="18">
        <f>IF(Source!BC652&lt;&gt; 0, Source!BC652, 1)</f>
        <v>6.34</v>
      </c>
      <c r="K1048" s="22">
        <f>Source!P652</f>
        <v>669.88</v>
      </c>
      <c r="Q1048">
        <f>ROUND((Source!DN652/100)*ROUND((ROUND((Source!AF652*Source!AV652*Source!I652),2)),2), 2)</f>
        <v>0</v>
      </c>
      <c r="R1048">
        <f>Source!X652</f>
        <v>0</v>
      </c>
      <c r="S1048">
        <f>ROUND((Source!DO652/100)*ROUND((ROUND((Source!AF652*Source!AV652*Source!I652),2)),2), 2)</f>
        <v>0</v>
      </c>
      <c r="T1048">
        <f>Source!Y652</f>
        <v>0</v>
      </c>
      <c r="U1048">
        <f>ROUND((175/100)*ROUND((ROUND((Source!AE652*Source!AV652*Source!I652),2)),2), 2)</f>
        <v>0</v>
      </c>
      <c r="V1048">
        <f>ROUND((157/100)*ROUND(ROUND((ROUND((Source!AE652*Source!AV652*Source!I652),2)*Source!BS652),2), 2), 2)</f>
        <v>0</v>
      </c>
    </row>
    <row r="1049" spans="1:27" ht="15" x14ac:dyDescent="0.25">
      <c r="A1049" s="25"/>
      <c r="B1049" s="25"/>
      <c r="C1049" s="25"/>
      <c r="D1049" s="25"/>
      <c r="E1049" s="25"/>
      <c r="F1049" s="25"/>
      <c r="G1049" s="25"/>
      <c r="H1049" s="54">
        <f>I1048</f>
        <v>105.66</v>
      </c>
      <c r="I1049" s="54"/>
      <c r="J1049" s="54">
        <f>K1048</f>
        <v>669.88</v>
      </c>
      <c r="K1049" s="54"/>
      <c r="O1049" s="24">
        <f>I1048</f>
        <v>105.66</v>
      </c>
      <c r="P1049" s="24">
        <f>K1048</f>
        <v>669.88</v>
      </c>
      <c r="X1049">
        <f>IF(Source!BI652&lt;=1,I1048-0, 0)</f>
        <v>105.66</v>
      </c>
      <c r="Y1049">
        <f>IF(Source!BI652=2,I1048-0, 0)</f>
        <v>0</v>
      </c>
      <c r="Z1049">
        <f>IF(Source!BI652=3,I1048-0, 0)</f>
        <v>0</v>
      </c>
      <c r="AA1049">
        <f>IF(Source!BI652=4,I1048,0)</f>
        <v>0</v>
      </c>
    </row>
    <row r="1050" spans="1:27" ht="57" x14ac:dyDescent="0.2">
      <c r="A1050" s="16" t="str">
        <f>Source!E653</f>
        <v>122</v>
      </c>
      <c r="B1050" s="17" t="str">
        <f>Source!F653</f>
        <v>1.23-18-403</v>
      </c>
      <c r="C1050" s="17" t="s">
        <v>809</v>
      </c>
      <c r="D1050" s="19" t="str">
        <f>Source!H653</f>
        <v>км</v>
      </c>
      <c r="E1050" s="18">
        <f>Source!I653</f>
        <v>0.03</v>
      </c>
      <c r="F1050" s="21">
        <f>Source!AL653</f>
        <v>3973.1</v>
      </c>
      <c r="G1050" s="20" t="str">
        <f>Source!DD653</f>
        <v/>
      </c>
      <c r="H1050" s="18">
        <f>Source!AW653</f>
        <v>1</v>
      </c>
      <c r="I1050" s="22">
        <f>ROUND((ROUND((Source!AC653*Source!AW653*Source!I653),2)),2)</f>
        <v>119.19</v>
      </c>
      <c r="J1050" s="18">
        <f>IF(Source!BC653&lt;&gt; 0, Source!BC653, 1)</f>
        <v>9.36</v>
      </c>
      <c r="K1050" s="22">
        <f>Source!P653</f>
        <v>1115.6199999999999</v>
      </c>
      <c r="Q1050">
        <f>ROUND((Source!DN653/100)*ROUND((ROUND((Source!AF653*Source!AV653*Source!I653),2)),2), 2)</f>
        <v>0</v>
      </c>
      <c r="R1050">
        <f>Source!X653</f>
        <v>0</v>
      </c>
      <c r="S1050">
        <f>ROUND((Source!DO653/100)*ROUND((ROUND((Source!AF653*Source!AV653*Source!I653),2)),2), 2)</f>
        <v>0</v>
      </c>
      <c r="T1050">
        <f>Source!Y653</f>
        <v>0</v>
      </c>
      <c r="U1050">
        <f>ROUND((175/100)*ROUND((ROUND((Source!AE653*Source!AV653*Source!I653),2)),2), 2)</f>
        <v>0</v>
      </c>
      <c r="V1050">
        <f>ROUND((157/100)*ROUND(ROUND((ROUND((Source!AE653*Source!AV653*Source!I653),2)*Source!BS653),2), 2), 2)</f>
        <v>0</v>
      </c>
    </row>
    <row r="1051" spans="1:27" ht="15" x14ac:dyDescent="0.25">
      <c r="A1051" s="25"/>
      <c r="B1051" s="25"/>
      <c r="C1051" s="25"/>
      <c r="D1051" s="25"/>
      <c r="E1051" s="25"/>
      <c r="F1051" s="25"/>
      <c r="G1051" s="25"/>
      <c r="H1051" s="54">
        <f>I1050</f>
        <v>119.19</v>
      </c>
      <c r="I1051" s="54"/>
      <c r="J1051" s="54">
        <f>K1050</f>
        <v>1115.6199999999999</v>
      </c>
      <c r="K1051" s="54"/>
      <c r="O1051" s="24">
        <f>I1050</f>
        <v>119.19</v>
      </c>
      <c r="P1051" s="24">
        <f>K1050</f>
        <v>1115.6199999999999</v>
      </c>
      <c r="X1051">
        <f>IF(Source!BI653&lt;=1,I1050-0, 0)</f>
        <v>0</v>
      </c>
      <c r="Y1051">
        <f>IF(Source!BI653=2,I1050-0, 0)</f>
        <v>119.19</v>
      </c>
      <c r="Z1051">
        <f>IF(Source!BI653=3,I1050-0, 0)</f>
        <v>0</v>
      </c>
      <c r="AA1051">
        <f>IF(Source!BI653=4,I1050,0)</f>
        <v>0</v>
      </c>
    </row>
    <row r="1052" spans="1:27" ht="71.25" x14ac:dyDescent="0.2">
      <c r="A1052" s="16" t="str">
        <f>Source!E654</f>
        <v>123</v>
      </c>
      <c r="B1052" s="17" t="str">
        <f>Source!F654</f>
        <v>1.21-5-1031</v>
      </c>
      <c r="C1052" s="17" t="s">
        <v>817</v>
      </c>
      <c r="D1052" s="19" t="str">
        <f>Source!H654</f>
        <v>шт.</v>
      </c>
      <c r="E1052" s="18">
        <f>Source!I654</f>
        <v>1</v>
      </c>
      <c r="F1052" s="21">
        <f>Source!AL654</f>
        <v>2400.06</v>
      </c>
      <c r="G1052" s="20" t="str">
        <f>Source!DD654</f>
        <v/>
      </c>
      <c r="H1052" s="18">
        <f>Source!AW654</f>
        <v>1</v>
      </c>
      <c r="I1052" s="22">
        <f>ROUND((ROUND((Source!AC654*Source!AW654*Source!I654),2)),2)</f>
        <v>2400.06</v>
      </c>
      <c r="J1052" s="18">
        <f>IF(Source!BC654&lt;&gt; 0, Source!BC654, 1)</f>
        <v>2.93</v>
      </c>
      <c r="K1052" s="22">
        <f>Source!P654</f>
        <v>7032.18</v>
      </c>
      <c r="Q1052">
        <f>ROUND((Source!DN654/100)*ROUND((ROUND((Source!AF654*Source!AV654*Source!I654),2)),2), 2)</f>
        <v>0</v>
      </c>
      <c r="R1052">
        <f>Source!X654</f>
        <v>0</v>
      </c>
      <c r="S1052">
        <f>ROUND((Source!DO654/100)*ROUND((ROUND((Source!AF654*Source!AV654*Source!I654),2)),2), 2)</f>
        <v>0</v>
      </c>
      <c r="T1052">
        <f>Source!Y654</f>
        <v>0</v>
      </c>
      <c r="U1052">
        <f>ROUND((175/100)*ROUND((ROUND((Source!AE654*Source!AV654*Source!I654),2)),2), 2)</f>
        <v>0</v>
      </c>
      <c r="V1052">
        <f>ROUND((157/100)*ROUND(ROUND((ROUND((Source!AE654*Source!AV654*Source!I654),2)*Source!BS654),2), 2), 2)</f>
        <v>0</v>
      </c>
    </row>
    <row r="1053" spans="1:27" ht="15" x14ac:dyDescent="0.25">
      <c r="A1053" s="25"/>
      <c r="B1053" s="25"/>
      <c r="C1053" s="25"/>
      <c r="D1053" s="25"/>
      <c r="E1053" s="25"/>
      <c r="F1053" s="25"/>
      <c r="G1053" s="25"/>
      <c r="H1053" s="54">
        <f>I1052</f>
        <v>2400.06</v>
      </c>
      <c r="I1053" s="54"/>
      <c r="J1053" s="54">
        <f>K1052</f>
        <v>7032.18</v>
      </c>
      <c r="K1053" s="54"/>
      <c r="O1053" s="24">
        <f>I1052</f>
        <v>2400.06</v>
      </c>
      <c r="P1053" s="24">
        <f>K1052</f>
        <v>7032.18</v>
      </c>
      <c r="X1053">
        <f>IF(Source!BI654&lt;=1,I1052-0, 0)</f>
        <v>0</v>
      </c>
      <c r="Y1053">
        <f>IF(Source!BI654=2,I1052-0, 0)</f>
        <v>2400.06</v>
      </c>
      <c r="Z1053">
        <f>IF(Source!BI654=3,I1052-0, 0)</f>
        <v>0</v>
      </c>
      <c r="AA1053">
        <f>IF(Source!BI654=4,I1052,0)</f>
        <v>0</v>
      </c>
    </row>
    <row r="1054" spans="1:27" ht="42.75" x14ac:dyDescent="0.2">
      <c r="A1054" s="16" t="str">
        <f>Source!E655</f>
        <v>124</v>
      </c>
      <c r="B1054" s="17" t="str">
        <f>Source!F655</f>
        <v>Цена поставщика</v>
      </c>
      <c r="C1054" s="17" t="s">
        <v>1673</v>
      </c>
      <c r="D1054" s="19" t="str">
        <f>Source!H655</f>
        <v>кг</v>
      </c>
      <c r="E1054" s="18">
        <f>Source!I655</f>
        <v>25</v>
      </c>
      <c r="F1054" s="21">
        <f>Source!AL655</f>
        <v>154.44999999999999</v>
      </c>
      <c r="G1054" s="20" t="str">
        <f>Source!DD655</f>
        <v/>
      </c>
      <c r="H1054" s="18">
        <f>Source!AW655</f>
        <v>1</v>
      </c>
      <c r="I1054" s="22">
        <f>ROUND((ROUND((Source!AC655*Source!AW655*Source!I655),2)),2)</f>
        <v>3861.25</v>
      </c>
      <c r="J1054" s="18">
        <f>IF(Source!BC655&lt;&gt; 0, Source!BC655, 1)</f>
        <v>6.34</v>
      </c>
      <c r="K1054" s="22">
        <f>Source!P655</f>
        <v>24480.33</v>
      </c>
      <c r="Q1054">
        <f>ROUND((Source!DN655/100)*ROUND((ROUND((Source!AF655*Source!AV655*Source!I655),2)),2), 2)</f>
        <v>0</v>
      </c>
      <c r="R1054">
        <f>Source!X655</f>
        <v>0</v>
      </c>
      <c r="S1054">
        <f>ROUND((Source!DO655/100)*ROUND((ROUND((Source!AF655*Source!AV655*Source!I655),2)),2), 2)</f>
        <v>0</v>
      </c>
      <c r="T1054">
        <f>Source!Y655</f>
        <v>0</v>
      </c>
      <c r="U1054">
        <f>ROUND((175/100)*ROUND((ROUND((Source!AE655*Source!AV655*Source!I655),2)),2), 2)</f>
        <v>0</v>
      </c>
      <c r="V1054">
        <f>ROUND((157/100)*ROUND(ROUND((ROUND((Source!AE655*Source!AV655*Source!I655),2)*Source!BS655),2), 2), 2)</f>
        <v>0</v>
      </c>
    </row>
    <row r="1055" spans="1:27" ht="15" x14ac:dyDescent="0.25">
      <c r="A1055" s="25"/>
      <c r="B1055" s="25"/>
      <c r="C1055" s="25"/>
      <c r="D1055" s="25"/>
      <c r="E1055" s="25"/>
      <c r="F1055" s="25"/>
      <c r="G1055" s="25"/>
      <c r="H1055" s="54">
        <f>I1054</f>
        <v>3861.25</v>
      </c>
      <c r="I1055" s="54"/>
      <c r="J1055" s="54">
        <f>K1054</f>
        <v>24480.33</v>
      </c>
      <c r="K1055" s="54"/>
      <c r="O1055" s="24">
        <f>I1054</f>
        <v>3861.25</v>
      </c>
      <c r="P1055" s="24">
        <f>K1054</f>
        <v>24480.33</v>
      </c>
      <c r="X1055">
        <f>IF(Source!BI655&lt;=1,I1054-0, 0)</f>
        <v>3861.25</v>
      </c>
      <c r="Y1055">
        <f>IF(Source!BI655=2,I1054-0, 0)</f>
        <v>0</v>
      </c>
      <c r="Z1055">
        <f>IF(Source!BI655=3,I1054-0, 0)</f>
        <v>0</v>
      </c>
      <c r="AA1055">
        <f>IF(Source!BI655=4,I1054,0)</f>
        <v>0</v>
      </c>
    </row>
    <row r="1056" spans="1:27" ht="42.75" x14ac:dyDescent="0.2">
      <c r="A1056" s="16" t="str">
        <f>Source!E656</f>
        <v>125</v>
      </c>
      <c r="B1056" s="17" t="str">
        <f>Source!F656</f>
        <v>Цена поставщика</v>
      </c>
      <c r="C1056" s="17" t="s">
        <v>1674</v>
      </c>
      <c r="D1056" s="19" t="str">
        <f>Source!H656</f>
        <v>кг</v>
      </c>
      <c r="E1056" s="18">
        <f>Source!I656</f>
        <v>10</v>
      </c>
      <c r="F1056" s="21">
        <f>Source!AL656</f>
        <v>664.70999999999992</v>
      </c>
      <c r="G1056" s="20" t="str">
        <f>Source!DD656</f>
        <v/>
      </c>
      <c r="H1056" s="18">
        <f>Source!AW656</f>
        <v>1</v>
      </c>
      <c r="I1056" s="22">
        <f>ROUND((ROUND((Source!AC656*Source!AW656*Source!I656),2)),2)</f>
        <v>6647.1</v>
      </c>
      <c r="J1056" s="18">
        <f>IF(Source!BC656&lt;&gt; 0, Source!BC656, 1)</f>
        <v>6.34</v>
      </c>
      <c r="K1056" s="22">
        <f>Source!P656</f>
        <v>42142.61</v>
      </c>
      <c r="Q1056">
        <f>ROUND((Source!DN656/100)*ROUND((ROUND((Source!AF656*Source!AV656*Source!I656),2)),2), 2)</f>
        <v>0</v>
      </c>
      <c r="R1056">
        <f>Source!X656</f>
        <v>0</v>
      </c>
      <c r="S1056">
        <f>ROUND((Source!DO656/100)*ROUND((ROUND((Source!AF656*Source!AV656*Source!I656),2)),2), 2)</f>
        <v>0</v>
      </c>
      <c r="T1056">
        <f>Source!Y656</f>
        <v>0</v>
      </c>
      <c r="U1056">
        <f>ROUND((175/100)*ROUND((ROUND((Source!AE656*Source!AV656*Source!I656),2)),2), 2)</f>
        <v>0</v>
      </c>
      <c r="V1056">
        <f>ROUND((157/100)*ROUND(ROUND((ROUND((Source!AE656*Source!AV656*Source!I656),2)*Source!BS656),2), 2), 2)</f>
        <v>0</v>
      </c>
    </row>
    <row r="1057" spans="1:27" ht="15" x14ac:dyDescent="0.25">
      <c r="A1057" s="25"/>
      <c r="B1057" s="25"/>
      <c r="C1057" s="25"/>
      <c r="D1057" s="25"/>
      <c r="E1057" s="25"/>
      <c r="F1057" s="25"/>
      <c r="G1057" s="25"/>
      <c r="H1057" s="54">
        <f>I1056</f>
        <v>6647.1</v>
      </c>
      <c r="I1057" s="54"/>
      <c r="J1057" s="54">
        <f>K1056</f>
        <v>42142.61</v>
      </c>
      <c r="K1057" s="54"/>
      <c r="O1057" s="24">
        <f>I1056</f>
        <v>6647.1</v>
      </c>
      <c r="P1057" s="24">
        <f>K1056</f>
        <v>42142.61</v>
      </c>
      <c r="X1057">
        <f>IF(Source!BI656&lt;=1,I1056-0, 0)</f>
        <v>6647.1</v>
      </c>
      <c r="Y1057">
        <f>IF(Source!BI656=2,I1056-0, 0)</f>
        <v>0</v>
      </c>
      <c r="Z1057">
        <f>IF(Source!BI656=3,I1056-0, 0)</f>
        <v>0</v>
      </c>
      <c r="AA1057">
        <f>IF(Source!BI656=4,I1056,0)</f>
        <v>0</v>
      </c>
    </row>
    <row r="1058" spans="1:27" ht="42.75" x14ac:dyDescent="0.2">
      <c r="A1058" s="16" t="str">
        <f>Source!E657</f>
        <v>126</v>
      </c>
      <c r="B1058" s="17" t="str">
        <f>Source!F657</f>
        <v>Цена поставщика</v>
      </c>
      <c r="C1058" s="17" t="s">
        <v>1672</v>
      </c>
      <c r="D1058" s="19" t="str">
        <f>Source!H657</f>
        <v>шт.</v>
      </c>
      <c r="E1058" s="18">
        <f>Source!I657</f>
        <v>2</v>
      </c>
      <c r="F1058" s="21">
        <f>Source!AL657</f>
        <v>52.83</v>
      </c>
      <c r="G1058" s="20" t="str">
        <f>Source!DD657</f>
        <v/>
      </c>
      <c r="H1058" s="18">
        <f>Source!AW657</f>
        <v>1</v>
      </c>
      <c r="I1058" s="22">
        <f>ROUND((ROUND((Source!AC657*Source!AW657*Source!I657),2)),2)</f>
        <v>105.66</v>
      </c>
      <c r="J1058" s="18">
        <f>IF(Source!BC657&lt;&gt; 0, Source!BC657, 1)</f>
        <v>6.34</v>
      </c>
      <c r="K1058" s="22">
        <f>Source!P657</f>
        <v>669.88</v>
      </c>
      <c r="Q1058">
        <f>ROUND((Source!DN657/100)*ROUND((ROUND((Source!AF657*Source!AV657*Source!I657),2)),2), 2)</f>
        <v>0</v>
      </c>
      <c r="R1058">
        <f>Source!X657</f>
        <v>0</v>
      </c>
      <c r="S1058">
        <f>ROUND((Source!DO657/100)*ROUND((ROUND((Source!AF657*Source!AV657*Source!I657),2)),2), 2)</f>
        <v>0</v>
      </c>
      <c r="T1058">
        <f>Source!Y657</f>
        <v>0</v>
      </c>
      <c r="U1058">
        <f>ROUND((175/100)*ROUND((ROUND((Source!AE657*Source!AV657*Source!I657),2)),2), 2)</f>
        <v>0</v>
      </c>
      <c r="V1058">
        <f>ROUND((157/100)*ROUND(ROUND((ROUND((Source!AE657*Source!AV657*Source!I657),2)*Source!BS657),2), 2), 2)</f>
        <v>0</v>
      </c>
    </row>
    <row r="1059" spans="1:27" ht="15" x14ac:dyDescent="0.25">
      <c r="A1059" s="25"/>
      <c r="B1059" s="25"/>
      <c r="C1059" s="25"/>
      <c r="D1059" s="25"/>
      <c r="E1059" s="25"/>
      <c r="F1059" s="25"/>
      <c r="G1059" s="25"/>
      <c r="H1059" s="54">
        <f>I1058</f>
        <v>105.66</v>
      </c>
      <c r="I1059" s="54"/>
      <c r="J1059" s="54">
        <f>K1058</f>
        <v>669.88</v>
      </c>
      <c r="K1059" s="54"/>
      <c r="O1059" s="24">
        <f>I1058</f>
        <v>105.66</v>
      </c>
      <c r="P1059" s="24">
        <f>K1058</f>
        <v>669.88</v>
      </c>
      <c r="X1059">
        <f>IF(Source!BI657&lt;=1,I1058-0, 0)</f>
        <v>105.66</v>
      </c>
      <c r="Y1059">
        <f>IF(Source!BI657=2,I1058-0, 0)</f>
        <v>0</v>
      </c>
      <c r="Z1059">
        <f>IF(Source!BI657=3,I1058-0, 0)</f>
        <v>0</v>
      </c>
      <c r="AA1059">
        <f>IF(Source!BI657=4,I1058,0)</f>
        <v>0</v>
      </c>
    </row>
    <row r="1060" spans="1:27" ht="54" x14ac:dyDescent="0.2">
      <c r="A1060" s="16" t="str">
        <f>Source!E658</f>
        <v>127</v>
      </c>
      <c r="B1060" s="17" t="str">
        <f>Source!F658</f>
        <v>Цена поставщика</v>
      </c>
      <c r="C1060" s="17" t="s">
        <v>1675</v>
      </c>
      <c r="D1060" s="19" t="str">
        <f>Source!H658</f>
        <v>КОМПЛ</v>
      </c>
      <c r="E1060" s="18">
        <f>Source!I658</f>
        <v>1</v>
      </c>
      <c r="F1060" s="21">
        <f>Source!AL658</f>
        <v>2011.04</v>
      </c>
      <c r="G1060" s="20" t="str">
        <f>Source!DD658</f>
        <v/>
      </c>
      <c r="H1060" s="18">
        <f>Source!AW658</f>
        <v>1</v>
      </c>
      <c r="I1060" s="22">
        <f>ROUND((ROUND((Source!AC658*Source!AW658*Source!I658),2)),2)</f>
        <v>2011.04</v>
      </c>
      <c r="J1060" s="18">
        <f>IF(Source!BC658&lt;&gt; 0, Source!BC658, 1)</f>
        <v>6.34</v>
      </c>
      <c r="K1060" s="22">
        <f>Source!P658</f>
        <v>12749.99</v>
      </c>
      <c r="Q1060">
        <f>ROUND((Source!DN658/100)*ROUND((ROUND((Source!AF658*Source!AV658*Source!I658),2)),2), 2)</f>
        <v>0</v>
      </c>
      <c r="R1060">
        <f>Source!X658</f>
        <v>0</v>
      </c>
      <c r="S1060">
        <f>ROUND((Source!DO658/100)*ROUND((ROUND((Source!AF658*Source!AV658*Source!I658),2)),2), 2)</f>
        <v>0</v>
      </c>
      <c r="T1060">
        <f>Source!Y658</f>
        <v>0</v>
      </c>
      <c r="U1060">
        <f>ROUND((175/100)*ROUND((ROUND((Source!AE658*Source!AV658*Source!I658),2)),2), 2)</f>
        <v>0</v>
      </c>
      <c r="V1060">
        <f>ROUND((157/100)*ROUND(ROUND((ROUND((Source!AE658*Source!AV658*Source!I658),2)*Source!BS658),2), 2), 2)</f>
        <v>0</v>
      </c>
    </row>
    <row r="1061" spans="1:27" ht="15" x14ac:dyDescent="0.25">
      <c r="A1061" s="25"/>
      <c r="B1061" s="25"/>
      <c r="C1061" s="25"/>
      <c r="D1061" s="25"/>
      <c r="E1061" s="25"/>
      <c r="F1061" s="25"/>
      <c r="G1061" s="25"/>
      <c r="H1061" s="54">
        <f>I1060</f>
        <v>2011.04</v>
      </c>
      <c r="I1061" s="54"/>
      <c r="J1061" s="54">
        <f>K1060</f>
        <v>12749.99</v>
      </c>
      <c r="K1061" s="54"/>
      <c r="O1061" s="24">
        <f>I1060</f>
        <v>2011.04</v>
      </c>
      <c r="P1061" s="24">
        <f>K1060</f>
        <v>12749.99</v>
      </c>
      <c r="X1061">
        <f>IF(Source!BI658&lt;=1,I1060-0, 0)</f>
        <v>2011.04</v>
      </c>
      <c r="Y1061">
        <f>IF(Source!BI658=2,I1060-0, 0)</f>
        <v>0</v>
      </c>
      <c r="Z1061">
        <f>IF(Source!BI658=3,I1060-0, 0)</f>
        <v>0</v>
      </c>
      <c r="AA1061">
        <f>IF(Source!BI658=4,I1060,0)</f>
        <v>0</v>
      </c>
    </row>
    <row r="1063" spans="1:27" ht="15" x14ac:dyDescent="0.25">
      <c r="A1063" s="53" t="str">
        <f>CONCATENATE("Итого по подразделу: ",IF(Source!G660&lt;&gt;"Новый подраздел", Source!G660, ""))</f>
        <v>Итого по подразделу: Оборудование системы фильтрации</v>
      </c>
      <c r="B1063" s="53"/>
      <c r="C1063" s="53"/>
      <c r="D1063" s="53"/>
      <c r="E1063" s="53"/>
      <c r="F1063" s="53"/>
      <c r="G1063" s="53"/>
      <c r="H1063" s="51">
        <f>SUM(O1033:O1062)</f>
        <v>91731.63</v>
      </c>
      <c r="I1063" s="52"/>
      <c r="J1063" s="51">
        <f>SUM(P1033:P1062)</f>
        <v>573754.28</v>
      </c>
      <c r="K1063" s="52"/>
    </row>
    <row r="1064" spans="1:27" hidden="1" x14ac:dyDescent="0.2">
      <c r="A1064" t="s">
        <v>1641</v>
      </c>
      <c r="H1064">
        <f>SUM(AC1033:AC1063)</f>
        <v>0</v>
      </c>
      <c r="J1064">
        <f>SUM(AD1033:AD1063)</f>
        <v>0</v>
      </c>
    </row>
    <row r="1065" spans="1:27" hidden="1" x14ac:dyDescent="0.2">
      <c r="A1065" t="s">
        <v>1642</v>
      </c>
      <c r="H1065">
        <f>SUM(AE1033:AE1064)</f>
        <v>0</v>
      </c>
      <c r="J1065">
        <f>SUM(AF1033:AF1064)</f>
        <v>0</v>
      </c>
    </row>
    <row r="1067" spans="1:27" ht="16.5" x14ac:dyDescent="0.25">
      <c r="A1067" s="56" t="str">
        <f>CONCATENATE("Подраздел: ",IF(Source!G690&lt;&gt;"Новый подраздел", Source!G690, ""))</f>
        <v>Подраздел: Водные и прибрежные растения (контейнерные)</v>
      </c>
      <c r="B1067" s="56"/>
      <c r="C1067" s="56"/>
      <c r="D1067" s="56"/>
      <c r="E1067" s="56"/>
      <c r="F1067" s="56"/>
      <c r="G1067" s="56"/>
      <c r="H1067" s="56"/>
      <c r="I1067" s="56"/>
      <c r="J1067" s="56"/>
      <c r="K1067" s="56"/>
    </row>
    <row r="1068" spans="1:27" ht="71.25" x14ac:dyDescent="0.2">
      <c r="A1068" s="16" t="str">
        <f>Source!E694</f>
        <v>128</v>
      </c>
      <c r="B1068" s="17" t="str">
        <f>Source!F694</f>
        <v>3.47-7-2</v>
      </c>
      <c r="C1068" s="17" t="s">
        <v>833</v>
      </c>
      <c r="D1068" s="19" t="str">
        <f>Source!H694</f>
        <v>10 деревьев или кустарников</v>
      </c>
      <c r="E1068" s="18">
        <f>Source!I694</f>
        <v>30</v>
      </c>
      <c r="F1068" s="21"/>
      <c r="G1068" s="20"/>
      <c r="H1068" s="18"/>
      <c r="I1068" s="22"/>
      <c r="J1068" s="18"/>
      <c r="K1068" s="22"/>
      <c r="Q1068">
        <f>ROUND((Source!DN694/100)*ROUND((ROUND((Source!AF694*Source!AV694*Source!I694),2)),2), 2)</f>
        <v>4140.91</v>
      </c>
      <c r="R1068">
        <f>Source!X694</f>
        <v>60775.83</v>
      </c>
      <c r="S1068">
        <f>ROUND((Source!DO694/100)*ROUND((ROUND((Source!AF694*Source!AV694*Source!I694),2)),2), 2)</f>
        <v>2229.7199999999998</v>
      </c>
      <c r="T1068">
        <f>Source!Y694</f>
        <v>27686.77</v>
      </c>
      <c r="U1068">
        <f>ROUND((175/100)*ROUND((ROUND((Source!AE694*Source!AV694*Source!I694),2)),2), 2)</f>
        <v>228.38</v>
      </c>
      <c r="V1068">
        <f>ROUND((157/100)*ROUND(ROUND((ROUND((Source!AE694*Source!AV694*Source!I694),2)*Source!BS694),2), 2), 2)</f>
        <v>5212.2700000000004</v>
      </c>
    </row>
    <row r="1069" spans="1:27" x14ac:dyDescent="0.2">
      <c r="C1069" s="23" t="str">
        <f>"Объем: "&amp;Source!I694&amp;"=300/"&amp;"10"</f>
        <v>Объем: 30=300/10</v>
      </c>
    </row>
    <row r="1070" spans="1:27" ht="14.25" x14ac:dyDescent="0.2">
      <c r="A1070" s="16"/>
      <c r="B1070" s="17"/>
      <c r="C1070" s="17" t="s">
        <v>1625</v>
      </c>
      <c r="D1070" s="19"/>
      <c r="E1070" s="18"/>
      <c r="F1070" s="21">
        <f>Source!AO694</f>
        <v>76.94</v>
      </c>
      <c r="G1070" s="20" t="str">
        <f>Source!DG694</f>
        <v>)*1,15</v>
      </c>
      <c r="H1070" s="18">
        <f>Source!AV694</f>
        <v>1</v>
      </c>
      <c r="I1070" s="22">
        <f>ROUND((ROUND((Source!AF694*Source!AV694*Source!I694),2)),2)</f>
        <v>2654.43</v>
      </c>
      <c r="J1070" s="18">
        <f>IF(Source!BA694&lt;&gt; 0, Source!BA694, 1)</f>
        <v>25.44</v>
      </c>
      <c r="K1070" s="22">
        <f>Source!S694</f>
        <v>67528.7</v>
      </c>
      <c r="W1070">
        <f>I1070</f>
        <v>2654.43</v>
      </c>
    </row>
    <row r="1071" spans="1:27" ht="14.25" x14ac:dyDescent="0.2">
      <c r="A1071" s="16"/>
      <c r="B1071" s="17"/>
      <c r="C1071" s="17" t="s">
        <v>1631</v>
      </c>
      <c r="D1071" s="19"/>
      <c r="E1071" s="18"/>
      <c r="F1071" s="21">
        <f>Source!AM694</f>
        <v>64.14</v>
      </c>
      <c r="G1071" s="20" t="str">
        <f>Source!DE694</f>
        <v>)*1,25</v>
      </c>
      <c r="H1071" s="18">
        <f>Source!AV694</f>
        <v>1</v>
      </c>
      <c r="I1071" s="22">
        <f>(ROUND((ROUND((((Source!ET694*1.25))*Source!AV694*Source!I694),2)),2)+ROUND((ROUND(((Source!AE694-((Source!EU694*1.25)))*Source!AV694*Source!I694),2)),2))</f>
        <v>2405.25</v>
      </c>
      <c r="J1071" s="18">
        <f>IF(Source!BB694&lt;&gt; 0, Source!BB694, 1)</f>
        <v>8.25</v>
      </c>
      <c r="K1071" s="22">
        <f>Source!Q694</f>
        <v>19843.310000000001</v>
      </c>
    </row>
    <row r="1072" spans="1:27" ht="14.25" x14ac:dyDescent="0.2">
      <c r="A1072" s="16"/>
      <c r="B1072" s="17"/>
      <c r="C1072" s="17" t="s">
        <v>1632</v>
      </c>
      <c r="D1072" s="19"/>
      <c r="E1072" s="18"/>
      <c r="F1072" s="21">
        <f>Source!AN694</f>
        <v>3.48</v>
      </c>
      <c r="G1072" s="20" t="str">
        <f>Source!DF694</f>
        <v>)*1,25</v>
      </c>
      <c r="H1072" s="18">
        <f>Source!AV694</f>
        <v>1</v>
      </c>
      <c r="I1072" s="26">
        <f>ROUND((ROUND((Source!AE694*Source!AV694*Source!I694),2)),2)</f>
        <v>130.5</v>
      </c>
      <c r="J1072" s="18">
        <f>IF(Source!BS694&lt;&gt; 0, Source!BS694, 1)</f>
        <v>25.44</v>
      </c>
      <c r="K1072" s="26">
        <f>Source!R694</f>
        <v>3319.92</v>
      </c>
      <c r="W1072">
        <f>I1072</f>
        <v>130.5</v>
      </c>
    </row>
    <row r="1073" spans="1:27" ht="14.25" x14ac:dyDescent="0.2">
      <c r="A1073" s="16"/>
      <c r="B1073" s="17"/>
      <c r="C1073" s="17" t="s">
        <v>1634</v>
      </c>
      <c r="D1073" s="19"/>
      <c r="E1073" s="18"/>
      <c r="F1073" s="21">
        <f>Source!AL694</f>
        <v>7.56</v>
      </c>
      <c r="G1073" s="20" t="str">
        <f>Source!DD694</f>
        <v/>
      </c>
      <c r="H1073" s="18">
        <f>Source!AW694</f>
        <v>1</v>
      </c>
      <c r="I1073" s="22">
        <f>ROUND((ROUND((Source!AC694*Source!AW694*Source!I694),2)),2)</f>
        <v>226.8</v>
      </c>
      <c r="J1073" s="18">
        <f>IF(Source!BC694&lt;&gt; 0, Source!BC694, 1)</f>
        <v>5.14</v>
      </c>
      <c r="K1073" s="22">
        <f>Source!P694</f>
        <v>1165.75</v>
      </c>
    </row>
    <row r="1074" spans="1:27" ht="42.75" x14ac:dyDescent="0.2">
      <c r="A1074" s="16" t="str">
        <f>Source!E695</f>
        <v>128,1</v>
      </c>
      <c r="B1074" s="17" t="str">
        <f>Source!F695</f>
        <v>Цена поставщика</v>
      </c>
      <c r="C1074" s="17" t="s">
        <v>1676</v>
      </c>
      <c r="D1074" s="19" t="str">
        <f>Source!H695</f>
        <v>шт.</v>
      </c>
      <c r="E1074" s="18">
        <f>Source!I695</f>
        <v>150</v>
      </c>
      <c r="F1074" s="21">
        <f>Source!AK695</f>
        <v>53.629999999999995</v>
      </c>
      <c r="G1074" s="27" t="s">
        <v>3</v>
      </c>
      <c r="H1074" s="18">
        <f>Source!AW695</f>
        <v>1</v>
      </c>
      <c r="I1074" s="22">
        <f>ROUND((ROUND((Source!AC695*Source!AW695*Source!I695),2)),2)+(ROUND((ROUND(((Source!ET695)*Source!AV695*Source!I695),2)),2)+ROUND((ROUND(((Source!AE695-(Source!EU695))*Source!AV695*Source!I695),2)),2))+ROUND((ROUND((Source!AF695*Source!AV695*Source!I695),2)),2)</f>
        <v>8044.5</v>
      </c>
      <c r="J1074" s="18">
        <f>IF(Source!BC695&lt;&gt; 0, Source!BC695, 1)</f>
        <v>6.34</v>
      </c>
      <c r="K1074" s="22">
        <f>Source!O695</f>
        <v>51002.13</v>
      </c>
      <c r="Q1074">
        <f>ROUND((Source!DN695/100)*ROUND((ROUND((Source!AF695*Source!AV695*Source!I695),2)),2), 2)</f>
        <v>0</v>
      </c>
      <c r="R1074">
        <f>Source!X695</f>
        <v>0</v>
      </c>
      <c r="S1074">
        <f>ROUND((Source!DO695/100)*ROUND((ROUND((Source!AF695*Source!AV695*Source!I695),2)),2), 2)</f>
        <v>0</v>
      </c>
      <c r="T1074">
        <f>Source!Y695</f>
        <v>0</v>
      </c>
      <c r="U1074">
        <f>ROUND((175/100)*ROUND((ROUND((Source!AE695*Source!AV695*Source!I695),2)),2), 2)</f>
        <v>0</v>
      </c>
      <c r="V1074">
        <f>ROUND((157/100)*ROUND(ROUND((ROUND((Source!AE695*Source!AV695*Source!I695),2)*Source!BS695),2), 2), 2)</f>
        <v>0</v>
      </c>
      <c r="X1074">
        <f>IF(Source!BI695&lt;=1,I1074, 0)</f>
        <v>8044.5</v>
      </c>
      <c r="Y1074">
        <f>IF(Source!BI695=2,I1074, 0)</f>
        <v>0</v>
      </c>
      <c r="Z1074">
        <f>IF(Source!BI695=3,I1074, 0)</f>
        <v>0</v>
      </c>
      <c r="AA1074">
        <f>IF(Source!BI695=4,I1074, 0)</f>
        <v>0</v>
      </c>
    </row>
    <row r="1075" spans="1:27" ht="42.75" x14ac:dyDescent="0.2">
      <c r="A1075" s="16" t="str">
        <f>Source!E696</f>
        <v>128,2</v>
      </c>
      <c r="B1075" s="17" t="str">
        <f>Source!F696</f>
        <v>Цена поставщика</v>
      </c>
      <c r="C1075" s="17" t="s">
        <v>1677</v>
      </c>
      <c r="D1075" s="19" t="str">
        <f>Source!H696</f>
        <v>шт.</v>
      </c>
      <c r="E1075" s="18">
        <f>Source!I696</f>
        <v>10</v>
      </c>
      <c r="F1075" s="21">
        <f>Source!AK696</f>
        <v>46.79</v>
      </c>
      <c r="G1075" s="27" t="s">
        <v>3</v>
      </c>
      <c r="H1075" s="18">
        <f>Source!AW696</f>
        <v>1</v>
      </c>
      <c r="I1075" s="22">
        <f>ROUND((ROUND((Source!AC696*Source!AW696*Source!I696),2)),2)+(ROUND((ROUND(((Source!ET696)*Source!AV696*Source!I696),2)),2)+ROUND((ROUND(((Source!AE696-(Source!EU696))*Source!AV696*Source!I696),2)),2))+ROUND((ROUND((Source!AF696*Source!AV696*Source!I696),2)),2)</f>
        <v>467.9</v>
      </c>
      <c r="J1075" s="18">
        <f>IF(Source!BC696&lt;&gt; 0, Source!BC696, 1)</f>
        <v>6.34</v>
      </c>
      <c r="K1075" s="22">
        <f>Source!O696</f>
        <v>2966.49</v>
      </c>
      <c r="Q1075">
        <f>ROUND((Source!DN696/100)*ROUND((ROUND((Source!AF696*Source!AV696*Source!I696),2)),2), 2)</f>
        <v>0</v>
      </c>
      <c r="R1075">
        <f>Source!X696</f>
        <v>0</v>
      </c>
      <c r="S1075">
        <f>ROUND((Source!DO696/100)*ROUND((ROUND((Source!AF696*Source!AV696*Source!I696),2)),2), 2)</f>
        <v>0</v>
      </c>
      <c r="T1075">
        <f>Source!Y696</f>
        <v>0</v>
      </c>
      <c r="U1075">
        <f>ROUND((175/100)*ROUND((ROUND((Source!AE696*Source!AV696*Source!I696),2)),2), 2)</f>
        <v>0</v>
      </c>
      <c r="V1075">
        <f>ROUND((157/100)*ROUND(ROUND((ROUND((Source!AE696*Source!AV696*Source!I696),2)*Source!BS696),2), 2), 2)</f>
        <v>0</v>
      </c>
      <c r="X1075">
        <f>IF(Source!BI696&lt;=1,I1075, 0)</f>
        <v>467.9</v>
      </c>
      <c r="Y1075">
        <f>IF(Source!BI696=2,I1075, 0)</f>
        <v>0</v>
      </c>
      <c r="Z1075">
        <f>IF(Source!BI696=3,I1075, 0)</f>
        <v>0</v>
      </c>
      <c r="AA1075">
        <f>IF(Source!BI696=4,I1075, 0)</f>
        <v>0</v>
      </c>
    </row>
    <row r="1076" spans="1:27" ht="42.75" x14ac:dyDescent="0.2">
      <c r="A1076" s="16" t="str">
        <f>Source!E697</f>
        <v>128,3</v>
      </c>
      <c r="B1076" s="17" t="str">
        <f>Source!F697</f>
        <v>Цена поставщика</v>
      </c>
      <c r="C1076" s="17" t="s">
        <v>1678</v>
      </c>
      <c r="D1076" s="19" t="str">
        <f>Source!H697</f>
        <v>шт.</v>
      </c>
      <c r="E1076" s="18">
        <f>Source!I697</f>
        <v>50</v>
      </c>
      <c r="F1076" s="21">
        <f>Source!AK697</f>
        <v>69.039999999999992</v>
      </c>
      <c r="G1076" s="27" t="s">
        <v>3</v>
      </c>
      <c r="H1076" s="18">
        <f>Source!AW697</f>
        <v>1</v>
      </c>
      <c r="I1076" s="22">
        <f>ROUND((ROUND((Source!AC697*Source!AW697*Source!I697),2)),2)+(ROUND((ROUND(((Source!ET697)*Source!AV697*Source!I697),2)),2)+ROUND((ROUND(((Source!AE697-(Source!EU697))*Source!AV697*Source!I697),2)),2))+ROUND((ROUND((Source!AF697*Source!AV697*Source!I697),2)),2)</f>
        <v>3452</v>
      </c>
      <c r="J1076" s="18">
        <f>IF(Source!BC697&lt;&gt; 0, Source!BC697, 1)</f>
        <v>6.34</v>
      </c>
      <c r="K1076" s="22">
        <f>Source!O697</f>
        <v>21885.68</v>
      </c>
      <c r="Q1076">
        <f>ROUND((Source!DN697/100)*ROUND((ROUND((Source!AF697*Source!AV697*Source!I697),2)),2), 2)</f>
        <v>0</v>
      </c>
      <c r="R1076">
        <f>Source!X697</f>
        <v>0</v>
      </c>
      <c r="S1076">
        <f>ROUND((Source!DO697/100)*ROUND((ROUND((Source!AF697*Source!AV697*Source!I697),2)),2), 2)</f>
        <v>0</v>
      </c>
      <c r="T1076">
        <f>Source!Y697</f>
        <v>0</v>
      </c>
      <c r="U1076">
        <f>ROUND((175/100)*ROUND((ROUND((Source!AE697*Source!AV697*Source!I697),2)),2), 2)</f>
        <v>0</v>
      </c>
      <c r="V1076">
        <f>ROUND((157/100)*ROUND(ROUND((ROUND((Source!AE697*Source!AV697*Source!I697),2)*Source!BS697),2), 2), 2)</f>
        <v>0</v>
      </c>
      <c r="X1076">
        <f>IF(Source!BI697&lt;=1,I1076, 0)</f>
        <v>3452</v>
      </c>
      <c r="Y1076">
        <f>IF(Source!BI697=2,I1076, 0)</f>
        <v>0</v>
      </c>
      <c r="Z1076">
        <f>IF(Source!BI697=3,I1076, 0)</f>
        <v>0</v>
      </c>
      <c r="AA1076">
        <f>IF(Source!BI697=4,I1076, 0)</f>
        <v>0</v>
      </c>
    </row>
    <row r="1077" spans="1:27" ht="42.75" x14ac:dyDescent="0.2">
      <c r="A1077" s="16" t="str">
        <f>Source!E698</f>
        <v>128,4</v>
      </c>
      <c r="B1077" s="17" t="str">
        <f>Source!F698</f>
        <v>Цена поставщика</v>
      </c>
      <c r="C1077" s="17" t="s">
        <v>1679</v>
      </c>
      <c r="D1077" s="19" t="str">
        <f>Source!H698</f>
        <v>шт.</v>
      </c>
      <c r="E1077" s="18">
        <f>Source!I698</f>
        <v>50</v>
      </c>
      <c r="F1077" s="21">
        <f>Source!AK698</f>
        <v>335.17</v>
      </c>
      <c r="G1077" s="27" t="s">
        <v>3</v>
      </c>
      <c r="H1077" s="18">
        <f>Source!AW698</f>
        <v>1</v>
      </c>
      <c r="I1077" s="22">
        <f>ROUND((ROUND((Source!AC698*Source!AW698*Source!I698),2)),2)+(ROUND((ROUND(((Source!ET698)*Source!AV698*Source!I698),2)),2)+ROUND((ROUND(((Source!AE698-(Source!EU698))*Source!AV698*Source!I698),2)),2))+ROUND((ROUND((Source!AF698*Source!AV698*Source!I698),2)),2)</f>
        <v>16758.5</v>
      </c>
      <c r="J1077" s="18">
        <f>IF(Source!BC698&lt;&gt; 0, Source!BC698, 1)</f>
        <v>6.34</v>
      </c>
      <c r="K1077" s="22">
        <f>Source!O698</f>
        <v>106248.89</v>
      </c>
      <c r="Q1077">
        <f>ROUND((Source!DN698/100)*ROUND((ROUND((Source!AF698*Source!AV698*Source!I698),2)),2), 2)</f>
        <v>0</v>
      </c>
      <c r="R1077">
        <f>Source!X698</f>
        <v>0</v>
      </c>
      <c r="S1077">
        <f>ROUND((Source!DO698/100)*ROUND((ROUND((Source!AF698*Source!AV698*Source!I698),2)),2), 2)</f>
        <v>0</v>
      </c>
      <c r="T1077">
        <f>Source!Y698</f>
        <v>0</v>
      </c>
      <c r="U1077">
        <f>ROUND((175/100)*ROUND((ROUND((Source!AE698*Source!AV698*Source!I698),2)),2), 2)</f>
        <v>0</v>
      </c>
      <c r="V1077">
        <f>ROUND((157/100)*ROUND(ROUND((ROUND((Source!AE698*Source!AV698*Source!I698),2)*Source!BS698),2), 2), 2)</f>
        <v>0</v>
      </c>
      <c r="X1077">
        <f>IF(Source!BI698&lt;=1,I1077, 0)</f>
        <v>16758.5</v>
      </c>
      <c r="Y1077">
        <f>IF(Source!BI698=2,I1077, 0)</f>
        <v>0</v>
      </c>
      <c r="Z1077">
        <f>IF(Source!BI698=3,I1077, 0)</f>
        <v>0</v>
      </c>
      <c r="AA1077">
        <f>IF(Source!BI698=4,I1077, 0)</f>
        <v>0</v>
      </c>
    </row>
    <row r="1078" spans="1:27" ht="42.75" x14ac:dyDescent="0.2">
      <c r="A1078" s="16" t="str">
        <f>Source!E699</f>
        <v>128,5</v>
      </c>
      <c r="B1078" s="17" t="str">
        <f>Source!F699</f>
        <v>Цена поставщика</v>
      </c>
      <c r="C1078" s="17" t="s">
        <v>1680</v>
      </c>
      <c r="D1078" s="19" t="str">
        <f>Source!H699</f>
        <v>шт.</v>
      </c>
      <c r="E1078" s="18">
        <f>Source!I699</f>
        <v>20</v>
      </c>
      <c r="F1078" s="21">
        <f>Source!AK699</f>
        <v>53.629999999999995</v>
      </c>
      <c r="G1078" s="27" t="s">
        <v>3</v>
      </c>
      <c r="H1078" s="18">
        <f>Source!AW699</f>
        <v>1</v>
      </c>
      <c r="I1078" s="22">
        <f>ROUND((ROUND((Source!AC699*Source!AW699*Source!I699),2)),2)+(ROUND((ROUND(((Source!ET699)*Source!AV699*Source!I699),2)),2)+ROUND((ROUND(((Source!AE699-(Source!EU699))*Source!AV699*Source!I699),2)),2))+ROUND((ROUND((Source!AF699*Source!AV699*Source!I699),2)),2)</f>
        <v>1072.5999999999999</v>
      </c>
      <c r="J1078" s="18">
        <f>IF(Source!BC699&lt;&gt; 0, Source!BC699, 1)</f>
        <v>6.34</v>
      </c>
      <c r="K1078" s="22">
        <f>Source!O699</f>
        <v>6800.28</v>
      </c>
      <c r="Q1078">
        <f>ROUND((Source!DN699/100)*ROUND((ROUND((Source!AF699*Source!AV699*Source!I699),2)),2), 2)</f>
        <v>0</v>
      </c>
      <c r="R1078">
        <f>Source!X699</f>
        <v>0</v>
      </c>
      <c r="S1078">
        <f>ROUND((Source!DO699/100)*ROUND((ROUND((Source!AF699*Source!AV699*Source!I699),2)),2), 2)</f>
        <v>0</v>
      </c>
      <c r="T1078">
        <f>Source!Y699</f>
        <v>0</v>
      </c>
      <c r="U1078">
        <f>ROUND((175/100)*ROUND((ROUND((Source!AE699*Source!AV699*Source!I699),2)),2), 2)</f>
        <v>0</v>
      </c>
      <c r="V1078">
        <f>ROUND((157/100)*ROUND(ROUND((ROUND((Source!AE699*Source!AV699*Source!I699),2)*Source!BS699),2), 2), 2)</f>
        <v>0</v>
      </c>
      <c r="X1078">
        <f>IF(Source!BI699&lt;=1,I1078, 0)</f>
        <v>1072.5999999999999</v>
      </c>
      <c r="Y1078">
        <f>IF(Source!BI699=2,I1078, 0)</f>
        <v>0</v>
      </c>
      <c r="Z1078">
        <f>IF(Source!BI699=3,I1078, 0)</f>
        <v>0</v>
      </c>
      <c r="AA1078">
        <f>IF(Source!BI699=4,I1078, 0)</f>
        <v>0</v>
      </c>
    </row>
    <row r="1079" spans="1:27" ht="42.75" x14ac:dyDescent="0.2">
      <c r="A1079" s="16" t="str">
        <f>Source!E700</f>
        <v>128,6</v>
      </c>
      <c r="B1079" s="17" t="str">
        <f>Source!F700</f>
        <v>Цена поставщика</v>
      </c>
      <c r="C1079" s="17" t="s">
        <v>1681</v>
      </c>
      <c r="D1079" s="19" t="str">
        <f>Source!H700</f>
        <v>шт.</v>
      </c>
      <c r="E1079" s="18">
        <f>Source!I700</f>
        <v>20</v>
      </c>
      <c r="F1079" s="21">
        <f>Source!AK700</f>
        <v>44.25</v>
      </c>
      <c r="G1079" s="27" t="s">
        <v>3</v>
      </c>
      <c r="H1079" s="18">
        <f>Source!AW700</f>
        <v>1</v>
      </c>
      <c r="I1079" s="22">
        <f>ROUND((ROUND((Source!AC700*Source!AW700*Source!I700),2)),2)+(ROUND((ROUND(((Source!ET700)*Source!AV700*Source!I700),2)),2)+ROUND((ROUND(((Source!AE700-(Source!EU700))*Source!AV700*Source!I700),2)),2))+ROUND((ROUND((Source!AF700*Source!AV700*Source!I700),2)),2)</f>
        <v>885</v>
      </c>
      <c r="J1079" s="18">
        <f>IF(Source!BC700&lt;&gt; 0, Source!BC700, 1)</f>
        <v>6.34</v>
      </c>
      <c r="K1079" s="22">
        <f>Source!O700</f>
        <v>5610.9</v>
      </c>
      <c r="Q1079">
        <f>ROUND((Source!DN700/100)*ROUND((ROUND((Source!AF700*Source!AV700*Source!I700),2)),2), 2)</f>
        <v>0</v>
      </c>
      <c r="R1079">
        <f>Source!X700</f>
        <v>0</v>
      </c>
      <c r="S1079">
        <f>ROUND((Source!DO700/100)*ROUND((ROUND((Source!AF700*Source!AV700*Source!I700),2)),2), 2)</f>
        <v>0</v>
      </c>
      <c r="T1079">
        <f>Source!Y700</f>
        <v>0</v>
      </c>
      <c r="U1079">
        <f>ROUND((175/100)*ROUND((ROUND((Source!AE700*Source!AV700*Source!I700),2)),2), 2)</f>
        <v>0</v>
      </c>
      <c r="V1079">
        <f>ROUND((157/100)*ROUND(ROUND((ROUND((Source!AE700*Source!AV700*Source!I700),2)*Source!BS700),2), 2), 2)</f>
        <v>0</v>
      </c>
      <c r="X1079">
        <f>IF(Source!BI700&lt;=1,I1079, 0)</f>
        <v>885</v>
      </c>
      <c r="Y1079">
        <f>IF(Source!BI700=2,I1079, 0)</f>
        <v>0</v>
      </c>
      <c r="Z1079">
        <f>IF(Source!BI700=3,I1079, 0)</f>
        <v>0</v>
      </c>
      <c r="AA1079">
        <f>IF(Source!BI700=4,I1079, 0)</f>
        <v>0</v>
      </c>
    </row>
    <row r="1080" spans="1:27" ht="14.25" x14ac:dyDescent="0.2">
      <c r="A1080" s="16"/>
      <c r="B1080" s="17"/>
      <c r="C1080" s="17" t="s">
        <v>1626</v>
      </c>
      <c r="D1080" s="19" t="s">
        <v>1627</v>
      </c>
      <c r="E1080" s="18">
        <f>Source!DN694</f>
        <v>156</v>
      </c>
      <c r="F1080" s="21"/>
      <c r="G1080" s="20"/>
      <c r="H1080" s="18"/>
      <c r="I1080" s="22">
        <f>SUM(Q1068:Q1079)</f>
        <v>4140.91</v>
      </c>
      <c r="J1080" s="18">
        <f>Source!BZ694</f>
        <v>90</v>
      </c>
      <c r="K1080" s="22">
        <f>SUM(R1068:R1079)</f>
        <v>60775.83</v>
      </c>
    </row>
    <row r="1081" spans="1:27" ht="14.25" x14ac:dyDescent="0.2">
      <c r="A1081" s="16"/>
      <c r="B1081" s="17"/>
      <c r="C1081" s="17" t="s">
        <v>1628</v>
      </c>
      <c r="D1081" s="19" t="s">
        <v>1627</v>
      </c>
      <c r="E1081" s="18">
        <f>Source!DO694</f>
        <v>84</v>
      </c>
      <c r="F1081" s="21"/>
      <c r="G1081" s="20"/>
      <c r="H1081" s="18"/>
      <c r="I1081" s="22">
        <f>SUM(S1068:S1080)</f>
        <v>2229.7199999999998</v>
      </c>
      <c r="J1081" s="18">
        <f>Source!CA694</f>
        <v>41</v>
      </c>
      <c r="K1081" s="22">
        <f>SUM(T1068:T1080)</f>
        <v>27686.77</v>
      </c>
    </row>
    <row r="1082" spans="1:27" ht="14.25" x14ac:dyDescent="0.2">
      <c r="A1082" s="16"/>
      <c r="B1082" s="17"/>
      <c r="C1082" s="17" t="s">
        <v>1633</v>
      </c>
      <c r="D1082" s="19" t="s">
        <v>1627</v>
      </c>
      <c r="E1082" s="18">
        <f>175</f>
        <v>175</v>
      </c>
      <c r="F1082" s="21"/>
      <c r="G1082" s="20"/>
      <c r="H1082" s="18"/>
      <c r="I1082" s="22">
        <f>SUM(U1068:U1081)</f>
        <v>228.38</v>
      </c>
      <c r="J1082" s="18">
        <f>157</f>
        <v>157</v>
      </c>
      <c r="K1082" s="22">
        <f>SUM(V1068:V1081)</f>
        <v>5212.2700000000004</v>
      </c>
    </row>
    <row r="1083" spans="1:27" ht="14.25" x14ac:dyDescent="0.2">
      <c r="A1083" s="16"/>
      <c r="B1083" s="17"/>
      <c r="C1083" s="17" t="s">
        <v>1629</v>
      </c>
      <c r="D1083" s="19" t="s">
        <v>1630</v>
      </c>
      <c r="E1083" s="18">
        <f>Source!AQ694</f>
        <v>6.16</v>
      </c>
      <c r="F1083" s="21"/>
      <c r="G1083" s="20" t="str">
        <f>Source!DI694</f>
        <v>)*1,15</v>
      </c>
      <c r="H1083" s="18">
        <f>Source!AV694</f>
        <v>1</v>
      </c>
      <c r="I1083" s="22">
        <f>Source!U694</f>
        <v>212.51999999999998</v>
      </c>
      <c r="J1083" s="18"/>
      <c r="K1083" s="22"/>
    </row>
    <row r="1084" spans="1:27" ht="15" x14ac:dyDescent="0.25">
      <c r="A1084" s="25"/>
      <c r="B1084" s="25"/>
      <c r="C1084" s="25"/>
      <c r="D1084" s="25"/>
      <c r="E1084" s="25"/>
      <c r="F1084" s="25"/>
      <c r="G1084" s="25"/>
      <c r="H1084" s="54">
        <f>I1070+I1071+I1073+I1080+I1081+I1082+SUM(I1074:I1079)</f>
        <v>42565.99</v>
      </c>
      <c r="I1084" s="54"/>
      <c r="J1084" s="54">
        <f>K1070+K1071+K1073+K1080+K1081+K1082+SUM(K1074:K1079)</f>
        <v>376727</v>
      </c>
      <c r="K1084" s="54"/>
      <c r="O1084" s="24">
        <f>I1070+I1071+I1073+I1080+I1081+I1082+SUM(I1074:I1079)</f>
        <v>42565.99</v>
      </c>
      <c r="P1084" s="24">
        <f>K1070+K1071+K1073+K1080+K1081+K1082+SUM(K1074:K1079)</f>
        <v>376727</v>
      </c>
      <c r="X1084">
        <f>IF(Source!BI694&lt;=1,I1070+I1071+I1073+I1080+I1081+I1082-0, 0)</f>
        <v>11885.489999999998</v>
      </c>
      <c r="Y1084">
        <f>IF(Source!BI694=2,I1070+I1071+I1073+I1080+I1081+I1082-0, 0)</f>
        <v>0</v>
      </c>
      <c r="Z1084">
        <f>IF(Source!BI694=3,I1070+I1071+I1073+I1080+I1081+I1082-0, 0)</f>
        <v>0</v>
      </c>
      <c r="AA1084">
        <f>IF(Source!BI694=4,I1070+I1071+I1073+I1080+I1081+I1082,0)</f>
        <v>0</v>
      </c>
    </row>
    <row r="1086" spans="1:27" ht="15" x14ac:dyDescent="0.25">
      <c r="A1086" s="53" t="str">
        <f>CONCATENATE("Итого по подразделу: ",IF(Source!G702&lt;&gt;"Новый подраздел", Source!G702, ""))</f>
        <v>Итого по подразделу: Водные и прибрежные растения (контейнерные)</v>
      </c>
      <c r="B1086" s="53"/>
      <c r="C1086" s="53"/>
      <c r="D1086" s="53"/>
      <c r="E1086" s="53"/>
      <c r="F1086" s="53"/>
      <c r="G1086" s="53"/>
      <c r="H1086" s="51">
        <f>SUM(O1067:O1085)</f>
        <v>42565.99</v>
      </c>
      <c r="I1086" s="52"/>
      <c r="J1086" s="51">
        <f>SUM(P1067:P1085)</f>
        <v>376727</v>
      </c>
      <c r="K1086" s="52"/>
    </row>
    <row r="1087" spans="1:27" hidden="1" x14ac:dyDescent="0.2">
      <c r="A1087" t="s">
        <v>1641</v>
      </c>
      <c r="H1087">
        <f>SUM(AC1067:AC1086)</f>
        <v>0</v>
      </c>
      <c r="J1087">
        <f>SUM(AD1067:AD1086)</f>
        <v>0</v>
      </c>
    </row>
    <row r="1088" spans="1:27" hidden="1" x14ac:dyDescent="0.2">
      <c r="A1088" t="s">
        <v>1642</v>
      </c>
      <c r="H1088">
        <f>SUM(AE1067:AE1087)</f>
        <v>0</v>
      </c>
      <c r="J1088">
        <f>SUM(AF1067:AF1087)</f>
        <v>0</v>
      </c>
    </row>
    <row r="1090" spans="1:27" ht="15" x14ac:dyDescent="0.25">
      <c r="A1090" s="53" t="str">
        <f>CONCATENATE("Итого по разделу: ",IF(Source!G732&lt;&gt;"Новый раздел", Source!G732, ""))</f>
        <v>Итого по разделу: Посадка растений, дренажная система</v>
      </c>
      <c r="B1090" s="53"/>
      <c r="C1090" s="53"/>
      <c r="D1090" s="53"/>
      <c r="E1090" s="53"/>
      <c r="F1090" s="53"/>
      <c r="G1090" s="53"/>
      <c r="H1090" s="51">
        <f>SUM(O966:O1089)</f>
        <v>216247.51</v>
      </c>
      <c r="I1090" s="52"/>
      <c r="J1090" s="51">
        <f>SUM(P966:P1089)</f>
        <v>1636028.31</v>
      </c>
      <c r="K1090" s="52"/>
    </row>
    <row r="1091" spans="1:27" hidden="1" x14ac:dyDescent="0.2">
      <c r="A1091" t="s">
        <v>1641</v>
      </c>
      <c r="H1091">
        <f>SUM(AC966:AC1090)</f>
        <v>0</v>
      </c>
      <c r="J1091">
        <f>SUM(AD966:AD1090)</f>
        <v>0</v>
      </c>
    </row>
    <row r="1092" spans="1:27" hidden="1" x14ac:dyDescent="0.2">
      <c r="A1092" t="s">
        <v>1642</v>
      </c>
      <c r="H1092">
        <f>SUM(AE966:AE1091)</f>
        <v>0</v>
      </c>
      <c r="J1092">
        <f>SUM(AF966:AF1091)</f>
        <v>0</v>
      </c>
    </row>
    <row r="1094" spans="1:27" ht="16.5" x14ac:dyDescent="0.25">
      <c r="A1094" s="56" t="str">
        <f>CONCATENATE("Раздел: ",IF(Source!G762&lt;&gt;"Новый раздел", Source!G762, ""))</f>
        <v>Раздел: Замена газона (рулонный) 1669 кв.м (корыто глубиной 20 см)</v>
      </c>
      <c r="B1094" s="56"/>
      <c r="C1094" s="56"/>
      <c r="D1094" s="56"/>
      <c r="E1094" s="56"/>
      <c r="F1094" s="56"/>
      <c r="G1094" s="56"/>
      <c r="H1094" s="56"/>
      <c r="I1094" s="56"/>
      <c r="J1094" s="56"/>
      <c r="K1094" s="56"/>
    </row>
    <row r="1095" spans="1:27" ht="14.25" x14ac:dyDescent="0.2">
      <c r="A1095" s="16" t="str">
        <f>Source!E766</f>
        <v>129</v>
      </c>
      <c r="B1095" s="17" t="str">
        <f>Source!F766</f>
        <v>3.47-1-3</v>
      </c>
      <c r="C1095" s="17" t="s">
        <v>17</v>
      </c>
      <c r="D1095" s="19" t="str">
        <f>Source!H766</f>
        <v>100 м2</v>
      </c>
      <c r="E1095" s="18">
        <f>Source!I766</f>
        <v>16.690000000000001</v>
      </c>
      <c r="F1095" s="21"/>
      <c r="G1095" s="20"/>
      <c r="H1095" s="18"/>
      <c r="I1095" s="22"/>
      <c r="J1095" s="18"/>
      <c r="K1095" s="22"/>
      <c r="Q1095">
        <f>ROUND((Source!DN766/100)*ROUND((ROUND((Source!AF766*Source!AV766*Source!I766),2)),2), 2)</f>
        <v>643.97</v>
      </c>
      <c r="R1095">
        <f>Source!X766</f>
        <v>9451.4699999999993</v>
      </c>
      <c r="S1095">
        <f>ROUND((Source!DO766/100)*ROUND((ROUND((Source!AF766*Source!AV766*Source!I766),2)),2), 2)</f>
        <v>346.75</v>
      </c>
      <c r="T1095">
        <f>Source!Y766</f>
        <v>4305.67</v>
      </c>
      <c r="U1095">
        <f>ROUND((175/100)*ROUND((ROUND((Source!AE766*Source!AV766*Source!I766),2)),2), 2)</f>
        <v>0</v>
      </c>
      <c r="V1095">
        <f>ROUND((157/100)*ROUND(ROUND((ROUND((Source!AE766*Source!AV766*Source!I766),2)*Source!BS766),2), 2), 2)</f>
        <v>0</v>
      </c>
    </row>
    <row r="1096" spans="1:27" x14ac:dyDescent="0.2">
      <c r="C1096" s="23" t="str">
        <f>"Объем: "&amp;Source!I766&amp;"=1669/"&amp;"100"</f>
        <v>Объем: 16,69=1669/100</v>
      </c>
    </row>
    <row r="1097" spans="1:27" ht="28.5" x14ac:dyDescent="0.2">
      <c r="A1097" s="16"/>
      <c r="B1097" s="17"/>
      <c r="C1097" s="17" t="s">
        <v>1625</v>
      </c>
      <c r="D1097" s="19"/>
      <c r="E1097" s="18"/>
      <c r="F1097" s="21">
        <f>Source!AO766</f>
        <v>86.03</v>
      </c>
      <c r="G1097" s="20" t="str">
        <f>Source!DG766</f>
        <v>*0,25)*1,15</v>
      </c>
      <c r="H1097" s="18">
        <f>Source!AV766</f>
        <v>1</v>
      </c>
      <c r="I1097" s="22">
        <f>ROUND((ROUND((Source!AF766*Source!AV766*Source!I766),2)),2)</f>
        <v>412.8</v>
      </c>
      <c r="J1097" s="18">
        <f>IF(Source!BA766&lt;&gt; 0, Source!BA766, 1)</f>
        <v>25.44</v>
      </c>
      <c r="K1097" s="22">
        <f>Source!S766</f>
        <v>10501.63</v>
      </c>
      <c r="W1097">
        <f>I1097</f>
        <v>412.8</v>
      </c>
    </row>
    <row r="1098" spans="1:27" ht="14.25" x14ac:dyDescent="0.2">
      <c r="A1098" s="16"/>
      <c r="B1098" s="17"/>
      <c r="C1098" s="17" t="s">
        <v>1626</v>
      </c>
      <c r="D1098" s="19" t="s">
        <v>1627</v>
      </c>
      <c r="E1098" s="18">
        <f>Source!DN766</f>
        <v>156</v>
      </c>
      <c r="F1098" s="21"/>
      <c r="G1098" s="20"/>
      <c r="H1098" s="18"/>
      <c r="I1098" s="22">
        <f>SUM(Q1095:Q1097)</f>
        <v>643.97</v>
      </c>
      <c r="J1098" s="18">
        <f>Source!BZ766</f>
        <v>90</v>
      </c>
      <c r="K1098" s="22">
        <f>SUM(R1095:R1097)</f>
        <v>9451.4699999999993</v>
      </c>
    </row>
    <row r="1099" spans="1:27" ht="14.25" x14ac:dyDescent="0.2">
      <c r="A1099" s="16"/>
      <c r="B1099" s="17"/>
      <c r="C1099" s="17" t="s">
        <v>1628</v>
      </c>
      <c r="D1099" s="19" t="s">
        <v>1627</v>
      </c>
      <c r="E1099" s="18">
        <f>Source!DO766</f>
        <v>84</v>
      </c>
      <c r="F1099" s="21"/>
      <c r="G1099" s="20"/>
      <c r="H1099" s="18"/>
      <c r="I1099" s="22">
        <f>SUM(S1095:S1098)</f>
        <v>346.75</v>
      </c>
      <c r="J1099" s="18">
        <f>Source!CA766</f>
        <v>41</v>
      </c>
      <c r="K1099" s="22">
        <f>SUM(T1095:T1098)</f>
        <v>4305.67</v>
      </c>
    </row>
    <row r="1100" spans="1:27" ht="28.5" x14ac:dyDescent="0.2">
      <c r="A1100" s="16"/>
      <c r="B1100" s="17"/>
      <c r="C1100" s="17" t="s">
        <v>1629</v>
      </c>
      <c r="D1100" s="19" t="s">
        <v>1630</v>
      </c>
      <c r="E1100" s="18">
        <f>Source!AQ766</f>
        <v>7.41</v>
      </c>
      <c r="F1100" s="21"/>
      <c r="G1100" s="20" t="str">
        <f>Source!DI766</f>
        <v>*0,25)*1,15</v>
      </c>
      <c r="H1100" s="18">
        <f>Source!AV766</f>
        <v>1</v>
      </c>
      <c r="I1100" s="22">
        <f>Source!U766</f>
        <v>35.555958750000002</v>
      </c>
      <c r="J1100" s="18"/>
      <c r="K1100" s="22"/>
    </row>
    <row r="1101" spans="1:27" ht="15" x14ac:dyDescent="0.25">
      <c r="A1101" s="25"/>
      <c r="B1101" s="25"/>
      <c r="C1101" s="25"/>
      <c r="D1101" s="25"/>
      <c r="E1101" s="25"/>
      <c r="F1101" s="25"/>
      <c r="G1101" s="25"/>
      <c r="H1101" s="54">
        <f>I1097+I1098+I1099</f>
        <v>1403.52</v>
      </c>
      <c r="I1101" s="54"/>
      <c r="J1101" s="54">
        <f>K1097+K1098+K1099</f>
        <v>24258.769999999997</v>
      </c>
      <c r="K1101" s="54"/>
      <c r="O1101" s="24">
        <f>I1097+I1098+I1099</f>
        <v>1403.52</v>
      </c>
      <c r="P1101" s="24">
        <f>K1097+K1098+K1099</f>
        <v>24258.769999999997</v>
      </c>
      <c r="X1101">
        <f>IF(Source!BI766&lt;=1,I1097+I1098+I1099-0, 0)</f>
        <v>1403.52</v>
      </c>
      <c r="Y1101">
        <f>IF(Source!BI766=2,I1097+I1098+I1099-0, 0)</f>
        <v>0</v>
      </c>
      <c r="Z1101">
        <f>IF(Source!BI766=3,I1097+I1098+I1099-0, 0)</f>
        <v>0</v>
      </c>
      <c r="AA1101">
        <f>IF(Source!BI766=4,I1097+I1098+I1099,0)</f>
        <v>0</v>
      </c>
    </row>
    <row r="1102" spans="1:27" ht="42.75" x14ac:dyDescent="0.2">
      <c r="A1102" s="16" t="str">
        <f>Source!E767</f>
        <v>130</v>
      </c>
      <c r="B1102" s="17" t="str">
        <f>Source!F767</f>
        <v>3.47-23-1</v>
      </c>
      <c r="C1102" s="17" t="s">
        <v>854</v>
      </c>
      <c r="D1102" s="19" t="str">
        <f>Source!H767</f>
        <v>1 м3</v>
      </c>
      <c r="E1102" s="18">
        <f>Source!I767</f>
        <v>333.8</v>
      </c>
      <c r="F1102" s="21"/>
      <c r="G1102" s="20"/>
      <c r="H1102" s="18"/>
      <c r="I1102" s="22"/>
      <c r="J1102" s="18"/>
      <c r="K1102" s="22"/>
      <c r="Q1102">
        <f>ROUND((Source!DN767/100)*ROUND((ROUND((Source!AF767*Source!AV767*Source!I767),2)),2), 2)</f>
        <v>14940.99</v>
      </c>
      <c r="R1102">
        <f>Source!X767</f>
        <v>219287.82</v>
      </c>
      <c r="S1102">
        <f>ROUND((Source!DO767/100)*ROUND((ROUND((Source!AF767*Source!AV767*Source!I767),2)),2), 2)</f>
        <v>8045.15</v>
      </c>
      <c r="T1102">
        <f>Source!Y767</f>
        <v>99897.78</v>
      </c>
      <c r="U1102">
        <f>ROUND((175/100)*ROUND((ROUND((Source!AE767*Source!AV767*Source!I767),2)),2), 2)</f>
        <v>0</v>
      </c>
      <c r="V1102">
        <f>ROUND((157/100)*ROUND(ROUND((ROUND((Source!AE767*Source!AV767*Source!I767),2)*Source!BS767),2), 2), 2)</f>
        <v>0</v>
      </c>
    </row>
    <row r="1103" spans="1:27" ht="14.25" x14ac:dyDescent="0.2">
      <c r="A1103" s="16"/>
      <c r="B1103" s="17"/>
      <c r="C1103" s="17" t="s">
        <v>1625</v>
      </c>
      <c r="D1103" s="19"/>
      <c r="E1103" s="18"/>
      <c r="F1103" s="21">
        <f>Source!AO767</f>
        <v>24.95</v>
      </c>
      <c r="G1103" s="20" t="str">
        <f>Source!DG767</f>
        <v>)*1,15</v>
      </c>
      <c r="H1103" s="18">
        <f>Source!AV767</f>
        <v>1</v>
      </c>
      <c r="I1103" s="22">
        <f>ROUND((ROUND((Source!AF767*Source!AV767*Source!I767),2)),2)</f>
        <v>9577.56</v>
      </c>
      <c r="J1103" s="18">
        <f>IF(Source!BA767&lt;&gt; 0, Source!BA767, 1)</f>
        <v>25.44</v>
      </c>
      <c r="K1103" s="22">
        <f>Source!S767</f>
        <v>243653.13</v>
      </c>
      <c r="W1103">
        <f>I1103</f>
        <v>9577.56</v>
      </c>
    </row>
    <row r="1104" spans="1:27" ht="14.25" x14ac:dyDescent="0.2">
      <c r="A1104" s="16"/>
      <c r="B1104" s="17"/>
      <c r="C1104" s="17" t="s">
        <v>1626</v>
      </c>
      <c r="D1104" s="19" t="s">
        <v>1627</v>
      </c>
      <c r="E1104" s="18">
        <f>Source!DN767</f>
        <v>156</v>
      </c>
      <c r="F1104" s="21"/>
      <c r="G1104" s="20"/>
      <c r="H1104" s="18"/>
      <c r="I1104" s="22">
        <f>SUM(Q1102:Q1103)</f>
        <v>14940.99</v>
      </c>
      <c r="J1104" s="18">
        <f>Source!BZ767</f>
        <v>90</v>
      </c>
      <c r="K1104" s="22">
        <f>SUM(R1102:R1103)</f>
        <v>219287.82</v>
      </c>
    </row>
    <row r="1105" spans="1:27" ht="14.25" x14ac:dyDescent="0.2">
      <c r="A1105" s="16"/>
      <c r="B1105" s="17"/>
      <c r="C1105" s="17" t="s">
        <v>1628</v>
      </c>
      <c r="D1105" s="19" t="s">
        <v>1627</v>
      </c>
      <c r="E1105" s="18">
        <f>Source!DO767</f>
        <v>84</v>
      </c>
      <c r="F1105" s="21"/>
      <c r="G1105" s="20"/>
      <c r="H1105" s="18"/>
      <c r="I1105" s="22">
        <f>SUM(S1102:S1104)</f>
        <v>8045.15</v>
      </c>
      <c r="J1105" s="18">
        <f>Source!CA767</f>
        <v>41</v>
      </c>
      <c r="K1105" s="22">
        <f>SUM(T1102:T1104)</f>
        <v>99897.78</v>
      </c>
    </row>
    <row r="1106" spans="1:27" ht="14.25" x14ac:dyDescent="0.2">
      <c r="A1106" s="16"/>
      <c r="B1106" s="17"/>
      <c r="C1106" s="17" t="s">
        <v>1629</v>
      </c>
      <c r="D1106" s="19" t="s">
        <v>1630</v>
      </c>
      <c r="E1106" s="18">
        <f>Source!AQ767</f>
        <v>2.31</v>
      </c>
      <c r="F1106" s="21"/>
      <c r="G1106" s="20" t="str">
        <f>Source!DI767</f>
        <v>)*1,15</v>
      </c>
      <c r="H1106" s="18">
        <f>Source!AV767</f>
        <v>1</v>
      </c>
      <c r="I1106" s="22">
        <f>Source!U767</f>
        <v>886.73969999999997</v>
      </c>
      <c r="J1106" s="18"/>
      <c r="K1106" s="22"/>
    </row>
    <row r="1107" spans="1:27" ht="15" x14ac:dyDescent="0.25">
      <c r="A1107" s="25"/>
      <c r="B1107" s="25"/>
      <c r="C1107" s="25"/>
      <c r="D1107" s="25"/>
      <c r="E1107" s="25"/>
      <c r="F1107" s="25"/>
      <c r="G1107" s="25"/>
      <c r="H1107" s="54">
        <f>I1103+I1104+I1105</f>
        <v>32563.699999999997</v>
      </c>
      <c r="I1107" s="54"/>
      <c r="J1107" s="54">
        <f>K1103+K1104+K1105</f>
        <v>562838.73</v>
      </c>
      <c r="K1107" s="54"/>
      <c r="O1107" s="24">
        <f>I1103+I1104+I1105</f>
        <v>32563.699999999997</v>
      </c>
      <c r="P1107" s="24">
        <f>K1103+K1104+K1105</f>
        <v>562838.73</v>
      </c>
      <c r="X1107">
        <f>IF(Source!BI767&lt;=1,I1103+I1104+I1105-0, 0)</f>
        <v>32563.699999999997</v>
      </c>
      <c r="Y1107">
        <f>IF(Source!BI767=2,I1103+I1104+I1105-0, 0)</f>
        <v>0</v>
      </c>
      <c r="Z1107">
        <f>IF(Source!BI767=3,I1103+I1104+I1105-0, 0)</f>
        <v>0</v>
      </c>
      <c r="AA1107">
        <f>IF(Source!BI767=4,I1103+I1104+I1105,0)</f>
        <v>0</v>
      </c>
    </row>
    <row r="1108" spans="1:27" ht="57" x14ac:dyDescent="0.2">
      <c r="A1108" s="16" t="str">
        <f>Source!E768</f>
        <v>131</v>
      </c>
      <c r="B1108" s="17" t="str">
        <f>Source!F768</f>
        <v>3.47-26-3</v>
      </c>
      <c r="C1108" s="17" t="s">
        <v>857</v>
      </c>
      <c r="D1108" s="19" t="str">
        <f>Source!H768</f>
        <v>100 м2</v>
      </c>
      <c r="E1108" s="18">
        <f>Source!I768</f>
        <v>16.690000000000001</v>
      </c>
      <c r="F1108" s="21"/>
      <c r="G1108" s="20"/>
      <c r="H1108" s="18"/>
      <c r="I1108" s="22"/>
      <c r="J1108" s="18"/>
      <c r="K1108" s="22"/>
      <c r="Q1108">
        <f>ROUND((Source!DN768/100)*ROUND((ROUND((Source!AF768*Source!AV768*Source!I768),2)),2), 2)</f>
        <v>6260.39</v>
      </c>
      <c r="R1108">
        <f>Source!X768</f>
        <v>91883.25</v>
      </c>
      <c r="S1108">
        <f>ROUND((Source!DO768/100)*ROUND((ROUND((Source!AF768*Source!AV768*Source!I768),2)),2), 2)</f>
        <v>3370.98</v>
      </c>
      <c r="T1108">
        <f>Source!Y768</f>
        <v>41857.93</v>
      </c>
      <c r="U1108">
        <f>ROUND((175/100)*ROUND((ROUND((Source!AE768*Source!AV768*Source!I768),2)),2), 2)</f>
        <v>17.8</v>
      </c>
      <c r="V1108">
        <f>ROUND((157/100)*ROUND(ROUND((ROUND((Source!AE768*Source!AV768*Source!I768),2)*Source!BS768),2), 2), 2)</f>
        <v>406.19</v>
      </c>
    </row>
    <row r="1109" spans="1:27" x14ac:dyDescent="0.2">
      <c r="C1109" s="23" t="str">
        <f>"Объем: "&amp;Source!I768&amp;"=1669/"&amp;"100"</f>
        <v>Объем: 16,69=1669/100</v>
      </c>
    </row>
    <row r="1110" spans="1:27" ht="28.5" x14ac:dyDescent="0.2">
      <c r="A1110" s="16"/>
      <c r="B1110" s="17"/>
      <c r="C1110" s="17" t="s">
        <v>1625</v>
      </c>
      <c r="D1110" s="19"/>
      <c r="E1110" s="18"/>
      <c r="F1110" s="21">
        <f>Source!AO768</f>
        <v>278.77999999999997</v>
      </c>
      <c r="G1110" s="20" t="str">
        <f>Source!DG768</f>
        <v>*0,75)*1,15</v>
      </c>
      <c r="H1110" s="18">
        <f>Source!AV768</f>
        <v>1</v>
      </c>
      <c r="I1110" s="22">
        <f>ROUND((ROUND((Source!AF768*Source!AV768*Source!I768),2)),2)</f>
        <v>4013.07</v>
      </c>
      <c r="J1110" s="18">
        <f>IF(Source!BA768&lt;&gt; 0, Source!BA768, 1)</f>
        <v>25.44</v>
      </c>
      <c r="K1110" s="22">
        <f>Source!S768</f>
        <v>102092.5</v>
      </c>
      <c r="W1110">
        <f>I1110</f>
        <v>4013.07</v>
      </c>
    </row>
    <row r="1111" spans="1:27" ht="28.5" x14ac:dyDescent="0.2">
      <c r="A1111" s="16"/>
      <c r="B1111" s="17"/>
      <c r="C1111" s="17" t="s">
        <v>1631</v>
      </c>
      <c r="D1111" s="19"/>
      <c r="E1111" s="18"/>
      <c r="F1111" s="21">
        <f>Source!AM768</f>
        <v>4.9800000000000004</v>
      </c>
      <c r="G1111" s="20" t="str">
        <f>Source!DE768</f>
        <v>*0,75)*1,25</v>
      </c>
      <c r="H1111" s="18">
        <f>Source!AV768</f>
        <v>1</v>
      </c>
      <c r="I1111" s="22">
        <f>(ROUND((ROUND(((((Source!ET768*0.75)*1.25))*Source!AV768*Source!I768),2)),2)+ROUND((ROUND(((Source!AE768-(((Source!EU768*0.75)*1.25)))*Source!AV768*Source!I768),2)),2))</f>
        <v>77.92</v>
      </c>
      <c r="J1111" s="18">
        <f>IF(Source!BB768&lt;&gt; 0, Source!BB768, 1)</f>
        <v>9.8000000000000007</v>
      </c>
      <c r="K1111" s="22">
        <f>Source!Q768</f>
        <v>763.62</v>
      </c>
    </row>
    <row r="1112" spans="1:27" ht="28.5" x14ac:dyDescent="0.2">
      <c r="A1112" s="16"/>
      <c r="B1112" s="17"/>
      <c r="C1112" s="17" t="s">
        <v>1632</v>
      </c>
      <c r="D1112" s="19"/>
      <c r="E1112" s="18"/>
      <c r="F1112" s="21">
        <f>Source!AN768</f>
        <v>0.65</v>
      </c>
      <c r="G1112" s="20" t="str">
        <f>Source!DF768</f>
        <v>*0,75)*1,25</v>
      </c>
      <c r="H1112" s="18">
        <f>Source!AV768</f>
        <v>1</v>
      </c>
      <c r="I1112" s="26">
        <f>ROUND((ROUND((Source!AE768*Source!AV768*Source!I768),2)),2)</f>
        <v>10.17</v>
      </c>
      <c r="J1112" s="18">
        <f>IF(Source!BS768&lt;&gt; 0, Source!BS768, 1)</f>
        <v>25.44</v>
      </c>
      <c r="K1112" s="26">
        <f>Source!R768</f>
        <v>258.72000000000003</v>
      </c>
      <c r="W1112">
        <f>I1112</f>
        <v>10.17</v>
      </c>
    </row>
    <row r="1113" spans="1:27" ht="57" x14ac:dyDescent="0.2">
      <c r="A1113" s="16" t="str">
        <f>Source!E769</f>
        <v>131,1</v>
      </c>
      <c r="B1113" s="17" t="str">
        <f>Source!F769</f>
        <v>1.4-6-17</v>
      </c>
      <c r="C1113" s="17" t="s">
        <v>861</v>
      </c>
      <c r="D1113" s="19" t="str">
        <f>Source!H769</f>
        <v>м3</v>
      </c>
      <c r="E1113" s="18">
        <f>Source!I769</f>
        <v>250.35</v>
      </c>
      <c r="F1113" s="21">
        <f>Source!AK769</f>
        <v>297.47000000000003</v>
      </c>
      <c r="G1113" s="27" t="s">
        <v>3</v>
      </c>
      <c r="H1113" s="18">
        <f>Source!AW769</f>
        <v>1</v>
      </c>
      <c r="I1113" s="22">
        <f>ROUND((ROUND((Source!AC769*Source!AW769*Source!I769),2)),2)+(ROUND((ROUND(((Source!ET769)*Source!AV769*Source!I769),2)),2)+ROUND((ROUND(((Source!AE769-(Source!EU769))*Source!AV769*Source!I769),2)),2))+ROUND((ROUND((Source!AF769*Source!AV769*Source!I769),2)),2)</f>
        <v>74471.61</v>
      </c>
      <c r="J1113" s="18">
        <f>IF(Source!BC769&lt;&gt; 0, Source!BC769, 1)</f>
        <v>3.86</v>
      </c>
      <c r="K1113" s="22">
        <f>Source!O769</f>
        <v>287460.40999999997</v>
      </c>
      <c r="Q1113">
        <f>ROUND((Source!DN769/100)*ROUND((ROUND((Source!AF769*Source!AV769*Source!I769),2)),2), 2)</f>
        <v>0</v>
      </c>
      <c r="R1113">
        <f>Source!X769</f>
        <v>0</v>
      </c>
      <c r="S1113">
        <f>ROUND((Source!DO769/100)*ROUND((ROUND((Source!AF769*Source!AV769*Source!I769),2)),2), 2)</f>
        <v>0</v>
      </c>
      <c r="T1113">
        <f>Source!Y769</f>
        <v>0</v>
      </c>
      <c r="U1113">
        <f>ROUND((175/100)*ROUND((ROUND((Source!AE769*Source!AV769*Source!I769),2)),2), 2)</f>
        <v>0</v>
      </c>
      <c r="V1113">
        <f>ROUND((157/100)*ROUND(ROUND((ROUND((Source!AE769*Source!AV769*Source!I769),2)*Source!BS769),2), 2), 2)</f>
        <v>0</v>
      </c>
      <c r="X1113">
        <f>IF(Source!BI769&lt;=1,I1113, 0)</f>
        <v>74471.61</v>
      </c>
      <c r="Y1113">
        <f>IF(Source!BI769=2,I1113, 0)</f>
        <v>0</v>
      </c>
      <c r="Z1113">
        <f>IF(Source!BI769=3,I1113, 0)</f>
        <v>0</v>
      </c>
      <c r="AA1113">
        <f>IF(Source!BI769=4,I1113, 0)</f>
        <v>0</v>
      </c>
    </row>
    <row r="1114" spans="1:27" ht="14.25" x14ac:dyDescent="0.2">
      <c r="A1114" s="16"/>
      <c r="B1114" s="17"/>
      <c r="C1114" s="17" t="s">
        <v>1626</v>
      </c>
      <c r="D1114" s="19" t="s">
        <v>1627</v>
      </c>
      <c r="E1114" s="18">
        <f>Source!DN768</f>
        <v>156</v>
      </c>
      <c r="F1114" s="21"/>
      <c r="G1114" s="20"/>
      <c r="H1114" s="18"/>
      <c r="I1114" s="22">
        <f>SUM(Q1108:Q1113)</f>
        <v>6260.39</v>
      </c>
      <c r="J1114" s="18">
        <f>Source!BZ768</f>
        <v>90</v>
      </c>
      <c r="K1114" s="22">
        <f>SUM(R1108:R1113)</f>
        <v>91883.25</v>
      </c>
    </row>
    <row r="1115" spans="1:27" ht="14.25" x14ac:dyDescent="0.2">
      <c r="A1115" s="16"/>
      <c r="B1115" s="17"/>
      <c r="C1115" s="17" t="s">
        <v>1628</v>
      </c>
      <c r="D1115" s="19" t="s">
        <v>1627</v>
      </c>
      <c r="E1115" s="18">
        <f>Source!DO768</f>
        <v>84</v>
      </c>
      <c r="F1115" s="21"/>
      <c r="G1115" s="20"/>
      <c r="H1115" s="18"/>
      <c r="I1115" s="22">
        <f>SUM(S1108:S1114)</f>
        <v>3370.98</v>
      </c>
      <c r="J1115" s="18">
        <f>Source!CA768</f>
        <v>41</v>
      </c>
      <c r="K1115" s="22">
        <f>SUM(T1108:T1114)</f>
        <v>41857.93</v>
      </c>
    </row>
    <row r="1116" spans="1:27" ht="14.25" x14ac:dyDescent="0.2">
      <c r="A1116" s="16"/>
      <c r="B1116" s="17"/>
      <c r="C1116" s="17" t="s">
        <v>1633</v>
      </c>
      <c r="D1116" s="19" t="s">
        <v>1627</v>
      </c>
      <c r="E1116" s="18">
        <f>175</f>
        <v>175</v>
      </c>
      <c r="F1116" s="21"/>
      <c r="G1116" s="20"/>
      <c r="H1116" s="18"/>
      <c r="I1116" s="22">
        <f>SUM(U1108:U1115)</f>
        <v>17.8</v>
      </c>
      <c r="J1116" s="18">
        <f>157</f>
        <v>157</v>
      </c>
      <c r="K1116" s="22">
        <f>SUM(V1108:V1115)</f>
        <v>406.19</v>
      </c>
    </row>
    <row r="1117" spans="1:27" ht="28.5" x14ac:dyDescent="0.2">
      <c r="A1117" s="16"/>
      <c r="B1117" s="17"/>
      <c r="C1117" s="17" t="s">
        <v>1629</v>
      </c>
      <c r="D1117" s="19" t="s">
        <v>1630</v>
      </c>
      <c r="E1117" s="18">
        <f>Source!AQ768</f>
        <v>26.78</v>
      </c>
      <c r="F1117" s="21"/>
      <c r="G1117" s="20" t="str">
        <f>Source!DI768</f>
        <v>*0,75)*1,15</v>
      </c>
      <c r="H1117" s="18">
        <f>Source!AV768</f>
        <v>1</v>
      </c>
      <c r="I1117" s="22">
        <f>Source!U768</f>
        <v>385.50144749999998</v>
      </c>
      <c r="J1117" s="18"/>
      <c r="K1117" s="22"/>
    </row>
    <row r="1118" spans="1:27" ht="15" x14ac:dyDescent="0.25">
      <c r="A1118" s="25"/>
      <c r="B1118" s="25"/>
      <c r="C1118" s="25"/>
      <c r="D1118" s="25"/>
      <c r="E1118" s="25"/>
      <c r="F1118" s="25"/>
      <c r="G1118" s="25"/>
      <c r="H1118" s="54">
        <f>I1110+I1111+I1114+I1115+I1116+SUM(I1113:I1113)</f>
        <v>88211.77</v>
      </c>
      <c r="I1118" s="54"/>
      <c r="J1118" s="54">
        <f>K1110+K1111+K1114+K1115+K1116+SUM(K1113:K1113)</f>
        <v>524463.89999999991</v>
      </c>
      <c r="K1118" s="54"/>
      <c r="O1118" s="24">
        <f>I1110+I1111+I1114+I1115+I1116+SUM(I1113:I1113)</f>
        <v>88211.77</v>
      </c>
      <c r="P1118" s="24">
        <f>K1110+K1111+K1114+K1115+K1116+SUM(K1113:K1113)</f>
        <v>524463.89999999991</v>
      </c>
      <c r="X1118">
        <f>IF(Source!BI768&lt;=1,I1110+I1111+I1114+I1115+I1116-0, 0)</f>
        <v>13740.16</v>
      </c>
      <c r="Y1118">
        <f>IF(Source!BI768=2,I1110+I1111+I1114+I1115+I1116-0, 0)</f>
        <v>0</v>
      </c>
      <c r="Z1118">
        <f>IF(Source!BI768=3,I1110+I1111+I1114+I1115+I1116-0, 0)</f>
        <v>0</v>
      </c>
      <c r="AA1118">
        <f>IF(Source!BI768=4,I1110+I1111+I1114+I1115+I1116,0)</f>
        <v>0</v>
      </c>
    </row>
    <row r="1119" spans="1:27" ht="57" x14ac:dyDescent="0.2">
      <c r="A1119" s="16" t="str">
        <f>Source!E770</f>
        <v>132</v>
      </c>
      <c r="B1119" s="17" t="str">
        <f>Source!F770</f>
        <v>3.47-26-4</v>
      </c>
      <c r="C1119" s="17" t="s">
        <v>865</v>
      </c>
      <c r="D1119" s="19" t="str">
        <f>Source!H770</f>
        <v>100 м2</v>
      </c>
      <c r="E1119" s="18">
        <f>Source!I770</f>
        <v>16.690000000000001</v>
      </c>
      <c r="F1119" s="21"/>
      <c r="G1119" s="20"/>
      <c r="H1119" s="18"/>
      <c r="I1119" s="22"/>
      <c r="J1119" s="18"/>
      <c r="K1119" s="22"/>
      <c r="Q1119">
        <f>ROUND((Source!DN770/100)*ROUND((ROUND((Source!AF770*Source!AV770*Source!I770),2)),2), 2)</f>
        <v>3116.94</v>
      </c>
      <c r="R1119">
        <f>Source!X770</f>
        <v>45747.13</v>
      </c>
      <c r="S1119">
        <f>ROUND((Source!DO770/100)*ROUND((ROUND((Source!AF770*Source!AV770*Source!I770),2)),2), 2)</f>
        <v>1678.35</v>
      </c>
      <c r="T1119">
        <f>Source!Y770</f>
        <v>20840.36</v>
      </c>
      <c r="U1119">
        <f>ROUND((175/100)*ROUND((ROUND((Source!AE770*Source!AV770*Source!I770),2)),2), 2)</f>
        <v>0</v>
      </c>
      <c r="V1119">
        <f>ROUND((157/100)*ROUND(ROUND((ROUND((Source!AE770*Source!AV770*Source!I770),2)*Source!BS770),2), 2), 2)</f>
        <v>0</v>
      </c>
    </row>
    <row r="1120" spans="1:27" x14ac:dyDescent="0.2">
      <c r="C1120" s="23" t="str">
        <f>"Объем: "&amp;Source!I770&amp;"=1669/"&amp;"100"</f>
        <v>Объем: 16,69=1669/100</v>
      </c>
    </row>
    <row r="1121" spans="1:27" ht="28.5" x14ac:dyDescent="0.2">
      <c r="A1121" s="16"/>
      <c r="B1121" s="17"/>
      <c r="C1121" s="17" t="s">
        <v>1625</v>
      </c>
      <c r="D1121" s="19"/>
      <c r="E1121" s="18"/>
      <c r="F1121" s="21">
        <f>Source!AO770</f>
        <v>416.4</v>
      </c>
      <c r="G1121" s="20" t="str">
        <f>Source!DG770</f>
        <v>*0,25)*1,15</v>
      </c>
      <c r="H1121" s="18">
        <f>Source!AV770</f>
        <v>1</v>
      </c>
      <c r="I1121" s="22">
        <f>ROUND((ROUND((Source!AF770*Source!AV770*Source!I770),2)),2)</f>
        <v>1998.04</v>
      </c>
      <c r="J1121" s="18">
        <f>IF(Source!BA770&lt;&gt; 0, Source!BA770, 1)</f>
        <v>25.44</v>
      </c>
      <c r="K1121" s="22">
        <f>Source!S770</f>
        <v>50830.14</v>
      </c>
      <c r="W1121">
        <f>I1121</f>
        <v>1998.04</v>
      </c>
    </row>
    <row r="1122" spans="1:27" ht="57" x14ac:dyDescent="0.2">
      <c r="A1122" s="16" t="str">
        <f>Source!E771</f>
        <v>132,1</v>
      </c>
      <c r="B1122" s="17" t="str">
        <f>Source!F771</f>
        <v>1.4-6-17</v>
      </c>
      <c r="C1122" s="17" t="s">
        <v>861</v>
      </c>
      <c r="D1122" s="19" t="str">
        <f>Source!H771</f>
        <v>м3</v>
      </c>
      <c r="E1122" s="18">
        <f>Source!I771</f>
        <v>250.35</v>
      </c>
      <c r="F1122" s="21">
        <f>Source!AK771</f>
        <v>297.47000000000003</v>
      </c>
      <c r="G1122" s="27" t="s">
        <v>3</v>
      </c>
      <c r="H1122" s="18">
        <f>Source!AW771</f>
        <v>1</v>
      </c>
      <c r="I1122" s="22">
        <f>ROUND((ROUND((Source!AC771*Source!AW771*Source!I771),2)),2)+(ROUND((ROUND(((Source!ET771)*Source!AV771*Source!I771),2)),2)+ROUND((ROUND(((Source!AE771-(Source!EU771))*Source!AV771*Source!I771),2)),2))+ROUND((ROUND((Source!AF771*Source!AV771*Source!I771),2)),2)</f>
        <v>74471.61</v>
      </c>
      <c r="J1122" s="18">
        <f>IF(Source!BC771&lt;&gt; 0, Source!BC771, 1)</f>
        <v>3.86</v>
      </c>
      <c r="K1122" s="22">
        <f>Source!O771</f>
        <v>287460.40999999997</v>
      </c>
      <c r="Q1122">
        <f>ROUND((Source!DN771/100)*ROUND((ROUND((Source!AF771*Source!AV771*Source!I771),2)),2), 2)</f>
        <v>0</v>
      </c>
      <c r="R1122">
        <f>Source!X771</f>
        <v>0</v>
      </c>
      <c r="S1122">
        <f>ROUND((Source!DO771/100)*ROUND((ROUND((Source!AF771*Source!AV771*Source!I771),2)),2), 2)</f>
        <v>0</v>
      </c>
      <c r="T1122">
        <f>Source!Y771</f>
        <v>0</v>
      </c>
      <c r="U1122">
        <f>ROUND((175/100)*ROUND((ROUND((Source!AE771*Source!AV771*Source!I771),2)),2), 2)</f>
        <v>0</v>
      </c>
      <c r="V1122">
        <f>ROUND((157/100)*ROUND(ROUND((ROUND((Source!AE771*Source!AV771*Source!I771),2)*Source!BS771),2), 2), 2)</f>
        <v>0</v>
      </c>
      <c r="X1122">
        <f>IF(Source!BI771&lt;=1,I1122, 0)</f>
        <v>74471.61</v>
      </c>
      <c r="Y1122">
        <f>IF(Source!BI771=2,I1122, 0)</f>
        <v>0</v>
      </c>
      <c r="Z1122">
        <f>IF(Source!BI771=3,I1122, 0)</f>
        <v>0</v>
      </c>
      <c r="AA1122">
        <f>IF(Source!BI771=4,I1122, 0)</f>
        <v>0</v>
      </c>
    </row>
    <row r="1123" spans="1:27" ht="14.25" x14ac:dyDescent="0.2">
      <c r="A1123" s="16"/>
      <c r="B1123" s="17"/>
      <c r="C1123" s="17" t="s">
        <v>1626</v>
      </c>
      <c r="D1123" s="19" t="s">
        <v>1627</v>
      </c>
      <c r="E1123" s="18">
        <f>Source!DN770</f>
        <v>156</v>
      </c>
      <c r="F1123" s="21"/>
      <c r="G1123" s="20"/>
      <c r="H1123" s="18"/>
      <c r="I1123" s="22">
        <f>SUM(Q1119:Q1122)</f>
        <v>3116.94</v>
      </c>
      <c r="J1123" s="18">
        <f>Source!BZ770</f>
        <v>90</v>
      </c>
      <c r="K1123" s="22">
        <f>SUM(R1119:R1122)</f>
        <v>45747.13</v>
      </c>
    </row>
    <row r="1124" spans="1:27" ht="14.25" x14ac:dyDescent="0.2">
      <c r="A1124" s="16"/>
      <c r="B1124" s="17"/>
      <c r="C1124" s="17" t="s">
        <v>1628</v>
      </c>
      <c r="D1124" s="19" t="s">
        <v>1627</v>
      </c>
      <c r="E1124" s="18">
        <f>Source!DO770</f>
        <v>84</v>
      </c>
      <c r="F1124" s="21"/>
      <c r="G1124" s="20"/>
      <c r="H1124" s="18"/>
      <c r="I1124" s="22">
        <f>SUM(S1119:S1123)</f>
        <v>1678.35</v>
      </c>
      <c r="J1124" s="18">
        <f>Source!CA770</f>
        <v>41</v>
      </c>
      <c r="K1124" s="22">
        <f>SUM(T1119:T1123)</f>
        <v>20840.36</v>
      </c>
    </row>
    <row r="1125" spans="1:27" ht="28.5" x14ac:dyDescent="0.2">
      <c r="A1125" s="16"/>
      <c r="B1125" s="17"/>
      <c r="C1125" s="17" t="s">
        <v>1629</v>
      </c>
      <c r="D1125" s="19" t="s">
        <v>1630</v>
      </c>
      <c r="E1125" s="18">
        <f>Source!AQ770</f>
        <v>40</v>
      </c>
      <c r="F1125" s="21"/>
      <c r="G1125" s="20" t="str">
        <f>Source!DI770</f>
        <v>*0,25)*1,15</v>
      </c>
      <c r="H1125" s="18">
        <f>Source!AV770</f>
        <v>1</v>
      </c>
      <c r="I1125" s="22">
        <f>Source!U770</f>
        <v>191.935</v>
      </c>
      <c r="J1125" s="18"/>
      <c r="K1125" s="22"/>
    </row>
    <row r="1126" spans="1:27" ht="15" x14ac:dyDescent="0.25">
      <c r="A1126" s="25"/>
      <c r="B1126" s="25"/>
      <c r="C1126" s="25"/>
      <c r="D1126" s="25"/>
      <c r="E1126" s="25"/>
      <c r="F1126" s="25"/>
      <c r="G1126" s="25"/>
      <c r="H1126" s="54">
        <f>I1121+I1123+I1124+SUM(I1122:I1122)</f>
        <v>81264.94</v>
      </c>
      <c r="I1126" s="54"/>
      <c r="J1126" s="54">
        <f>K1121+K1123+K1124+SUM(K1122:K1122)</f>
        <v>404878.04</v>
      </c>
      <c r="K1126" s="54"/>
      <c r="O1126" s="24">
        <f>I1121+I1123+I1124+SUM(I1122:I1122)</f>
        <v>81264.94</v>
      </c>
      <c r="P1126" s="24">
        <f>K1121+K1123+K1124+SUM(K1122:K1122)</f>
        <v>404878.04</v>
      </c>
      <c r="X1126">
        <f>IF(Source!BI770&lt;=1,I1121+I1123+I1124-0, 0)</f>
        <v>6793.33</v>
      </c>
      <c r="Y1126">
        <f>IF(Source!BI770=2,I1121+I1123+I1124-0, 0)</f>
        <v>0</v>
      </c>
      <c r="Z1126">
        <f>IF(Source!BI770=3,I1121+I1123+I1124-0, 0)</f>
        <v>0</v>
      </c>
      <c r="AA1126">
        <f>IF(Source!BI770=4,I1121+I1123+I1124,0)</f>
        <v>0</v>
      </c>
    </row>
    <row r="1127" spans="1:27" ht="57" x14ac:dyDescent="0.2">
      <c r="A1127" s="16" t="str">
        <f>Source!E772</f>
        <v>133</v>
      </c>
      <c r="B1127" s="17" t="str">
        <f>Source!F772</f>
        <v>3.47-26-5</v>
      </c>
      <c r="C1127" s="17" t="s">
        <v>870</v>
      </c>
      <c r="D1127" s="19" t="str">
        <f>Source!H772</f>
        <v>100 м2</v>
      </c>
      <c r="E1127" s="18">
        <f>Source!I772</f>
        <v>16.690000000000001</v>
      </c>
      <c r="F1127" s="21"/>
      <c r="G1127" s="20"/>
      <c r="H1127" s="18"/>
      <c r="I1127" s="22"/>
      <c r="J1127" s="18"/>
      <c r="K1127" s="22"/>
      <c r="Q1127">
        <f>ROUND((Source!DN772/100)*ROUND((ROUND((Source!AF772*Source!AV772*Source!I772),2)),2), 2)</f>
        <v>1704.89</v>
      </c>
      <c r="R1127">
        <f>Source!X772</f>
        <v>25022.58</v>
      </c>
      <c r="S1127">
        <f>ROUND((Source!DO772/100)*ROUND((ROUND((Source!AF772*Source!AV772*Source!I772),2)),2), 2)</f>
        <v>918.02</v>
      </c>
      <c r="T1127">
        <f>Source!Y772</f>
        <v>11399.18</v>
      </c>
      <c r="U1127">
        <f>ROUND((175/100)*ROUND((ROUND((Source!AE772*Source!AV772*Source!I772),2)),2), 2)</f>
        <v>0</v>
      </c>
      <c r="V1127">
        <f>ROUND((157/100)*ROUND(ROUND((ROUND((Source!AE772*Source!AV772*Source!I772),2)*Source!BS772),2), 2), 2)</f>
        <v>0</v>
      </c>
    </row>
    <row r="1128" spans="1:27" x14ac:dyDescent="0.2">
      <c r="C1128" s="23" t="str">
        <f>"Объем: "&amp;Source!I772&amp;"=1669/"&amp;"100"</f>
        <v>Объем: 16,69=1669/100</v>
      </c>
    </row>
    <row r="1129" spans="1:27" ht="14.25" x14ac:dyDescent="0.2">
      <c r="A1129" s="16"/>
      <c r="B1129" s="17"/>
      <c r="C1129" s="17" t="s">
        <v>1625</v>
      </c>
      <c r="D1129" s="19"/>
      <c r="E1129" s="18"/>
      <c r="F1129" s="21">
        <f>Source!AO772</f>
        <v>56.94</v>
      </c>
      <c r="G1129" s="20" t="str">
        <f>Source!DG772</f>
        <v>)*1,15</v>
      </c>
      <c r="H1129" s="18">
        <f>Source!AV772</f>
        <v>1</v>
      </c>
      <c r="I1129" s="22">
        <f>ROUND((ROUND((Source!AF772*Source!AV772*Source!I772),2)),2)</f>
        <v>1092.8800000000001</v>
      </c>
      <c r="J1129" s="18">
        <f>IF(Source!BA772&lt;&gt; 0, Source!BA772, 1)</f>
        <v>25.44</v>
      </c>
      <c r="K1129" s="22">
        <f>Source!S772</f>
        <v>27802.87</v>
      </c>
      <c r="W1129">
        <f>I1129</f>
        <v>1092.8800000000001</v>
      </c>
    </row>
    <row r="1130" spans="1:27" ht="57" x14ac:dyDescent="0.2">
      <c r="A1130" s="16" t="str">
        <f>Source!E773</f>
        <v>133,1</v>
      </c>
      <c r="B1130" s="17" t="str">
        <f>Source!F773</f>
        <v>1.4-6-17</v>
      </c>
      <c r="C1130" s="17" t="s">
        <v>861</v>
      </c>
      <c r="D1130" s="19" t="str">
        <f>Source!H773</f>
        <v>м3</v>
      </c>
      <c r="E1130" s="18">
        <f>Source!I773</f>
        <v>83.45</v>
      </c>
      <c r="F1130" s="21">
        <f>Source!AK773</f>
        <v>297.47000000000003</v>
      </c>
      <c r="G1130" s="27" t="s">
        <v>3</v>
      </c>
      <c r="H1130" s="18">
        <f>Source!AW773</f>
        <v>1</v>
      </c>
      <c r="I1130" s="22">
        <f>ROUND((ROUND((Source!AC773*Source!AW773*Source!I773),2)),2)+(ROUND((ROUND(((Source!ET773)*Source!AV773*Source!I773),2)),2)+ROUND((ROUND(((Source!AE773-(Source!EU773))*Source!AV773*Source!I773),2)),2))+ROUND((ROUND((Source!AF773*Source!AV773*Source!I773),2)),2)</f>
        <v>24823.87</v>
      </c>
      <c r="J1130" s="18">
        <f>IF(Source!BC773&lt;&gt; 0, Source!BC773, 1)</f>
        <v>3.86</v>
      </c>
      <c r="K1130" s="22">
        <f>Source!O773</f>
        <v>95820.14</v>
      </c>
      <c r="Q1130">
        <f>ROUND((Source!DN773/100)*ROUND((ROUND((Source!AF773*Source!AV773*Source!I773),2)),2), 2)</f>
        <v>0</v>
      </c>
      <c r="R1130">
        <f>Source!X773</f>
        <v>0</v>
      </c>
      <c r="S1130">
        <f>ROUND((Source!DO773/100)*ROUND((ROUND((Source!AF773*Source!AV773*Source!I773),2)),2), 2)</f>
        <v>0</v>
      </c>
      <c r="T1130">
        <f>Source!Y773</f>
        <v>0</v>
      </c>
      <c r="U1130">
        <f>ROUND((175/100)*ROUND((ROUND((Source!AE773*Source!AV773*Source!I773),2)),2), 2)</f>
        <v>0</v>
      </c>
      <c r="V1130">
        <f>ROUND((157/100)*ROUND(ROUND((ROUND((Source!AE773*Source!AV773*Source!I773),2)*Source!BS773),2), 2), 2)</f>
        <v>0</v>
      </c>
      <c r="X1130">
        <f>IF(Source!BI773&lt;=1,I1130, 0)</f>
        <v>24823.87</v>
      </c>
      <c r="Y1130">
        <f>IF(Source!BI773=2,I1130, 0)</f>
        <v>0</v>
      </c>
      <c r="Z1130">
        <f>IF(Source!BI773=3,I1130, 0)</f>
        <v>0</v>
      </c>
      <c r="AA1130">
        <f>IF(Source!BI773=4,I1130, 0)</f>
        <v>0</v>
      </c>
    </row>
    <row r="1131" spans="1:27" ht="14.25" x14ac:dyDescent="0.2">
      <c r="A1131" s="16"/>
      <c r="B1131" s="17"/>
      <c r="C1131" s="17" t="s">
        <v>1626</v>
      </c>
      <c r="D1131" s="19" t="s">
        <v>1627</v>
      </c>
      <c r="E1131" s="18">
        <f>Source!DN772</f>
        <v>156</v>
      </c>
      <c r="F1131" s="21"/>
      <c r="G1131" s="20"/>
      <c r="H1131" s="18"/>
      <c r="I1131" s="22">
        <f>SUM(Q1127:Q1130)</f>
        <v>1704.89</v>
      </c>
      <c r="J1131" s="18">
        <f>Source!BZ772</f>
        <v>90</v>
      </c>
      <c r="K1131" s="22">
        <f>SUM(R1127:R1130)</f>
        <v>25022.58</v>
      </c>
    </row>
    <row r="1132" spans="1:27" ht="14.25" x14ac:dyDescent="0.2">
      <c r="A1132" s="16"/>
      <c r="B1132" s="17"/>
      <c r="C1132" s="17" t="s">
        <v>1628</v>
      </c>
      <c r="D1132" s="19" t="s">
        <v>1627</v>
      </c>
      <c r="E1132" s="18">
        <f>Source!DO772</f>
        <v>84</v>
      </c>
      <c r="F1132" s="21"/>
      <c r="G1132" s="20"/>
      <c r="H1132" s="18"/>
      <c r="I1132" s="22">
        <f>SUM(S1127:S1131)</f>
        <v>918.02</v>
      </c>
      <c r="J1132" s="18">
        <f>Source!CA772</f>
        <v>41</v>
      </c>
      <c r="K1132" s="22">
        <f>SUM(T1127:T1131)</f>
        <v>11399.18</v>
      </c>
    </row>
    <row r="1133" spans="1:27" ht="14.25" x14ac:dyDescent="0.2">
      <c r="A1133" s="16"/>
      <c r="B1133" s="17"/>
      <c r="C1133" s="17" t="s">
        <v>1629</v>
      </c>
      <c r="D1133" s="19" t="s">
        <v>1630</v>
      </c>
      <c r="E1133" s="18">
        <f>Source!AQ772</f>
        <v>5.47</v>
      </c>
      <c r="F1133" s="21"/>
      <c r="G1133" s="20" t="str">
        <f>Source!DI772</f>
        <v>)*1,15</v>
      </c>
      <c r="H1133" s="18">
        <f>Source!AV772</f>
        <v>1</v>
      </c>
      <c r="I1133" s="22">
        <f>Source!U772</f>
        <v>104.98844499999998</v>
      </c>
      <c r="J1133" s="18"/>
      <c r="K1133" s="22"/>
    </row>
    <row r="1134" spans="1:27" ht="15" x14ac:dyDescent="0.25">
      <c r="A1134" s="25"/>
      <c r="B1134" s="25"/>
      <c r="C1134" s="25"/>
      <c r="D1134" s="25"/>
      <c r="E1134" s="25"/>
      <c r="F1134" s="25"/>
      <c r="G1134" s="25"/>
      <c r="H1134" s="54">
        <f>I1129+I1131+I1132+SUM(I1130:I1130)</f>
        <v>28539.66</v>
      </c>
      <c r="I1134" s="54"/>
      <c r="J1134" s="54">
        <f>K1129+K1131+K1132+SUM(K1130:K1130)</f>
        <v>160044.76999999999</v>
      </c>
      <c r="K1134" s="54"/>
      <c r="O1134" s="24">
        <f>I1129+I1131+I1132+SUM(I1130:I1130)</f>
        <v>28539.66</v>
      </c>
      <c r="P1134" s="24">
        <f>K1129+K1131+K1132+SUM(K1130:K1130)</f>
        <v>160044.76999999999</v>
      </c>
      <c r="X1134">
        <f>IF(Source!BI772&lt;=1,I1129+I1131+I1132-0, 0)</f>
        <v>3715.7900000000004</v>
      </c>
      <c r="Y1134">
        <f>IF(Source!BI772=2,I1129+I1131+I1132-0, 0)</f>
        <v>0</v>
      </c>
      <c r="Z1134">
        <f>IF(Source!BI772=3,I1129+I1131+I1132-0, 0)</f>
        <v>0</v>
      </c>
      <c r="AA1134">
        <f>IF(Source!BI772=4,I1129+I1131+I1132,0)</f>
        <v>0</v>
      </c>
    </row>
    <row r="1135" spans="1:27" ht="57" x14ac:dyDescent="0.2">
      <c r="A1135" s="16" t="str">
        <f>Source!E774</f>
        <v>134</v>
      </c>
      <c r="B1135" s="17" t="str">
        <f>Source!F774</f>
        <v>3.47-61-1</v>
      </c>
      <c r="C1135" s="17" t="s">
        <v>875</v>
      </c>
      <c r="D1135" s="19" t="str">
        <f>Source!H774</f>
        <v>100 м2</v>
      </c>
      <c r="E1135" s="18">
        <f>Source!I774</f>
        <v>16.690000000000001</v>
      </c>
      <c r="F1135" s="21"/>
      <c r="G1135" s="20"/>
      <c r="H1135" s="18"/>
      <c r="I1135" s="22"/>
      <c r="J1135" s="18"/>
      <c r="K1135" s="22"/>
      <c r="Q1135">
        <f>ROUND((Source!DN774/100)*ROUND((ROUND((Source!AF774*Source!AV774*Source!I774),2)),2), 2)</f>
        <v>3762.8</v>
      </c>
      <c r="R1135">
        <f>Source!X774</f>
        <v>55226.3</v>
      </c>
      <c r="S1135">
        <f>ROUND((Source!DO774/100)*ROUND((ROUND((Source!AF774*Source!AV774*Source!I774),2)),2), 2)</f>
        <v>2026.12</v>
      </c>
      <c r="T1135">
        <f>Source!Y774</f>
        <v>25158.65</v>
      </c>
      <c r="U1135">
        <f>ROUND((175/100)*ROUND((ROUND((Source!AE774*Source!AV774*Source!I774),2)),2), 2)</f>
        <v>0</v>
      </c>
      <c r="V1135">
        <f>ROUND((157/100)*ROUND(ROUND((ROUND((Source!AE774*Source!AV774*Source!I774),2)*Source!BS774),2), 2), 2)</f>
        <v>0</v>
      </c>
    </row>
    <row r="1136" spans="1:27" x14ac:dyDescent="0.2">
      <c r="C1136" s="23" t="str">
        <f>"Объем: "&amp;Source!I774&amp;"=1669/"&amp;"100"</f>
        <v>Объем: 16,69=1669/100</v>
      </c>
    </row>
    <row r="1137" spans="1:27" ht="14.25" x14ac:dyDescent="0.2">
      <c r="A1137" s="16"/>
      <c r="B1137" s="17"/>
      <c r="C1137" s="17" t="s">
        <v>1625</v>
      </c>
      <c r="D1137" s="19"/>
      <c r="E1137" s="18"/>
      <c r="F1137" s="21">
        <f>Source!AO774</f>
        <v>125.67</v>
      </c>
      <c r="G1137" s="20" t="str">
        <f>Source!DG774</f>
        <v>)*1,15</v>
      </c>
      <c r="H1137" s="18">
        <f>Source!AV774</f>
        <v>1</v>
      </c>
      <c r="I1137" s="22">
        <f>ROUND((ROUND((Source!AF774*Source!AV774*Source!I774),2)),2)</f>
        <v>2412.0500000000002</v>
      </c>
      <c r="J1137" s="18">
        <f>IF(Source!BA774&lt;&gt; 0, Source!BA774, 1)</f>
        <v>25.44</v>
      </c>
      <c r="K1137" s="22">
        <f>Source!S774</f>
        <v>61362.55</v>
      </c>
      <c r="W1137">
        <f>I1137</f>
        <v>2412.0500000000002</v>
      </c>
    </row>
    <row r="1138" spans="1:27" ht="14.25" x14ac:dyDescent="0.2">
      <c r="A1138" s="16"/>
      <c r="B1138" s="17"/>
      <c r="C1138" s="17" t="s">
        <v>1634</v>
      </c>
      <c r="D1138" s="19"/>
      <c r="E1138" s="18"/>
      <c r="F1138" s="21">
        <f>Source!AL774</f>
        <v>171.2</v>
      </c>
      <c r="G1138" s="20" t="str">
        <f>Source!DD774</f>
        <v/>
      </c>
      <c r="H1138" s="18">
        <f>Source!AW774</f>
        <v>1</v>
      </c>
      <c r="I1138" s="22">
        <f>ROUND((ROUND((Source!AC774*Source!AW774*Source!I774),2)),2)</f>
        <v>2857.33</v>
      </c>
      <c r="J1138" s="18">
        <f>IF(Source!BC774&lt;&gt; 0, Source!BC774, 1)</f>
        <v>6.58</v>
      </c>
      <c r="K1138" s="22">
        <f>Source!P774</f>
        <v>18801.23</v>
      </c>
    </row>
    <row r="1139" spans="1:27" ht="14.25" x14ac:dyDescent="0.2">
      <c r="A1139" s="16"/>
      <c r="B1139" s="17"/>
      <c r="C1139" s="17" t="s">
        <v>1626</v>
      </c>
      <c r="D1139" s="19" t="s">
        <v>1627</v>
      </c>
      <c r="E1139" s="18">
        <f>Source!DN774</f>
        <v>156</v>
      </c>
      <c r="F1139" s="21"/>
      <c r="G1139" s="20"/>
      <c r="H1139" s="18"/>
      <c r="I1139" s="22">
        <f>SUM(Q1135:Q1138)</f>
        <v>3762.8</v>
      </c>
      <c r="J1139" s="18">
        <f>Source!BZ774</f>
        <v>90</v>
      </c>
      <c r="K1139" s="22">
        <f>SUM(R1135:R1138)</f>
        <v>55226.3</v>
      </c>
    </row>
    <row r="1140" spans="1:27" ht="14.25" x14ac:dyDescent="0.2">
      <c r="A1140" s="16"/>
      <c r="B1140" s="17"/>
      <c r="C1140" s="17" t="s">
        <v>1628</v>
      </c>
      <c r="D1140" s="19" t="s">
        <v>1627</v>
      </c>
      <c r="E1140" s="18">
        <f>Source!DO774</f>
        <v>84</v>
      </c>
      <c r="F1140" s="21"/>
      <c r="G1140" s="20"/>
      <c r="H1140" s="18"/>
      <c r="I1140" s="22">
        <f>SUM(S1135:S1139)</f>
        <v>2026.12</v>
      </c>
      <c r="J1140" s="18">
        <f>Source!CA774</f>
        <v>41</v>
      </c>
      <c r="K1140" s="22">
        <f>SUM(T1135:T1139)</f>
        <v>25158.65</v>
      </c>
    </row>
    <row r="1141" spans="1:27" ht="14.25" x14ac:dyDescent="0.2">
      <c r="A1141" s="16"/>
      <c r="B1141" s="17"/>
      <c r="C1141" s="17" t="s">
        <v>1629</v>
      </c>
      <c r="D1141" s="19" t="s">
        <v>1630</v>
      </c>
      <c r="E1141" s="18">
        <f>Source!AQ774</f>
        <v>11.67</v>
      </c>
      <c r="F1141" s="21"/>
      <c r="G1141" s="20" t="str">
        <f>Source!DI774</f>
        <v>)*1,15</v>
      </c>
      <c r="H1141" s="18">
        <f>Source!AV774</f>
        <v>1</v>
      </c>
      <c r="I1141" s="22">
        <f>Source!U774</f>
        <v>223.988145</v>
      </c>
      <c r="J1141" s="18"/>
      <c r="K1141" s="22"/>
    </row>
    <row r="1142" spans="1:27" ht="15" x14ac:dyDescent="0.25">
      <c r="A1142" s="25"/>
      <c r="B1142" s="25"/>
      <c r="C1142" s="25"/>
      <c r="D1142" s="25"/>
      <c r="E1142" s="25"/>
      <c r="F1142" s="25"/>
      <c r="G1142" s="25"/>
      <c r="H1142" s="54">
        <f>I1137+I1138+I1139+I1140</f>
        <v>11058.3</v>
      </c>
      <c r="I1142" s="54"/>
      <c r="J1142" s="54">
        <f>K1137+K1138+K1139+K1140</f>
        <v>160548.73000000001</v>
      </c>
      <c r="K1142" s="54"/>
      <c r="O1142" s="24">
        <f>I1137+I1138+I1139+I1140</f>
        <v>11058.3</v>
      </c>
      <c r="P1142" s="24">
        <f>K1137+K1138+K1139+K1140</f>
        <v>160548.73000000001</v>
      </c>
      <c r="X1142">
        <f>IF(Source!BI774&lt;=1,I1137+I1138+I1139+I1140-0, 0)</f>
        <v>11058.3</v>
      </c>
      <c r="Y1142">
        <f>IF(Source!BI774=2,I1137+I1138+I1139+I1140-0, 0)</f>
        <v>0</v>
      </c>
      <c r="Z1142">
        <f>IF(Source!BI774=3,I1137+I1138+I1139+I1140-0, 0)</f>
        <v>0</v>
      </c>
      <c r="AA1142">
        <f>IF(Source!BI774=4,I1137+I1138+I1139+I1140,0)</f>
        <v>0</v>
      </c>
    </row>
    <row r="1143" spans="1:27" ht="42.75" x14ac:dyDescent="0.2">
      <c r="A1143" s="16" t="str">
        <f>Source!E775</f>
        <v>135</v>
      </c>
      <c r="B1143" s="17" t="str">
        <f>Source!F775</f>
        <v>Цена поставщика</v>
      </c>
      <c r="C1143" s="17" t="s">
        <v>1682</v>
      </c>
      <c r="D1143" s="19" t="str">
        <f>Source!H775</f>
        <v>м2</v>
      </c>
      <c r="E1143" s="18">
        <f>Source!I775</f>
        <v>1785</v>
      </c>
      <c r="F1143" s="21">
        <f>Source!AL775</f>
        <v>30.830000000000002</v>
      </c>
      <c r="G1143" s="20" t="str">
        <f>Source!DD775</f>
        <v/>
      </c>
      <c r="H1143" s="18">
        <f>Source!AW775</f>
        <v>1</v>
      </c>
      <c r="I1143" s="22">
        <f>ROUND((ROUND((Source!AC775*Source!AW775*Source!I775),2)),2)</f>
        <v>55031.55</v>
      </c>
      <c r="J1143" s="18">
        <f>IF(Source!BC775&lt;&gt; 0, Source!BC775, 1)</f>
        <v>6.34</v>
      </c>
      <c r="K1143" s="22">
        <f>Source!P775</f>
        <v>348900.03</v>
      </c>
      <c r="Q1143">
        <f>ROUND((Source!DN775/100)*ROUND((ROUND((Source!AF775*Source!AV775*Source!I775),2)),2), 2)</f>
        <v>0</v>
      </c>
      <c r="R1143">
        <f>Source!X775</f>
        <v>0</v>
      </c>
      <c r="S1143">
        <f>ROUND((Source!DO775/100)*ROUND((ROUND((Source!AF775*Source!AV775*Source!I775),2)),2), 2)</f>
        <v>0</v>
      </c>
      <c r="T1143">
        <f>Source!Y775</f>
        <v>0</v>
      </c>
      <c r="U1143">
        <f>ROUND((175/100)*ROUND((ROUND((Source!AE775*Source!AV775*Source!I775),2)),2), 2)</f>
        <v>0</v>
      </c>
      <c r="V1143">
        <f>ROUND((157/100)*ROUND(ROUND((ROUND((Source!AE775*Source!AV775*Source!I775),2)*Source!BS775),2), 2), 2)</f>
        <v>0</v>
      </c>
    </row>
    <row r="1144" spans="1:27" ht="15" x14ac:dyDescent="0.25">
      <c r="A1144" s="25"/>
      <c r="B1144" s="25"/>
      <c r="C1144" s="25"/>
      <c r="D1144" s="25"/>
      <c r="E1144" s="25"/>
      <c r="F1144" s="25"/>
      <c r="G1144" s="25"/>
      <c r="H1144" s="54">
        <f>I1143</f>
        <v>55031.55</v>
      </c>
      <c r="I1144" s="54"/>
      <c r="J1144" s="54">
        <f>K1143</f>
        <v>348900.03</v>
      </c>
      <c r="K1144" s="54"/>
      <c r="O1144" s="24">
        <f>I1143</f>
        <v>55031.55</v>
      </c>
      <c r="P1144" s="24">
        <f>K1143</f>
        <v>348900.03</v>
      </c>
      <c r="X1144">
        <f>IF(Source!BI775&lt;=1,I1143-0, 0)</f>
        <v>55031.55</v>
      </c>
      <c r="Y1144">
        <f>IF(Source!BI775=2,I1143-0, 0)</f>
        <v>0</v>
      </c>
      <c r="Z1144">
        <f>IF(Source!BI775=3,I1143-0, 0)</f>
        <v>0</v>
      </c>
      <c r="AA1144">
        <f>IF(Source!BI775=4,I1143,0)</f>
        <v>0</v>
      </c>
    </row>
    <row r="1145" spans="1:27" ht="42.75" x14ac:dyDescent="0.2">
      <c r="A1145" s="16" t="str">
        <f>Source!E776</f>
        <v>136</v>
      </c>
      <c r="B1145" s="17" t="str">
        <f>Source!F776</f>
        <v>3.47-64-1</v>
      </c>
      <c r="C1145" s="17" t="s">
        <v>884</v>
      </c>
      <c r="D1145" s="19" t="str">
        <f>Source!H776</f>
        <v>100 м2</v>
      </c>
      <c r="E1145" s="18">
        <f>Source!I776</f>
        <v>16.690000000000001</v>
      </c>
      <c r="F1145" s="21"/>
      <c r="G1145" s="20"/>
      <c r="H1145" s="18"/>
      <c r="I1145" s="22"/>
      <c r="J1145" s="18"/>
      <c r="K1145" s="22"/>
      <c r="Q1145">
        <f>ROUND((Source!DN776/100)*ROUND((ROUND((Source!AF776*Source!AV776*Source!I776),2)),2), 2)</f>
        <v>1484.22</v>
      </c>
      <c r="R1145">
        <f>Source!X776</f>
        <v>21783.71</v>
      </c>
      <c r="S1145">
        <f>ROUND((Source!DO776/100)*ROUND((ROUND((Source!AF776*Source!AV776*Source!I776),2)),2), 2)</f>
        <v>799.19</v>
      </c>
      <c r="T1145">
        <f>Source!Y776</f>
        <v>9923.69</v>
      </c>
      <c r="U1145">
        <f>ROUND((175/100)*ROUND((ROUND((Source!AE776*Source!AV776*Source!I776),2)),2), 2)</f>
        <v>35.42</v>
      </c>
      <c r="V1145">
        <f>ROUND((157/100)*ROUND(ROUND((ROUND((Source!AE776*Source!AV776*Source!I776),2)*Source!BS776),2), 2), 2)</f>
        <v>808.41</v>
      </c>
    </row>
    <row r="1146" spans="1:27" x14ac:dyDescent="0.2">
      <c r="C1146" s="23" t="str">
        <f>"Объем: "&amp;Source!I776&amp;"=1669/"&amp;"100"</f>
        <v>Объем: 16,69=1669/100</v>
      </c>
    </row>
    <row r="1147" spans="1:27" ht="14.25" x14ac:dyDescent="0.2">
      <c r="A1147" s="16"/>
      <c r="B1147" s="17"/>
      <c r="C1147" s="17" t="s">
        <v>1625</v>
      </c>
      <c r="D1147" s="19"/>
      <c r="E1147" s="18"/>
      <c r="F1147" s="21">
        <f>Source!AO776</f>
        <v>49.57</v>
      </c>
      <c r="G1147" s="20" t="str">
        <f>Source!DG776</f>
        <v>)*1,15</v>
      </c>
      <c r="H1147" s="18">
        <f>Source!AV776</f>
        <v>1</v>
      </c>
      <c r="I1147" s="22">
        <f>ROUND((ROUND((Source!AF776*Source!AV776*Source!I776),2)),2)</f>
        <v>951.42</v>
      </c>
      <c r="J1147" s="18">
        <f>IF(Source!BA776&lt;&gt; 0, Source!BA776, 1)</f>
        <v>25.44</v>
      </c>
      <c r="K1147" s="22">
        <f>Source!S776</f>
        <v>24204.12</v>
      </c>
      <c r="W1147">
        <f>I1147</f>
        <v>951.42</v>
      </c>
    </row>
    <row r="1148" spans="1:27" ht="14.25" x14ac:dyDescent="0.2">
      <c r="A1148" s="16"/>
      <c r="B1148" s="17"/>
      <c r="C1148" s="17" t="s">
        <v>1631</v>
      </c>
      <c r="D1148" s="19"/>
      <c r="E1148" s="18"/>
      <c r="F1148" s="21">
        <f>Source!AM776</f>
        <v>7.77</v>
      </c>
      <c r="G1148" s="20" t="str">
        <f>Source!DE776</f>
        <v>)*1,25</v>
      </c>
      <c r="H1148" s="18">
        <f>Source!AV776</f>
        <v>1</v>
      </c>
      <c r="I1148" s="22">
        <f>(ROUND((ROUND((((Source!ET776*1.25))*Source!AV776*Source!I776),2)),2)+ROUND((ROUND(((Source!AE776-((Source!EU776*1.25)))*Source!AV776*Source!I776),2)),2))</f>
        <v>162.1</v>
      </c>
      <c r="J1148" s="18">
        <f>IF(Source!BB776&lt;&gt; 0, Source!BB776, 1)</f>
        <v>9.32</v>
      </c>
      <c r="K1148" s="22">
        <f>Source!Q776</f>
        <v>1510.77</v>
      </c>
    </row>
    <row r="1149" spans="1:27" ht="14.25" x14ac:dyDescent="0.2">
      <c r="A1149" s="16"/>
      <c r="B1149" s="17"/>
      <c r="C1149" s="17" t="s">
        <v>1632</v>
      </c>
      <c r="D1149" s="19"/>
      <c r="E1149" s="18"/>
      <c r="F1149" s="21">
        <f>Source!AN776</f>
        <v>0.97</v>
      </c>
      <c r="G1149" s="20" t="str">
        <f>Source!DF776</f>
        <v>)*1,25</v>
      </c>
      <c r="H1149" s="18">
        <f>Source!AV776</f>
        <v>1</v>
      </c>
      <c r="I1149" s="26">
        <f>ROUND((ROUND((Source!AE776*Source!AV776*Source!I776),2)),2)</f>
        <v>20.239999999999998</v>
      </c>
      <c r="J1149" s="18">
        <f>IF(Source!BS776&lt;&gt; 0, Source!BS776, 1)</f>
        <v>25.44</v>
      </c>
      <c r="K1149" s="26">
        <f>Source!R776</f>
        <v>514.91</v>
      </c>
      <c r="W1149">
        <f>I1149</f>
        <v>20.239999999999998</v>
      </c>
    </row>
    <row r="1150" spans="1:27" ht="28.5" x14ac:dyDescent="0.2">
      <c r="A1150" s="16" t="str">
        <f>Source!E777</f>
        <v>136,1</v>
      </c>
      <c r="B1150" s="17" t="str">
        <f>Source!F777</f>
        <v>1.4-4-19</v>
      </c>
      <c r="C1150" s="17" t="s">
        <v>888</v>
      </c>
      <c r="D1150" s="19" t="str">
        <f>Source!H777</f>
        <v>кг</v>
      </c>
      <c r="E1150" s="18">
        <f>Source!I777</f>
        <v>6676</v>
      </c>
      <c r="F1150" s="21">
        <f>Source!AK777</f>
        <v>17.72</v>
      </c>
      <c r="G1150" s="27" t="s">
        <v>3</v>
      </c>
      <c r="H1150" s="18">
        <f>Source!AW777</f>
        <v>1</v>
      </c>
      <c r="I1150" s="22">
        <f>ROUND((ROUND((Source!AC777*Source!AW777*Source!I777),2)),2)+(ROUND((ROUND(((Source!ET777)*Source!AV777*Source!I777),2)),2)+ROUND((ROUND(((Source!AE777-(Source!EU777))*Source!AV777*Source!I777),2)),2))+ROUND((ROUND((Source!AF777*Source!AV777*Source!I777),2)),2)</f>
        <v>118298.72</v>
      </c>
      <c r="J1150" s="18">
        <f>IF(Source!BC777&lt;&gt; 0, Source!BC777, 1)</f>
        <v>1.45</v>
      </c>
      <c r="K1150" s="22">
        <f>Source!O777</f>
        <v>171533.14</v>
      </c>
      <c r="Q1150">
        <f>ROUND((Source!DN777/100)*ROUND((ROUND((Source!AF777*Source!AV777*Source!I777),2)),2), 2)</f>
        <v>0</v>
      </c>
      <c r="R1150">
        <f>Source!X777</f>
        <v>0</v>
      </c>
      <c r="S1150">
        <f>ROUND((Source!DO777/100)*ROUND((ROUND((Source!AF777*Source!AV777*Source!I777),2)),2), 2)</f>
        <v>0</v>
      </c>
      <c r="T1150">
        <f>Source!Y777</f>
        <v>0</v>
      </c>
      <c r="U1150">
        <f>ROUND((175/100)*ROUND((ROUND((Source!AE777*Source!AV777*Source!I777),2)),2), 2)</f>
        <v>0</v>
      </c>
      <c r="V1150">
        <f>ROUND((157/100)*ROUND(ROUND((ROUND((Source!AE777*Source!AV777*Source!I777),2)*Source!BS777),2), 2), 2)</f>
        <v>0</v>
      </c>
      <c r="X1150">
        <f>IF(Source!BI777&lt;=1,I1150, 0)</f>
        <v>118298.72</v>
      </c>
      <c r="Y1150">
        <f>IF(Source!BI777=2,I1150, 0)</f>
        <v>0</v>
      </c>
      <c r="Z1150">
        <f>IF(Source!BI777=3,I1150, 0)</f>
        <v>0</v>
      </c>
      <c r="AA1150">
        <f>IF(Source!BI777=4,I1150, 0)</f>
        <v>0</v>
      </c>
    </row>
    <row r="1151" spans="1:27" ht="14.25" x14ac:dyDescent="0.2">
      <c r="A1151" s="16"/>
      <c r="B1151" s="17"/>
      <c r="C1151" s="17" t="s">
        <v>1626</v>
      </c>
      <c r="D1151" s="19" t="s">
        <v>1627</v>
      </c>
      <c r="E1151" s="18">
        <f>Source!DN776</f>
        <v>156</v>
      </c>
      <c r="F1151" s="21"/>
      <c r="G1151" s="20"/>
      <c r="H1151" s="18"/>
      <c r="I1151" s="22">
        <f>SUM(Q1145:Q1150)</f>
        <v>1484.22</v>
      </c>
      <c r="J1151" s="18">
        <f>Source!BZ776</f>
        <v>90</v>
      </c>
      <c r="K1151" s="22">
        <f>SUM(R1145:R1150)</f>
        <v>21783.71</v>
      </c>
    </row>
    <row r="1152" spans="1:27" ht="14.25" x14ac:dyDescent="0.2">
      <c r="A1152" s="16"/>
      <c r="B1152" s="17"/>
      <c r="C1152" s="17" t="s">
        <v>1628</v>
      </c>
      <c r="D1152" s="19" t="s">
        <v>1627</v>
      </c>
      <c r="E1152" s="18">
        <f>Source!DO776</f>
        <v>84</v>
      </c>
      <c r="F1152" s="21"/>
      <c r="G1152" s="20"/>
      <c r="H1152" s="18"/>
      <c r="I1152" s="22">
        <f>SUM(S1145:S1151)</f>
        <v>799.19</v>
      </c>
      <c r="J1152" s="18">
        <f>Source!CA776</f>
        <v>41</v>
      </c>
      <c r="K1152" s="22">
        <f>SUM(T1145:T1151)</f>
        <v>9923.69</v>
      </c>
    </row>
    <row r="1153" spans="1:38" ht="14.25" x14ac:dyDescent="0.2">
      <c r="A1153" s="16"/>
      <c r="B1153" s="17"/>
      <c r="C1153" s="17" t="s">
        <v>1633</v>
      </c>
      <c r="D1153" s="19" t="s">
        <v>1627</v>
      </c>
      <c r="E1153" s="18">
        <f>175</f>
        <v>175</v>
      </c>
      <c r="F1153" s="21"/>
      <c r="G1153" s="20"/>
      <c r="H1153" s="18"/>
      <c r="I1153" s="22">
        <f>SUM(U1145:U1152)</f>
        <v>35.42</v>
      </c>
      <c r="J1153" s="18">
        <f>157</f>
        <v>157</v>
      </c>
      <c r="K1153" s="22">
        <f>SUM(V1145:V1152)</f>
        <v>808.41</v>
      </c>
    </row>
    <row r="1154" spans="1:38" ht="14.25" x14ac:dyDescent="0.2">
      <c r="A1154" s="16"/>
      <c r="B1154" s="17"/>
      <c r="C1154" s="17" t="s">
        <v>1629</v>
      </c>
      <c r="D1154" s="19" t="s">
        <v>1630</v>
      </c>
      <c r="E1154" s="18">
        <f>Source!AQ776</f>
        <v>4.8499999999999996</v>
      </c>
      <c r="F1154" s="21"/>
      <c r="G1154" s="20" t="str">
        <f>Source!DI776</f>
        <v>)*1,15</v>
      </c>
      <c r="H1154" s="18">
        <f>Source!AV776</f>
        <v>1</v>
      </c>
      <c r="I1154" s="22">
        <f>Source!U776</f>
        <v>93.088474999999988</v>
      </c>
      <c r="J1154" s="18"/>
      <c r="K1154" s="22"/>
    </row>
    <row r="1155" spans="1:38" ht="15" x14ac:dyDescent="0.25">
      <c r="A1155" s="25"/>
      <c r="B1155" s="25"/>
      <c r="C1155" s="25"/>
      <c r="D1155" s="25"/>
      <c r="E1155" s="25"/>
      <c r="F1155" s="25"/>
      <c r="G1155" s="25"/>
      <c r="H1155" s="54">
        <f>I1147+I1148+I1151+I1152+I1153+SUM(I1150:I1150)</f>
        <v>121731.07</v>
      </c>
      <c r="I1155" s="54"/>
      <c r="J1155" s="54">
        <f>K1147+K1148+K1151+K1152+K1153+SUM(K1150:K1150)</f>
        <v>229763.84000000003</v>
      </c>
      <c r="K1155" s="54"/>
      <c r="O1155" s="24">
        <f>I1147+I1148+I1151+I1152+I1153+SUM(I1150:I1150)</f>
        <v>121731.07</v>
      </c>
      <c r="P1155" s="24">
        <f>K1147+K1148+K1151+K1152+K1153+SUM(K1150:K1150)</f>
        <v>229763.84000000003</v>
      </c>
      <c r="X1155">
        <f>IF(Source!BI776&lt;=1,I1147+I1148+I1151+I1152+I1153-0, 0)</f>
        <v>3432.35</v>
      </c>
      <c r="Y1155">
        <f>IF(Source!BI776=2,I1147+I1148+I1151+I1152+I1153-0, 0)</f>
        <v>0</v>
      </c>
      <c r="Z1155">
        <f>IF(Source!BI776=3,I1147+I1148+I1151+I1152+I1153-0, 0)</f>
        <v>0</v>
      </c>
      <c r="AA1155">
        <f>IF(Source!BI776=4,I1147+I1148+I1151+I1152+I1153,0)</f>
        <v>0</v>
      </c>
    </row>
    <row r="1156" spans="1:38" ht="57" x14ac:dyDescent="0.2">
      <c r="A1156" s="16" t="str">
        <f>Source!E778</f>
        <v>137</v>
      </c>
      <c r="B1156" s="17" t="str">
        <f>Source!F778</f>
        <v>15.2-3-1</v>
      </c>
      <c r="C1156" s="17" t="s">
        <v>892</v>
      </c>
      <c r="D1156" s="19" t="str">
        <f>Source!H778</f>
        <v>т</v>
      </c>
      <c r="E1156" s="18">
        <f>Source!I778</f>
        <v>534</v>
      </c>
      <c r="F1156" s="21"/>
      <c r="G1156" s="20"/>
      <c r="H1156" s="18"/>
      <c r="I1156" s="22"/>
      <c r="J1156" s="18"/>
      <c r="K1156" s="22"/>
      <c r="Q1156">
        <f>ROUND((Source!DN778/100)*ROUND((ROUND((Source!AF778*Source!AV778*Source!I778),2)),2), 2)</f>
        <v>0</v>
      </c>
      <c r="R1156">
        <f>Source!X778</f>
        <v>0</v>
      </c>
      <c r="S1156">
        <f>ROUND((Source!DO778/100)*ROUND((ROUND((Source!AF778*Source!AV778*Source!I778),2)),2), 2)</f>
        <v>0</v>
      </c>
      <c r="T1156">
        <f>Source!Y778</f>
        <v>0</v>
      </c>
      <c r="U1156">
        <f>ROUND((175/100)*ROUND((ROUND((Source!AE778*Source!AV778*Source!I778),2)),2), 2)</f>
        <v>0</v>
      </c>
      <c r="V1156">
        <f>ROUND((157/100)*ROUND(ROUND((ROUND((Source!AE778*Source!AV778*Source!I778),2)*Source!BS778),2), 2), 2)</f>
        <v>0</v>
      </c>
    </row>
    <row r="1157" spans="1:38" ht="14.25" x14ac:dyDescent="0.2">
      <c r="A1157" s="16"/>
      <c r="B1157" s="17"/>
      <c r="C1157" s="17" t="s">
        <v>1631</v>
      </c>
      <c r="D1157" s="19"/>
      <c r="E1157" s="18"/>
      <c r="F1157" s="21">
        <f>Source!AM778</f>
        <v>7.42</v>
      </c>
      <c r="G1157" s="20" t="str">
        <f>Source!DE778</f>
        <v/>
      </c>
      <c r="H1157" s="18">
        <f>Source!AV778</f>
        <v>1</v>
      </c>
      <c r="I1157" s="22">
        <f>(ROUND((ROUND(((Source!ET778)*Source!AV778*Source!I778),2)),2)+ROUND((ROUND(((Source!AE778-(Source!EU778))*Source!AV778*Source!I778),2)),2))</f>
        <v>3962.28</v>
      </c>
      <c r="J1157" s="18">
        <f>IF(Source!BB778&lt;&gt; 0, Source!BB778, 1)</f>
        <v>12.21</v>
      </c>
      <c r="K1157" s="22">
        <f>Source!Q778</f>
        <v>48379.44</v>
      </c>
    </row>
    <row r="1158" spans="1:38" ht="15" x14ac:dyDescent="0.25">
      <c r="A1158" s="25"/>
      <c r="B1158" s="25"/>
      <c r="C1158" s="25"/>
      <c r="D1158" s="25"/>
      <c r="E1158" s="25"/>
      <c r="F1158" s="25"/>
      <c r="G1158" s="25"/>
      <c r="H1158" s="54">
        <f>I1157</f>
        <v>3962.28</v>
      </c>
      <c r="I1158" s="54"/>
      <c r="J1158" s="54">
        <f>K1157</f>
        <v>48379.44</v>
      </c>
      <c r="K1158" s="54"/>
      <c r="O1158" s="24">
        <f>I1157</f>
        <v>3962.28</v>
      </c>
      <c r="P1158" s="24">
        <f>K1157</f>
        <v>48379.44</v>
      </c>
      <c r="X1158">
        <f>IF(Source!BI778&lt;=1,I1157-0, 0)</f>
        <v>0</v>
      </c>
      <c r="Y1158">
        <f>IF(Source!BI778=2,I1157-0, 0)</f>
        <v>0</v>
      </c>
      <c r="Z1158">
        <f>IF(Source!BI778=3,I1157-0, 0)</f>
        <v>0</v>
      </c>
      <c r="AA1158">
        <f>IF(Source!BI778=4,I1157,0)</f>
        <v>3962.28</v>
      </c>
    </row>
    <row r="1159" spans="1:38" ht="42.75" x14ac:dyDescent="0.2">
      <c r="A1159" s="16" t="str">
        <f>Source!E779</f>
        <v>138</v>
      </c>
      <c r="B1159" s="17" t="str">
        <f>Source!F779</f>
        <v>15.1-1102-01</v>
      </c>
      <c r="C1159" s="17" t="s">
        <v>211</v>
      </c>
      <c r="D1159" s="19" t="str">
        <f>Source!H779</f>
        <v>1 Т</v>
      </c>
      <c r="E1159" s="18">
        <f>Source!I779</f>
        <v>534</v>
      </c>
      <c r="F1159" s="21"/>
      <c r="G1159" s="20"/>
      <c r="H1159" s="18"/>
      <c r="I1159" s="22"/>
      <c r="J1159" s="18"/>
      <c r="K1159" s="22"/>
      <c r="Q1159">
        <f>ROUND((Source!DN779/100)*ROUND((ROUND((Source!AF779*Source!AV779*Source!I779),2)),2), 2)</f>
        <v>0</v>
      </c>
      <c r="R1159">
        <f>Source!X779</f>
        <v>0</v>
      </c>
      <c r="S1159">
        <f>ROUND((Source!DO779/100)*ROUND((ROUND((Source!AF779*Source!AV779*Source!I779),2)),2), 2)</f>
        <v>0</v>
      </c>
      <c r="T1159">
        <f>Source!Y779</f>
        <v>0</v>
      </c>
      <c r="U1159">
        <f>ROUND((175/100)*ROUND((ROUND((Source!AE779*Source!AV779*Source!I779),2)),2), 2)</f>
        <v>0</v>
      </c>
      <c r="V1159">
        <f>ROUND((157/100)*ROUND(ROUND((ROUND((Source!AE779*Source!AV779*Source!I779),2)*Source!BS779),2), 2), 2)</f>
        <v>0</v>
      </c>
    </row>
    <row r="1160" spans="1:38" ht="14.25" x14ac:dyDescent="0.2">
      <c r="A1160" s="16"/>
      <c r="B1160" s="17"/>
      <c r="C1160" s="17" t="s">
        <v>1631</v>
      </c>
      <c r="D1160" s="19"/>
      <c r="E1160" s="18"/>
      <c r="F1160" s="21">
        <f>Source!AM779</f>
        <v>12.61</v>
      </c>
      <c r="G1160" s="20" t="str">
        <f>Source!DE779</f>
        <v/>
      </c>
      <c r="H1160" s="18">
        <f>Source!AV779</f>
        <v>1</v>
      </c>
      <c r="I1160" s="22">
        <f>(ROUND((ROUND(((Source!ET779)*Source!AV779*Source!I779),2)),2)+ROUND((ROUND(((Source!AE779-(Source!EU779))*Source!AV779*Source!I779),2)),2))</f>
        <v>6733.74</v>
      </c>
      <c r="J1160" s="18">
        <f>IF(Source!BB779&lt;&gt; 0, Source!BB779, 1)</f>
        <v>7.63</v>
      </c>
      <c r="K1160" s="22">
        <f>Source!Q779</f>
        <v>51378.44</v>
      </c>
    </row>
    <row r="1161" spans="1:38" ht="15" x14ac:dyDescent="0.25">
      <c r="A1161" s="25"/>
      <c r="B1161" s="25"/>
      <c r="C1161" s="25"/>
      <c r="D1161" s="25"/>
      <c r="E1161" s="25"/>
      <c r="F1161" s="25"/>
      <c r="G1161" s="25"/>
      <c r="H1161" s="54">
        <f>I1160</f>
        <v>6733.74</v>
      </c>
      <c r="I1161" s="54"/>
      <c r="J1161" s="54">
        <f>K1160</f>
        <v>51378.44</v>
      </c>
      <c r="K1161" s="54"/>
      <c r="O1161" s="24">
        <f>I1160</f>
        <v>6733.74</v>
      </c>
      <c r="P1161" s="24">
        <f>K1160</f>
        <v>51378.44</v>
      </c>
      <c r="X1161">
        <f>IF(Source!BI779&lt;=1,I1160-0, 0)</f>
        <v>0</v>
      </c>
      <c r="Y1161">
        <f>IF(Source!BI779=2,I1160-0, 0)</f>
        <v>0</v>
      </c>
      <c r="Z1161">
        <f>IF(Source!BI779=3,I1160-0, 0)</f>
        <v>0</v>
      </c>
      <c r="AA1161">
        <f>IF(Source!BI779=4,I1160,0)</f>
        <v>6733.74</v>
      </c>
    </row>
    <row r="1163" spans="1:38" ht="15" x14ac:dyDescent="0.25">
      <c r="A1163" s="53" t="str">
        <f>CONCATENATE("Итого по разделу: ",IF(Source!G781&lt;&gt;"Новый раздел", Source!G781, ""))</f>
        <v>Итого по разделу: Замена газона (рулонный) 1669 кв.м (корыто глубиной 20 см)</v>
      </c>
      <c r="B1163" s="53"/>
      <c r="C1163" s="53"/>
      <c r="D1163" s="53"/>
      <c r="E1163" s="53"/>
      <c r="F1163" s="53"/>
      <c r="G1163" s="53"/>
      <c r="H1163" s="51">
        <f>SUM(O1094:O1162)</f>
        <v>430500.53</v>
      </c>
      <c r="I1163" s="52"/>
      <c r="J1163" s="51">
        <f>SUM(P1094:P1162)</f>
        <v>2515454.6899999995</v>
      </c>
      <c r="K1163" s="52"/>
      <c r="AL1163" s="30" t="str">
        <f>CONCATENATE("Итого по разделу: ",IF(Source!G781&lt;&gt;"Новый раздел", Source!G781, ""))</f>
        <v>Итого по разделу: Замена газона (рулонный) 1669 кв.м (корыто глубиной 20 см)</v>
      </c>
    </row>
    <row r="1164" spans="1:38" hidden="1" x14ac:dyDescent="0.2">
      <c r="A1164" t="s">
        <v>1641</v>
      </c>
      <c r="H1164">
        <f>SUM(AC1094:AC1163)</f>
        <v>0</v>
      </c>
      <c r="J1164">
        <f>SUM(AD1094:AD1163)</f>
        <v>0</v>
      </c>
    </row>
    <row r="1165" spans="1:38" hidden="1" x14ac:dyDescent="0.2">
      <c r="A1165" t="s">
        <v>1642</v>
      </c>
      <c r="H1165">
        <f>SUM(AE1094:AE1164)</f>
        <v>0</v>
      </c>
      <c r="J1165">
        <f>SUM(AF1094:AF1164)</f>
        <v>0</v>
      </c>
    </row>
    <row r="1167" spans="1:38" ht="16.5" x14ac:dyDescent="0.25">
      <c r="A1167" s="56" t="str">
        <f>CONCATENATE("Раздел: ",IF(Source!G811&lt;&gt;"Новый раздел", Source!G811, ""))</f>
        <v>Раздел: Посадка деревьев и кустарников</v>
      </c>
      <c r="B1167" s="56"/>
      <c r="C1167" s="56"/>
      <c r="D1167" s="56"/>
      <c r="E1167" s="56"/>
      <c r="F1167" s="56"/>
      <c r="G1167" s="56"/>
      <c r="H1167" s="56"/>
      <c r="I1167" s="56"/>
      <c r="J1167" s="56"/>
      <c r="K1167" s="56"/>
    </row>
    <row r="1168" spans="1:38" ht="71.25" x14ac:dyDescent="0.2">
      <c r="A1168" s="16" t="str">
        <f>Source!E815</f>
        <v>139</v>
      </c>
      <c r="B1168" s="17" t="str">
        <f>Source!F815</f>
        <v>3.47-6-10</v>
      </c>
      <c r="C1168" s="17" t="s">
        <v>898</v>
      </c>
      <c r="D1168" s="19" t="str">
        <f>Source!H815</f>
        <v>10 м3 ям</v>
      </c>
      <c r="E1168" s="18">
        <f>Source!I815</f>
        <v>3</v>
      </c>
      <c r="F1168" s="21"/>
      <c r="G1168" s="20"/>
      <c r="H1168" s="18"/>
      <c r="I1168" s="22"/>
      <c r="J1168" s="18"/>
      <c r="K1168" s="22"/>
      <c r="Q1168">
        <f>ROUND((Source!DN815/100)*ROUND((ROUND((Source!AF815*Source!AV815*Source!I815),2)),2), 2)</f>
        <v>1712.29</v>
      </c>
      <c r="R1168">
        <f>Source!X815</f>
        <v>25131.11</v>
      </c>
      <c r="S1168">
        <f>ROUND((Source!DO815/100)*ROUND((ROUND((Source!AF815*Source!AV815*Source!I815),2)),2), 2)</f>
        <v>922</v>
      </c>
      <c r="T1168">
        <f>Source!Y815</f>
        <v>11448.61</v>
      </c>
      <c r="U1168">
        <f>ROUND((175/100)*ROUND((ROUND((Source!AE815*Source!AV815*Source!I815),2)),2), 2)</f>
        <v>0</v>
      </c>
      <c r="V1168">
        <f>ROUND((157/100)*ROUND(ROUND((ROUND((Source!AE815*Source!AV815*Source!I815),2)*Source!BS815),2), 2), 2)</f>
        <v>0</v>
      </c>
    </row>
    <row r="1169" spans="1:27" x14ac:dyDescent="0.2">
      <c r="C1169" s="23" t="str">
        <f>"Объем: "&amp;Source!I815&amp;"=30/"&amp;"10"</f>
        <v>Объем: 3=30/10</v>
      </c>
    </row>
    <row r="1170" spans="1:27" ht="14.25" x14ac:dyDescent="0.2">
      <c r="A1170" s="16"/>
      <c r="B1170" s="17"/>
      <c r="C1170" s="17" t="s">
        <v>1625</v>
      </c>
      <c r="D1170" s="19"/>
      <c r="E1170" s="18"/>
      <c r="F1170" s="21">
        <f>Source!AO815</f>
        <v>318.14999999999998</v>
      </c>
      <c r="G1170" s="20" t="str">
        <f>Source!DG815</f>
        <v>)*1,15</v>
      </c>
      <c r="H1170" s="18">
        <f>Source!AV815</f>
        <v>1</v>
      </c>
      <c r="I1170" s="22">
        <f>ROUND((ROUND((Source!AF815*Source!AV815*Source!I815),2)),2)</f>
        <v>1097.6199999999999</v>
      </c>
      <c r="J1170" s="18">
        <f>IF(Source!BA815&lt;&gt; 0, Source!BA815, 1)</f>
        <v>25.44</v>
      </c>
      <c r="K1170" s="22">
        <f>Source!S815</f>
        <v>27923.45</v>
      </c>
      <c r="W1170">
        <f>I1170</f>
        <v>1097.6199999999999</v>
      </c>
    </row>
    <row r="1171" spans="1:27" ht="14.25" x14ac:dyDescent="0.2">
      <c r="A1171" s="16"/>
      <c r="B1171" s="17"/>
      <c r="C1171" s="17" t="s">
        <v>1634</v>
      </c>
      <c r="D1171" s="19"/>
      <c r="E1171" s="18"/>
      <c r="F1171" s="21">
        <f>Source!AL815</f>
        <v>737.54</v>
      </c>
      <c r="G1171" s="20" t="str">
        <f>Source!DD815</f>
        <v/>
      </c>
      <c r="H1171" s="18">
        <f>Source!AW815</f>
        <v>1</v>
      </c>
      <c r="I1171" s="22">
        <f>ROUND((ROUND((Source!AC815*Source!AW815*Source!I815),2)),2)</f>
        <v>2212.62</v>
      </c>
      <c r="J1171" s="18">
        <f>IF(Source!BC815&lt;&gt; 0, Source!BC815, 1)</f>
        <v>2.25</v>
      </c>
      <c r="K1171" s="22">
        <f>Source!P815</f>
        <v>4978.3999999999996</v>
      </c>
    </row>
    <row r="1172" spans="1:27" ht="57" x14ac:dyDescent="0.2">
      <c r="A1172" s="16" t="str">
        <f>Source!E816</f>
        <v>139,1</v>
      </c>
      <c r="B1172" s="17" t="str">
        <f>Source!F816</f>
        <v>1.4-6-17</v>
      </c>
      <c r="C1172" s="17" t="s">
        <v>861</v>
      </c>
      <c r="D1172" s="19" t="str">
        <f>Source!H816</f>
        <v>м3</v>
      </c>
      <c r="E1172" s="18">
        <f>Source!I816</f>
        <v>16.32</v>
      </c>
      <c r="F1172" s="21">
        <f>Source!AK816</f>
        <v>297.47000000000003</v>
      </c>
      <c r="G1172" s="27" t="s">
        <v>3</v>
      </c>
      <c r="H1172" s="18">
        <f>Source!AW816</f>
        <v>1</v>
      </c>
      <c r="I1172" s="22">
        <f>ROUND((ROUND((Source!AC816*Source!AW816*Source!I816),2)),2)+(ROUND((ROUND(((Source!ET816)*Source!AV816*Source!I816),2)),2)+ROUND((ROUND(((Source!AE816-(Source!EU816))*Source!AV816*Source!I816),2)),2))+ROUND((ROUND((Source!AF816*Source!AV816*Source!I816),2)),2)</f>
        <v>4854.71</v>
      </c>
      <c r="J1172" s="18">
        <f>IF(Source!BC816&lt;&gt; 0, Source!BC816, 1)</f>
        <v>3.86</v>
      </c>
      <c r="K1172" s="22">
        <f>Source!O816</f>
        <v>18739.18</v>
      </c>
      <c r="Q1172">
        <f>ROUND((Source!DN816/100)*ROUND((ROUND((Source!AF816*Source!AV816*Source!I816),2)),2), 2)</f>
        <v>0</v>
      </c>
      <c r="R1172">
        <f>Source!X816</f>
        <v>0</v>
      </c>
      <c r="S1172">
        <f>ROUND((Source!DO816/100)*ROUND((ROUND((Source!AF816*Source!AV816*Source!I816),2)),2), 2)</f>
        <v>0</v>
      </c>
      <c r="T1172">
        <f>Source!Y816</f>
        <v>0</v>
      </c>
      <c r="U1172">
        <f>ROUND((175/100)*ROUND((ROUND((Source!AE816*Source!AV816*Source!I816),2)),2), 2)</f>
        <v>0</v>
      </c>
      <c r="V1172">
        <f>ROUND((157/100)*ROUND(ROUND((ROUND((Source!AE816*Source!AV816*Source!I816),2)*Source!BS816),2), 2), 2)</f>
        <v>0</v>
      </c>
      <c r="X1172">
        <f>IF(Source!BI816&lt;=1,I1172, 0)</f>
        <v>4854.71</v>
      </c>
      <c r="Y1172">
        <f>IF(Source!BI816=2,I1172, 0)</f>
        <v>0</v>
      </c>
      <c r="Z1172">
        <f>IF(Source!BI816=3,I1172, 0)</f>
        <v>0</v>
      </c>
      <c r="AA1172">
        <f>IF(Source!BI816=4,I1172, 0)</f>
        <v>0</v>
      </c>
    </row>
    <row r="1173" spans="1:27" ht="14.25" x14ac:dyDescent="0.2">
      <c r="A1173" s="16"/>
      <c r="B1173" s="17"/>
      <c r="C1173" s="17" t="s">
        <v>1626</v>
      </c>
      <c r="D1173" s="19" t="s">
        <v>1627</v>
      </c>
      <c r="E1173" s="18">
        <f>Source!DN815</f>
        <v>156</v>
      </c>
      <c r="F1173" s="21"/>
      <c r="G1173" s="20"/>
      <c r="H1173" s="18"/>
      <c r="I1173" s="22">
        <f>SUM(Q1168:Q1172)</f>
        <v>1712.29</v>
      </c>
      <c r="J1173" s="18">
        <f>Source!BZ815</f>
        <v>90</v>
      </c>
      <c r="K1173" s="22">
        <f>SUM(R1168:R1172)</f>
        <v>25131.11</v>
      </c>
    </row>
    <row r="1174" spans="1:27" ht="14.25" x14ac:dyDescent="0.2">
      <c r="A1174" s="16"/>
      <c r="B1174" s="17"/>
      <c r="C1174" s="17" t="s">
        <v>1628</v>
      </c>
      <c r="D1174" s="19" t="s">
        <v>1627</v>
      </c>
      <c r="E1174" s="18">
        <f>Source!DO815</f>
        <v>84</v>
      </c>
      <c r="F1174" s="21"/>
      <c r="G1174" s="20"/>
      <c r="H1174" s="18"/>
      <c r="I1174" s="22">
        <f>SUM(S1168:S1173)</f>
        <v>922</v>
      </c>
      <c r="J1174" s="18">
        <f>Source!CA815</f>
        <v>41</v>
      </c>
      <c r="K1174" s="22">
        <f>SUM(T1168:T1173)</f>
        <v>11448.61</v>
      </c>
    </row>
    <row r="1175" spans="1:27" ht="14.25" x14ac:dyDescent="0.2">
      <c r="A1175" s="16"/>
      <c r="B1175" s="17"/>
      <c r="C1175" s="17" t="s">
        <v>1629</v>
      </c>
      <c r="D1175" s="19" t="s">
        <v>1630</v>
      </c>
      <c r="E1175" s="18">
        <f>Source!AQ815</f>
        <v>31.13</v>
      </c>
      <c r="F1175" s="21"/>
      <c r="G1175" s="20" t="str">
        <f>Source!DI815</f>
        <v>)*1,15</v>
      </c>
      <c r="H1175" s="18">
        <f>Source!AV815</f>
        <v>1</v>
      </c>
      <c r="I1175" s="22">
        <f>Source!U815</f>
        <v>107.39849999999998</v>
      </c>
      <c r="J1175" s="18"/>
      <c r="K1175" s="22"/>
    </row>
    <row r="1176" spans="1:27" ht="15" x14ac:dyDescent="0.25">
      <c r="A1176" s="25"/>
      <c r="B1176" s="25"/>
      <c r="C1176" s="25"/>
      <c r="D1176" s="25"/>
      <c r="E1176" s="25"/>
      <c r="F1176" s="25"/>
      <c r="G1176" s="25"/>
      <c r="H1176" s="54">
        <f>I1170+I1171+I1173+I1174+SUM(I1172:I1172)</f>
        <v>10799.24</v>
      </c>
      <c r="I1176" s="54"/>
      <c r="J1176" s="54">
        <f>K1170+K1171+K1173+K1174+SUM(K1172:K1172)</f>
        <v>88220.75</v>
      </c>
      <c r="K1176" s="54"/>
      <c r="O1176" s="24">
        <f>I1170+I1171+I1173+I1174+SUM(I1172:I1172)</f>
        <v>10799.24</v>
      </c>
      <c r="P1176" s="24">
        <f>K1170+K1171+K1173+K1174+SUM(K1172:K1172)</f>
        <v>88220.75</v>
      </c>
      <c r="X1176">
        <f>IF(Source!BI815&lt;=1,I1170+I1171+I1173+I1174-0, 0)</f>
        <v>5944.53</v>
      </c>
      <c r="Y1176">
        <f>IF(Source!BI815=2,I1170+I1171+I1173+I1174-0, 0)</f>
        <v>0</v>
      </c>
      <c r="Z1176">
        <f>IF(Source!BI815=3,I1170+I1171+I1173+I1174-0, 0)</f>
        <v>0</v>
      </c>
      <c r="AA1176">
        <f>IF(Source!BI815=4,I1170+I1171+I1173+I1174,0)</f>
        <v>0</v>
      </c>
    </row>
    <row r="1177" spans="1:27" ht="71.25" x14ac:dyDescent="0.2">
      <c r="A1177" s="16" t="str">
        <f>Source!E817</f>
        <v>140</v>
      </c>
      <c r="B1177" s="17" t="str">
        <f>Source!F817</f>
        <v>3.47-7-4</v>
      </c>
      <c r="C1177" s="17" t="s">
        <v>904</v>
      </c>
      <c r="D1177" s="19" t="str">
        <f>Source!H817</f>
        <v>10 деревьев или кустарников</v>
      </c>
      <c r="E1177" s="18">
        <f>Source!I817</f>
        <v>4.9000000000000004</v>
      </c>
      <c r="F1177" s="21"/>
      <c r="G1177" s="20"/>
      <c r="H1177" s="18"/>
      <c r="I1177" s="22"/>
      <c r="J1177" s="18"/>
      <c r="K1177" s="22"/>
      <c r="Q1177">
        <f>ROUND((Source!DN817/100)*ROUND((ROUND((Source!AF817*Source!AV817*Source!I817),2)),2), 2)</f>
        <v>1952.04</v>
      </c>
      <c r="R1177">
        <f>Source!X817</f>
        <v>28650</v>
      </c>
      <c r="S1177">
        <f>ROUND((Source!DO817/100)*ROUND((ROUND((Source!AF817*Source!AV817*Source!I817),2)),2), 2)</f>
        <v>1051.0999999999999</v>
      </c>
      <c r="T1177">
        <f>Source!Y817</f>
        <v>13051.67</v>
      </c>
      <c r="U1177">
        <f>ROUND((175/100)*ROUND((ROUND((Source!AE817*Source!AV817*Source!I817),2)),2), 2)</f>
        <v>348.15</v>
      </c>
      <c r="V1177">
        <f>ROUND((157/100)*ROUND(ROUND((ROUND((Source!AE817*Source!AV817*Source!I817),2)*Source!BS817),2), 2), 2)</f>
        <v>7945.82</v>
      </c>
    </row>
    <row r="1178" spans="1:27" x14ac:dyDescent="0.2">
      <c r="C1178" s="23" t="str">
        <f>"Объем: "&amp;Source!I817&amp;"=49/"&amp;"10"</f>
        <v>Объем: 4,9=49/10</v>
      </c>
    </row>
    <row r="1179" spans="1:27" ht="14.25" x14ac:dyDescent="0.2">
      <c r="A1179" s="16"/>
      <c r="B1179" s="17"/>
      <c r="C1179" s="17" t="s">
        <v>1625</v>
      </c>
      <c r="D1179" s="19"/>
      <c r="E1179" s="18"/>
      <c r="F1179" s="21">
        <f>Source!AO817</f>
        <v>222.06</v>
      </c>
      <c r="G1179" s="20" t="str">
        <f>Source!DG817</f>
        <v>)*1,15</v>
      </c>
      <c r="H1179" s="18">
        <f>Source!AV817</f>
        <v>1</v>
      </c>
      <c r="I1179" s="22">
        <f>ROUND((ROUND((Source!AF817*Source!AV817*Source!I817),2)),2)</f>
        <v>1251.31</v>
      </c>
      <c r="J1179" s="18">
        <f>IF(Source!BA817&lt;&gt; 0, Source!BA817, 1)</f>
        <v>25.44</v>
      </c>
      <c r="K1179" s="22">
        <f>Source!S817</f>
        <v>31833.33</v>
      </c>
      <c r="W1179">
        <f>I1179</f>
        <v>1251.31</v>
      </c>
    </row>
    <row r="1180" spans="1:27" ht="14.25" x14ac:dyDescent="0.2">
      <c r="A1180" s="16"/>
      <c r="B1180" s="17"/>
      <c r="C1180" s="17" t="s">
        <v>1631</v>
      </c>
      <c r="D1180" s="19"/>
      <c r="E1180" s="18"/>
      <c r="F1180" s="21">
        <f>Source!AM817</f>
        <v>406.32</v>
      </c>
      <c r="G1180" s="20" t="str">
        <f>Source!DE817</f>
        <v>)*1,25</v>
      </c>
      <c r="H1180" s="18">
        <f>Source!AV817</f>
        <v>1</v>
      </c>
      <c r="I1180" s="22">
        <f>(ROUND((ROUND((((Source!ET817*1.25))*Source!AV817*Source!I817),2)),2)+ROUND((ROUND(((Source!AE817-((Source!EU817*1.25)))*Source!AV817*Source!I817),2)),2))</f>
        <v>2488.71</v>
      </c>
      <c r="J1180" s="18">
        <f>IF(Source!BB817&lt;&gt; 0, Source!BB817, 1)</f>
        <v>8.4499999999999993</v>
      </c>
      <c r="K1180" s="22">
        <f>Source!Q817</f>
        <v>21029.599999999999</v>
      </c>
    </row>
    <row r="1181" spans="1:27" ht="14.25" x14ac:dyDescent="0.2">
      <c r="A1181" s="16"/>
      <c r="B1181" s="17"/>
      <c r="C1181" s="17" t="s">
        <v>1632</v>
      </c>
      <c r="D1181" s="19"/>
      <c r="E1181" s="18"/>
      <c r="F1181" s="21">
        <f>Source!AN817</f>
        <v>32.479999999999997</v>
      </c>
      <c r="G1181" s="20" t="str">
        <f>Source!DF817</f>
        <v>)*1,25</v>
      </c>
      <c r="H1181" s="18">
        <f>Source!AV817</f>
        <v>1</v>
      </c>
      <c r="I1181" s="26">
        <f>ROUND((ROUND((Source!AE817*Source!AV817*Source!I817),2)),2)</f>
        <v>198.94</v>
      </c>
      <c r="J1181" s="18">
        <f>IF(Source!BS817&lt;&gt; 0, Source!BS817, 1)</f>
        <v>25.44</v>
      </c>
      <c r="K1181" s="26">
        <f>Source!R817</f>
        <v>5061.03</v>
      </c>
      <c r="W1181">
        <f>I1181</f>
        <v>198.94</v>
      </c>
    </row>
    <row r="1182" spans="1:27" ht="14.25" x14ac:dyDescent="0.2">
      <c r="A1182" s="16"/>
      <c r="B1182" s="17"/>
      <c r="C1182" s="17" t="s">
        <v>1634</v>
      </c>
      <c r="D1182" s="19"/>
      <c r="E1182" s="18"/>
      <c r="F1182" s="21">
        <f>Source!AL817</f>
        <v>40.08</v>
      </c>
      <c r="G1182" s="20" t="str">
        <f>Source!DD817</f>
        <v/>
      </c>
      <c r="H1182" s="18">
        <f>Source!AW817</f>
        <v>1</v>
      </c>
      <c r="I1182" s="22">
        <f>ROUND((ROUND((Source!AC817*Source!AW817*Source!I817),2)),2)</f>
        <v>196.39</v>
      </c>
      <c r="J1182" s="18">
        <f>IF(Source!BC817&lt;&gt; 0, Source!BC817, 1)</f>
        <v>5.92</v>
      </c>
      <c r="K1182" s="22">
        <f>Source!P817</f>
        <v>1162.6300000000001</v>
      </c>
    </row>
    <row r="1183" spans="1:27" ht="14.25" x14ac:dyDescent="0.2">
      <c r="A1183" s="16"/>
      <c r="B1183" s="17"/>
      <c r="C1183" s="17" t="s">
        <v>1626</v>
      </c>
      <c r="D1183" s="19" t="s">
        <v>1627</v>
      </c>
      <c r="E1183" s="18">
        <f>Source!DN817</f>
        <v>156</v>
      </c>
      <c r="F1183" s="21"/>
      <c r="G1183" s="20"/>
      <c r="H1183" s="18"/>
      <c r="I1183" s="22">
        <f>SUM(Q1177:Q1182)</f>
        <v>1952.04</v>
      </c>
      <c r="J1183" s="18">
        <f>Source!BZ817</f>
        <v>90</v>
      </c>
      <c r="K1183" s="22">
        <f>SUM(R1177:R1182)</f>
        <v>28650</v>
      </c>
    </row>
    <row r="1184" spans="1:27" ht="14.25" x14ac:dyDescent="0.2">
      <c r="A1184" s="16"/>
      <c r="B1184" s="17"/>
      <c r="C1184" s="17" t="s">
        <v>1628</v>
      </c>
      <c r="D1184" s="19" t="s">
        <v>1627</v>
      </c>
      <c r="E1184" s="18">
        <f>Source!DO817</f>
        <v>84</v>
      </c>
      <c r="F1184" s="21"/>
      <c r="G1184" s="20"/>
      <c r="H1184" s="18"/>
      <c r="I1184" s="22">
        <f>SUM(S1177:S1183)</f>
        <v>1051.0999999999999</v>
      </c>
      <c r="J1184" s="18">
        <f>Source!CA817</f>
        <v>41</v>
      </c>
      <c r="K1184" s="22">
        <f>SUM(T1177:T1183)</f>
        <v>13051.67</v>
      </c>
    </row>
    <row r="1185" spans="1:27" ht="14.25" x14ac:dyDescent="0.2">
      <c r="A1185" s="16"/>
      <c r="B1185" s="17"/>
      <c r="C1185" s="17" t="s">
        <v>1633</v>
      </c>
      <c r="D1185" s="19" t="s">
        <v>1627</v>
      </c>
      <c r="E1185" s="18">
        <f>175</f>
        <v>175</v>
      </c>
      <c r="F1185" s="21"/>
      <c r="G1185" s="20"/>
      <c r="H1185" s="18"/>
      <c r="I1185" s="22">
        <f>SUM(U1177:U1184)</f>
        <v>348.15</v>
      </c>
      <c r="J1185" s="18">
        <f>157</f>
        <v>157</v>
      </c>
      <c r="K1185" s="22">
        <f>SUM(V1177:V1184)</f>
        <v>7945.82</v>
      </c>
    </row>
    <row r="1186" spans="1:27" ht="14.25" x14ac:dyDescent="0.2">
      <c r="A1186" s="16"/>
      <c r="B1186" s="17"/>
      <c r="C1186" s="17" t="s">
        <v>1629</v>
      </c>
      <c r="D1186" s="19" t="s">
        <v>1630</v>
      </c>
      <c r="E1186" s="18">
        <f>Source!AQ817</f>
        <v>18.010000000000002</v>
      </c>
      <c r="F1186" s="21"/>
      <c r="G1186" s="20" t="str">
        <f>Source!DI817</f>
        <v>)*1,15</v>
      </c>
      <c r="H1186" s="18">
        <f>Source!AV817</f>
        <v>1</v>
      </c>
      <c r="I1186" s="22">
        <f>Source!U817</f>
        <v>101.48635000000002</v>
      </c>
      <c r="J1186" s="18"/>
      <c r="K1186" s="22"/>
    </row>
    <row r="1187" spans="1:27" ht="15" x14ac:dyDescent="0.25">
      <c r="A1187" s="25"/>
      <c r="B1187" s="25"/>
      <c r="C1187" s="25"/>
      <c r="D1187" s="25"/>
      <c r="E1187" s="25"/>
      <c r="F1187" s="25"/>
      <c r="G1187" s="25"/>
      <c r="H1187" s="54">
        <f>I1179+I1180+I1182+I1183+I1184+I1185</f>
        <v>7287.6999999999989</v>
      </c>
      <c r="I1187" s="54"/>
      <c r="J1187" s="54">
        <f>K1179+K1180+K1182+K1183+K1184+K1185</f>
        <v>103673.04999999999</v>
      </c>
      <c r="K1187" s="54"/>
      <c r="O1187" s="24">
        <f>I1179+I1180+I1182+I1183+I1184+I1185</f>
        <v>7287.6999999999989</v>
      </c>
      <c r="P1187" s="24">
        <f>K1179+K1180+K1182+K1183+K1184+K1185</f>
        <v>103673.04999999999</v>
      </c>
      <c r="X1187">
        <f>IF(Source!BI817&lt;=1,I1179+I1180+I1182+I1183+I1184+I1185-0, 0)</f>
        <v>7287.6999999999989</v>
      </c>
      <c r="Y1187">
        <f>IF(Source!BI817=2,I1179+I1180+I1182+I1183+I1184+I1185-0, 0)</f>
        <v>0</v>
      </c>
      <c r="Z1187">
        <f>IF(Source!BI817=3,I1179+I1180+I1182+I1183+I1184+I1185-0, 0)</f>
        <v>0</v>
      </c>
      <c r="AA1187">
        <f>IF(Source!BI817=4,I1179+I1180+I1182+I1183+I1184+I1185,0)</f>
        <v>0</v>
      </c>
    </row>
    <row r="1188" spans="1:27" ht="71.25" x14ac:dyDescent="0.2">
      <c r="A1188" s="16" t="str">
        <f>Source!E818</f>
        <v>141</v>
      </c>
      <c r="B1188" s="17" t="str">
        <f>Source!F818</f>
        <v>3.47-7-3</v>
      </c>
      <c r="C1188" s="17" t="s">
        <v>908</v>
      </c>
      <c r="D1188" s="19" t="str">
        <f>Source!H818</f>
        <v>10 деревьев или кустарников</v>
      </c>
      <c r="E1188" s="18">
        <f>Source!I818</f>
        <v>3.3</v>
      </c>
      <c r="F1188" s="21"/>
      <c r="G1188" s="20"/>
      <c r="H1188" s="18"/>
      <c r="I1188" s="22"/>
      <c r="J1188" s="18"/>
      <c r="K1188" s="22"/>
      <c r="Q1188">
        <f>ROUND((Source!DN818/100)*ROUND((ROUND((Source!AF818*Source!AV818*Source!I818),2)),2), 2)</f>
        <v>927.22</v>
      </c>
      <c r="R1188">
        <f>Source!X818</f>
        <v>13608.69</v>
      </c>
      <c r="S1188">
        <f>ROUND((Source!DO818/100)*ROUND((ROUND((Source!AF818*Source!AV818*Source!I818),2)),2), 2)</f>
        <v>499.27</v>
      </c>
      <c r="T1188">
        <f>Source!Y818</f>
        <v>6199.52</v>
      </c>
      <c r="U1188">
        <f>ROUND((175/100)*ROUND((ROUND((Source!AE818*Source!AV818*Source!I818),2)),2), 2)</f>
        <v>200.53</v>
      </c>
      <c r="V1188">
        <f>ROUND((157/100)*ROUND(ROUND((ROUND((Source!AE818*Source!AV818*Source!I818),2)*Source!BS818),2), 2), 2)</f>
        <v>4576.82</v>
      </c>
    </row>
    <row r="1189" spans="1:27" x14ac:dyDescent="0.2">
      <c r="C1189" s="23" t="str">
        <f>"Объем: "&amp;Source!I818&amp;"=33/"&amp;"10"</f>
        <v>Объем: 3,3=33/10</v>
      </c>
    </row>
    <row r="1190" spans="1:27" ht="14.25" x14ac:dyDescent="0.2">
      <c r="A1190" s="16"/>
      <c r="B1190" s="17"/>
      <c r="C1190" s="17" t="s">
        <v>1625</v>
      </c>
      <c r="D1190" s="19"/>
      <c r="E1190" s="18"/>
      <c r="F1190" s="21">
        <f>Source!AO818</f>
        <v>156.62</v>
      </c>
      <c r="G1190" s="20" t="str">
        <f>Source!DG818</f>
        <v>)*1,15</v>
      </c>
      <c r="H1190" s="18">
        <f>Source!AV818</f>
        <v>1</v>
      </c>
      <c r="I1190" s="22">
        <f>ROUND((ROUND((Source!AF818*Source!AV818*Source!I818),2)),2)</f>
        <v>594.37</v>
      </c>
      <c r="J1190" s="18">
        <f>IF(Source!BA818&lt;&gt; 0, Source!BA818, 1)</f>
        <v>25.44</v>
      </c>
      <c r="K1190" s="22">
        <f>Source!S818</f>
        <v>15120.77</v>
      </c>
      <c r="W1190">
        <f>I1190</f>
        <v>594.37</v>
      </c>
    </row>
    <row r="1191" spans="1:27" ht="14.25" x14ac:dyDescent="0.2">
      <c r="A1191" s="16"/>
      <c r="B1191" s="17"/>
      <c r="C1191" s="17" t="s">
        <v>1631</v>
      </c>
      <c r="D1191" s="19"/>
      <c r="E1191" s="18"/>
      <c r="F1191" s="21">
        <f>Source!AM818</f>
        <v>348.4</v>
      </c>
      <c r="G1191" s="20" t="str">
        <f>Source!DE818</f>
        <v>)*1,25</v>
      </c>
      <c r="H1191" s="18">
        <f>Source!AV818</f>
        <v>1</v>
      </c>
      <c r="I1191" s="22">
        <f>(ROUND((ROUND((((Source!ET818*1.25))*Source!AV818*Source!I818),2)),2)+ROUND((ROUND(((Source!AE818-((Source!EU818*1.25)))*Source!AV818*Source!I818),2)),2))</f>
        <v>1437.15</v>
      </c>
      <c r="J1191" s="18">
        <f>IF(Source!BB818&lt;&gt; 0, Source!BB818, 1)</f>
        <v>8.4499999999999993</v>
      </c>
      <c r="K1191" s="22">
        <f>Source!Q818</f>
        <v>12143.92</v>
      </c>
    </row>
    <row r="1192" spans="1:27" ht="14.25" x14ac:dyDescent="0.2">
      <c r="A1192" s="16"/>
      <c r="B1192" s="17"/>
      <c r="C1192" s="17" t="s">
        <v>1632</v>
      </c>
      <c r="D1192" s="19"/>
      <c r="E1192" s="18"/>
      <c r="F1192" s="21">
        <f>Source!AN818</f>
        <v>27.78</v>
      </c>
      <c r="G1192" s="20" t="str">
        <f>Source!DF818</f>
        <v>)*1,25</v>
      </c>
      <c r="H1192" s="18">
        <f>Source!AV818</f>
        <v>1</v>
      </c>
      <c r="I1192" s="26">
        <f>ROUND((ROUND((Source!AE818*Source!AV818*Source!I818),2)),2)</f>
        <v>114.59</v>
      </c>
      <c r="J1192" s="18">
        <f>IF(Source!BS818&lt;&gt; 0, Source!BS818, 1)</f>
        <v>25.44</v>
      </c>
      <c r="K1192" s="26">
        <f>Source!R818</f>
        <v>2915.17</v>
      </c>
      <c r="W1192">
        <f>I1192</f>
        <v>114.59</v>
      </c>
    </row>
    <row r="1193" spans="1:27" ht="14.25" x14ac:dyDescent="0.2">
      <c r="A1193" s="16"/>
      <c r="B1193" s="17"/>
      <c r="C1193" s="17" t="s">
        <v>1634</v>
      </c>
      <c r="D1193" s="19"/>
      <c r="E1193" s="18"/>
      <c r="F1193" s="21">
        <f>Source!AL818</f>
        <v>37.25</v>
      </c>
      <c r="G1193" s="20" t="str">
        <f>Source!DD818</f>
        <v/>
      </c>
      <c r="H1193" s="18">
        <f>Source!AW818</f>
        <v>1</v>
      </c>
      <c r="I1193" s="22">
        <f>ROUND((ROUND((Source!AC818*Source!AW818*Source!I818),2)),2)</f>
        <v>122.93</v>
      </c>
      <c r="J1193" s="18">
        <f>IF(Source!BC818&lt;&gt; 0, Source!BC818, 1)</f>
        <v>5.98</v>
      </c>
      <c r="K1193" s="22">
        <f>Source!P818</f>
        <v>735.12</v>
      </c>
    </row>
    <row r="1194" spans="1:27" ht="14.25" x14ac:dyDescent="0.2">
      <c r="A1194" s="16"/>
      <c r="B1194" s="17"/>
      <c r="C1194" s="17" t="s">
        <v>1626</v>
      </c>
      <c r="D1194" s="19" t="s">
        <v>1627</v>
      </c>
      <c r="E1194" s="18">
        <f>Source!DN818</f>
        <v>156</v>
      </c>
      <c r="F1194" s="21"/>
      <c r="G1194" s="20"/>
      <c r="H1194" s="18"/>
      <c r="I1194" s="22">
        <f>SUM(Q1188:Q1193)</f>
        <v>927.22</v>
      </c>
      <c r="J1194" s="18">
        <f>Source!BZ818</f>
        <v>90</v>
      </c>
      <c r="K1194" s="22">
        <f>SUM(R1188:R1193)</f>
        <v>13608.69</v>
      </c>
    </row>
    <row r="1195" spans="1:27" ht="14.25" x14ac:dyDescent="0.2">
      <c r="A1195" s="16"/>
      <c r="B1195" s="17"/>
      <c r="C1195" s="17" t="s">
        <v>1628</v>
      </c>
      <c r="D1195" s="19" t="s">
        <v>1627</v>
      </c>
      <c r="E1195" s="18">
        <f>Source!DO818</f>
        <v>84</v>
      </c>
      <c r="F1195" s="21"/>
      <c r="G1195" s="20"/>
      <c r="H1195" s="18"/>
      <c r="I1195" s="22">
        <f>SUM(S1188:S1194)</f>
        <v>499.27</v>
      </c>
      <c r="J1195" s="18">
        <f>Source!CA818</f>
        <v>41</v>
      </c>
      <c r="K1195" s="22">
        <f>SUM(T1188:T1194)</f>
        <v>6199.52</v>
      </c>
    </row>
    <row r="1196" spans="1:27" ht="14.25" x14ac:dyDescent="0.2">
      <c r="A1196" s="16"/>
      <c r="B1196" s="17"/>
      <c r="C1196" s="17" t="s">
        <v>1633</v>
      </c>
      <c r="D1196" s="19" t="s">
        <v>1627</v>
      </c>
      <c r="E1196" s="18">
        <f>175</f>
        <v>175</v>
      </c>
      <c r="F1196" s="21"/>
      <c r="G1196" s="20"/>
      <c r="H1196" s="18"/>
      <c r="I1196" s="22">
        <f>SUM(U1188:U1195)</f>
        <v>200.53</v>
      </c>
      <c r="J1196" s="18">
        <f>157</f>
        <v>157</v>
      </c>
      <c r="K1196" s="22">
        <f>SUM(V1188:V1195)</f>
        <v>4576.82</v>
      </c>
    </row>
    <row r="1197" spans="1:27" ht="14.25" x14ac:dyDescent="0.2">
      <c r="A1197" s="16"/>
      <c r="B1197" s="17"/>
      <c r="C1197" s="17" t="s">
        <v>1629</v>
      </c>
      <c r="D1197" s="19" t="s">
        <v>1630</v>
      </c>
      <c r="E1197" s="18">
        <f>Source!AQ818</f>
        <v>12.54</v>
      </c>
      <c r="F1197" s="21"/>
      <c r="G1197" s="20" t="str">
        <f>Source!DI818</f>
        <v>)*1,15</v>
      </c>
      <c r="H1197" s="18">
        <f>Source!AV818</f>
        <v>1</v>
      </c>
      <c r="I1197" s="22">
        <f>Source!U818</f>
        <v>47.589299999999987</v>
      </c>
      <c r="J1197" s="18"/>
      <c r="K1197" s="22"/>
    </row>
    <row r="1198" spans="1:27" ht="15" x14ac:dyDescent="0.25">
      <c r="A1198" s="25"/>
      <c r="B1198" s="25"/>
      <c r="C1198" s="25"/>
      <c r="D1198" s="25"/>
      <c r="E1198" s="25"/>
      <c r="F1198" s="25"/>
      <c r="G1198" s="25"/>
      <c r="H1198" s="54">
        <f>I1190+I1191+I1193+I1194+I1195+I1196</f>
        <v>3781.4700000000003</v>
      </c>
      <c r="I1198" s="54"/>
      <c r="J1198" s="54">
        <f>K1190+K1191+K1193+K1194+K1195+K1196</f>
        <v>52384.840000000004</v>
      </c>
      <c r="K1198" s="54"/>
      <c r="O1198" s="24">
        <f>I1190+I1191+I1193+I1194+I1195+I1196</f>
        <v>3781.4700000000003</v>
      </c>
      <c r="P1198" s="24">
        <f>K1190+K1191+K1193+K1194+K1195+K1196</f>
        <v>52384.840000000004</v>
      </c>
      <c r="X1198">
        <f>IF(Source!BI818&lt;=1,I1190+I1191+I1193+I1194+I1195+I1196-0, 0)</f>
        <v>3781.4700000000003</v>
      </c>
      <c r="Y1198">
        <f>IF(Source!BI818=2,I1190+I1191+I1193+I1194+I1195+I1196-0, 0)</f>
        <v>0</v>
      </c>
      <c r="Z1198">
        <f>IF(Source!BI818=3,I1190+I1191+I1193+I1194+I1195+I1196-0, 0)</f>
        <v>0</v>
      </c>
      <c r="AA1198">
        <f>IF(Source!BI818=4,I1190+I1191+I1193+I1194+I1195+I1196,0)</f>
        <v>0</v>
      </c>
    </row>
    <row r="1199" spans="1:27" ht="42.75" x14ac:dyDescent="0.2">
      <c r="A1199" s="16" t="str">
        <f>Source!E819</f>
        <v>142</v>
      </c>
      <c r="B1199" s="17" t="str">
        <f>Source!F819</f>
        <v>3.47-21-1</v>
      </c>
      <c r="C1199" s="17" t="s">
        <v>912</v>
      </c>
      <c r="D1199" s="19" t="str">
        <f>Source!H819</f>
        <v>10 м3 ям</v>
      </c>
      <c r="E1199" s="18">
        <f>Source!I819</f>
        <v>3</v>
      </c>
      <c r="F1199" s="21"/>
      <c r="G1199" s="20"/>
      <c r="H1199" s="18"/>
      <c r="I1199" s="22"/>
      <c r="J1199" s="18"/>
      <c r="K1199" s="22"/>
      <c r="Q1199">
        <f>ROUND((Source!DN819/100)*ROUND((ROUND((Source!AF819*Source!AV819*Source!I819),2)),2), 2)</f>
        <v>1015.37</v>
      </c>
      <c r="R1199">
        <f>Source!X819</f>
        <v>14902.55</v>
      </c>
      <c r="S1199">
        <f>ROUND((Source!DO819/100)*ROUND((ROUND((Source!AF819*Source!AV819*Source!I819),2)),2), 2)</f>
        <v>546.74</v>
      </c>
      <c r="T1199">
        <f>Source!Y819</f>
        <v>6788.94</v>
      </c>
      <c r="U1199">
        <f>ROUND((175/100)*ROUND((ROUND((Source!AE819*Source!AV819*Source!I819),2)),2), 2)</f>
        <v>0</v>
      </c>
      <c r="V1199">
        <f>ROUND((157/100)*ROUND(ROUND((ROUND((Source!AE819*Source!AV819*Source!I819),2)*Source!BS819),2), 2), 2)</f>
        <v>0</v>
      </c>
    </row>
    <row r="1200" spans="1:27" x14ac:dyDescent="0.2">
      <c r="C1200" s="23" t="str">
        <f>"Объем: "&amp;Source!I819&amp;"=30/"&amp;"10"</f>
        <v>Объем: 3=30/10</v>
      </c>
    </row>
    <row r="1201" spans="1:27" ht="14.25" x14ac:dyDescent="0.2">
      <c r="A1201" s="16"/>
      <c r="B1201" s="17"/>
      <c r="C1201" s="17" t="s">
        <v>1625</v>
      </c>
      <c r="D1201" s="19"/>
      <c r="E1201" s="18"/>
      <c r="F1201" s="21">
        <f>Source!AO819</f>
        <v>188.66</v>
      </c>
      <c r="G1201" s="20" t="str">
        <f>Source!DG819</f>
        <v>)*1,15</v>
      </c>
      <c r="H1201" s="18">
        <f>Source!AV819</f>
        <v>1</v>
      </c>
      <c r="I1201" s="22">
        <f>ROUND((ROUND((Source!AF819*Source!AV819*Source!I819),2)),2)</f>
        <v>650.88</v>
      </c>
      <c r="J1201" s="18">
        <f>IF(Source!BA819&lt;&gt; 0, Source!BA819, 1)</f>
        <v>25.44</v>
      </c>
      <c r="K1201" s="22">
        <f>Source!S819</f>
        <v>16558.39</v>
      </c>
      <c r="W1201">
        <f>I1201</f>
        <v>650.88</v>
      </c>
    </row>
    <row r="1202" spans="1:27" ht="28.5" x14ac:dyDescent="0.2">
      <c r="A1202" s="16" t="str">
        <f>Source!E820</f>
        <v>142,1</v>
      </c>
      <c r="B1202" s="17" t="str">
        <f>Source!F820</f>
        <v>1.4-4-18</v>
      </c>
      <c r="C1202" s="17" t="s">
        <v>918</v>
      </c>
      <c r="D1202" s="19" t="str">
        <f>Source!H820</f>
        <v>кг</v>
      </c>
      <c r="E1202" s="18">
        <f>Source!I820</f>
        <v>13.439999999999998</v>
      </c>
      <c r="F1202" s="21">
        <f>Source!AK820</f>
        <v>1.6</v>
      </c>
      <c r="G1202" s="27" t="s">
        <v>3</v>
      </c>
      <c r="H1202" s="18">
        <f>Source!AW820</f>
        <v>1</v>
      </c>
      <c r="I1202" s="22">
        <f>ROUND((ROUND((Source!AC820*Source!AW820*Source!I820),2)),2)+(ROUND((ROUND(((Source!ET820)*Source!AV820*Source!I820),2)),2)+ROUND((ROUND(((Source!AE820-(Source!EU820))*Source!AV820*Source!I820),2)),2))+ROUND((ROUND((Source!AF820*Source!AV820*Source!I820),2)),2)</f>
        <v>21.5</v>
      </c>
      <c r="J1202" s="18">
        <f>IF(Source!BC820&lt;&gt; 0, Source!BC820, 1)</f>
        <v>4.88</v>
      </c>
      <c r="K1202" s="22">
        <f>Source!O820</f>
        <v>104.92</v>
      </c>
      <c r="Q1202">
        <f>ROUND((Source!DN820/100)*ROUND((ROUND((Source!AF820*Source!AV820*Source!I820),2)),2), 2)</f>
        <v>0</v>
      </c>
      <c r="R1202">
        <f>Source!X820</f>
        <v>0</v>
      </c>
      <c r="S1202">
        <f>ROUND((Source!DO820/100)*ROUND((ROUND((Source!AF820*Source!AV820*Source!I820),2)),2), 2)</f>
        <v>0</v>
      </c>
      <c r="T1202">
        <f>Source!Y820</f>
        <v>0</v>
      </c>
      <c r="U1202">
        <f>ROUND((175/100)*ROUND((ROUND((Source!AE820*Source!AV820*Source!I820),2)),2), 2)</f>
        <v>0</v>
      </c>
      <c r="V1202">
        <f>ROUND((157/100)*ROUND(ROUND((ROUND((Source!AE820*Source!AV820*Source!I820),2)*Source!BS820),2), 2), 2)</f>
        <v>0</v>
      </c>
      <c r="X1202">
        <f>IF(Source!BI820&lt;=1,I1202, 0)</f>
        <v>21.5</v>
      </c>
      <c r="Y1202">
        <f>IF(Source!BI820=2,I1202, 0)</f>
        <v>0</v>
      </c>
      <c r="Z1202">
        <f>IF(Source!BI820=3,I1202, 0)</f>
        <v>0</v>
      </c>
      <c r="AA1202">
        <f>IF(Source!BI820=4,I1202, 0)</f>
        <v>0</v>
      </c>
    </row>
    <row r="1203" spans="1:27" ht="28.5" x14ac:dyDescent="0.2">
      <c r="A1203" s="16" t="str">
        <f>Source!E821</f>
        <v>142,2</v>
      </c>
      <c r="B1203" s="17" t="str">
        <f>Source!F821</f>
        <v>1.4-4-19</v>
      </c>
      <c r="C1203" s="17" t="s">
        <v>888</v>
      </c>
      <c r="D1203" s="19" t="str">
        <f>Source!H821</f>
        <v>кг</v>
      </c>
      <c r="E1203" s="18">
        <f>Source!I821</f>
        <v>13.439999999999998</v>
      </c>
      <c r="F1203" s="21">
        <f>Source!AK821</f>
        <v>17.72</v>
      </c>
      <c r="G1203" s="27" t="s">
        <v>3</v>
      </c>
      <c r="H1203" s="18">
        <f>Source!AW821</f>
        <v>1</v>
      </c>
      <c r="I1203" s="22">
        <f>ROUND((ROUND((Source!AC821*Source!AW821*Source!I821),2)),2)+(ROUND((ROUND(((Source!ET821)*Source!AV821*Source!I821),2)),2)+ROUND((ROUND(((Source!AE821-(Source!EU821))*Source!AV821*Source!I821),2)),2))+ROUND((ROUND((Source!AF821*Source!AV821*Source!I821),2)),2)</f>
        <v>238.16</v>
      </c>
      <c r="J1203" s="18">
        <f>IF(Source!BC821&lt;&gt; 0, Source!BC821, 1)</f>
        <v>1.45</v>
      </c>
      <c r="K1203" s="22">
        <f>Source!O821</f>
        <v>345.33</v>
      </c>
      <c r="Q1203">
        <f>ROUND((Source!DN821/100)*ROUND((ROUND((Source!AF821*Source!AV821*Source!I821),2)),2), 2)</f>
        <v>0</v>
      </c>
      <c r="R1203">
        <f>Source!X821</f>
        <v>0</v>
      </c>
      <c r="S1203">
        <f>ROUND((Source!DO821/100)*ROUND((ROUND((Source!AF821*Source!AV821*Source!I821),2)),2), 2)</f>
        <v>0</v>
      </c>
      <c r="T1203">
        <f>Source!Y821</f>
        <v>0</v>
      </c>
      <c r="U1203">
        <f>ROUND((175/100)*ROUND((ROUND((Source!AE821*Source!AV821*Source!I821),2)),2), 2)</f>
        <v>0</v>
      </c>
      <c r="V1203">
        <f>ROUND((157/100)*ROUND(ROUND((ROUND((Source!AE821*Source!AV821*Source!I821),2)*Source!BS821),2), 2), 2)</f>
        <v>0</v>
      </c>
      <c r="X1203">
        <f>IF(Source!BI821&lt;=1,I1203, 0)</f>
        <v>238.16</v>
      </c>
      <c r="Y1203">
        <f>IF(Source!BI821=2,I1203, 0)</f>
        <v>0</v>
      </c>
      <c r="Z1203">
        <f>IF(Source!BI821=3,I1203, 0)</f>
        <v>0</v>
      </c>
      <c r="AA1203">
        <f>IF(Source!BI821=4,I1203, 0)</f>
        <v>0</v>
      </c>
    </row>
    <row r="1204" spans="1:27" ht="14.25" x14ac:dyDescent="0.2">
      <c r="A1204" s="16"/>
      <c r="B1204" s="17"/>
      <c r="C1204" s="17" t="s">
        <v>1626</v>
      </c>
      <c r="D1204" s="19" t="s">
        <v>1627</v>
      </c>
      <c r="E1204" s="18">
        <f>Source!DN819</f>
        <v>156</v>
      </c>
      <c r="F1204" s="21"/>
      <c r="G1204" s="20"/>
      <c r="H1204" s="18"/>
      <c r="I1204" s="22">
        <f>SUM(Q1199:Q1203)</f>
        <v>1015.37</v>
      </c>
      <c r="J1204" s="18">
        <f>Source!BZ819</f>
        <v>90</v>
      </c>
      <c r="K1204" s="22">
        <f>SUM(R1199:R1203)</f>
        <v>14902.55</v>
      </c>
    </row>
    <row r="1205" spans="1:27" ht="14.25" x14ac:dyDescent="0.2">
      <c r="A1205" s="16"/>
      <c r="B1205" s="17"/>
      <c r="C1205" s="17" t="s">
        <v>1628</v>
      </c>
      <c r="D1205" s="19" t="s">
        <v>1627</v>
      </c>
      <c r="E1205" s="18">
        <f>Source!DO819</f>
        <v>84</v>
      </c>
      <c r="F1205" s="21"/>
      <c r="G1205" s="20"/>
      <c r="H1205" s="18"/>
      <c r="I1205" s="22">
        <f>SUM(S1199:S1204)</f>
        <v>546.74</v>
      </c>
      <c r="J1205" s="18">
        <f>Source!CA819</f>
        <v>41</v>
      </c>
      <c r="K1205" s="22">
        <f>SUM(T1199:T1204)</f>
        <v>6788.94</v>
      </c>
    </row>
    <row r="1206" spans="1:27" ht="14.25" x14ac:dyDescent="0.2">
      <c r="A1206" s="16"/>
      <c r="B1206" s="17"/>
      <c r="C1206" s="17" t="s">
        <v>1629</v>
      </c>
      <c r="D1206" s="19" t="s">
        <v>1630</v>
      </c>
      <c r="E1206" s="18">
        <f>Source!AQ819</f>
        <v>18.46</v>
      </c>
      <c r="F1206" s="21"/>
      <c r="G1206" s="20" t="str">
        <f>Source!DI819</f>
        <v>)*1,15</v>
      </c>
      <c r="H1206" s="18">
        <f>Source!AV819</f>
        <v>1</v>
      </c>
      <c r="I1206" s="22">
        <f>Source!U819</f>
        <v>63.686999999999998</v>
      </c>
      <c r="J1206" s="18"/>
      <c r="K1206" s="22"/>
    </row>
    <row r="1207" spans="1:27" ht="15" x14ac:dyDescent="0.25">
      <c r="A1207" s="25"/>
      <c r="B1207" s="25"/>
      <c r="C1207" s="25"/>
      <c r="D1207" s="25"/>
      <c r="E1207" s="25"/>
      <c r="F1207" s="25"/>
      <c r="G1207" s="25"/>
      <c r="H1207" s="54">
        <f>I1201+I1204+I1205+SUM(I1202:I1203)</f>
        <v>2472.6499999999996</v>
      </c>
      <c r="I1207" s="54"/>
      <c r="J1207" s="54">
        <f>K1201+K1204+K1205+SUM(K1202:K1203)</f>
        <v>38700.129999999997</v>
      </c>
      <c r="K1207" s="54"/>
      <c r="O1207" s="24">
        <f>I1201+I1204+I1205+SUM(I1202:I1203)</f>
        <v>2472.6499999999996</v>
      </c>
      <c r="P1207" s="24">
        <f>K1201+K1204+K1205+SUM(K1202:K1203)</f>
        <v>38700.129999999997</v>
      </c>
      <c r="X1207">
        <f>IF(Source!BI819&lt;=1,I1201+I1204+I1205-0, 0)</f>
        <v>2212.9899999999998</v>
      </c>
      <c r="Y1207">
        <f>IF(Source!BI819=2,I1201+I1204+I1205-0, 0)</f>
        <v>0</v>
      </c>
      <c r="Z1207">
        <f>IF(Source!BI819=3,I1201+I1204+I1205-0, 0)</f>
        <v>0</v>
      </c>
      <c r="AA1207">
        <f>IF(Source!BI819=4,I1201+I1204+I1205,0)</f>
        <v>0</v>
      </c>
    </row>
    <row r="1208" spans="1:27" ht="28.5" x14ac:dyDescent="0.2">
      <c r="A1208" s="16" t="str">
        <f>Source!E822</f>
        <v>143</v>
      </c>
      <c r="B1208" s="17" t="str">
        <f>Source!F822</f>
        <v>6.51-6-1</v>
      </c>
      <c r="C1208" s="17" t="s">
        <v>199</v>
      </c>
      <c r="D1208" s="19" t="str">
        <f>Source!H822</f>
        <v>100 м3 грунта</v>
      </c>
      <c r="E1208" s="18">
        <f>Source!I822</f>
        <v>0.3</v>
      </c>
      <c r="F1208" s="21"/>
      <c r="G1208" s="20"/>
      <c r="H1208" s="18"/>
      <c r="I1208" s="22"/>
      <c r="J1208" s="18"/>
      <c r="K1208" s="22"/>
      <c r="Q1208">
        <f>ROUND((Source!DN822/100)*ROUND((ROUND((Source!AF822*Source!AV822*Source!I822),2)),2), 2)</f>
        <v>217.07</v>
      </c>
      <c r="R1208">
        <f>Source!X822</f>
        <v>4429.9799999999996</v>
      </c>
      <c r="S1208">
        <f>ROUND((Source!DO822/100)*ROUND((ROUND((Source!AF822*Source!AV822*Source!I822),2)),2), 2)</f>
        <v>159.82</v>
      </c>
      <c r="T1208">
        <f>Source!Y822</f>
        <v>2488.0700000000002</v>
      </c>
      <c r="U1208">
        <f>ROUND((175/100)*ROUND((ROUND((Source!AE822*Source!AV822*Source!I822),2)),2), 2)</f>
        <v>0</v>
      </c>
      <c r="V1208">
        <f>ROUND((157/100)*ROUND(ROUND((ROUND((Source!AE822*Source!AV822*Source!I822),2)*Source!BS822),2), 2), 2)</f>
        <v>0</v>
      </c>
    </row>
    <row r="1209" spans="1:27" x14ac:dyDescent="0.2">
      <c r="C1209" s="23" t="str">
        <f>"Объем: "&amp;Source!I822&amp;"=30/"&amp;"100"</f>
        <v>Объем: 0,3=30/100</v>
      </c>
    </row>
    <row r="1210" spans="1:27" ht="14.25" x14ac:dyDescent="0.2">
      <c r="A1210" s="16"/>
      <c r="B1210" s="17"/>
      <c r="C1210" s="17" t="s">
        <v>1625</v>
      </c>
      <c r="D1210" s="19"/>
      <c r="E1210" s="18"/>
      <c r="F1210" s="21">
        <f>Source!AO822</f>
        <v>795.14</v>
      </c>
      <c r="G1210" s="20" t="str">
        <f>Source!DG822</f>
        <v/>
      </c>
      <c r="H1210" s="18">
        <f>Source!AV822</f>
        <v>1</v>
      </c>
      <c r="I1210" s="22">
        <f>ROUND((ROUND((Source!AF822*Source!AV822*Source!I822),2)),2)</f>
        <v>238.54</v>
      </c>
      <c r="J1210" s="18">
        <f>IF(Source!BA822&lt;&gt; 0, Source!BA822, 1)</f>
        <v>25.44</v>
      </c>
      <c r="K1210" s="22">
        <f>Source!S822</f>
        <v>6068.46</v>
      </c>
      <c r="W1210">
        <f>I1210</f>
        <v>238.54</v>
      </c>
    </row>
    <row r="1211" spans="1:27" ht="14.25" x14ac:dyDescent="0.2">
      <c r="A1211" s="16"/>
      <c r="B1211" s="17"/>
      <c r="C1211" s="17" t="s">
        <v>1626</v>
      </c>
      <c r="D1211" s="19" t="s">
        <v>1627</v>
      </c>
      <c r="E1211" s="18">
        <f>Source!DN822</f>
        <v>91</v>
      </c>
      <c r="F1211" s="21"/>
      <c r="G1211" s="20"/>
      <c r="H1211" s="18"/>
      <c r="I1211" s="22">
        <f>SUM(Q1208:Q1210)</f>
        <v>217.07</v>
      </c>
      <c r="J1211" s="18">
        <f>Source!BZ822</f>
        <v>73</v>
      </c>
      <c r="K1211" s="22">
        <f>SUM(R1208:R1210)</f>
        <v>4429.9799999999996</v>
      </c>
    </row>
    <row r="1212" spans="1:27" ht="14.25" x14ac:dyDescent="0.2">
      <c r="A1212" s="16"/>
      <c r="B1212" s="17"/>
      <c r="C1212" s="17" t="s">
        <v>1628</v>
      </c>
      <c r="D1212" s="19" t="s">
        <v>1627</v>
      </c>
      <c r="E1212" s="18">
        <f>Source!DO822</f>
        <v>67</v>
      </c>
      <c r="F1212" s="21"/>
      <c r="G1212" s="20"/>
      <c r="H1212" s="18"/>
      <c r="I1212" s="22">
        <f>SUM(S1208:S1211)</f>
        <v>159.82</v>
      </c>
      <c r="J1212" s="18">
        <f>Source!CA822</f>
        <v>41</v>
      </c>
      <c r="K1212" s="22">
        <f>SUM(T1208:T1211)</f>
        <v>2488.0700000000002</v>
      </c>
    </row>
    <row r="1213" spans="1:27" ht="14.25" x14ac:dyDescent="0.2">
      <c r="A1213" s="16"/>
      <c r="B1213" s="17"/>
      <c r="C1213" s="17" t="s">
        <v>1629</v>
      </c>
      <c r="D1213" s="19" t="s">
        <v>1630</v>
      </c>
      <c r="E1213" s="18">
        <f>Source!AQ822</f>
        <v>83</v>
      </c>
      <c r="F1213" s="21"/>
      <c r="G1213" s="20" t="str">
        <f>Source!DI822</f>
        <v/>
      </c>
      <c r="H1213" s="18">
        <f>Source!AV822</f>
        <v>1</v>
      </c>
      <c r="I1213" s="22">
        <f>Source!U822</f>
        <v>24.9</v>
      </c>
      <c r="J1213" s="18"/>
      <c r="K1213" s="22"/>
    </row>
    <row r="1214" spans="1:27" ht="15" x14ac:dyDescent="0.25">
      <c r="A1214" s="25"/>
      <c r="B1214" s="25"/>
      <c r="C1214" s="25"/>
      <c r="D1214" s="25"/>
      <c r="E1214" s="25"/>
      <c r="F1214" s="25"/>
      <c r="G1214" s="25"/>
      <c r="H1214" s="54">
        <f>I1210+I1211+I1212</f>
        <v>615.43000000000006</v>
      </c>
      <c r="I1214" s="54"/>
      <c r="J1214" s="54">
        <f>K1210+K1211+K1212</f>
        <v>12986.509999999998</v>
      </c>
      <c r="K1214" s="54"/>
      <c r="O1214" s="24">
        <f>I1210+I1211+I1212</f>
        <v>615.43000000000006</v>
      </c>
      <c r="P1214" s="24">
        <f>K1210+K1211+K1212</f>
        <v>12986.509999999998</v>
      </c>
      <c r="X1214">
        <f>IF(Source!BI822&lt;=1,I1210+I1211+I1212-0, 0)</f>
        <v>615.43000000000006</v>
      </c>
      <c r="Y1214">
        <f>IF(Source!BI822=2,I1210+I1211+I1212-0, 0)</f>
        <v>0</v>
      </c>
      <c r="Z1214">
        <f>IF(Source!BI822=3,I1210+I1211+I1212-0, 0)</f>
        <v>0</v>
      </c>
      <c r="AA1214">
        <f>IF(Source!BI822=4,I1210+I1211+I1212,0)</f>
        <v>0</v>
      </c>
    </row>
    <row r="1215" spans="1:27" ht="57" x14ac:dyDescent="0.2">
      <c r="A1215" s="16" t="str">
        <f>Source!E823</f>
        <v>144</v>
      </c>
      <c r="B1215" s="17" t="str">
        <f>Source!F823</f>
        <v>15.2-46-1</v>
      </c>
      <c r="C1215" s="17" t="s">
        <v>205</v>
      </c>
      <c r="D1215" s="19" t="str">
        <f>Source!H823</f>
        <v>т</v>
      </c>
      <c r="E1215" s="18">
        <f>Source!I823</f>
        <v>0.45</v>
      </c>
      <c r="F1215" s="21"/>
      <c r="G1215" s="20"/>
      <c r="H1215" s="18"/>
      <c r="I1215" s="22"/>
      <c r="J1215" s="18"/>
      <c r="K1215" s="22"/>
      <c r="Q1215">
        <f>ROUND((Source!DN823/100)*ROUND((ROUND((Source!AF823*Source!AV823*Source!I823),2)),2), 2)</f>
        <v>0</v>
      </c>
      <c r="R1215">
        <f>Source!X823</f>
        <v>0</v>
      </c>
      <c r="S1215">
        <f>ROUND((Source!DO823/100)*ROUND((ROUND((Source!AF823*Source!AV823*Source!I823),2)),2), 2)</f>
        <v>0</v>
      </c>
      <c r="T1215">
        <f>Source!Y823</f>
        <v>0</v>
      </c>
      <c r="U1215">
        <f>ROUND((175/100)*ROUND((ROUND((Source!AE823*Source!AV823*Source!I823),2)),2), 2)</f>
        <v>0</v>
      </c>
      <c r="V1215">
        <f>ROUND((157/100)*ROUND(ROUND((ROUND((Source!AE823*Source!AV823*Source!I823),2)*Source!BS823),2), 2), 2)</f>
        <v>0</v>
      </c>
    </row>
    <row r="1216" spans="1:27" ht="14.25" x14ac:dyDescent="0.2">
      <c r="A1216" s="16"/>
      <c r="B1216" s="17"/>
      <c r="C1216" s="17" t="s">
        <v>1631</v>
      </c>
      <c r="D1216" s="19"/>
      <c r="E1216" s="18"/>
      <c r="F1216" s="21">
        <f>Source!AM823</f>
        <v>46</v>
      </c>
      <c r="G1216" s="20" t="str">
        <f>Source!DE823</f>
        <v/>
      </c>
      <c r="H1216" s="18">
        <f>Source!AV823</f>
        <v>1</v>
      </c>
      <c r="I1216" s="22">
        <f>(ROUND((ROUND(((Source!ET823)*Source!AV823*Source!I823),2)),2)+ROUND((ROUND(((Source!AE823-(Source!EU823))*Source!AV823*Source!I823),2)),2))</f>
        <v>20.7</v>
      </c>
      <c r="J1216" s="18">
        <f>IF(Source!BB823&lt;&gt; 0, Source!BB823, 1)</f>
        <v>12.21</v>
      </c>
      <c r="K1216" s="22">
        <f>Source!Q823</f>
        <v>252.75</v>
      </c>
    </row>
    <row r="1217" spans="1:27" ht="15" x14ac:dyDescent="0.25">
      <c r="A1217" s="25"/>
      <c r="B1217" s="25"/>
      <c r="C1217" s="25"/>
      <c r="D1217" s="25"/>
      <c r="E1217" s="25"/>
      <c r="F1217" s="25"/>
      <c r="G1217" s="25"/>
      <c r="H1217" s="54">
        <f>I1216</f>
        <v>20.7</v>
      </c>
      <c r="I1217" s="54"/>
      <c r="J1217" s="54">
        <f>K1216</f>
        <v>252.75</v>
      </c>
      <c r="K1217" s="54"/>
      <c r="O1217" s="24">
        <f>I1216</f>
        <v>20.7</v>
      </c>
      <c r="P1217" s="24">
        <f>K1216</f>
        <v>252.75</v>
      </c>
      <c r="X1217">
        <f>IF(Source!BI823&lt;=1,I1216-0, 0)</f>
        <v>0</v>
      </c>
      <c r="Y1217">
        <f>IF(Source!BI823=2,I1216-0, 0)</f>
        <v>0</v>
      </c>
      <c r="Z1217">
        <f>IF(Source!BI823=3,I1216-0, 0)</f>
        <v>0</v>
      </c>
      <c r="AA1217">
        <f>IF(Source!BI823=4,I1216,0)</f>
        <v>20.7</v>
      </c>
    </row>
    <row r="1218" spans="1:27" ht="42.75" x14ac:dyDescent="0.2">
      <c r="A1218" s="16" t="str">
        <f>Source!E824</f>
        <v>145</v>
      </c>
      <c r="B1218" s="17" t="str">
        <f>Source!F824</f>
        <v>15.1-1102-01</v>
      </c>
      <c r="C1218" s="17" t="s">
        <v>211</v>
      </c>
      <c r="D1218" s="19" t="str">
        <f>Source!H824</f>
        <v>1 Т</v>
      </c>
      <c r="E1218" s="18">
        <f>Source!I824</f>
        <v>0.45</v>
      </c>
      <c r="F1218" s="21"/>
      <c r="G1218" s="20"/>
      <c r="H1218" s="18"/>
      <c r="I1218" s="22"/>
      <c r="J1218" s="18"/>
      <c r="K1218" s="22"/>
      <c r="Q1218">
        <f>ROUND((Source!DN824/100)*ROUND((ROUND((Source!AF824*Source!AV824*Source!I824),2)),2), 2)</f>
        <v>0</v>
      </c>
      <c r="R1218">
        <f>Source!X824</f>
        <v>0</v>
      </c>
      <c r="S1218">
        <f>ROUND((Source!DO824/100)*ROUND((ROUND((Source!AF824*Source!AV824*Source!I824),2)),2), 2)</f>
        <v>0</v>
      </c>
      <c r="T1218">
        <f>Source!Y824</f>
        <v>0</v>
      </c>
      <c r="U1218">
        <f>ROUND((175/100)*ROUND((ROUND((Source!AE824*Source!AV824*Source!I824),2)),2), 2)</f>
        <v>0</v>
      </c>
      <c r="V1218">
        <f>ROUND((157/100)*ROUND(ROUND((ROUND((Source!AE824*Source!AV824*Source!I824),2)*Source!BS824),2), 2), 2)</f>
        <v>0</v>
      </c>
    </row>
    <row r="1219" spans="1:27" ht="14.25" x14ac:dyDescent="0.2">
      <c r="A1219" s="16"/>
      <c r="B1219" s="17"/>
      <c r="C1219" s="17" t="s">
        <v>1631</v>
      </c>
      <c r="D1219" s="19"/>
      <c r="E1219" s="18"/>
      <c r="F1219" s="21">
        <f>Source!AM824</f>
        <v>12.61</v>
      </c>
      <c r="G1219" s="20" t="str">
        <f>Source!DE824</f>
        <v/>
      </c>
      <c r="H1219" s="18">
        <f>Source!AV824</f>
        <v>1</v>
      </c>
      <c r="I1219" s="22">
        <f>(ROUND((ROUND(((Source!ET824)*Source!AV824*Source!I824),2)),2)+ROUND((ROUND(((Source!AE824-(Source!EU824))*Source!AV824*Source!I824),2)),2))</f>
        <v>5.67</v>
      </c>
      <c r="J1219" s="18">
        <f>IF(Source!BB824&lt;&gt; 0, Source!BB824, 1)</f>
        <v>7.63</v>
      </c>
      <c r="K1219" s="22">
        <f>Source!Q824</f>
        <v>43.26</v>
      </c>
    </row>
    <row r="1220" spans="1:27" ht="15" x14ac:dyDescent="0.25">
      <c r="A1220" s="25"/>
      <c r="B1220" s="25"/>
      <c r="C1220" s="25"/>
      <c r="D1220" s="25"/>
      <c r="E1220" s="25"/>
      <c r="F1220" s="25"/>
      <c r="G1220" s="25"/>
      <c r="H1220" s="54">
        <f>I1219</f>
        <v>5.67</v>
      </c>
      <c r="I1220" s="54"/>
      <c r="J1220" s="54">
        <f>K1219</f>
        <v>43.26</v>
      </c>
      <c r="K1220" s="54"/>
      <c r="O1220" s="24">
        <f>I1219</f>
        <v>5.67</v>
      </c>
      <c r="P1220" s="24">
        <f>K1219</f>
        <v>43.26</v>
      </c>
      <c r="X1220">
        <f>IF(Source!BI824&lt;=1,I1219-0, 0)</f>
        <v>0</v>
      </c>
      <c r="Y1220">
        <f>IF(Source!BI824=2,I1219-0, 0)</f>
        <v>0</v>
      </c>
      <c r="Z1220">
        <f>IF(Source!BI824=3,I1219-0, 0)</f>
        <v>0</v>
      </c>
      <c r="AA1220">
        <f>IF(Source!BI824=4,I1219,0)</f>
        <v>5.67</v>
      </c>
    </row>
    <row r="1222" spans="1:27" ht="16.5" x14ac:dyDescent="0.25">
      <c r="A1222" s="56" t="str">
        <f>CONCATENATE("Подраздел: ",IF(Source!G826&lt;&gt;"Новый подраздел", Source!G826, ""))</f>
        <v>Подраздел: Посадочные материалы</v>
      </c>
      <c r="B1222" s="56"/>
      <c r="C1222" s="56"/>
      <c r="D1222" s="56"/>
      <c r="E1222" s="56"/>
      <c r="F1222" s="56"/>
      <c r="G1222" s="56"/>
      <c r="H1222" s="56"/>
      <c r="I1222" s="56"/>
      <c r="J1222" s="56"/>
      <c r="K1222" s="56"/>
    </row>
    <row r="1223" spans="1:27" ht="42.75" x14ac:dyDescent="0.2">
      <c r="A1223" s="16" t="str">
        <f>Source!E830</f>
        <v>146</v>
      </c>
      <c r="B1223" s="17" t="str">
        <f>Source!F830</f>
        <v>Цена поставщика</v>
      </c>
      <c r="C1223" s="17" t="s">
        <v>1683</v>
      </c>
      <c r="D1223" s="19" t="str">
        <f>Source!H830</f>
        <v>шт.</v>
      </c>
      <c r="E1223" s="18">
        <f>Source!I830</f>
        <v>5</v>
      </c>
      <c r="F1223" s="21">
        <f>Source!AL830</f>
        <v>281.54999999999995</v>
      </c>
      <c r="G1223" s="20" t="str">
        <f>Source!DD830</f>
        <v/>
      </c>
      <c r="H1223" s="18">
        <f>Source!AW830</f>
        <v>1</v>
      </c>
      <c r="I1223" s="22">
        <f>ROUND((ROUND((Source!AC830*Source!AW830*Source!I830),2)),2)</f>
        <v>1407.75</v>
      </c>
      <c r="J1223" s="18">
        <f>IF(Source!BC830&lt;&gt; 0, Source!BC830, 1)</f>
        <v>6.34</v>
      </c>
      <c r="K1223" s="22">
        <f>Source!P830</f>
        <v>8925.14</v>
      </c>
      <c r="Q1223">
        <f>ROUND((Source!DN830/100)*ROUND((ROUND((Source!AF830*Source!AV830*Source!I830),2)),2), 2)</f>
        <v>0</v>
      </c>
      <c r="R1223">
        <f>Source!X830</f>
        <v>0</v>
      </c>
      <c r="S1223">
        <f>ROUND((Source!DO830/100)*ROUND((ROUND((Source!AF830*Source!AV830*Source!I830),2)),2), 2)</f>
        <v>0</v>
      </c>
      <c r="T1223">
        <f>Source!Y830</f>
        <v>0</v>
      </c>
      <c r="U1223">
        <f>ROUND((175/100)*ROUND((ROUND((Source!AE830*Source!AV830*Source!I830),2)),2), 2)</f>
        <v>0</v>
      </c>
      <c r="V1223">
        <f>ROUND((157/100)*ROUND(ROUND((ROUND((Source!AE830*Source!AV830*Source!I830),2)*Source!BS830),2), 2), 2)</f>
        <v>0</v>
      </c>
    </row>
    <row r="1224" spans="1:27" ht="15" x14ac:dyDescent="0.25">
      <c r="A1224" s="25"/>
      <c r="B1224" s="25"/>
      <c r="C1224" s="25"/>
      <c r="D1224" s="25"/>
      <c r="E1224" s="25"/>
      <c r="F1224" s="25"/>
      <c r="G1224" s="25"/>
      <c r="H1224" s="54">
        <f>I1223</f>
        <v>1407.75</v>
      </c>
      <c r="I1224" s="54"/>
      <c r="J1224" s="54">
        <f>K1223</f>
        <v>8925.14</v>
      </c>
      <c r="K1224" s="54"/>
      <c r="O1224" s="24">
        <f>I1223</f>
        <v>1407.75</v>
      </c>
      <c r="P1224" s="24">
        <f>K1223</f>
        <v>8925.14</v>
      </c>
      <c r="X1224">
        <f>IF(Source!BI830&lt;=1,I1223-0, 0)</f>
        <v>1407.75</v>
      </c>
      <c r="Y1224">
        <f>IF(Source!BI830=2,I1223-0, 0)</f>
        <v>0</v>
      </c>
      <c r="Z1224">
        <f>IF(Source!BI830=3,I1223-0, 0)</f>
        <v>0</v>
      </c>
      <c r="AA1224">
        <f>IF(Source!BI830=4,I1223,0)</f>
        <v>0</v>
      </c>
    </row>
    <row r="1225" spans="1:27" ht="42.75" x14ac:dyDescent="0.2">
      <c r="A1225" s="16" t="str">
        <f>Source!E831</f>
        <v>147</v>
      </c>
      <c r="B1225" s="17" t="str">
        <f>Source!F831</f>
        <v>Цена поставщика</v>
      </c>
      <c r="C1225" s="17" t="s">
        <v>1684</v>
      </c>
      <c r="D1225" s="19" t="str">
        <f>Source!H831</f>
        <v>шт.</v>
      </c>
      <c r="E1225" s="18">
        <f>Source!I831</f>
        <v>5</v>
      </c>
      <c r="F1225" s="21">
        <f>Source!AL831</f>
        <v>281.54999999999995</v>
      </c>
      <c r="G1225" s="20" t="str">
        <f>Source!DD831</f>
        <v/>
      </c>
      <c r="H1225" s="18">
        <f>Source!AW831</f>
        <v>1</v>
      </c>
      <c r="I1225" s="22">
        <f>ROUND((ROUND((Source!AC831*Source!AW831*Source!I831),2)),2)</f>
        <v>1407.75</v>
      </c>
      <c r="J1225" s="18">
        <f>IF(Source!BC831&lt;&gt; 0, Source!BC831, 1)</f>
        <v>6.34</v>
      </c>
      <c r="K1225" s="22">
        <f>Source!P831</f>
        <v>8925.14</v>
      </c>
      <c r="Q1225">
        <f>ROUND((Source!DN831/100)*ROUND((ROUND((Source!AF831*Source!AV831*Source!I831),2)),2), 2)</f>
        <v>0</v>
      </c>
      <c r="R1225">
        <f>Source!X831</f>
        <v>0</v>
      </c>
      <c r="S1225">
        <f>ROUND((Source!DO831/100)*ROUND((ROUND((Source!AF831*Source!AV831*Source!I831),2)),2), 2)</f>
        <v>0</v>
      </c>
      <c r="T1225">
        <f>Source!Y831</f>
        <v>0</v>
      </c>
      <c r="U1225">
        <f>ROUND((175/100)*ROUND((ROUND((Source!AE831*Source!AV831*Source!I831),2)),2), 2)</f>
        <v>0</v>
      </c>
      <c r="V1225">
        <f>ROUND((157/100)*ROUND(ROUND((ROUND((Source!AE831*Source!AV831*Source!I831),2)*Source!BS831),2), 2), 2)</f>
        <v>0</v>
      </c>
    </row>
    <row r="1226" spans="1:27" ht="15" x14ac:dyDescent="0.25">
      <c r="A1226" s="25"/>
      <c r="B1226" s="25"/>
      <c r="C1226" s="25"/>
      <c r="D1226" s="25"/>
      <c r="E1226" s="25"/>
      <c r="F1226" s="25"/>
      <c r="G1226" s="25"/>
      <c r="H1226" s="54">
        <f>I1225</f>
        <v>1407.75</v>
      </c>
      <c r="I1226" s="54"/>
      <c r="J1226" s="54">
        <f>K1225</f>
        <v>8925.14</v>
      </c>
      <c r="K1226" s="54"/>
      <c r="O1226" s="24">
        <f>I1225</f>
        <v>1407.75</v>
      </c>
      <c r="P1226" s="24">
        <f>K1225</f>
        <v>8925.14</v>
      </c>
      <c r="X1226">
        <f>IF(Source!BI831&lt;=1,I1225-0, 0)</f>
        <v>1407.75</v>
      </c>
      <c r="Y1226">
        <f>IF(Source!BI831=2,I1225-0, 0)</f>
        <v>0</v>
      </c>
      <c r="Z1226">
        <f>IF(Source!BI831=3,I1225-0, 0)</f>
        <v>0</v>
      </c>
      <c r="AA1226">
        <f>IF(Source!BI831=4,I1225,0)</f>
        <v>0</v>
      </c>
    </row>
    <row r="1227" spans="1:27" ht="42.75" x14ac:dyDescent="0.2">
      <c r="A1227" s="16" t="str">
        <f>Source!E832</f>
        <v>148</v>
      </c>
      <c r="B1227" s="17" t="str">
        <f>Source!F832</f>
        <v>Цена поставщика</v>
      </c>
      <c r="C1227" s="17" t="s">
        <v>1685</v>
      </c>
      <c r="D1227" s="19" t="str">
        <f>Source!H832</f>
        <v>шт.</v>
      </c>
      <c r="E1227" s="18">
        <f>Source!I832</f>
        <v>5</v>
      </c>
      <c r="F1227" s="21">
        <f>Source!AL832</f>
        <v>361.99</v>
      </c>
      <c r="G1227" s="20" t="str">
        <f>Source!DD832</f>
        <v/>
      </c>
      <c r="H1227" s="18">
        <f>Source!AW832</f>
        <v>1</v>
      </c>
      <c r="I1227" s="22">
        <f>ROUND((ROUND((Source!AC832*Source!AW832*Source!I832),2)),2)</f>
        <v>1809.95</v>
      </c>
      <c r="J1227" s="18">
        <f>IF(Source!BC832&lt;&gt; 0, Source!BC832, 1)</f>
        <v>6.34</v>
      </c>
      <c r="K1227" s="22">
        <f>Source!P832</f>
        <v>11475.08</v>
      </c>
      <c r="Q1227">
        <f>ROUND((Source!DN832/100)*ROUND((ROUND((Source!AF832*Source!AV832*Source!I832),2)),2), 2)</f>
        <v>0</v>
      </c>
      <c r="R1227">
        <f>Source!X832</f>
        <v>0</v>
      </c>
      <c r="S1227">
        <f>ROUND((Source!DO832/100)*ROUND((ROUND((Source!AF832*Source!AV832*Source!I832),2)),2), 2)</f>
        <v>0</v>
      </c>
      <c r="T1227">
        <f>Source!Y832</f>
        <v>0</v>
      </c>
      <c r="U1227">
        <f>ROUND((175/100)*ROUND((ROUND((Source!AE832*Source!AV832*Source!I832),2)),2), 2)</f>
        <v>0</v>
      </c>
      <c r="V1227">
        <f>ROUND((157/100)*ROUND(ROUND((ROUND((Source!AE832*Source!AV832*Source!I832),2)*Source!BS832),2), 2), 2)</f>
        <v>0</v>
      </c>
    </row>
    <row r="1228" spans="1:27" ht="15" x14ac:dyDescent="0.25">
      <c r="A1228" s="25"/>
      <c r="B1228" s="25"/>
      <c r="C1228" s="25"/>
      <c r="D1228" s="25"/>
      <c r="E1228" s="25"/>
      <c r="F1228" s="25"/>
      <c r="G1228" s="25"/>
      <c r="H1228" s="54">
        <f>I1227</f>
        <v>1809.95</v>
      </c>
      <c r="I1228" s="54"/>
      <c r="J1228" s="54">
        <f>K1227</f>
        <v>11475.08</v>
      </c>
      <c r="K1228" s="54"/>
      <c r="O1228" s="24">
        <f>I1227</f>
        <v>1809.95</v>
      </c>
      <c r="P1228" s="24">
        <f>K1227</f>
        <v>11475.08</v>
      </c>
      <c r="X1228">
        <f>IF(Source!BI832&lt;=1,I1227-0, 0)</f>
        <v>1809.95</v>
      </c>
      <c r="Y1228">
        <f>IF(Source!BI832=2,I1227-0, 0)</f>
        <v>0</v>
      </c>
      <c r="Z1228">
        <f>IF(Source!BI832=3,I1227-0, 0)</f>
        <v>0</v>
      </c>
      <c r="AA1228">
        <f>IF(Source!BI832=4,I1227,0)</f>
        <v>0</v>
      </c>
    </row>
    <row r="1229" spans="1:27" ht="42.75" x14ac:dyDescent="0.2">
      <c r="A1229" s="16" t="str">
        <f>Source!E833</f>
        <v>149</v>
      </c>
      <c r="B1229" s="17" t="str">
        <f>Source!F833</f>
        <v>Цена поставщика</v>
      </c>
      <c r="C1229" s="17" t="s">
        <v>1686</v>
      </c>
      <c r="D1229" s="19" t="str">
        <f>Source!H833</f>
        <v>шт.</v>
      </c>
      <c r="E1229" s="18">
        <f>Source!I833</f>
        <v>5</v>
      </c>
      <c r="F1229" s="21">
        <f>Source!AL833</f>
        <v>361.99</v>
      </c>
      <c r="G1229" s="20" t="str">
        <f>Source!DD833</f>
        <v/>
      </c>
      <c r="H1229" s="18">
        <f>Source!AW833</f>
        <v>1</v>
      </c>
      <c r="I1229" s="22">
        <f>ROUND((ROUND((Source!AC833*Source!AW833*Source!I833),2)),2)</f>
        <v>1809.95</v>
      </c>
      <c r="J1229" s="18">
        <f>IF(Source!BC833&lt;&gt; 0, Source!BC833, 1)</f>
        <v>6.34</v>
      </c>
      <c r="K1229" s="22">
        <f>Source!P833</f>
        <v>11475.08</v>
      </c>
      <c r="Q1229">
        <f>ROUND((Source!DN833/100)*ROUND((ROUND((Source!AF833*Source!AV833*Source!I833),2)),2), 2)</f>
        <v>0</v>
      </c>
      <c r="R1229">
        <f>Source!X833</f>
        <v>0</v>
      </c>
      <c r="S1229">
        <f>ROUND((Source!DO833/100)*ROUND((ROUND((Source!AF833*Source!AV833*Source!I833),2)),2), 2)</f>
        <v>0</v>
      </c>
      <c r="T1229">
        <f>Source!Y833</f>
        <v>0</v>
      </c>
      <c r="U1229">
        <f>ROUND((175/100)*ROUND((ROUND((Source!AE833*Source!AV833*Source!I833),2)),2), 2)</f>
        <v>0</v>
      </c>
      <c r="V1229">
        <f>ROUND((157/100)*ROUND(ROUND((ROUND((Source!AE833*Source!AV833*Source!I833),2)*Source!BS833),2), 2), 2)</f>
        <v>0</v>
      </c>
    </row>
    <row r="1230" spans="1:27" ht="15" x14ac:dyDescent="0.25">
      <c r="A1230" s="25"/>
      <c r="B1230" s="25"/>
      <c r="C1230" s="25"/>
      <c r="D1230" s="25"/>
      <c r="E1230" s="25"/>
      <c r="F1230" s="25"/>
      <c r="G1230" s="25"/>
      <c r="H1230" s="54">
        <f>I1229</f>
        <v>1809.95</v>
      </c>
      <c r="I1230" s="54"/>
      <c r="J1230" s="54">
        <f>K1229</f>
        <v>11475.08</v>
      </c>
      <c r="K1230" s="54"/>
      <c r="O1230" s="24">
        <f>I1229</f>
        <v>1809.95</v>
      </c>
      <c r="P1230" s="24">
        <f>K1229</f>
        <v>11475.08</v>
      </c>
      <c r="X1230">
        <f>IF(Source!BI833&lt;=1,I1229-0, 0)</f>
        <v>1809.95</v>
      </c>
      <c r="Y1230">
        <f>IF(Source!BI833=2,I1229-0, 0)</f>
        <v>0</v>
      </c>
      <c r="Z1230">
        <f>IF(Source!BI833=3,I1229-0, 0)</f>
        <v>0</v>
      </c>
      <c r="AA1230">
        <f>IF(Source!BI833=4,I1229,0)</f>
        <v>0</v>
      </c>
    </row>
    <row r="1231" spans="1:27" ht="42.75" x14ac:dyDescent="0.2">
      <c r="A1231" s="16" t="str">
        <f>Source!E834</f>
        <v>150</v>
      </c>
      <c r="B1231" s="17" t="str">
        <f>Source!F834</f>
        <v>Цена поставщика</v>
      </c>
      <c r="C1231" s="17" t="s">
        <v>1687</v>
      </c>
      <c r="D1231" s="19" t="str">
        <f>Source!H834</f>
        <v>шт.</v>
      </c>
      <c r="E1231" s="18">
        <f>Source!I834</f>
        <v>2</v>
      </c>
      <c r="F1231" s="21">
        <f>Source!AL834</f>
        <v>3593.06</v>
      </c>
      <c r="G1231" s="20" t="str">
        <f>Source!DD834</f>
        <v/>
      </c>
      <c r="H1231" s="18">
        <f>Source!AW834</f>
        <v>1</v>
      </c>
      <c r="I1231" s="22">
        <f>ROUND((ROUND((Source!AC834*Source!AW834*Source!I834),2)),2)</f>
        <v>7186.12</v>
      </c>
      <c r="J1231" s="18">
        <f>IF(Source!BC834&lt;&gt; 0, Source!BC834, 1)</f>
        <v>6.34</v>
      </c>
      <c r="K1231" s="22">
        <f>Source!P834</f>
        <v>45560</v>
      </c>
      <c r="Q1231">
        <f>ROUND((Source!DN834/100)*ROUND((ROUND((Source!AF834*Source!AV834*Source!I834),2)),2), 2)</f>
        <v>0</v>
      </c>
      <c r="R1231">
        <f>Source!X834</f>
        <v>0</v>
      </c>
      <c r="S1231">
        <f>ROUND((Source!DO834/100)*ROUND((ROUND((Source!AF834*Source!AV834*Source!I834),2)),2), 2)</f>
        <v>0</v>
      </c>
      <c r="T1231">
        <f>Source!Y834</f>
        <v>0</v>
      </c>
      <c r="U1231">
        <f>ROUND((175/100)*ROUND((ROUND((Source!AE834*Source!AV834*Source!I834),2)),2), 2)</f>
        <v>0</v>
      </c>
      <c r="V1231">
        <f>ROUND((157/100)*ROUND(ROUND((ROUND((Source!AE834*Source!AV834*Source!I834),2)*Source!BS834),2), 2), 2)</f>
        <v>0</v>
      </c>
    </row>
    <row r="1232" spans="1:27" ht="15" x14ac:dyDescent="0.25">
      <c r="A1232" s="25"/>
      <c r="B1232" s="25"/>
      <c r="C1232" s="25"/>
      <c r="D1232" s="25"/>
      <c r="E1232" s="25"/>
      <c r="F1232" s="25"/>
      <c r="G1232" s="25"/>
      <c r="H1232" s="54">
        <f>I1231</f>
        <v>7186.12</v>
      </c>
      <c r="I1232" s="54"/>
      <c r="J1232" s="54">
        <f>K1231</f>
        <v>45560</v>
      </c>
      <c r="K1232" s="54"/>
      <c r="O1232" s="24">
        <f>I1231</f>
        <v>7186.12</v>
      </c>
      <c r="P1232" s="24">
        <f>K1231</f>
        <v>45560</v>
      </c>
      <c r="X1232">
        <f>IF(Source!BI834&lt;=1,I1231-0, 0)</f>
        <v>7186.12</v>
      </c>
      <c r="Y1232">
        <f>IF(Source!BI834=2,I1231-0, 0)</f>
        <v>0</v>
      </c>
      <c r="Z1232">
        <f>IF(Source!BI834=3,I1231-0, 0)</f>
        <v>0</v>
      </c>
      <c r="AA1232">
        <f>IF(Source!BI834=4,I1231,0)</f>
        <v>0</v>
      </c>
    </row>
    <row r="1233" spans="1:27" ht="54" x14ac:dyDescent="0.2">
      <c r="A1233" s="16" t="str">
        <f>Source!E835</f>
        <v>151</v>
      </c>
      <c r="B1233" s="17" t="str">
        <f>Source!F835</f>
        <v>Цена поставщика</v>
      </c>
      <c r="C1233" s="17" t="s">
        <v>1688</v>
      </c>
      <c r="D1233" s="19" t="str">
        <f>Source!H835</f>
        <v>шт.</v>
      </c>
      <c r="E1233" s="18">
        <f>Source!I835</f>
        <v>4</v>
      </c>
      <c r="F1233" s="21">
        <f>Source!AL835</f>
        <v>4156.1499999999996</v>
      </c>
      <c r="G1233" s="20" t="str">
        <f>Source!DD835</f>
        <v/>
      </c>
      <c r="H1233" s="18">
        <f>Source!AW835</f>
        <v>1</v>
      </c>
      <c r="I1233" s="22">
        <f>ROUND((ROUND((Source!AC835*Source!AW835*Source!I835),2)),2)</f>
        <v>16624.599999999999</v>
      </c>
      <c r="J1233" s="18">
        <f>IF(Source!BC835&lt;&gt; 0, Source!BC835, 1)</f>
        <v>6.34</v>
      </c>
      <c r="K1233" s="22">
        <f>Source!P835</f>
        <v>105399.96</v>
      </c>
      <c r="Q1233">
        <f>ROUND((Source!DN835/100)*ROUND((ROUND((Source!AF835*Source!AV835*Source!I835),2)),2), 2)</f>
        <v>0</v>
      </c>
      <c r="R1233">
        <f>Source!X835</f>
        <v>0</v>
      </c>
      <c r="S1233">
        <f>ROUND((Source!DO835/100)*ROUND((ROUND((Source!AF835*Source!AV835*Source!I835),2)),2), 2)</f>
        <v>0</v>
      </c>
      <c r="T1233">
        <f>Source!Y835</f>
        <v>0</v>
      </c>
      <c r="U1233">
        <f>ROUND((175/100)*ROUND((ROUND((Source!AE835*Source!AV835*Source!I835),2)),2), 2)</f>
        <v>0</v>
      </c>
      <c r="V1233">
        <f>ROUND((157/100)*ROUND(ROUND((ROUND((Source!AE835*Source!AV835*Source!I835),2)*Source!BS835),2), 2), 2)</f>
        <v>0</v>
      </c>
    </row>
    <row r="1234" spans="1:27" ht="15" x14ac:dyDescent="0.25">
      <c r="A1234" s="25"/>
      <c r="B1234" s="25"/>
      <c r="C1234" s="25"/>
      <c r="D1234" s="25"/>
      <c r="E1234" s="25"/>
      <c r="F1234" s="25"/>
      <c r="G1234" s="25"/>
      <c r="H1234" s="54">
        <f>I1233</f>
        <v>16624.599999999999</v>
      </c>
      <c r="I1234" s="54"/>
      <c r="J1234" s="54">
        <f>K1233</f>
        <v>105399.96</v>
      </c>
      <c r="K1234" s="54"/>
      <c r="O1234" s="24">
        <f>I1233</f>
        <v>16624.599999999999</v>
      </c>
      <c r="P1234" s="24">
        <f>K1233</f>
        <v>105399.96</v>
      </c>
      <c r="X1234">
        <f>IF(Source!BI835&lt;=1,I1233-0, 0)</f>
        <v>16624.599999999999</v>
      </c>
      <c r="Y1234">
        <f>IF(Source!BI835=2,I1233-0, 0)</f>
        <v>0</v>
      </c>
      <c r="Z1234">
        <f>IF(Source!BI835=3,I1233-0, 0)</f>
        <v>0</v>
      </c>
      <c r="AA1234">
        <f>IF(Source!BI835=4,I1233,0)</f>
        <v>0</v>
      </c>
    </row>
    <row r="1235" spans="1:27" ht="54" x14ac:dyDescent="0.2">
      <c r="A1235" s="16" t="str">
        <f>Source!E836</f>
        <v>152</v>
      </c>
      <c r="B1235" s="17" t="str">
        <f>Source!F836</f>
        <v>Цена поставщика</v>
      </c>
      <c r="C1235" s="17" t="s">
        <v>1689</v>
      </c>
      <c r="D1235" s="19" t="str">
        <f>Source!H836</f>
        <v>шт.</v>
      </c>
      <c r="E1235" s="18">
        <f>Source!I836</f>
        <v>28</v>
      </c>
      <c r="F1235" s="21">
        <f>Source!AL836</f>
        <v>2131.71</v>
      </c>
      <c r="G1235" s="20" t="str">
        <f>Source!DD836</f>
        <v/>
      </c>
      <c r="H1235" s="18">
        <f>Source!AW836</f>
        <v>1</v>
      </c>
      <c r="I1235" s="22">
        <f>ROUND((ROUND((Source!AC836*Source!AW836*Source!I836),2)),2)</f>
        <v>59687.88</v>
      </c>
      <c r="J1235" s="18">
        <f>IF(Source!BC836&lt;&gt; 0, Source!BC836, 1)</f>
        <v>6.34</v>
      </c>
      <c r="K1235" s="22">
        <f>Source!P836</f>
        <v>378421.16</v>
      </c>
      <c r="Q1235">
        <f>ROUND((Source!DN836/100)*ROUND((ROUND((Source!AF836*Source!AV836*Source!I836),2)),2), 2)</f>
        <v>0</v>
      </c>
      <c r="R1235">
        <f>Source!X836</f>
        <v>0</v>
      </c>
      <c r="S1235">
        <f>ROUND((Source!DO836/100)*ROUND((ROUND((Source!AF836*Source!AV836*Source!I836),2)),2), 2)</f>
        <v>0</v>
      </c>
      <c r="T1235">
        <f>Source!Y836</f>
        <v>0</v>
      </c>
      <c r="U1235">
        <f>ROUND((175/100)*ROUND((ROUND((Source!AE836*Source!AV836*Source!I836),2)),2), 2)</f>
        <v>0</v>
      </c>
      <c r="V1235">
        <f>ROUND((157/100)*ROUND(ROUND((ROUND((Source!AE836*Source!AV836*Source!I836),2)*Source!BS836),2), 2), 2)</f>
        <v>0</v>
      </c>
    </row>
    <row r="1236" spans="1:27" ht="15" x14ac:dyDescent="0.25">
      <c r="A1236" s="25"/>
      <c r="B1236" s="25"/>
      <c r="C1236" s="25"/>
      <c r="D1236" s="25"/>
      <c r="E1236" s="25"/>
      <c r="F1236" s="25"/>
      <c r="G1236" s="25"/>
      <c r="H1236" s="54">
        <f>I1235</f>
        <v>59687.88</v>
      </c>
      <c r="I1236" s="54"/>
      <c r="J1236" s="54">
        <f>K1235</f>
        <v>378421.16</v>
      </c>
      <c r="K1236" s="54"/>
      <c r="O1236" s="24">
        <f>I1235</f>
        <v>59687.88</v>
      </c>
      <c r="P1236" s="24">
        <f>K1235</f>
        <v>378421.16</v>
      </c>
      <c r="X1236">
        <f>IF(Source!BI836&lt;=1,I1235-0, 0)</f>
        <v>59687.88</v>
      </c>
      <c r="Y1236">
        <f>IF(Source!BI836=2,I1235-0, 0)</f>
        <v>0</v>
      </c>
      <c r="Z1236">
        <f>IF(Source!BI836=3,I1235-0, 0)</f>
        <v>0</v>
      </c>
      <c r="AA1236">
        <f>IF(Source!BI836=4,I1235,0)</f>
        <v>0</v>
      </c>
    </row>
    <row r="1237" spans="1:27" ht="42.75" x14ac:dyDescent="0.2">
      <c r="A1237" s="16" t="str">
        <f>Source!E837</f>
        <v>153</v>
      </c>
      <c r="B1237" s="17" t="str">
        <f>Source!F837</f>
        <v>Цена поставщика</v>
      </c>
      <c r="C1237" s="17" t="s">
        <v>1690</v>
      </c>
      <c r="D1237" s="19" t="str">
        <f>Source!H837</f>
        <v>шт.</v>
      </c>
      <c r="E1237" s="18">
        <f>Source!I837</f>
        <v>10</v>
      </c>
      <c r="F1237" s="21">
        <f>Source!AL837</f>
        <v>24427.45</v>
      </c>
      <c r="G1237" s="20" t="str">
        <f>Source!DD837</f>
        <v/>
      </c>
      <c r="H1237" s="18">
        <f>Source!AW837</f>
        <v>1</v>
      </c>
      <c r="I1237" s="22">
        <f>ROUND((ROUND((Source!AC837*Source!AW837*Source!I837),2)),2)</f>
        <v>244274.5</v>
      </c>
      <c r="J1237" s="18">
        <f>IF(Source!BC837&lt;&gt; 0, Source!BC837, 1)</f>
        <v>6.34</v>
      </c>
      <c r="K1237" s="22">
        <f>Source!P837</f>
        <v>1548700.33</v>
      </c>
      <c r="Q1237">
        <f>ROUND((Source!DN837/100)*ROUND((ROUND((Source!AF837*Source!AV837*Source!I837),2)),2), 2)</f>
        <v>0</v>
      </c>
      <c r="R1237">
        <f>Source!X837</f>
        <v>0</v>
      </c>
      <c r="S1237">
        <f>ROUND((Source!DO837/100)*ROUND((ROUND((Source!AF837*Source!AV837*Source!I837),2)),2), 2)</f>
        <v>0</v>
      </c>
      <c r="T1237">
        <f>Source!Y837</f>
        <v>0</v>
      </c>
      <c r="U1237">
        <f>ROUND((175/100)*ROUND((ROUND((Source!AE837*Source!AV837*Source!I837),2)),2), 2)</f>
        <v>0</v>
      </c>
      <c r="V1237">
        <f>ROUND((157/100)*ROUND(ROUND((ROUND((Source!AE837*Source!AV837*Source!I837),2)*Source!BS837),2), 2), 2)</f>
        <v>0</v>
      </c>
    </row>
    <row r="1238" spans="1:27" ht="15" x14ac:dyDescent="0.25">
      <c r="A1238" s="25"/>
      <c r="B1238" s="25"/>
      <c r="C1238" s="25"/>
      <c r="D1238" s="25"/>
      <c r="E1238" s="25"/>
      <c r="F1238" s="25"/>
      <c r="G1238" s="25"/>
      <c r="H1238" s="54">
        <f>I1237</f>
        <v>244274.5</v>
      </c>
      <c r="I1238" s="54"/>
      <c r="J1238" s="54">
        <f>K1237</f>
        <v>1548700.33</v>
      </c>
      <c r="K1238" s="54"/>
      <c r="O1238" s="24">
        <f>I1237</f>
        <v>244274.5</v>
      </c>
      <c r="P1238" s="24">
        <f>K1237</f>
        <v>1548700.33</v>
      </c>
      <c r="X1238">
        <f>IF(Source!BI837&lt;=1,I1237-0, 0)</f>
        <v>244274.5</v>
      </c>
      <c r="Y1238">
        <f>IF(Source!BI837=2,I1237-0, 0)</f>
        <v>0</v>
      </c>
      <c r="Z1238">
        <f>IF(Source!BI837=3,I1237-0, 0)</f>
        <v>0</v>
      </c>
      <c r="AA1238">
        <f>IF(Source!BI837=4,I1237,0)</f>
        <v>0</v>
      </c>
    </row>
    <row r="1239" spans="1:27" ht="42.75" x14ac:dyDescent="0.2">
      <c r="A1239" s="16" t="str">
        <f>Source!E838</f>
        <v>154</v>
      </c>
      <c r="B1239" s="17" t="str">
        <f>Source!F838</f>
        <v>Цена поставщика</v>
      </c>
      <c r="C1239" s="17" t="s">
        <v>1691</v>
      </c>
      <c r="D1239" s="19" t="str">
        <f>Source!H838</f>
        <v>шт.</v>
      </c>
      <c r="E1239" s="18">
        <f>Source!I838</f>
        <v>20</v>
      </c>
      <c r="F1239" s="21">
        <f>Source!AL838</f>
        <v>227.92</v>
      </c>
      <c r="G1239" s="20" t="str">
        <f>Source!DD838</f>
        <v/>
      </c>
      <c r="H1239" s="18">
        <f>Source!AW838</f>
        <v>1</v>
      </c>
      <c r="I1239" s="22">
        <f>ROUND((ROUND((Source!AC838*Source!AW838*Source!I838),2)),2)</f>
        <v>4558.3999999999996</v>
      </c>
      <c r="J1239" s="18">
        <f>IF(Source!BC838&lt;&gt; 0, Source!BC838, 1)</f>
        <v>6.34</v>
      </c>
      <c r="K1239" s="22">
        <f>Source!P838</f>
        <v>28900.26</v>
      </c>
      <c r="Q1239">
        <f>ROUND((Source!DN838/100)*ROUND((ROUND((Source!AF838*Source!AV838*Source!I838),2)),2), 2)</f>
        <v>0</v>
      </c>
      <c r="R1239">
        <f>Source!X838</f>
        <v>0</v>
      </c>
      <c r="S1239">
        <f>ROUND((Source!DO838/100)*ROUND((ROUND((Source!AF838*Source!AV838*Source!I838),2)),2), 2)</f>
        <v>0</v>
      </c>
      <c r="T1239">
        <f>Source!Y838</f>
        <v>0</v>
      </c>
      <c r="U1239">
        <f>ROUND((175/100)*ROUND((ROUND((Source!AE838*Source!AV838*Source!I838),2)),2), 2)</f>
        <v>0</v>
      </c>
      <c r="V1239">
        <f>ROUND((157/100)*ROUND(ROUND((ROUND((Source!AE838*Source!AV838*Source!I838),2)*Source!BS838),2), 2), 2)</f>
        <v>0</v>
      </c>
    </row>
    <row r="1240" spans="1:27" ht="15" x14ac:dyDescent="0.25">
      <c r="A1240" s="25"/>
      <c r="B1240" s="25"/>
      <c r="C1240" s="25"/>
      <c r="D1240" s="25"/>
      <c r="E1240" s="25"/>
      <c r="F1240" s="25"/>
      <c r="G1240" s="25"/>
      <c r="H1240" s="54">
        <f>I1239</f>
        <v>4558.3999999999996</v>
      </c>
      <c r="I1240" s="54"/>
      <c r="J1240" s="54">
        <f>K1239</f>
        <v>28900.26</v>
      </c>
      <c r="K1240" s="54"/>
      <c r="O1240" s="24">
        <f>I1239</f>
        <v>4558.3999999999996</v>
      </c>
      <c r="P1240" s="24">
        <f>K1239</f>
        <v>28900.26</v>
      </c>
      <c r="X1240">
        <f>IF(Source!BI838&lt;=1,I1239-0, 0)</f>
        <v>4558.3999999999996</v>
      </c>
      <c r="Y1240">
        <f>IF(Source!BI838=2,I1239-0, 0)</f>
        <v>0</v>
      </c>
      <c r="Z1240">
        <f>IF(Source!BI838=3,I1239-0, 0)</f>
        <v>0</v>
      </c>
      <c r="AA1240">
        <f>IF(Source!BI838=4,I1239,0)</f>
        <v>0</v>
      </c>
    </row>
    <row r="1241" spans="1:27" ht="57" x14ac:dyDescent="0.2">
      <c r="A1241" s="16" t="str">
        <f>Source!E839</f>
        <v>155</v>
      </c>
      <c r="B1241" s="17" t="str">
        <f>Source!F839</f>
        <v>15.2-46-1</v>
      </c>
      <c r="C1241" s="17" t="s">
        <v>205</v>
      </c>
      <c r="D1241" s="19" t="str">
        <f>Source!H839</f>
        <v>т</v>
      </c>
      <c r="E1241" s="18">
        <f>Source!I839</f>
        <v>45</v>
      </c>
      <c r="F1241" s="21"/>
      <c r="G1241" s="20"/>
      <c r="H1241" s="18"/>
      <c r="I1241" s="22"/>
      <c r="J1241" s="18"/>
      <c r="K1241" s="22"/>
      <c r="Q1241">
        <f>ROUND((Source!DN839/100)*ROUND((ROUND((Source!AF839*Source!AV839*Source!I839),2)),2), 2)</f>
        <v>0</v>
      </c>
      <c r="R1241">
        <f>Source!X839</f>
        <v>0</v>
      </c>
      <c r="S1241">
        <f>ROUND((Source!DO839/100)*ROUND((ROUND((Source!AF839*Source!AV839*Source!I839),2)),2), 2)</f>
        <v>0</v>
      </c>
      <c r="T1241">
        <f>Source!Y839</f>
        <v>0</v>
      </c>
      <c r="U1241">
        <f>ROUND((175/100)*ROUND((ROUND((Source!AE839*Source!AV839*Source!I839),2)),2), 2)</f>
        <v>0</v>
      </c>
      <c r="V1241">
        <f>ROUND((157/100)*ROUND(ROUND((ROUND((Source!AE839*Source!AV839*Source!I839),2)*Source!BS839),2), 2), 2)</f>
        <v>0</v>
      </c>
    </row>
    <row r="1242" spans="1:27" ht="14.25" x14ac:dyDescent="0.2">
      <c r="A1242" s="16"/>
      <c r="B1242" s="17"/>
      <c r="C1242" s="17" t="s">
        <v>1631</v>
      </c>
      <c r="D1242" s="19"/>
      <c r="E1242" s="18"/>
      <c r="F1242" s="21">
        <f>Source!AM839</f>
        <v>46</v>
      </c>
      <c r="G1242" s="20" t="str">
        <f>Source!DE839</f>
        <v/>
      </c>
      <c r="H1242" s="18">
        <f>Source!AV839</f>
        <v>1</v>
      </c>
      <c r="I1242" s="22">
        <f>(ROUND((ROUND(((Source!ET839)*Source!AV839*Source!I839),2)),2)+ROUND((ROUND(((Source!AE839-(Source!EU839))*Source!AV839*Source!I839),2)),2))</f>
        <v>2070</v>
      </c>
      <c r="J1242" s="18">
        <f>IF(Source!BB839&lt;&gt; 0, Source!BB839, 1)</f>
        <v>12.21</v>
      </c>
      <c r="K1242" s="22">
        <f>Source!Q839</f>
        <v>25274.7</v>
      </c>
    </row>
    <row r="1243" spans="1:27" ht="15" x14ac:dyDescent="0.25">
      <c r="A1243" s="25"/>
      <c r="B1243" s="25"/>
      <c r="C1243" s="25"/>
      <c r="D1243" s="25"/>
      <c r="E1243" s="25"/>
      <c r="F1243" s="25"/>
      <c r="G1243" s="25"/>
      <c r="H1243" s="54">
        <f>I1242</f>
        <v>2070</v>
      </c>
      <c r="I1243" s="54"/>
      <c r="J1243" s="54">
        <f>K1242</f>
        <v>25274.7</v>
      </c>
      <c r="K1243" s="54"/>
      <c r="O1243" s="24">
        <f>I1242</f>
        <v>2070</v>
      </c>
      <c r="P1243" s="24">
        <f>K1242</f>
        <v>25274.7</v>
      </c>
      <c r="X1243">
        <f>IF(Source!BI839&lt;=1,I1242-0, 0)</f>
        <v>0</v>
      </c>
      <c r="Y1243">
        <f>IF(Source!BI839=2,I1242-0, 0)</f>
        <v>0</v>
      </c>
      <c r="Z1243">
        <f>IF(Source!BI839=3,I1242-0, 0)</f>
        <v>0</v>
      </c>
      <c r="AA1243">
        <f>IF(Source!BI839=4,I1242,0)</f>
        <v>2070</v>
      </c>
    </row>
    <row r="1244" spans="1:27" ht="42.75" x14ac:dyDescent="0.2">
      <c r="A1244" s="16" t="str">
        <f>Source!E840</f>
        <v>156</v>
      </c>
      <c r="B1244" s="17" t="str">
        <f>Source!F840</f>
        <v>15.1-1102-01</v>
      </c>
      <c r="C1244" s="17" t="s">
        <v>211</v>
      </c>
      <c r="D1244" s="19" t="str">
        <f>Source!H840</f>
        <v>1 Т</v>
      </c>
      <c r="E1244" s="18">
        <f>Source!I840</f>
        <v>45</v>
      </c>
      <c r="F1244" s="21"/>
      <c r="G1244" s="20"/>
      <c r="H1244" s="18"/>
      <c r="I1244" s="22"/>
      <c r="J1244" s="18"/>
      <c r="K1244" s="22"/>
      <c r="Q1244">
        <f>ROUND((Source!DN840/100)*ROUND((ROUND((Source!AF840*Source!AV840*Source!I840),2)),2), 2)</f>
        <v>0</v>
      </c>
      <c r="R1244">
        <f>Source!X840</f>
        <v>0</v>
      </c>
      <c r="S1244">
        <f>ROUND((Source!DO840/100)*ROUND((ROUND((Source!AF840*Source!AV840*Source!I840),2)),2), 2)</f>
        <v>0</v>
      </c>
      <c r="T1244">
        <f>Source!Y840</f>
        <v>0</v>
      </c>
      <c r="U1244">
        <f>ROUND((175/100)*ROUND((ROUND((Source!AE840*Source!AV840*Source!I840),2)),2), 2)</f>
        <v>0</v>
      </c>
      <c r="V1244">
        <f>ROUND((157/100)*ROUND(ROUND((ROUND((Source!AE840*Source!AV840*Source!I840),2)*Source!BS840),2), 2), 2)</f>
        <v>0</v>
      </c>
    </row>
    <row r="1245" spans="1:27" ht="14.25" x14ac:dyDescent="0.2">
      <c r="A1245" s="16"/>
      <c r="B1245" s="17"/>
      <c r="C1245" s="17" t="s">
        <v>1631</v>
      </c>
      <c r="D1245" s="19"/>
      <c r="E1245" s="18"/>
      <c r="F1245" s="21">
        <f>Source!AM840</f>
        <v>12.61</v>
      </c>
      <c r="G1245" s="20" t="str">
        <f>Source!DE840</f>
        <v/>
      </c>
      <c r="H1245" s="18">
        <f>Source!AV840</f>
        <v>1</v>
      </c>
      <c r="I1245" s="22">
        <f>(ROUND((ROUND(((Source!ET840)*Source!AV840*Source!I840),2)),2)+ROUND((ROUND(((Source!AE840-(Source!EU840))*Source!AV840*Source!I840),2)),2))</f>
        <v>567.45000000000005</v>
      </c>
      <c r="J1245" s="18">
        <f>IF(Source!BB840&lt;&gt; 0, Source!BB840, 1)</f>
        <v>7.63</v>
      </c>
      <c r="K1245" s="22">
        <f>Source!Q840</f>
        <v>4329.6400000000003</v>
      </c>
    </row>
    <row r="1246" spans="1:27" ht="15" x14ac:dyDescent="0.25">
      <c r="A1246" s="25"/>
      <c r="B1246" s="25"/>
      <c r="C1246" s="25"/>
      <c r="D1246" s="25"/>
      <c r="E1246" s="25"/>
      <c r="F1246" s="25"/>
      <c r="G1246" s="25"/>
      <c r="H1246" s="54">
        <f>I1245</f>
        <v>567.45000000000005</v>
      </c>
      <c r="I1246" s="54"/>
      <c r="J1246" s="54">
        <f>K1245</f>
        <v>4329.6400000000003</v>
      </c>
      <c r="K1246" s="54"/>
      <c r="O1246" s="24">
        <f>I1245</f>
        <v>567.45000000000005</v>
      </c>
      <c r="P1246" s="24">
        <f>K1245</f>
        <v>4329.6400000000003</v>
      </c>
      <c r="X1246">
        <f>IF(Source!BI840&lt;=1,I1245-0, 0)</f>
        <v>0</v>
      </c>
      <c r="Y1246">
        <f>IF(Source!BI840=2,I1245-0, 0)</f>
        <v>0</v>
      </c>
      <c r="Z1246">
        <f>IF(Source!BI840=3,I1245-0, 0)</f>
        <v>0</v>
      </c>
      <c r="AA1246">
        <f>IF(Source!BI840=4,I1245,0)</f>
        <v>567.45000000000005</v>
      </c>
    </row>
    <row r="1248" spans="1:27" ht="15" x14ac:dyDescent="0.25">
      <c r="A1248" s="53" t="str">
        <f>CONCATENATE("Итого по подразделу: ",IF(Source!G842&lt;&gt;"Новый подраздел", Source!G842, ""))</f>
        <v>Итого по подразделу: Посадочные материалы</v>
      </c>
      <c r="B1248" s="53"/>
      <c r="C1248" s="53"/>
      <c r="D1248" s="53"/>
      <c r="E1248" s="53"/>
      <c r="F1248" s="53"/>
      <c r="G1248" s="53"/>
      <c r="H1248" s="51">
        <f>SUM(O1222:O1247)</f>
        <v>341404.35000000003</v>
      </c>
      <c r="I1248" s="52"/>
      <c r="J1248" s="51">
        <f>SUM(P1222:P1247)</f>
        <v>2177386.4900000002</v>
      </c>
      <c r="K1248" s="52"/>
    </row>
    <row r="1249" spans="1:23" hidden="1" x14ac:dyDescent="0.2">
      <c r="A1249" t="s">
        <v>1641</v>
      </c>
      <c r="H1249">
        <f>SUM(AC1222:AC1248)</f>
        <v>0</v>
      </c>
      <c r="J1249">
        <f>SUM(AD1222:AD1248)</f>
        <v>0</v>
      </c>
    </row>
    <row r="1250" spans="1:23" hidden="1" x14ac:dyDescent="0.2">
      <c r="A1250" t="s">
        <v>1642</v>
      </c>
      <c r="H1250">
        <f>SUM(AE1222:AE1249)</f>
        <v>0</v>
      </c>
      <c r="J1250">
        <f>SUM(AF1222:AF1249)</f>
        <v>0</v>
      </c>
    </row>
    <row r="1252" spans="1:23" ht="15" x14ac:dyDescent="0.25">
      <c r="A1252" s="53" t="str">
        <f>CONCATENATE("Итого по разделу: ",IF(Source!G872&lt;&gt;"Новый раздел", Source!G872, ""))</f>
        <v>Итого по разделу: Посадка деревьев и кустарников</v>
      </c>
      <c r="B1252" s="53"/>
      <c r="C1252" s="53"/>
      <c r="D1252" s="53"/>
      <c r="E1252" s="53"/>
      <c r="F1252" s="53"/>
      <c r="G1252" s="53"/>
      <c r="H1252" s="51">
        <f>SUM(O1167:O1251)</f>
        <v>366387.21</v>
      </c>
      <c r="I1252" s="52"/>
      <c r="J1252" s="51">
        <f>SUM(P1167:P1251)</f>
        <v>2473647.7800000003</v>
      </c>
      <c r="K1252" s="52"/>
    </row>
    <row r="1253" spans="1:23" hidden="1" x14ac:dyDescent="0.2">
      <c r="A1253" t="s">
        <v>1641</v>
      </c>
      <c r="H1253">
        <f>SUM(AC1167:AC1252)</f>
        <v>0</v>
      </c>
      <c r="J1253">
        <f>SUM(AD1167:AD1252)</f>
        <v>0</v>
      </c>
    </row>
    <row r="1254" spans="1:23" hidden="1" x14ac:dyDescent="0.2">
      <c r="A1254" t="s">
        <v>1642</v>
      </c>
      <c r="H1254">
        <f>SUM(AE1167:AE1253)</f>
        <v>0</v>
      </c>
      <c r="J1254">
        <f>SUM(AF1167:AF1253)</f>
        <v>0</v>
      </c>
    </row>
    <row r="1256" spans="1:23" ht="16.5" x14ac:dyDescent="0.25">
      <c r="A1256" s="56" t="str">
        <f>CONCATENATE("Раздел: ",IF(Source!G902&lt;&gt;"Новый раздел", Source!G902, ""))</f>
        <v>Раздел: Установка  ландшафтных светильников</v>
      </c>
      <c r="B1256" s="56"/>
      <c r="C1256" s="56"/>
      <c r="D1256" s="56"/>
      <c r="E1256" s="56"/>
      <c r="F1256" s="56"/>
      <c r="G1256" s="56"/>
      <c r="H1256" s="56"/>
      <c r="I1256" s="56"/>
      <c r="J1256" s="56"/>
      <c r="K1256" s="56"/>
    </row>
    <row r="1257" spans="1:23" ht="71.25" x14ac:dyDescent="0.2">
      <c r="A1257" s="16" t="str">
        <f>Source!E906</f>
        <v>157</v>
      </c>
      <c r="B1257" s="17" t="str">
        <f>Source!F906</f>
        <v>3.1-2-10</v>
      </c>
      <c r="C1257" s="17" t="s">
        <v>955</v>
      </c>
      <c r="D1257" s="19" t="str">
        <f>Source!H906</f>
        <v>100 м3 грунта</v>
      </c>
      <c r="E1257" s="18">
        <f>Source!I906</f>
        <v>0.56999999999999995</v>
      </c>
      <c r="F1257" s="21"/>
      <c r="G1257" s="20"/>
      <c r="H1257" s="18"/>
      <c r="I1257" s="22"/>
      <c r="J1257" s="18"/>
      <c r="K1257" s="22"/>
      <c r="Q1257">
        <f>ROUND((Source!DN906/100)*ROUND((ROUND((Source!AF906*Source!AV906*Source!I906),2)),2), 2)</f>
        <v>5.96</v>
      </c>
      <c r="R1257">
        <f>Source!X906</f>
        <v>142.31</v>
      </c>
      <c r="S1257">
        <f>ROUND((Source!DO906/100)*ROUND((ROUND((Source!AF906*Source!AV906*Source!I906),2)),2), 2)</f>
        <v>4.68</v>
      </c>
      <c r="T1257">
        <f>Source!Y906</f>
        <v>77.34</v>
      </c>
      <c r="U1257">
        <f>ROUND((175/100)*ROUND((ROUND((Source!AE906*Source!AV906*Source!I906),2)),2), 2)</f>
        <v>51.52</v>
      </c>
      <c r="V1257">
        <f>ROUND((157/100)*ROUND(ROUND((ROUND((Source!AE906*Source!AV906*Source!I906),2)*Source!BS906),2), 2), 2)</f>
        <v>1175.8499999999999</v>
      </c>
    </row>
    <row r="1258" spans="1:23" x14ac:dyDescent="0.2">
      <c r="C1258" s="23" t="str">
        <f>"Объем: "&amp;Source!I906&amp;"=57/"&amp;"100"</f>
        <v>Объем: 0,57=57/100</v>
      </c>
    </row>
    <row r="1259" spans="1:23" ht="28.5" x14ac:dyDescent="0.2">
      <c r="A1259" s="16"/>
      <c r="B1259" s="17"/>
      <c r="C1259" s="17" t="s">
        <v>1625</v>
      </c>
      <c r="D1259" s="19"/>
      <c r="E1259" s="18"/>
      <c r="F1259" s="21">
        <f>Source!AO906</f>
        <v>12.37</v>
      </c>
      <c r="G1259" s="20" t="str">
        <f>Source!DG906</f>
        <v>*0,75)*1,15</v>
      </c>
      <c r="H1259" s="18">
        <f>Source!AV906</f>
        <v>1</v>
      </c>
      <c r="I1259" s="22">
        <f>ROUND((ROUND((Source!AF906*Source!AV906*Source!I906),2)),2)</f>
        <v>6.08</v>
      </c>
      <c r="J1259" s="18">
        <f>IF(Source!BA906&lt;&gt; 0, Source!BA906, 1)</f>
        <v>25.44</v>
      </c>
      <c r="K1259" s="22">
        <f>Source!S906</f>
        <v>154.68</v>
      </c>
      <c r="W1259">
        <f>I1259</f>
        <v>6.08</v>
      </c>
    </row>
    <row r="1260" spans="1:23" ht="28.5" x14ac:dyDescent="0.2">
      <c r="A1260" s="16"/>
      <c r="B1260" s="17"/>
      <c r="C1260" s="17" t="s">
        <v>1631</v>
      </c>
      <c r="D1260" s="19"/>
      <c r="E1260" s="18"/>
      <c r="F1260" s="21">
        <f>Source!AM906</f>
        <v>568.54999999999995</v>
      </c>
      <c r="G1260" s="20" t="str">
        <f>Source!DE906</f>
        <v>*0,75)*1,25</v>
      </c>
      <c r="H1260" s="18">
        <f>Source!AV906</f>
        <v>1</v>
      </c>
      <c r="I1260" s="22">
        <f>(ROUND((ROUND(((((Source!ET906*0.75)*1.25))*Source!AV906*Source!I906),2)),2)+ROUND((ROUND(((Source!AE906-(((Source!EU906*0.75)*1.25)))*Source!AV906*Source!I906),2)),2))</f>
        <v>303.82</v>
      </c>
      <c r="J1260" s="18">
        <f>IF(Source!BB906&lt;&gt; 0, Source!BB906, 1)</f>
        <v>8.9</v>
      </c>
      <c r="K1260" s="22">
        <f>Source!Q906</f>
        <v>2704</v>
      </c>
    </row>
    <row r="1261" spans="1:23" ht="28.5" x14ac:dyDescent="0.2">
      <c r="A1261" s="16"/>
      <c r="B1261" s="17"/>
      <c r="C1261" s="17" t="s">
        <v>1632</v>
      </c>
      <c r="D1261" s="19"/>
      <c r="E1261" s="18"/>
      <c r="F1261" s="21">
        <f>Source!AN906</f>
        <v>55.09</v>
      </c>
      <c r="G1261" s="20" t="str">
        <f>Source!DF906</f>
        <v>*0,75)*1,25</v>
      </c>
      <c r="H1261" s="18">
        <f>Source!AV906</f>
        <v>1</v>
      </c>
      <c r="I1261" s="26">
        <f>ROUND((ROUND((Source!AE906*Source!AV906*Source!I906),2)),2)</f>
        <v>29.44</v>
      </c>
      <c r="J1261" s="18">
        <f>IF(Source!BS906&lt;&gt; 0, Source!BS906, 1)</f>
        <v>25.44</v>
      </c>
      <c r="K1261" s="26">
        <f>Source!R906</f>
        <v>748.95</v>
      </c>
      <c r="W1261">
        <f>I1261</f>
        <v>29.44</v>
      </c>
    </row>
    <row r="1262" spans="1:23" ht="14.25" x14ac:dyDescent="0.2">
      <c r="A1262" s="16"/>
      <c r="B1262" s="17"/>
      <c r="C1262" s="17" t="s">
        <v>1626</v>
      </c>
      <c r="D1262" s="19" t="s">
        <v>1627</v>
      </c>
      <c r="E1262" s="18">
        <f>Source!DN906</f>
        <v>98</v>
      </c>
      <c r="F1262" s="21"/>
      <c r="G1262" s="20"/>
      <c r="H1262" s="18"/>
      <c r="I1262" s="22">
        <f>SUM(Q1257:Q1261)</f>
        <v>5.96</v>
      </c>
      <c r="J1262" s="18">
        <f>Source!BZ906</f>
        <v>92</v>
      </c>
      <c r="K1262" s="22">
        <f>SUM(R1257:R1261)</f>
        <v>142.31</v>
      </c>
    </row>
    <row r="1263" spans="1:23" ht="14.25" x14ac:dyDescent="0.2">
      <c r="A1263" s="16"/>
      <c r="B1263" s="17"/>
      <c r="C1263" s="17" t="s">
        <v>1628</v>
      </c>
      <c r="D1263" s="19" t="s">
        <v>1627</v>
      </c>
      <c r="E1263" s="18">
        <f>Source!DO906</f>
        <v>77</v>
      </c>
      <c r="F1263" s="21"/>
      <c r="G1263" s="20"/>
      <c r="H1263" s="18"/>
      <c r="I1263" s="22">
        <f>SUM(S1257:S1262)</f>
        <v>4.68</v>
      </c>
      <c r="J1263" s="18">
        <f>Source!CA906</f>
        <v>50</v>
      </c>
      <c r="K1263" s="22">
        <f>SUM(T1257:T1262)</f>
        <v>77.34</v>
      </c>
    </row>
    <row r="1264" spans="1:23" ht="14.25" x14ac:dyDescent="0.2">
      <c r="A1264" s="16"/>
      <c r="B1264" s="17"/>
      <c r="C1264" s="17" t="s">
        <v>1633</v>
      </c>
      <c r="D1264" s="19" t="s">
        <v>1627</v>
      </c>
      <c r="E1264" s="18">
        <f>175</f>
        <v>175</v>
      </c>
      <c r="F1264" s="21"/>
      <c r="G1264" s="20"/>
      <c r="H1264" s="18"/>
      <c r="I1264" s="22">
        <f>SUM(U1257:U1263)</f>
        <v>51.52</v>
      </c>
      <c r="J1264" s="18">
        <f>157</f>
        <v>157</v>
      </c>
      <c r="K1264" s="22">
        <f>SUM(V1257:V1263)</f>
        <v>1175.8499999999999</v>
      </c>
    </row>
    <row r="1265" spans="1:27" ht="28.5" x14ac:dyDescent="0.2">
      <c r="A1265" s="16"/>
      <c r="B1265" s="17"/>
      <c r="C1265" s="17" t="s">
        <v>1629</v>
      </c>
      <c r="D1265" s="19" t="s">
        <v>1630</v>
      </c>
      <c r="E1265" s="18">
        <f>Source!AQ906</f>
        <v>1.21</v>
      </c>
      <c r="F1265" s="21"/>
      <c r="G1265" s="20" t="str">
        <f>Source!DI906</f>
        <v>*0,75)*1,15</v>
      </c>
      <c r="H1265" s="18">
        <f>Source!AV906</f>
        <v>1</v>
      </c>
      <c r="I1265" s="22">
        <f>Source!U906</f>
        <v>0.59486624999999982</v>
      </c>
      <c r="J1265" s="18"/>
      <c r="K1265" s="22"/>
    </row>
    <row r="1266" spans="1:27" ht="15" x14ac:dyDescent="0.25">
      <c r="A1266" s="25"/>
      <c r="B1266" s="25"/>
      <c r="C1266" s="25"/>
      <c r="D1266" s="25"/>
      <c r="E1266" s="25"/>
      <c r="F1266" s="25"/>
      <c r="G1266" s="25"/>
      <c r="H1266" s="54">
        <f>I1259+I1260+I1262+I1263+I1264</f>
        <v>372.05999999999995</v>
      </c>
      <c r="I1266" s="54"/>
      <c r="J1266" s="54">
        <f>K1259+K1260+K1262+K1263+K1264</f>
        <v>4254.18</v>
      </c>
      <c r="K1266" s="54"/>
      <c r="O1266" s="24">
        <f>I1259+I1260+I1262+I1263+I1264</f>
        <v>372.05999999999995</v>
      </c>
      <c r="P1266" s="24">
        <f>K1259+K1260+K1262+K1263+K1264</f>
        <v>4254.18</v>
      </c>
      <c r="X1266">
        <f>IF(Source!BI906&lt;=1,I1259+I1260+I1262+I1263+I1264-0, 0)</f>
        <v>372.05999999999995</v>
      </c>
      <c r="Y1266">
        <f>IF(Source!BI906=2,I1259+I1260+I1262+I1263+I1264-0, 0)</f>
        <v>0</v>
      </c>
      <c r="Z1266">
        <f>IF(Source!BI906=3,I1259+I1260+I1262+I1263+I1264-0, 0)</f>
        <v>0</v>
      </c>
      <c r="AA1266">
        <f>IF(Source!BI906=4,I1259+I1260+I1262+I1263+I1264,0)</f>
        <v>0</v>
      </c>
    </row>
    <row r="1267" spans="1:27" ht="42.75" x14ac:dyDescent="0.2">
      <c r="A1267" s="16" t="str">
        <f>Source!E907</f>
        <v>158</v>
      </c>
      <c r="B1267" s="17" t="str">
        <f>Source!F907</f>
        <v>3.1-51-1</v>
      </c>
      <c r="C1267" s="17" t="s">
        <v>330</v>
      </c>
      <c r="D1267" s="19" t="str">
        <f>Source!H907</f>
        <v>100 м3 грунта</v>
      </c>
      <c r="E1267" s="18">
        <f>Source!I907</f>
        <v>0.56999999999999995</v>
      </c>
      <c r="F1267" s="21"/>
      <c r="G1267" s="20"/>
      <c r="H1267" s="18"/>
      <c r="I1267" s="22"/>
      <c r="J1267" s="18"/>
      <c r="K1267" s="22"/>
      <c r="Q1267">
        <f>ROUND((Source!DN907/100)*ROUND((ROUND((Source!AF907*Source!AV907*Source!I907),2)),2), 2)</f>
        <v>304.60000000000002</v>
      </c>
      <c r="R1267">
        <f>Source!X907</f>
        <v>6216.34</v>
      </c>
      <c r="S1267">
        <f>ROUND((Source!DO907/100)*ROUND((ROUND((Source!AF907*Source!AV907*Source!I907),2)),2), 2)</f>
        <v>224.27</v>
      </c>
      <c r="T1267">
        <f>Source!Y907</f>
        <v>3491.37</v>
      </c>
      <c r="U1267">
        <f>ROUND((175/100)*ROUND((ROUND((Source!AE907*Source!AV907*Source!I907),2)),2), 2)</f>
        <v>0</v>
      </c>
      <c r="V1267">
        <f>ROUND((157/100)*ROUND(ROUND((ROUND((Source!AE907*Source!AV907*Source!I907),2)*Source!BS907),2), 2), 2)</f>
        <v>0</v>
      </c>
    </row>
    <row r="1268" spans="1:27" x14ac:dyDescent="0.2">
      <c r="C1268" s="23" t="str">
        <f>"Объем: "&amp;Source!I907&amp;"=57/"&amp;"100"</f>
        <v>Объем: 0,57=57/100</v>
      </c>
    </row>
    <row r="1269" spans="1:27" ht="28.5" x14ac:dyDescent="0.2">
      <c r="A1269" s="16"/>
      <c r="B1269" s="17"/>
      <c r="C1269" s="17" t="s">
        <v>1625</v>
      </c>
      <c r="D1269" s="19"/>
      <c r="E1269" s="18"/>
      <c r="F1269" s="21">
        <f>Source!AO907</f>
        <v>2042.62</v>
      </c>
      <c r="G1269" s="20" t="str">
        <f>Source!DG907</f>
        <v>*0,25)*1,15</v>
      </c>
      <c r="H1269" s="18">
        <f>Source!AV907</f>
        <v>1</v>
      </c>
      <c r="I1269" s="22">
        <f>ROUND((ROUND((Source!AF907*Source!AV907*Source!I907),2)),2)</f>
        <v>334.73</v>
      </c>
      <c r="J1269" s="18">
        <f>IF(Source!BA907&lt;&gt; 0, Source!BA907, 1)</f>
        <v>25.44</v>
      </c>
      <c r="K1269" s="22">
        <f>Source!S907</f>
        <v>8515.5300000000007</v>
      </c>
      <c r="W1269">
        <f>I1269</f>
        <v>334.73</v>
      </c>
    </row>
    <row r="1270" spans="1:27" ht="14.25" x14ac:dyDescent="0.2">
      <c r="A1270" s="16"/>
      <c r="B1270" s="17"/>
      <c r="C1270" s="17" t="s">
        <v>1626</v>
      </c>
      <c r="D1270" s="19" t="s">
        <v>1627</v>
      </c>
      <c r="E1270" s="18">
        <f>Source!DN907</f>
        <v>91</v>
      </c>
      <c r="F1270" s="21"/>
      <c r="G1270" s="20"/>
      <c r="H1270" s="18"/>
      <c r="I1270" s="22">
        <f>SUM(Q1267:Q1269)</f>
        <v>304.60000000000002</v>
      </c>
      <c r="J1270" s="18">
        <f>Source!BZ907</f>
        <v>73</v>
      </c>
      <c r="K1270" s="22">
        <f>SUM(R1267:R1269)</f>
        <v>6216.34</v>
      </c>
    </row>
    <row r="1271" spans="1:27" ht="14.25" x14ac:dyDescent="0.2">
      <c r="A1271" s="16"/>
      <c r="B1271" s="17"/>
      <c r="C1271" s="17" t="s">
        <v>1628</v>
      </c>
      <c r="D1271" s="19" t="s">
        <v>1627</v>
      </c>
      <c r="E1271" s="18">
        <f>Source!DO907</f>
        <v>67</v>
      </c>
      <c r="F1271" s="21"/>
      <c r="G1271" s="20"/>
      <c r="H1271" s="18"/>
      <c r="I1271" s="22">
        <f>SUM(S1267:S1270)</f>
        <v>224.27</v>
      </c>
      <c r="J1271" s="18">
        <f>Source!CA907</f>
        <v>41</v>
      </c>
      <c r="K1271" s="22">
        <f>SUM(T1267:T1270)</f>
        <v>3491.37</v>
      </c>
    </row>
    <row r="1272" spans="1:27" ht="28.5" x14ac:dyDescent="0.2">
      <c r="A1272" s="16"/>
      <c r="B1272" s="17"/>
      <c r="C1272" s="17" t="s">
        <v>1629</v>
      </c>
      <c r="D1272" s="19" t="s">
        <v>1630</v>
      </c>
      <c r="E1272" s="18">
        <f>Source!AQ907</f>
        <v>192.7</v>
      </c>
      <c r="F1272" s="21"/>
      <c r="G1272" s="20" t="str">
        <f>Source!DI907</f>
        <v>*0,25)*1,15</v>
      </c>
      <c r="H1272" s="18">
        <f>Source!AV907</f>
        <v>1</v>
      </c>
      <c r="I1272" s="22">
        <f>Source!U907</f>
        <v>31.578712499999991</v>
      </c>
      <c r="J1272" s="18"/>
      <c r="K1272" s="22"/>
    </row>
    <row r="1273" spans="1:27" ht="15" x14ac:dyDescent="0.25">
      <c r="A1273" s="25"/>
      <c r="B1273" s="25"/>
      <c r="C1273" s="25"/>
      <c r="D1273" s="25"/>
      <c r="E1273" s="25"/>
      <c r="F1273" s="25"/>
      <c r="G1273" s="25"/>
      <c r="H1273" s="54">
        <f>I1269+I1270+I1271</f>
        <v>863.6</v>
      </c>
      <c r="I1273" s="54"/>
      <c r="J1273" s="54">
        <f>K1269+K1270+K1271</f>
        <v>18223.240000000002</v>
      </c>
      <c r="K1273" s="54"/>
      <c r="O1273" s="24">
        <f>I1269+I1270+I1271</f>
        <v>863.6</v>
      </c>
      <c r="P1273" s="24">
        <f>K1269+K1270+K1271</f>
        <v>18223.240000000002</v>
      </c>
      <c r="X1273">
        <f>IF(Source!BI907&lt;=1,I1269+I1270+I1271-0, 0)</f>
        <v>863.6</v>
      </c>
      <c r="Y1273">
        <f>IF(Source!BI907=2,I1269+I1270+I1271-0, 0)</f>
        <v>0</v>
      </c>
      <c r="Z1273">
        <f>IF(Source!BI907=3,I1269+I1270+I1271-0, 0)</f>
        <v>0</v>
      </c>
      <c r="AA1273">
        <f>IF(Source!BI907=4,I1269+I1270+I1271,0)</f>
        <v>0</v>
      </c>
    </row>
    <row r="1274" spans="1:27" ht="42.75" x14ac:dyDescent="0.2">
      <c r="A1274" s="16" t="str">
        <f>Source!E908</f>
        <v>159</v>
      </c>
      <c r="B1274" s="17" t="str">
        <f>Source!F908</f>
        <v>3.23-1-1</v>
      </c>
      <c r="C1274" s="17" t="s">
        <v>959</v>
      </c>
      <c r="D1274" s="19" t="str">
        <f>Source!H908</f>
        <v>10 м3 основания</v>
      </c>
      <c r="E1274" s="18">
        <f>Source!I908</f>
        <v>3.42</v>
      </c>
      <c r="F1274" s="21"/>
      <c r="G1274" s="20"/>
      <c r="H1274" s="18"/>
      <c r="I1274" s="22"/>
      <c r="J1274" s="18"/>
      <c r="K1274" s="22"/>
      <c r="Q1274">
        <f>ROUND((Source!DN908/100)*ROUND((ROUND((Source!AF908*Source!AV908*Source!I908),2)),2), 2)</f>
        <v>497.93</v>
      </c>
      <c r="R1274">
        <f>Source!X908</f>
        <v>10264.91</v>
      </c>
      <c r="S1274">
        <f>ROUND((Source!DO908/100)*ROUND((ROUND((Source!AF908*Source!AV908*Source!I908),2)),2), 2)</f>
        <v>291.89</v>
      </c>
      <c r="T1274">
        <f>Source!Y908</f>
        <v>4477.25</v>
      </c>
      <c r="U1274">
        <f>ROUND((175/100)*ROUND((ROUND((Source!AE908*Source!AV908*Source!I908),2)),2), 2)</f>
        <v>40.479999999999997</v>
      </c>
      <c r="V1274">
        <f>ROUND((157/100)*ROUND(ROUND((ROUND((Source!AE908*Source!AV908*Source!I908),2)*Source!BS908),2), 2), 2)</f>
        <v>923.84</v>
      </c>
    </row>
    <row r="1275" spans="1:27" x14ac:dyDescent="0.2">
      <c r="C1275" s="23" t="str">
        <f>"Объем: "&amp;Source!I908&amp;"=34,2/"&amp;"10"</f>
        <v>Объем: 3,42=34,2/10</v>
      </c>
    </row>
    <row r="1276" spans="1:27" ht="14.25" x14ac:dyDescent="0.2">
      <c r="A1276" s="16"/>
      <c r="B1276" s="17"/>
      <c r="C1276" s="17" t="s">
        <v>1625</v>
      </c>
      <c r="D1276" s="19"/>
      <c r="E1276" s="18"/>
      <c r="F1276" s="21">
        <f>Source!AO908</f>
        <v>109.14</v>
      </c>
      <c r="G1276" s="20" t="str">
        <f>Source!DG908</f>
        <v>)*1,15</v>
      </c>
      <c r="H1276" s="18">
        <f>Source!AV908</f>
        <v>1</v>
      </c>
      <c r="I1276" s="22">
        <f>ROUND((ROUND((Source!AF908*Source!AV908*Source!I908),2)),2)</f>
        <v>429.25</v>
      </c>
      <c r="J1276" s="18">
        <f>IF(Source!BA908&lt;&gt; 0, Source!BA908, 1)</f>
        <v>25.44</v>
      </c>
      <c r="K1276" s="22">
        <f>Source!S908</f>
        <v>10920.12</v>
      </c>
      <c r="W1276">
        <f>I1276</f>
        <v>429.25</v>
      </c>
    </row>
    <row r="1277" spans="1:27" ht="14.25" x14ac:dyDescent="0.2">
      <c r="A1277" s="16"/>
      <c r="B1277" s="17"/>
      <c r="C1277" s="17" t="s">
        <v>1631</v>
      </c>
      <c r="D1277" s="19"/>
      <c r="E1277" s="18"/>
      <c r="F1277" s="21">
        <f>Source!AM908</f>
        <v>23.36</v>
      </c>
      <c r="G1277" s="20" t="str">
        <f>Source!DE908</f>
        <v>)*1,25</v>
      </c>
      <c r="H1277" s="18">
        <f>Source!AV908</f>
        <v>1</v>
      </c>
      <c r="I1277" s="22">
        <f>(ROUND((ROUND((((Source!ET908*1.25))*Source!AV908*Source!I908),2)),2)+ROUND((ROUND(((Source!AE908-((Source!EU908*1.25)))*Source!AV908*Source!I908),2)),2))</f>
        <v>99.86</v>
      </c>
      <c r="J1277" s="18">
        <f>IF(Source!BB908&lt;&gt; 0, Source!BB908, 1)</f>
        <v>10</v>
      </c>
      <c r="K1277" s="22">
        <f>Source!Q908</f>
        <v>998.6</v>
      </c>
    </row>
    <row r="1278" spans="1:27" ht="14.25" x14ac:dyDescent="0.2">
      <c r="A1278" s="16"/>
      <c r="B1278" s="17"/>
      <c r="C1278" s="17" t="s">
        <v>1632</v>
      </c>
      <c r="D1278" s="19"/>
      <c r="E1278" s="18"/>
      <c r="F1278" s="21">
        <f>Source!AN908</f>
        <v>5.41</v>
      </c>
      <c r="G1278" s="20" t="str">
        <f>Source!DF908</f>
        <v>)*1,25</v>
      </c>
      <c r="H1278" s="18">
        <f>Source!AV908</f>
        <v>1</v>
      </c>
      <c r="I1278" s="26">
        <f>ROUND((ROUND((Source!AE908*Source!AV908*Source!I908),2)),2)</f>
        <v>23.13</v>
      </c>
      <c r="J1278" s="18">
        <f>IF(Source!BS908&lt;&gt; 0, Source!BS908, 1)</f>
        <v>25.44</v>
      </c>
      <c r="K1278" s="26">
        <f>Source!R908</f>
        <v>588.42999999999995</v>
      </c>
      <c r="W1278">
        <f>I1278</f>
        <v>23.13</v>
      </c>
    </row>
    <row r="1279" spans="1:27" ht="28.5" x14ac:dyDescent="0.2">
      <c r="A1279" s="16" t="str">
        <f>Source!E909</f>
        <v>159,1</v>
      </c>
      <c r="B1279" s="17" t="str">
        <f>Source!F909</f>
        <v>1.1-1-766</v>
      </c>
      <c r="C1279" s="17" t="s">
        <v>92</v>
      </c>
      <c r="D1279" s="19" t="str">
        <f>Source!H909</f>
        <v>м3</v>
      </c>
      <c r="E1279" s="18">
        <f>Source!I909</f>
        <v>37.619999999999997</v>
      </c>
      <c r="F1279" s="21">
        <f>Source!AK909</f>
        <v>104.99</v>
      </c>
      <c r="G1279" s="27" t="s">
        <v>3</v>
      </c>
      <c r="H1279" s="18">
        <f>Source!AW909</f>
        <v>1</v>
      </c>
      <c r="I1279" s="22">
        <f>ROUND((ROUND((Source!AC909*Source!AW909*Source!I909),2)),2)+(ROUND((ROUND(((Source!ET909)*Source!AV909*Source!I909),2)),2)+ROUND((ROUND(((Source!AE909-(Source!EU909))*Source!AV909*Source!I909),2)),2))+ROUND((ROUND((Source!AF909*Source!AV909*Source!I909),2)),2)</f>
        <v>3949.72</v>
      </c>
      <c r="J1279" s="18">
        <f>IF(Source!BC909&lt;&gt; 0, Source!BC909, 1)</f>
        <v>5.51</v>
      </c>
      <c r="K1279" s="22">
        <f>Source!O909</f>
        <v>21762.959999999999</v>
      </c>
      <c r="Q1279">
        <f>ROUND((Source!DN909/100)*ROUND((ROUND((Source!AF909*Source!AV909*Source!I909),2)),2), 2)</f>
        <v>0</v>
      </c>
      <c r="R1279">
        <f>Source!X909</f>
        <v>0</v>
      </c>
      <c r="S1279">
        <f>ROUND((Source!DO909/100)*ROUND((ROUND((Source!AF909*Source!AV909*Source!I909),2)),2), 2)</f>
        <v>0</v>
      </c>
      <c r="T1279">
        <f>Source!Y909</f>
        <v>0</v>
      </c>
      <c r="U1279">
        <f>ROUND((175/100)*ROUND((ROUND((Source!AE909*Source!AV909*Source!I909),2)),2), 2)</f>
        <v>0</v>
      </c>
      <c r="V1279">
        <f>ROUND((157/100)*ROUND(ROUND((ROUND((Source!AE909*Source!AV909*Source!I909),2)*Source!BS909),2), 2), 2)</f>
        <v>0</v>
      </c>
      <c r="X1279">
        <f>IF(Source!BI909&lt;=1,I1279, 0)</f>
        <v>3949.72</v>
      </c>
      <c r="Y1279">
        <f>IF(Source!BI909=2,I1279, 0)</f>
        <v>0</v>
      </c>
      <c r="Z1279">
        <f>IF(Source!BI909=3,I1279, 0)</f>
        <v>0</v>
      </c>
      <c r="AA1279">
        <f>IF(Source!BI909=4,I1279, 0)</f>
        <v>0</v>
      </c>
    </row>
    <row r="1280" spans="1:27" ht="14.25" x14ac:dyDescent="0.2">
      <c r="A1280" s="16"/>
      <c r="B1280" s="17"/>
      <c r="C1280" s="17" t="s">
        <v>1626</v>
      </c>
      <c r="D1280" s="19" t="s">
        <v>1627</v>
      </c>
      <c r="E1280" s="18">
        <f>Source!DN908</f>
        <v>116</v>
      </c>
      <c r="F1280" s="21"/>
      <c r="G1280" s="20"/>
      <c r="H1280" s="18"/>
      <c r="I1280" s="22">
        <f>SUM(Q1274:Q1279)</f>
        <v>497.93</v>
      </c>
      <c r="J1280" s="18">
        <f>Source!BZ908</f>
        <v>94</v>
      </c>
      <c r="K1280" s="22">
        <f>SUM(R1274:R1279)</f>
        <v>10264.91</v>
      </c>
    </row>
    <row r="1281" spans="1:27" ht="14.25" x14ac:dyDescent="0.2">
      <c r="A1281" s="16"/>
      <c r="B1281" s="17"/>
      <c r="C1281" s="17" t="s">
        <v>1628</v>
      </c>
      <c r="D1281" s="19" t="s">
        <v>1627</v>
      </c>
      <c r="E1281" s="18">
        <f>Source!DO908</f>
        <v>68</v>
      </c>
      <c r="F1281" s="21"/>
      <c r="G1281" s="20"/>
      <c r="H1281" s="18"/>
      <c r="I1281" s="22">
        <f>SUM(S1274:S1280)</f>
        <v>291.89</v>
      </c>
      <c r="J1281" s="18">
        <f>Source!CA908</f>
        <v>41</v>
      </c>
      <c r="K1281" s="22">
        <f>SUM(T1274:T1280)</f>
        <v>4477.25</v>
      </c>
    </row>
    <row r="1282" spans="1:27" ht="14.25" x14ac:dyDescent="0.2">
      <c r="A1282" s="16"/>
      <c r="B1282" s="17"/>
      <c r="C1282" s="17" t="s">
        <v>1633</v>
      </c>
      <c r="D1282" s="19" t="s">
        <v>1627</v>
      </c>
      <c r="E1282" s="18">
        <f>175</f>
        <v>175</v>
      </c>
      <c r="F1282" s="21"/>
      <c r="G1282" s="20"/>
      <c r="H1282" s="18"/>
      <c r="I1282" s="22">
        <f>SUM(U1274:U1281)</f>
        <v>40.479999999999997</v>
      </c>
      <c r="J1282" s="18">
        <f>157</f>
        <v>157</v>
      </c>
      <c r="K1282" s="22">
        <f>SUM(V1274:V1281)</f>
        <v>923.84</v>
      </c>
    </row>
    <row r="1283" spans="1:27" ht="14.25" x14ac:dyDescent="0.2">
      <c r="A1283" s="16"/>
      <c r="B1283" s="17"/>
      <c r="C1283" s="17" t="s">
        <v>1629</v>
      </c>
      <c r="D1283" s="19" t="s">
        <v>1630</v>
      </c>
      <c r="E1283" s="18">
        <f>Source!AQ908</f>
        <v>10.199999999999999</v>
      </c>
      <c r="F1283" s="21"/>
      <c r="G1283" s="20" t="str">
        <f>Source!DI908</f>
        <v>)*1,15</v>
      </c>
      <c r="H1283" s="18">
        <f>Source!AV908</f>
        <v>1</v>
      </c>
      <c r="I1283" s="22">
        <f>Source!U908</f>
        <v>40.116599999999991</v>
      </c>
      <c r="J1283" s="18"/>
      <c r="K1283" s="22"/>
    </row>
    <row r="1284" spans="1:27" ht="15" x14ac:dyDescent="0.25">
      <c r="A1284" s="25"/>
      <c r="B1284" s="25"/>
      <c r="C1284" s="25"/>
      <c r="D1284" s="25"/>
      <c r="E1284" s="25"/>
      <c r="F1284" s="25"/>
      <c r="G1284" s="25"/>
      <c r="H1284" s="54">
        <f>I1276+I1277+I1280+I1281+I1282+SUM(I1279:I1279)</f>
        <v>5309.1299999999992</v>
      </c>
      <c r="I1284" s="54"/>
      <c r="J1284" s="54">
        <f>K1276+K1277+K1280+K1281+K1282+SUM(K1279:K1279)</f>
        <v>49347.68</v>
      </c>
      <c r="K1284" s="54"/>
      <c r="O1284" s="24">
        <f>I1276+I1277+I1280+I1281+I1282+SUM(I1279:I1279)</f>
        <v>5309.1299999999992</v>
      </c>
      <c r="P1284" s="24">
        <f>K1276+K1277+K1280+K1281+K1282+SUM(K1279:K1279)</f>
        <v>49347.68</v>
      </c>
      <c r="X1284">
        <f>IF(Source!BI908&lt;=1,I1276+I1277+I1280+I1281+I1282-0, 0)</f>
        <v>1359.4099999999999</v>
      </c>
      <c r="Y1284">
        <f>IF(Source!BI908=2,I1276+I1277+I1280+I1281+I1282-0, 0)</f>
        <v>0</v>
      </c>
      <c r="Z1284">
        <f>IF(Source!BI908=3,I1276+I1277+I1280+I1281+I1282-0, 0)</f>
        <v>0</v>
      </c>
      <c r="AA1284">
        <f>IF(Source!BI908=4,I1276+I1277+I1280+I1281+I1282,0)</f>
        <v>0</v>
      </c>
    </row>
    <row r="1285" spans="1:27" ht="57" x14ac:dyDescent="0.2">
      <c r="A1285" s="16" t="str">
        <f>Source!E910</f>
        <v>160</v>
      </c>
      <c r="B1285" s="17" t="str">
        <f>Source!F910</f>
        <v>3.34-18-1</v>
      </c>
      <c r="C1285" s="17" t="s">
        <v>963</v>
      </c>
      <c r="D1285" s="19" t="str">
        <f>Source!H910</f>
        <v>1 канало-километр трубопровода</v>
      </c>
      <c r="E1285" s="18">
        <f>Source!I910</f>
        <v>0.38</v>
      </c>
      <c r="F1285" s="21"/>
      <c r="G1285" s="20"/>
      <c r="H1285" s="18"/>
      <c r="I1285" s="22"/>
      <c r="J1285" s="18"/>
      <c r="K1285" s="22"/>
      <c r="Q1285">
        <f>ROUND((Source!DN910/100)*ROUND((ROUND((Source!AF910*Source!AV910*Source!I910),2)),2), 2)</f>
        <v>727.76</v>
      </c>
      <c r="R1285">
        <f>Source!X910</f>
        <v>14877.59</v>
      </c>
      <c r="S1285">
        <f>ROUND((Source!DO910/100)*ROUND((ROUND((Source!AF910*Source!AV910*Source!I910),2)),2), 2)</f>
        <v>454.85</v>
      </c>
      <c r="T1285">
        <f>Source!Y910</f>
        <v>6777.57</v>
      </c>
      <c r="U1285">
        <f>ROUND((175/100)*ROUND((ROUND((Source!AE910*Source!AV910*Source!I910),2)),2), 2)</f>
        <v>0</v>
      </c>
      <c r="V1285">
        <f>ROUND((157/100)*ROUND(ROUND((ROUND((Source!AE910*Source!AV910*Source!I910),2)*Source!BS910),2), 2), 2)</f>
        <v>0</v>
      </c>
    </row>
    <row r="1286" spans="1:27" ht="14.25" x14ac:dyDescent="0.2">
      <c r="A1286" s="16"/>
      <c r="B1286" s="17"/>
      <c r="C1286" s="17" t="s">
        <v>1625</v>
      </c>
      <c r="D1286" s="19"/>
      <c r="E1286" s="18"/>
      <c r="F1286" s="21">
        <f>Source!AO910</f>
        <v>1486.94</v>
      </c>
      <c r="G1286" s="20" t="str">
        <f>Source!DG910</f>
        <v>)*1,15</v>
      </c>
      <c r="H1286" s="18">
        <f>Source!AV910</f>
        <v>1</v>
      </c>
      <c r="I1286" s="22">
        <f>ROUND((ROUND((Source!AF910*Source!AV910*Source!I910),2)),2)</f>
        <v>649.79</v>
      </c>
      <c r="J1286" s="18">
        <f>IF(Source!BA910&lt;&gt; 0, Source!BA910, 1)</f>
        <v>25.44</v>
      </c>
      <c r="K1286" s="22">
        <f>Source!S910</f>
        <v>16530.66</v>
      </c>
      <c r="W1286">
        <f>I1286</f>
        <v>649.79</v>
      </c>
    </row>
    <row r="1287" spans="1:27" ht="14.25" x14ac:dyDescent="0.2">
      <c r="A1287" s="16"/>
      <c r="B1287" s="17"/>
      <c r="C1287" s="17" t="s">
        <v>1634</v>
      </c>
      <c r="D1287" s="19"/>
      <c r="E1287" s="18"/>
      <c r="F1287" s="21">
        <f>Source!AL910</f>
        <v>44.38</v>
      </c>
      <c r="G1287" s="20" t="str">
        <f>Source!DD910</f>
        <v/>
      </c>
      <c r="H1287" s="18">
        <f>Source!AW910</f>
        <v>1</v>
      </c>
      <c r="I1287" s="22">
        <f>ROUND((ROUND((Source!AC910*Source!AW910*Source!I910),2)),2)</f>
        <v>16.86</v>
      </c>
      <c r="J1287" s="18">
        <f>IF(Source!BC910&lt;&gt; 0, Source!BC910, 1)</f>
        <v>6.58</v>
      </c>
      <c r="K1287" s="22">
        <f>Source!P910</f>
        <v>110.94</v>
      </c>
    </row>
    <row r="1288" spans="1:27" ht="199.5" x14ac:dyDescent="0.2">
      <c r="A1288" s="16" t="str">
        <f>Source!E911</f>
        <v>160,1</v>
      </c>
      <c r="B1288" s="17" t="str">
        <f>Source!F911</f>
        <v>1.12-5-1006</v>
      </c>
      <c r="C1288" s="17" t="s">
        <v>1594</v>
      </c>
      <c r="D1288" s="19" t="str">
        <f>Source!H911</f>
        <v>м</v>
      </c>
      <c r="E1288" s="18">
        <f>Source!I911</f>
        <v>380</v>
      </c>
      <c r="F1288" s="21">
        <f>Source!AK911</f>
        <v>32.25</v>
      </c>
      <c r="G1288" s="27" t="s">
        <v>3</v>
      </c>
      <c r="H1288" s="18">
        <f>Source!AW911</f>
        <v>1</v>
      </c>
      <c r="I1288" s="22">
        <f>ROUND((ROUND((Source!AC911*Source!AW911*Source!I911),2)),2)+(ROUND((ROUND(((Source!ET911)*Source!AV911*Source!I911),2)),2)+ROUND((ROUND(((Source!AE911-(Source!EU911))*Source!AV911*Source!I911),2)),2))+ROUND((ROUND((Source!AF911*Source!AV911*Source!I911),2)),2)</f>
        <v>12255</v>
      </c>
      <c r="J1288" s="18">
        <f>IF(Source!BC911&lt;&gt; 0, Source!BC911, 1)</f>
        <v>6.94</v>
      </c>
      <c r="K1288" s="22">
        <f>Source!O911</f>
        <v>85049.7</v>
      </c>
      <c r="Q1288">
        <f>ROUND((Source!DN911/100)*ROUND((ROUND((Source!AF911*Source!AV911*Source!I911),2)),2), 2)</f>
        <v>0</v>
      </c>
      <c r="R1288">
        <f>Source!X911</f>
        <v>0</v>
      </c>
      <c r="S1288">
        <f>ROUND((Source!DO911/100)*ROUND((ROUND((Source!AF911*Source!AV911*Source!I911),2)),2), 2)</f>
        <v>0</v>
      </c>
      <c r="T1288">
        <f>Source!Y911</f>
        <v>0</v>
      </c>
      <c r="U1288">
        <f>ROUND((175/100)*ROUND((ROUND((Source!AE911*Source!AV911*Source!I911),2)),2), 2)</f>
        <v>0</v>
      </c>
      <c r="V1288">
        <f>ROUND((157/100)*ROUND(ROUND((ROUND((Source!AE911*Source!AV911*Source!I911),2)*Source!BS911),2), 2), 2)</f>
        <v>0</v>
      </c>
      <c r="X1288">
        <f>IF(Source!BI911&lt;=1,I1288, 0)</f>
        <v>12255</v>
      </c>
      <c r="Y1288">
        <f>IF(Source!BI911=2,I1288, 0)</f>
        <v>0</v>
      </c>
      <c r="Z1288">
        <f>IF(Source!BI911=3,I1288, 0)</f>
        <v>0</v>
      </c>
      <c r="AA1288">
        <f>IF(Source!BI911=4,I1288, 0)</f>
        <v>0</v>
      </c>
    </row>
    <row r="1289" spans="1:27" ht="42.75" x14ac:dyDescent="0.2">
      <c r="A1289" s="16" t="str">
        <f>Source!E912</f>
        <v>160,2</v>
      </c>
      <c r="B1289" s="17" t="str">
        <f>Source!F912</f>
        <v>Цена поставщика</v>
      </c>
      <c r="C1289" s="17" t="s">
        <v>1692</v>
      </c>
      <c r="D1289" s="19" t="str">
        <f>Source!H912</f>
        <v>м</v>
      </c>
      <c r="E1289" s="18">
        <f>Source!I912</f>
        <v>380</v>
      </c>
      <c r="F1289" s="21">
        <f>Source!AK912</f>
        <v>21.450000000000003</v>
      </c>
      <c r="G1289" s="27" t="s">
        <v>3</v>
      </c>
      <c r="H1289" s="18">
        <f>Source!AW912</f>
        <v>1</v>
      </c>
      <c r="I1289" s="22">
        <f>ROUND((ROUND((Source!AC912*Source!AW912*Source!I912),2)),2)+(ROUND((ROUND(((Source!ET912)*Source!AV912*Source!I912),2)),2)+ROUND((ROUND(((Source!AE912-(Source!EU912))*Source!AV912*Source!I912),2)),2))+ROUND((ROUND((Source!AF912*Source!AV912*Source!I912),2)),2)</f>
        <v>8151</v>
      </c>
      <c r="J1289" s="18">
        <f>IF(Source!BC912&lt;&gt; 0, Source!BC912, 1)</f>
        <v>6.34</v>
      </c>
      <c r="K1289" s="22">
        <f>Source!O912</f>
        <v>51677.34</v>
      </c>
      <c r="Q1289">
        <f>ROUND((Source!DN912/100)*ROUND((ROUND((Source!AF912*Source!AV912*Source!I912),2)),2), 2)</f>
        <v>0</v>
      </c>
      <c r="R1289">
        <f>Source!X912</f>
        <v>0</v>
      </c>
      <c r="S1289">
        <f>ROUND((Source!DO912/100)*ROUND((ROUND((Source!AF912*Source!AV912*Source!I912),2)),2), 2)</f>
        <v>0</v>
      </c>
      <c r="T1289">
        <f>Source!Y912</f>
        <v>0</v>
      </c>
      <c r="U1289">
        <f>ROUND((175/100)*ROUND((ROUND((Source!AE912*Source!AV912*Source!I912),2)),2), 2)</f>
        <v>0</v>
      </c>
      <c r="V1289">
        <f>ROUND((157/100)*ROUND(ROUND((ROUND((Source!AE912*Source!AV912*Source!I912),2)*Source!BS912),2), 2), 2)</f>
        <v>0</v>
      </c>
      <c r="X1289">
        <f>IF(Source!BI912&lt;=1,I1289, 0)</f>
        <v>8151</v>
      </c>
      <c r="Y1289">
        <f>IF(Source!BI912=2,I1289, 0)</f>
        <v>0</v>
      </c>
      <c r="Z1289">
        <f>IF(Source!BI912=3,I1289, 0)</f>
        <v>0</v>
      </c>
      <c r="AA1289">
        <f>IF(Source!BI912=4,I1289, 0)</f>
        <v>0</v>
      </c>
    </row>
    <row r="1290" spans="1:27" ht="14.25" x14ac:dyDescent="0.2">
      <c r="A1290" s="16"/>
      <c r="B1290" s="17"/>
      <c r="C1290" s="17" t="s">
        <v>1626</v>
      </c>
      <c r="D1290" s="19" t="s">
        <v>1627</v>
      </c>
      <c r="E1290" s="18">
        <f>Source!DN910</f>
        <v>112</v>
      </c>
      <c r="F1290" s="21"/>
      <c r="G1290" s="20"/>
      <c r="H1290" s="18"/>
      <c r="I1290" s="22">
        <f>SUM(Q1285:Q1289)</f>
        <v>727.76</v>
      </c>
      <c r="J1290" s="18">
        <f>Source!BZ910</f>
        <v>90</v>
      </c>
      <c r="K1290" s="22">
        <f>SUM(R1285:R1289)</f>
        <v>14877.59</v>
      </c>
    </row>
    <row r="1291" spans="1:27" ht="14.25" x14ac:dyDescent="0.2">
      <c r="A1291" s="16"/>
      <c r="B1291" s="17"/>
      <c r="C1291" s="17" t="s">
        <v>1628</v>
      </c>
      <c r="D1291" s="19" t="s">
        <v>1627</v>
      </c>
      <c r="E1291" s="18">
        <f>Source!DO910</f>
        <v>70</v>
      </c>
      <c r="F1291" s="21"/>
      <c r="G1291" s="20"/>
      <c r="H1291" s="18"/>
      <c r="I1291" s="22">
        <f>SUM(S1285:S1290)</f>
        <v>454.85</v>
      </c>
      <c r="J1291" s="18">
        <f>Source!CA910</f>
        <v>41</v>
      </c>
      <c r="K1291" s="22">
        <f>SUM(T1285:T1290)</f>
        <v>6777.57</v>
      </c>
    </row>
    <row r="1292" spans="1:27" ht="14.25" x14ac:dyDescent="0.2">
      <c r="A1292" s="16"/>
      <c r="B1292" s="17"/>
      <c r="C1292" s="17" t="s">
        <v>1629</v>
      </c>
      <c r="D1292" s="19" t="s">
        <v>1630</v>
      </c>
      <c r="E1292" s="18">
        <f>Source!AQ910</f>
        <v>133</v>
      </c>
      <c r="F1292" s="21"/>
      <c r="G1292" s="20" t="str">
        <f>Source!DI910</f>
        <v>)*1,15</v>
      </c>
      <c r="H1292" s="18">
        <f>Source!AV910</f>
        <v>1</v>
      </c>
      <c r="I1292" s="22">
        <f>Source!U910</f>
        <v>58.120999999999995</v>
      </c>
      <c r="J1292" s="18"/>
      <c r="K1292" s="22"/>
    </row>
    <row r="1293" spans="1:27" ht="15" x14ac:dyDescent="0.25">
      <c r="A1293" s="25"/>
      <c r="B1293" s="25"/>
      <c r="C1293" s="25"/>
      <c r="D1293" s="25"/>
      <c r="E1293" s="25"/>
      <c r="F1293" s="25"/>
      <c r="G1293" s="25"/>
      <c r="H1293" s="54">
        <f>I1286+I1287+I1290+I1291+SUM(I1288:I1289)</f>
        <v>22255.26</v>
      </c>
      <c r="I1293" s="54"/>
      <c r="J1293" s="54">
        <f>K1286+K1287+K1290+K1291+SUM(K1288:K1289)</f>
        <v>175023.8</v>
      </c>
      <c r="K1293" s="54"/>
      <c r="O1293" s="24">
        <f>I1286+I1287+I1290+I1291+SUM(I1288:I1289)</f>
        <v>22255.26</v>
      </c>
      <c r="P1293" s="24">
        <f>K1286+K1287+K1290+K1291+SUM(K1288:K1289)</f>
        <v>175023.8</v>
      </c>
      <c r="X1293">
        <f>IF(Source!BI910&lt;=1,I1286+I1287+I1290+I1291-0, 0)</f>
        <v>1849.2599999999998</v>
      </c>
      <c r="Y1293">
        <f>IF(Source!BI910=2,I1286+I1287+I1290+I1291-0, 0)</f>
        <v>0</v>
      </c>
      <c r="Z1293">
        <f>IF(Source!BI910=3,I1286+I1287+I1290+I1291-0, 0)</f>
        <v>0</v>
      </c>
      <c r="AA1293">
        <f>IF(Source!BI910=4,I1286+I1287+I1290+I1291,0)</f>
        <v>0</v>
      </c>
    </row>
    <row r="1294" spans="1:27" ht="42.75" x14ac:dyDescent="0.2">
      <c r="A1294" s="16" t="str">
        <f>Source!E913</f>
        <v>161</v>
      </c>
      <c r="B1294" s="17" t="str">
        <f>Source!F913</f>
        <v>4.8-80-1</v>
      </c>
      <c r="C1294" s="17" t="s">
        <v>976</v>
      </c>
      <c r="D1294" s="19" t="str">
        <f>Source!H913</f>
        <v>100 М КАБЕЛЯ</v>
      </c>
      <c r="E1294" s="18">
        <f>Source!I913</f>
        <v>3.8</v>
      </c>
      <c r="F1294" s="21"/>
      <c r="G1294" s="20"/>
      <c r="H1294" s="18"/>
      <c r="I1294" s="22"/>
      <c r="J1294" s="18"/>
      <c r="K1294" s="22"/>
      <c r="Q1294">
        <f>ROUND((Source!DN913/100)*ROUND((ROUND((Source!AF913*Source!AV913*Source!I913),2)),2), 2)</f>
        <v>571.52</v>
      </c>
      <c r="R1294">
        <f>Source!X913</f>
        <v>9820.4599999999991</v>
      </c>
      <c r="S1294">
        <f>ROUND((Source!DO913/100)*ROUND((ROUND((Source!AF913*Source!AV913*Source!I913),2)),2), 2)</f>
        <v>335.89</v>
      </c>
      <c r="T1294">
        <f>Source!Y913</f>
        <v>5229.07</v>
      </c>
      <c r="U1294">
        <f>ROUND((175/100)*ROUND((ROUND((Source!AE913*Source!AV913*Source!I913),2)),2), 2)</f>
        <v>47.29</v>
      </c>
      <c r="V1294">
        <f>ROUND((157/100)*ROUND(ROUND((ROUND((Source!AE913*Source!AV913*Source!I913),2)*Source!BS913),2), 2), 2)</f>
        <v>1079.2</v>
      </c>
    </row>
    <row r="1295" spans="1:27" x14ac:dyDescent="0.2">
      <c r="C1295" s="23" t="str">
        <f>"Объем: "&amp;Source!I913&amp;"=380/"&amp;"100"</f>
        <v>Объем: 3,8=380/100</v>
      </c>
    </row>
    <row r="1296" spans="1:27" ht="14.25" x14ac:dyDescent="0.2">
      <c r="A1296" s="16"/>
      <c r="B1296" s="17"/>
      <c r="C1296" s="17" t="s">
        <v>1625</v>
      </c>
      <c r="D1296" s="19"/>
      <c r="E1296" s="18"/>
      <c r="F1296" s="21">
        <f>Source!AO913</f>
        <v>131.93</v>
      </c>
      <c r="G1296" s="20" t="str">
        <f>Source!DG913</f>
        <v/>
      </c>
      <c r="H1296" s="18">
        <f>Source!AV913</f>
        <v>1</v>
      </c>
      <c r="I1296" s="22">
        <f>ROUND((ROUND((Source!AF913*Source!AV913*Source!I913),2)),2)</f>
        <v>501.33</v>
      </c>
      <c r="J1296" s="18">
        <f>IF(Source!BA913&lt;&gt; 0, Source!BA913, 1)</f>
        <v>25.44</v>
      </c>
      <c r="K1296" s="22">
        <f>Source!S913</f>
        <v>12753.84</v>
      </c>
      <c r="W1296">
        <f>I1296</f>
        <v>501.33</v>
      </c>
    </row>
    <row r="1297" spans="1:27" ht="14.25" x14ac:dyDescent="0.2">
      <c r="A1297" s="16"/>
      <c r="B1297" s="17"/>
      <c r="C1297" s="17" t="s">
        <v>1631</v>
      </c>
      <c r="D1297" s="19"/>
      <c r="E1297" s="18"/>
      <c r="F1297" s="21">
        <f>Source!AM913</f>
        <v>31.63</v>
      </c>
      <c r="G1297" s="20" t="str">
        <f>Source!DE913</f>
        <v/>
      </c>
      <c r="H1297" s="18">
        <f>Source!AV913</f>
        <v>1</v>
      </c>
      <c r="I1297" s="22">
        <f>(ROUND((ROUND(((Source!ET913)*Source!AV913*Source!I913),2)),2)+ROUND((ROUND(((Source!AE913-(Source!EU913))*Source!AV913*Source!I913),2)),2))</f>
        <v>120.19</v>
      </c>
      <c r="J1297" s="18">
        <f>IF(Source!BB913&lt;&gt; 0, Source!BB913, 1)</f>
        <v>10.25</v>
      </c>
      <c r="K1297" s="22">
        <f>Source!Q913</f>
        <v>1231.95</v>
      </c>
    </row>
    <row r="1298" spans="1:27" ht="14.25" x14ac:dyDescent="0.2">
      <c r="A1298" s="16"/>
      <c r="B1298" s="17"/>
      <c r="C1298" s="17" t="s">
        <v>1632</v>
      </c>
      <c r="D1298" s="19"/>
      <c r="E1298" s="18"/>
      <c r="F1298" s="21">
        <f>Source!AN913</f>
        <v>7.11</v>
      </c>
      <c r="G1298" s="20" t="str">
        <f>Source!DF913</f>
        <v/>
      </c>
      <c r="H1298" s="18">
        <f>Source!AV913</f>
        <v>1</v>
      </c>
      <c r="I1298" s="26">
        <f>ROUND((ROUND((Source!AE913*Source!AV913*Source!I913),2)),2)</f>
        <v>27.02</v>
      </c>
      <c r="J1298" s="18">
        <f>IF(Source!BS913&lt;&gt; 0, Source!BS913, 1)</f>
        <v>25.44</v>
      </c>
      <c r="K1298" s="26">
        <f>Source!R913</f>
        <v>687.39</v>
      </c>
      <c r="W1298">
        <f>I1298</f>
        <v>27.02</v>
      </c>
    </row>
    <row r="1299" spans="1:27" ht="14.25" x14ac:dyDescent="0.2">
      <c r="A1299" s="16"/>
      <c r="B1299" s="17"/>
      <c r="C1299" s="17" t="s">
        <v>1634</v>
      </c>
      <c r="D1299" s="19"/>
      <c r="E1299" s="18"/>
      <c r="F1299" s="21">
        <f>Source!AL913</f>
        <v>35.14</v>
      </c>
      <c r="G1299" s="20" t="str">
        <f>Source!DD913</f>
        <v/>
      </c>
      <c r="H1299" s="18">
        <f>Source!AW913</f>
        <v>1</v>
      </c>
      <c r="I1299" s="22">
        <f>ROUND((ROUND((Source!AC913*Source!AW913*Source!I913),2)),2)</f>
        <v>133.53</v>
      </c>
      <c r="J1299" s="18">
        <f>IF(Source!BC913&lt;&gt; 0, Source!BC913, 1)</f>
        <v>6.58</v>
      </c>
      <c r="K1299" s="22">
        <f>Source!P913</f>
        <v>878.63</v>
      </c>
    </row>
    <row r="1300" spans="1:27" ht="42.75" x14ac:dyDescent="0.2">
      <c r="A1300" s="16" t="str">
        <f>Source!E914</f>
        <v>161,1</v>
      </c>
      <c r="B1300" s="17" t="str">
        <f>Source!F914</f>
        <v>1.23-8-418</v>
      </c>
      <c r="C1300" s="17" t="s">
        <v>983</v>
      </c>
      <c r="D1300" s="19" t="str">
        <f>Source!H914</f>
        <v>км</v>
      </c>
      <c r="E1300" s="18">
        <f>Source!I914</f>
        <v>0.38</v>
      </c>
      <c r="F1300" s="21">
        <f>Source!AK914</f>
        <v>22680.87</v>
      </c>
      <c r="G1300" s="27" t="s">
        <v>3</v>
      </c>
      <c r="H1300" s="18">
        <f>Source!AW914</f>
        <v>1</v>
      </c>
      <c r="I1300" s="22">
        <f>ROUND((ROUND((Source!AC914*Source!AW914*Source!I914),2)),2)+(ROUND((ROUND(((Source!ET914)*Source!AV914*Source!I914),2)),2)+ROUND((ROUND(((Source!AE914-(Source!EU914))*Source!AV914*Source!I914),2)),2))+ROUND((ROUND((Source!AF914*Source!AV914*Source!I914),2)),2)</f>
        <v>8618.73</v>
      </c>
      <c r="J1300" s="18">
        <f>IF(Source!BC914&lt;&gt; 0, Source!BC914, 1)</f>
        <v>7.09</v>
      </c>
      <c r="K1300" s="22">
        <f>Source!O914</f>
        <v>61106.8</v>
      </c>
      <c r="Q1300">
        <f>ROUND((Source!DN914/100)*ROUND((ROUND((Source!AF914*Source!AV914*Source!I914),2)),2), 2)</f>
        <v>0</v>
      </c>
      <c r="R1300">
        <f>Source!X914</f>
        <v>0</v>
      </c>
      <c r="S1300">
        <f>ROUND((Source!DO914/100)*ROUND((ROUND((Source!AF914*Source!AV914*Source!I914),2)),2), 2)</f>
        <v>0</v>
      </c>
      <c r="T1300">
        <f>Source!Y914</f>
        <v>0</v>
      </c>
      <c r="U1300">
        <f>ROUND((175/100)*ROUND((ROUND((Source!AE914*Source!AV914*Source!I914),2)),2), 2)</f>
        <v>0</v>
      </c>
      <c r="V1300">
        <f>ROUND((157/100)*ROUND(ROUND((ROUND((Source!AE914*Source!AV914*Source!I914),2)*Source!BS914),2), 2), 2)</f>
        <v>0</v>
      </c>
      <c r="X1300">
        <f>IF(Source!BI914&lt;=1,I1300, 0)</f>
        <v>0</v>
      </c>
      <c r="Y1300">
        <f>IF(Source!BI914=2,I1300, 0)</f>
        <v>8618.73</v>
      </c>
      <c r="Z1300">
        <f>IF(Source!BI914=3,I1300, 0)</f>
        <v>0</v>
      </c>
      <c r="AA1300">
        <f>IF(Source!BI914=4,I1300, 0)</f>
        <v>0</v>
      </c>
    </row>
    <row r="1301" spans="1:27" ht="99.75" x14ac:dyDescent="0.2">
      <c r="A1301" s="16" t="str">
        <f>Source!E915</f>
        <v>161,2</v>
      </c>
      <c r="B1301" s="17" t="str">
        <f>Source!F915</f>
        <v>1.21-5-1519</v>
      </c>
      <c r="C1301" s="17" t="s">
        <v>987</v>
      </c>
      <c r="D1301" s="19" t="str">
        <f>Source!H915</f>
        <v>шт.</v>
      </c>
      <c r="E1301" s="18">
        <f>Source!I915</f>
        <v>30</v>
      </c>
      <c r="F1301" s="21">
        <f>Source!AK915</f>
        <v>92.79</v>
      </c>
      <c r="G1301" s="27" t="s">
        <v>3</v>
      </c>
      <c r="H1301" s="18">
        <f>Source!AW915</f>
        <v>1</v>
      </c>
      <c r="I1301" s="22">
        <f>ROUND((ROUND((Source!AC915*Source!AW915*Source!I915),2)),2)+(ROUND((ROUND(((Source!ET915)*Source!AV915*Source!I915),2)),2)+ROUND((ROUND(((Source!AE915-(Source!EU915))*Source!AV915*Source!I915),2)),2))+ROUND((ROUND((Source!AF915*Source!AV915*Source!I915),2)),2)</f>
        <v>2783.7</v>
      </c>
      <c r="J1301" s="18">
        <f>IF(Source!BC915&lt;&gt; 0, Source!BC915, 1)</f>
        <v>5.67</v>
      </c>
      <c r="K1301" s="22">
        <f>Source!O915</f>
        <v>15783.58</v>
      </c>
      <c r="Q1301">
        <f>ROUND((Source!DN915/100)*ROUND((ROUND((Source!AF915*Source!AV915*Source!I915),2)),2), 2)</f>
        <v>0</v>
      </c>
      <c r="R1301">
        <f>Source!X915</f>
        <v>0</v>
      </c>
      <c r="S1301">
        <f>ROUND((Source!DO915/100)*ROUND((ROUND((Source!AF915*Source!AV915*Source!I915),2)),2), 2)</f>
        <v>0</v>
      </c>
      <c r="T1301">
        <f>Source!Y915</f>
        <v>0</v>
      </c>
      <c r="U1301">
        <f>ROUND((175/100)*ROUND((ROUND((Source!AE915*Source!AV915*Source!I915),2)),2), 2)</f>
        <v>0</v>
      </c>
      <c r="V1301">
        <f>ROUND((157/100)*ROUND(ROUND((ROUND((Source!AE915*Source!AV915*Source!I915),2)*Source!BS915),2), 2), 2)</f>
        <v>0</v>
      </c>
      <c r="X1301">
        <f>IF(Source!BI915&lt;=1,I1301, 0)</f>
        <v>0</v>
      </c>
      <c r="Y1301">
        <f>IF(Source!BI915=2,I1301, 0)</f>
        <v>2783.7</v>
      </c>
      <c r="Z1301">
        <f>IF(Source!BI915=3,I1301, 0)</f>
        <v>0</v>
      </c>
      <c r="AA1301">
        <f>IF(Source!BI915=4,I1301, 0)</f>
        <v>0</v>
      </c>
    </row>
    <row r="1302" spans="1:27" ht="14.25" x14ac:dyDescent="0.2">
      <c r="A1302" s="16"/>
      <c r="B1302" s="17"/>
      <c r="C1302" s="17" t="s">
        <v>1626</v>
      </c>
      <c r="D1302" s="19" t="s">
        <v>1627</v>
      </c>
      <c r="E1302" s="18">
        <f>Source!DN913</f>
        <v>114</v>
      </c>
      <c r="F1302" s="21"/>
      <c r="G1302" s="20"/>
      <c r="H1302" s="18"/>
      <c r="I1302" s="22">
        <f>SUM(Q1294:Q1301)</f>
        <v>571.52</v>
      </c>
      <c r="J1302" s="18">
        <f>Source!BZ913</f>
        <v>77</v>
      </c>
      <c r="K1302" s="22">
        <f>SUM(R1294:R1301)</f>
        <v>9820.4599999999991</v>
      </c>
    </row>
    <row r="1303" spans="1:27" ht="14.25" x14ac:dyDescent="0.2">
      <c r="A1303" s="16"/>
      <c r="B1303" s="17"/>
      <c r="C1303" s="17" t="s">
        <v>1628</v>
      </c>
      <c r="D1303" s="19" t="s">
        <v>1627</v>
      </c>
      <c r="E1303" s="18">
        <f>Source!DO913</f>
        <v>67</v>
      </c>
      <c r="F1303" s="21"/>
      <c r="G1303" s="20"/>
      <c r="H1303" s="18"/>
      <c r="I1303" s="22">
        <f>SUM(S1294:S1302)</f>
        <v>335.89</v>
      </c>
      <c r="J1303" s="18">
        <f>Source!CA913</f>
        <v>41</v>
      </c>
      <c r="K1303" s="22">
        <f>SUM(T1294:T1302)</f>
        <v>5229.07</v>
      </c>
    </row>
    <row r="1304" spans="1:27" ht="14.25" x14ac:dyDescent="0.2">
      <c r="A1304" s="16"/>
      <c r="B1304" s="17"/>
      <c r="C1304" s="17" t="s">
        <v>1633</v>
      </c>
      <c r="D1304" s="19" t="s">
        <v>1627</v>
      </c>
      <c r="E1304" s="18">
        <f>175</f>
        <v>175</v>
      </c>
      <c r="F1304" s="21"/>
      <c r="G1304" s="20"/>
      <c r="H1304" s="18"/>
      <c r="I1304" s="22">
        <f>SUM(U1294:U1303)</f>
        <v>47.29</v>
      </c>
      <c r="J1304" s="18">
        <f>157</f>
        <v>157</v>
      </c>
      <c r="K1304" s="22">
        <f>SUM(V1294:V1303)</f>
        <v>1079.2</v>
      </c>
    </row>
    <row r="1305" spans="1:27" ht="14.25" x14ac:dyDescent="0.2">
      <c r="A1305" s="16"/>
      <c r="B1305" s="17"/>
      <c r="C1305" s="17" t="s">
        <v>1629</v>
      </c>
      <c r="D1305" s="19" t="s">
        <v>1630</v>
      </c>
      <c r="E1305" s="18">
        <f>Source!AQ913</f>
        <v>10.7</v>
      </c>
      <c r="F1305" s="21"/>
      <c r="G1305" s="20" t="str">
        <f>Source!DI913</f>
        <v/>
      </c>
      <c r="H1305" s="18">
        <f>Source!AV913</f>
        <v>1</v>
      </c>
      <c r="I1305" s="22">
        <f>Source!U913</f>
        <v>40.659999999999997</v>
      </c>
      <c r="J1305" s="18"/>
      <c r="K1305" s="22"/>
    </row>
    <row r="1306" spans="1:27" ht="15" x14ac:dyDescent="0.25">
      <c r="A1306" s="25"/>
      <c r="B1306" s="25"/>
      <c r="C1306" s="25"/>
      <c r="D1306" s="25"/>
      <c r="E1306" s="25"/>
      <c r="F1306" s="25"/>
      <c r="G1306" s="25"/>
      <c r="H1306" s="54">
        <f>I1296+I1297+I1299+I1302+I1303+I1304+SUM(I1300:I1301)</f>
        <v>13112.18</v>
      </c>
      <c r="I1306" s="54"/>
      <c r="J1306" s="54">
        <f>K1296+K1297+K1299+K1302+K1303+K1304+SUM(K1300:K1301)</f>
        <v>107883.53</v>
      </c>
      <c r="K1306" s="54"/>
      <c r="O1306" s="24">
        <f>I1296+I1297+I1299+I1302+I1303+I1304+SUM(I1300:I1301)</f>
        <v>13112.18</v>
      </c>
      <c r="P1306" s="24">
        <f>K1296+K1297+K1299+K1302+K1303+K1304+SUM(K1300:K1301)</f>
        <v>107883.53</v>
      </c>
      <c r="X1306">
        <f>IF(Source!BI913&lt;=1,I1296+I1297+I1299+I1302+I1303+I1304-0, 0)</f>
        <v>0</v>
      </c>
      <c r="Y1306">
        <f>IF(Source!BI913=2,I1296+I1297+I1299+I1302+I1303+I1304-0, 0)</f>
        <v>1709.75</v>
      </c>
      <c r="Z1306">
        <f>IF(Source!BI913=3,I1296+I1297+I1299+I1302+I1303+I1304-0, 0)</f>
        <v>0</v>
      </c>
      <c r="AA1306">
        <f>IF(Source!BI913=4,I1296+I1297+I1299+I1302+I1303+I1304,0)</f>
        <v>0</v>
      </c>
    </row>
    <row r="1307" spans="1:27" ht="42.75" x14ac:dyDescent="0.2">
      <c r="A1307" s="16" t="str">
        <f>Source!E916</f>
        <v>162</v>
      </c>
      <c r="B1307" s="17" t="str">
        <f>Source!F916</f>
        <v>4.10-119-3</v>
      </c>
      <c r="C1307" s="17" t="s">
        <v>991</v>
      </c>
      <c r="D1307" s="19" t="str">
        <f>Source!H916</f>
        <v>1 км кабеля</v>
      </c>
      <c r="E1307" s="18">
        <f>Source!I916</f>
        <v>0.38</v>
      </c>
      <c r="F1307" s="21"/>
      <c r="G1307" s="20"/>
      <c r="H1307" s="18"/>
      <c r="I1307" s="22"/>
      <c r="J1307" s="18"/>
      <c r="K1307" s="22"/>
      <c r="Q1307">
        <f>ROUND((Source!DN916/100)*ROUND((ROUND((Source!AF916*Source!AV916*Source!I916),2)),2), 2)</f>
        <v>111.7</v>
      </c>
      <c r="R1307">
        <f>Source!X916</f>
        <v>1919.31</v>
      </c>
      <c r="S1307">
        <f>ROUND((Source!DO916/100)*ROUND((ROUND((Source!AF916*Source!AV916*Source!I916),2)),2), 2)</f>
        <v>65.650000000000006</v>
      </c>
      <c r="T1307">
        <f>Source!Y916</f>
        <v>1021.97</v>
      </c>
      <c r="U1307">
        <f>ROUND((175/100)*ROUND((ROUND((Source!AE916*Source!AV916*Source!I916),2)),2), 2)</f>
        <v>153.93</v>
      </c>
      <c r="V1307">
        <f>ROUND((157/100)*ROUND(ROUND((ROUND((Source!AE916*Source!AV916*Source!I916),2)*Source!BS916),2), 2), 2)</f>
        <v>3513.19</v>
      </c>
    </row>
    <row r="1308" spans="1:27" ht="14.25" x14ac:dyDescent="0.2">
      <c r="A1308" s="16"/>
      <c r="B1308" s="17"/>
      <c r="C1308" s="17" t="s">
        <v>1625</v>
      </c>
      <c r="D1308" s="19"/>
      <c r="E1308" s="18"/>
      <c r="F1308" s="21">
        <f>Source!AO916</f>
        <v>257.83</v>
      </c>
      <c r="G1308" s="20" t="str">
        <f>Source!DG916</f>
        <v/>
      </c>
      <c r="H1308" s="18">
        <f>Source!AV916</f>
        <v>1</v>
      </c>
      <c r="I1308" s="22">
        <f>ROUND((ROUND((Source!AF916*Source!AV916*Source!I916),2)),2)</f>
        <v>97.98</v>
      </c>
      <c r="J1308" s="18">
        <f>IF(Source!BA916&lt;&gt; 0, Source!BA916, 1)</f>
        <v>25.44</v>
      </c>
      <c r="K1308" s="22">
        <f>Source!S916</f>
        <v>2492.61</v>
      </c>
      <c r="W1308">
        <f>I1308</f>
        <v>97.98</v>
      </c>
    </row>
    <row r="1309" spans="1:27" ht="14.25" x14ac:dyDescent="0.2">
      <c r="A1309" s="16"/>
      <c r="B1309" s="17"/>
      <c r="C1309" s="17" t="s">
        <v>1631</v>
      </c>
      <c r="D1309" s="19"/>
      <c r="E1309" s="18"/>
      <c r="F1309" s="21">
        <f>Source!AM916</f>
        <v>1392.52</v>
      </c>
      <c r="G1309" s="20" t="str">
        <f>Source!DE916</f>
        <v/>
      </c>
      <c r="H1309" s="18">
        <f>Source!AV916</f>
        <v>1</v>
      </c>
      <c r="I1309" s="22">
        <f>(ROUND((ROUND(((Source!ET916)*Source!AV916*Source!I916),2)),2)+ROUND((ROUND(((Source!AE916-(Source!EU916))*Source!AV916*Source!I916),2)),2))</f>
        <v>529.16</v>
      </c>
      <c r="J1309" s="18">
        <f>IF(Source!BB916&lt;&gt; 0, Source!BB916, 1)</f>
        <v>9.11</v>
      </c>
      <c r="K1309" s="22">
        <f>Source!Q916</f>
        <v>4820.6499999999996</v>
      </c>
    </row>
    <row r="1310" spans="1:27" ht="14.25" x14ac:dyDescent="0.2">
      <c r="A1310" s="16"/>
      <c r="B1310" s="17"/>
      <c r="C1310" s="17" t="s">
        <v>1632</v>
      </c>
      <c r="D1310" s="19"/>
      <c r="E1310" s="18"/>
      <c r="F1310" s="21">
        <f>Source!AN916</f>
        <v>231.48</v>
      </c>
      <c r="G1310" s="20" t="str">
        <f>Source!DF916</f>
        <v/>
      </c>
      <c r="H1310" s="18">
        <f>Source!AV916</f>
        <v>1</v>
      </c>
      <c r="I1310" s="26">
        <f>ROUND((ROUND((Source!AE916*Source!AV916*Source!I916),2)),2)</f>
        <v>87.96</v>
      </c>
      <c r="J1310" s="18">
        <f>IF(Source!BS916&lt;&gt; 0, Source!BS916, 1)</f>
        <v>25.44</v>
      </c>
      <c r="K1310" s="26">
        <f>Source!R916</f>
        <v>2237.6999999999998</v>
      </c>
      <c r="W1310">
        <f>I1310</f>
        <v>87.96</v>
      </c>
    </row>
    <row r="1311" spans="1:27" ht="14.25" x14ac:dyDescent="0.2">
      <c r="A1311" s="16"/>
      <c r="B1311" s="17"/>
      <c r="C1311" s="17" t="s">
        <v>1634</v>
      </c>
      <c r="D1311" s="19"/>
      <c r="E1311" s="18"/>
      <c r="F1311" s="21">
        <f>Source!AL916</f>
        <v>2.31</v>
      </c>
      <c r="G1311" s="20" t="str">
        <f>Source!DD916</f>
        <v/>
      </c>
      <c r="H1311" s="18">
        <f>Source!AW916</f>
        <v>1</v>
      </c>
      <c r="I1311" s="22">
        <f>ROUND((ROUND((Source!AC916*Source!AW916*Source!I916),2)),2)</f>
        <v>0.88</v>
      </c>
      <c r="J1311" s="18">
        <f>IF(Source!BC916&lt;&gt; 0, Source!BC916, 1)</f>
        <v>6.58</v>
      </c>
      <c r="K1311" s="22">
        <f>Source!P916</f>
        <v>5.79</v>
      </c>
    </row>
    <row r="1312" spans="1:27" ht="14.25" x14ac:dyDescent="0.2">
      <c r="A1312" s="16"/>
      <c r="B1312" s="17"/>
      <c r="C1312" s="17" t="s">
        <v>1626</v>
      </c>
      <c r="D1312" s="19" t="s">
        <v>1627</v>
      </c>
      <c r="E1312" s="18">
        <f>Source!DN916</f>
        <v>114</v>
      </c>
      <c r="F1312" s="21"/>
      <c r="G1312" s="20"/>
      <c r="H1312" s="18"/>
      <c r="I1312" s="22">
        <f>SUM(Q1307:Q1311)</f>
        <v>111.7</v>
      </c>
      <c r="J1312" s="18">
        <f>Source!BZ916</f>
        <v>77</v>
      </c>
      <c r="K1312" s="22">
        <f>SUM(R1307:R1311)</f>
        <v>1919.31</v>
      </c>
    </row>
    <row r="1313" spans="1:27" ht="14.25" x14ac:dyDescent="0.2">
      <c r="A1313" s="16"/>
      <c r="B1313" s="17"/>
      <c r="C1313" s="17" t="s">
        <v>1628</v>
      </c>
      <c r="D1313" s="19" t="s">
        <v>1627</v>
      </c>
      <c r="E1313" s="18">
        <f>Source!DO916</f>
        <v>67</v>
      </c>
      <c r="F1313" s="21"/>
      <c r="G1313" s="20"/>
      <c r="H1313" s="18"/>
      <c r="I1313" s="22">
        <f>SUM(S1307:S1312)</f>
        <v>65.650000000000006</v>
      </c>
      <c r="J1313" s="18">
        <f>Source!CA916</f>
        <v>41</v>
      </c>
      <c r="K1313" s="22">
        <f>SUM(T1307:T1312)</f>
        <v>1021.97</v>
      </c>
    </row>
    <row r="1314" spans="1:27" ht="14.25" x14ac:dyDescent="0.2">
      <c r="A1314" s="16"/>
      <c r="B1314" s="17"/>
      <c r="C1314" s="17" t="s">
        <v>1633</v>
      </c>
      <c r="D1314" s="19" t="s">
        <v>1627</v>
      </c>
      <c r="E1314" s="18">
        <f>175</f>
        <v>175</v>
      </c>
      <c r="F1314" s="21"/>
      <c r="G1314" s="20"/>
      <c r="H1314" s="18"/>
      <c r="I1314" s="22">
        <f>SUM(U1307:U1313)</f>
        <v>153.93</v>
      </c>
      <c r="J1314" s="18">
        <f>157</f>
        <v>157</v>
      </c>
      <c r="K1314" s="22">
        <f>SUM(V1307:V1313)</f>
        <v>3513.19</v>
      </c>
    </row>
    <row r="1315" spans="1:27" ht="14.25" x14ac:dyDescent="0.2">
      <c r="A1315" s="16"/>
      <c r="B1315" s="17"/>
      <c r="C1315" s="17" t="s">
        <v>1629</v>
      </c>
      <c r="D1315" s="19" t="s">
        <v>1630</v>
      </c>
      <c r="E1315" s="18">
        <f>Source!AQ916</f>
        <v>19</v>
      </c>
      <c r="F1315" s="21"/>
      <c r="G1315" s="20" t="str">
        <f>Source!DI916</f>
        <v/>
      </c>
      <c r="H1315" s="18">
        <f>Source!AV916</f>
        <v>1</v>
      </c>
      <c r="I1315" s="22">
        <f>Source!U916</f>
        <v>7.22</v>
      </c>
      <c r="J1315" s="18"/>
      <c r="K1315" s="22"/>
    </row>
    <row r="1316" spans="1:27" ht="15" x14ac:dyDescent="0.25">
      <c r="A1316" s="25"/>
      <c r="B1316" s="25"/>
      <c r="C1316" s="25"/>
      <c r="D1316" s="25"/>
      <c r="E1316" s="25"/>
      <c r="F1316" s="25"/>
      <c r="G1316" s="25"/>
      <c r="H1316" s="54">
        <f>I1308+I1309+I1311+I1312+I1313+I1314</f>
        <v>959.3</v>
      </c>
      <c r="I1316" s="54"/>
      <c r="J1316" s="54">
        <f>K1308+K1309+K1311+K1312+K1313+K1314</f>
        <v>13773.52</v>
      </c>
      <c r="K1316" s="54"/>
      <c r="O1316" s="24">
        <f>I1308+I1309+I1311+I1312+I1313+I1314</f>
        <v>959.3</v>
      </c>
      <c r="P1316" s="24">
        <f>K1308+K1309+K1311+K1312+K1313+K1314</f>
        <v>13773.52</v>
      </c>
      <c r="X1316">
        <f>IF(Source!BI916&lt;=1,I1308+I1309+I1311+I1312+I1313+I1314-0, 0)</f>
        <v>0</v>
      </c>
      <c r="Y1316">
        <f>IF(Source!BI916=2,I1308+I1309+I1311+I1312+I1313+I1314-0, 0)</f>
        <v>959.3</v>
      </c>
      <c r="Z1316">
        <f>IF(Source!BI916=3,I1308+I1309+I1311+I1312+I1313+I1314-0, 0)</f>
        <v>0</v>
      </c>
      <c r="AA1316">
        <f>IF(Source!BI916=4,I1308+I1309+I1311+I1312+I1313+I1314,0)</f>
        <v>0</v>
      </c>
    </row>
    <row r="1317" spans="1:27" ht="28.5" x14ac:dyDescent="0.2">
      <c r="A1317" s="16" t="str">
        <f>Source!E917</f>
        <v>163</v>
      </c>
      <c r="B1317" s="17" t="str">
        <f>Source!F917</f>
        <v>1.1-1-3587</v>
      </c>
      <c r="C1317" s="17" t="s">
        <v>998</v>
      </c>
      <c r="D1317" s="19" t="str">
        <f>Source!H917</f>
        <v>м</v>
      </c>
      <c r="E1317" s="18">
        <f>Source!I917</f>
        <v>250</v>
      </c>
      <c r="F1317" s="21">
        <f>Source!AL917</f>
        <v>0.49</v>
      </c>
      <c r="G1317" s="20" t="str">
        <f>Source!DD917</f>
        <v/>
      </c>
      <c r="H1317" s="18">
        <f>Source!AW917</f>
        <v>1</v>
      </c>
      <c r="I1317" s="22">
        <f>ROUND((ROUND((Source!AC917*Source!AW917*Source!I917),2)),2)</f>
        <v>122.5</v>
      </c>
      <c r="J1317" s="18">
        <f>IF(Source!BC917&lt;&gt; 0, Source!BC917, 1)</f>
        <v>2.4500000000000002</v>
      </c>
      <c r="K1317" s="22">
        <f>Source!P917</f>
        <v>300.13</v>
      </c>
      <c r="Q1317">
        <f>ROUND((Source!DN917/100)*ROUND((ROUND((Source!AF917*Source!AV917*Source!I917),2)),2), 2)</f>
        <v>0</v>
      </c>
      <c r="R1317">
        <f>Source!X917</f>
        <v>0</v>
      </c>
      <c r="S1317">
        <f>ROUND((Source!DO917/100)*ROUND((ROUND((Source!AF917*Source!AV917*Source!I917),2)),2), 2)</f>
        <v>0</v>
      </c>
      <c r="T1317">
        <f>Source!Y917</f>
        <v>0</v>
      </c>
      <c r="U1317">
        <f>ROUND((175/100)*ROUND((ROUND((Source!AE917*Source!AV917*Source!I917),2)),2), 2)</f>
        <v>0</v>
      </c>
      <c r="V1317">
        <f>ROUND((157/100)*ROUND(ROUND((ROUND((Source!AE917*Source!AV917*Source!I917),2)*Source!BS917),2), 2), 2)</f>
        <v>0</v>
      </c>
    </row>
    <row r="1318" spans="1:27" ht="15" x14ac:dyDescent="0.25">
      <c r="A1318" s="25"/>
      <c r="B1318" s="25"/>
      <c r="C1318" s="25"/>
      <c r="D1318" s="25"/>
      <c r="E1318" s="25"/>
      <c r="F1318" s="25"/>
      <c r="G1318" s="25"/>
      <c r="H1318" s="54">
        <f>I1317</f>
        <v>122.5</v>
      </c>
      <c r="I1318" s="54"/>
      <c r="J1318" s="54">
        <f>K1317</f>
        <v>300.13</v>
      </c>
      <c r="K1318" s="54"/>
      <c r="O1318" s="24">
        <f>I1317</f>
        <v>122.5</v>
      </c>
      <c r="P1318" s="24">
        <f>K1317</f>
        <v>300.13</v>
      </c>
      <c r="X1318">
        <f>IF(Source!BI917&lt;=1,I1317-0, 0)</f>
        <v>122.5</v>
      </c>
      <c r="Y1318">
        <f>IF(Source!BI917=2,I1317-0, 0)</f>
        <v>0</v>
      </c>
      <c r="Z1318">
        <f>IF(Source!BI917=3,I1317-0, 0)</f>
        <v>0</v>
      </c>
      <c r="AA1318">
        <f>IF(Source!BI917=4,I1317,0)</f>
        <v>0</v>
      </c>
    </row>
    <row r="1319" spans="1:27" ht="57" x14ac:dyDescent="0.2">
      <c r="A1319" s="16" t="str">
        <f>Source!E918</f>
        <v>164</v>
      </c>
      <c r="B1319" s="17" t="str">
        <f>Source!F918</f>
        <v>3.1-14-1</v>
      </c>
      <c r="C1319" s="17" t="s">
        <v>1005</v>
      </c>
      <c r="D1319" s="19" t="str">
        <f>Source!H918</f>
        <v>100 м3 грунта</v>
      </c>
      <c r="E1319" s="18">
        <f>Source!I918</f>
        <v>0.22800000000000001</v>
      </c>
      <c r="F1319" s="21"/>
      <c r="G1319" s="20"/>
      <c r="H1319" s="18"/>
      <c r="I1319" s="22"/>
      <c r="J1319" s="18"/>
      <c r="K1319" s="22"/>
      <c r="Q1319">
        <f>ROUND((Source!DN918/100)*ROUND((ROUND((Source!AF918*Source!AV918*Source!I918),2)),2), 2)</f>
        <v>0</v>
      </c>
      <c r="R1319">
        <f>Source!X918</f>
        <v>0</v>
      </c>
      <c r="S1319">
        <f>ROUND((Source!DO918/100)*ROUND((ROUND((Source!AF918*Source!AV918*Source!I918),2)),2), 2)</f>
        <v>0</v>
      </c>
      <c r="T1319">
        <f>Source!Y918</f>
        <v>0</v>
      </c>
      <c r="U1319">
        <f>ROUND((175/100)*ROUND((ROUND((Source!AE918*Source!AV918*Source!I918),2)),2), 2)</f>
        <v>5.16</v>
      </c>
      <c r="V1319">
        <f>ROUND((157/100)*ROUND(ROUND((ROUND((Source!AE918*Source!AV918*Source!I918),2)*Source!BS918),2), 2), 2)</f>
        <v>117.83</v>
      </c>
    </row>
    <row r="1320" spans="1:27" x14ac:dyDescent="0.2">
      <c r="C1320" s="23" t="str">
        <f>"Объем: "&amp;Source!I918&amp;"=22,8/"&amp;"100"</f>
        <v>Объем: 0,228=22,8/100</v>
      </c>
    </row>
    <row r="1321" spans="1:27" ht="28.5" x14ac:dyDescent="0.2">
      <c r="A1321" s="16"/>
      <c r="B1321" s="17"/>
      <c r="C1321" s="17" t="s">
        <v>1631</v>
      </c>
      <c r="D1321" s="19"/>
      <c r="E1321" s="18"/>
      <c r="F1321" s="21">
        <f>Source!AM918</f>
        <v>145.99</v>
      </c>
      <c r="G1321" s="20" t="str">
        <f>Source!DE918</f>
        <v>*0,75)*1,25</v>
      </c>
      <c r="H1321" s="18">
        <f>Source!AV918</f>
        <v>1</v>
      </c>
      <c r="I1321" s="22">
        <f>(ROUND((ROUND(((((Source!ET918*0.75)*1.25))*Source!AV918*Source!I918),2)),2)+ROUND((ROUND(((Source!AE918-(((Source!EU918*0.75)*1.25)))*Source!AV918*Source!I918),2)),2))</f>
        <v>31.21</v>
      </c>
      <c r="J1321" s="18">
        <f>IF(Source!BB918&lt;&gt; 0, Source!BB918, 1)</f>
        <v>8.5500000000000007</v>
      </c>
      <c r="K1321" s="22">
        <f>Source!Q918</f>
        <v>266.85000000000002</v>
      </c>
    </row>
    <row r="1322" spans="1:27" ht="28.5" x14ac:dyDescent="0.2">
      <c r="A1322" s="16"/>
      <c r="B1322" s="17"/>
      <c r="C1322" s="17" t="s">
        <v>1632</v>
      </c>
      <c r="D1322" s="19"/>
      <c r="E1322" s="18"/>
      <c r="F1322" s="21">
        <f>Source!AN918</f>
        <v>13.81</v>
      </c>
      <c r="G1322" s="20" t="str">
        <f>Source!DF918</f>
        <v>*0,75)*1,25</v>
      </c>
      <c r="H1322" s="18">
        <f>Source!AV918</f>
        <v>1</v>
      </c>
      <c r="I1322" s="26">
        <f>ROUND((ROUND((Source!AE918*Source!AV918*Source!I918),2)),2)</f>
        <v>2.95</v>
      </c>
      <c r="J1322" s="18">
        <f>IF(Source!BS918&lt;&gt; 0, Source!BS918, 1)</f>
        <v>25.44</v>
      </c>
      <c r="K1322" s="26">
        <f>Source!R918</f>
        <v>75.05</v>
      </c>
      <c r="W1322">
        <f>I1322</f>
        <v>2.95</v>
      </c>
    </row>
    <row r="1323" spans="1:27" ht="14.25" x14ac:dyDescent="0.2">
      <c r="A1323" s="16"/>
      <c r="B1323" s="17"/>
      <c r="C1323" s="17" t="s">
        <v>1633</v>
      </c>
      <c r="D1323" s="19" t="s">
        <v>1627</v>
      </c>
      <c r="E1323" s="18">
        <f>175</f>
        <v>175</v>
      </c>
      <c r="F1323" s="21"/>
      <c r="G1323" s="20"/>
      <c r="H1323" s="18"/>
      <c r="I1323" s="22">
        <f>SUM(U1319:U1322)</f>
        <v>5.16</v>
      </c>
      <c r="J1323" s="18">
        <f>157</f>
        <v>157</v>
      </c>
      <c r="K1323" s="22">
        <f>SUM(V1319:V1322)</f>
        <v>117.83</v>
      </c>
    </row>
    <row r="1324" spans="1:27" ht="15" x14ac:dyDescent="0.25">
      <c r="A1324" s="25"/>
      <c r="B1324" s="25"/>
      <c r="C1324" s="25"/>
      <c r="D1324" s="25"/>
      <c r="E1324" s="25"/>
      <c r="F1324" s="25"/>
      <c r="G1324" s="25"/>
      <c r="H1324" s="54">
        <f>I1321+I1323</f>
        <v>36.370000000000005</v>
      </c>
      <c r="I1324" s="54"/>
      <c r="J1324" s="54">
        <f>K1321+K1323</f>
        <v>384.68</v>
      </c>
      <c r="K1324" s="54"/>
      <c r="O1324" s="24">
        <f>I1321+I1323</f>
        <v>36.370000000000005</v>
      </c>
      <c r="P1324" s="24">
        <f>K1321+K1323</f>
        <v>384.68</v>
      </c>
      <c r="X1324">
        <f>IF(Source!BI918&lt;=1,I1321+I1323-0, 0)</f>
        <v>36.370000000000005</v>
      </c>
      <c r="Y1324">
        <f>IF(Source!BI918=2,I1321+I1323-0, 0)</f>
        <v>0</v>
      </c>
      <c r="Z1324">
        <f>IF(Source!BI918=3,I1321+I1323-0, 0)</f>
        <v>0</v>
      </c>
      <c r="AA1324">
        <f>IF(Source!BI918=4,I1321+I1323,0)</f>
        <v>0</v>
      </c>
    </row>
    <row r="1325" spans="1:27" ht="28.5" x14ac:dyDescent="0.2">
      <c r="A1325" s="16" t="str">
        <f>Source!E919</f>
        <v>165</v>
      </c>
      <c r="B1325" s="17" t="str">
        <f>Source!F919</f>
        <v>3.1-53-2</v>
      </c>
      <c r="C1325" s="17" t="s">
        <v>1011</v>
      </c>
      <c r="D1325" s="19" t="str">
        <f>Source!H919</f>
        <v>100 м3 грунта</v>
      </c>
      <c r="E1325" s="18">
        <f>Source!I919</f>
        <v>0.22800000000000001</v>
      </c>
      <c r="F1325" s="21"/>
      <c r="G1325" s="20"/>
      <c r="H1325" s="18"/>
      <c r="I1325" s="22"/>
      <c r="J1325" s="18"/>
      <c r="K1325" s="22"/>
      <c r="Q1325">
        <f>ROUND((Source!DN919/100)*ROUND((ROUND((Source!AF919*Source!AV919*Source!I919),2)),2), 2)</f>
        <v>80.84</v>
      </c>
      <c r="R1325">
        <f>Source!X919</f>
        <v>1649.68</v>
      </c>
      <c r="S1325">
        <f>ROUND((Source!DO919/100)*ROUND((ROUND((Source!AF919*Source!AV919*Source!I919),2)),2), 2)</f>
        <v>59.52</v>
      </c>
      <c r="T1325">
        <f>Source!Y919</f>
        <v>926.53</v>
      </c>
      <c r="U1325">
        <f>ROUND((175/100)*ROUND((ROUND((Source!AE919*Source!AV919*Source!I919),2)),2), 2)</f>
        <v>0</v>
      </c>
      <c r="V1325">
        <f>ROUND((157/100)*ROUND(ROUND((ROUND((Source!AE919*Source!AV919*Source!I919),2)*Source!BS919),2), 2), 2)</f>
        <v>0</v>
      </c>
    </row>
    <row r="1326" spans="1:27" x14ac:dyDescent="0.2">
      <c r="C1326" s="23" t="str">
        <f>"Объем: "&amp;Source!I919&amp;"=22,8/"&amp;"100"</f>
        <v>Объем: 0,228=22,8/100</v>
      </c>
    </row>
    <row r="1327" spans="1:27" ht="28.5" x14ac:dyDescent="0.2">
      <c r="A1327" s="16"/>
      <c r="B1327" s="17"/>
      <c r="C1327" s="17" t="s">
        <v>1625</v>
      </c>
      <c r="D1327" s="19"/>
      <c r="E1327" s="18"/>
      <c r="F1327" s="21">
        <f>Source!AO919</f>
        <v>1355.16</v>
      </c>
      <c r="G1327" s="20" t="str">
        <f>Source!DG919</f>
        <v>*0,25)*1,15</v>
      </c>
      <c r="H1327" s="18">
        <f>Source!AV919</f>
        <v>1</v>
      </c>
      <c r="I1327" s="22">
        <f>ROUND((ROUND((Source!AF919*Source!AV919*Source!I919),2)),2)</f>
        <v>88.83</v>
      </c>
      <c r="J1327" s="18">
        <f>IF(Source!BA919&lt;&gt; 0, Source!BA919, 1)</f>
        <v>25.44</v>
      </c>
      <c r="K1327" s="22">
        <f>Source!S919</f>
        <v>2259.84</v>
      </c>
      <c r="W1327">
        <f>I1327</f>
        <v>88.83</v>
      </c>
    </row>
    <row r="1328" spans="1:27" ht="14.25" x14ac:dyDescent="0.2">
      <c r="A1328" s="16"/>
      <c r="B1328" s="17"/>
      <c r="C1328" s="17" t="s">
        <v>1626</v>
      </c>
      <c r="D1328" s="19" t="s">
        <v>1627</v>
      </c>
      <c r="E1328" s="18">
        <f>Source!DN919</f>
        <v>91</v>
      </c>
      <c r="F1328" s="21"/>
      <c r="G1328" s="20"/>
      <c r="H1328" s="18"/>
      <c r="I1328" s="22">
        <f>SUM(Q1325:Q1327)</f>
        <v>80.84</v>
      </c>
      <c r="J1328" s="18">
        <f>Source!BZ919</f>
        <v>73</v>
      </c>
      <c r="K1328" s="22">
        <f>SUM(R1325:R1327)</f>
        <v>1649.68</v>
      </c>
    </row>
    <row r="1329" spans="1:27" ht="14.25" x14ac:dyDescent="0.2">
      <c r="A1329" s="16"/>
      <c r="B1329" s="17"/>
      <c r="C1329" s="17" t="s">
        <v>1628</v>
      </c>
      <c r="D1329" s="19" t="s">
        <v>1627</v>
      </c>
      <c r="E1329" s="18">
        <f>Source!DO919</f>
        <v>67</v>
      </c>
      <c r="F1329" s="21"/>
      <c r="G1329" s="20"/>
      <c r="H1329" s="18"/>
      <c r="I1329" s="22">
        <f>SUM(S1325:S1328)</f>
        <v>59.52</v>
      </c>
      <c r="J1329" s="18">
        <f>Source!CA919</f>
        <v>41</v>
      </c>
      <c r="K1329" s="22">
        <f>SUM(T1325:T1328)</f>
        <v>926.53</v>
      </c>
    </row>
    <row r="1330" spans="1:27" ht="28.5" x14ac:dyDescent="0.2">
      <c r="A1330" s="16"/>
      <c r="B1330" s="17"/>
      <c r="C1330" s="17" t="s">
        <v>1629</v>
      </c>
      <c r="D1330" s="19" t="s">
        <v>1630</v>
      </c>
      <c r="E1330" s="18">
        <f>Source!AQ919</f>
        <v>138</v>
      </c>
      <c r="F1330" s="21"/>
      <c r="G1330" s="20" t="str">
        <f>Source!DI919</f>
        <v>*0,25)*1,15</v>
      </c>
      <c r="H1330" s="18">
        <f>Source!AV919</f>
        <v>1</v>
      </c>
      <c r="I1330" s="22">
        <f>Source!U919</f>
        <v>9.0458999999999996</v>
      </c>
      <c r="J1330" s="18"/>
      <c r="K1330" s="22"/>
    </row>
    <row r="1331" spans="1:27" ht="15" x14ac:dyDescent="0.25">
      <c r="A1331" s="25"/>
      <c r="B1331" s="25"/>
      <c r="C1331" s="25"/>
      <c r="D1331" s="25"/>
      <c r="E1331" s="25"/>
      <c r="F1331" s="25"/>
      <c r="G1331" s="25"/>
      <c r="H1331" s="54">
        <f>I1327+I1328+I1329</f>
        <v>229.19000000000003</v>
      </c>
      <c r="I1331" s="54"/>
      <c r="J1331" s="54">
        <f>K1327+K1328+K1329</f>
        <v>4836.05</v>
      </c>
      <c r="K1331" s="54"/>
      <c r="O1331" s="24">
        <f>I1327+I1328+I1329</f>
        <v>229.19000000000003</v>
      </c>
      <c r="P1331" s="24">
        <f>K1327+K1328+K1329</f>
        <v>4836.05</v>
      </c>
      <c r="X1331">
        <f>IF(Source!BI919&lt;=1,I1327+I1328+I1329-0, 0)</f>
        <v>229.19000000000003</v>
      </c>
      <c r="Y1331">
        <f>IF(Source!BI919=2,I1327+I1328+I1329-0, 0)</f>
        <v>0</v>
      </c>
      <c r="Z1331">
        <f>IF(Source!BI919=3,I1327+I1328+I1329-0, 0)</f>
        <v>0</v>
      </c>
      <c r="AA1331">
        <f>IF(Source!BI919=4,I1327+I1328+I1329,0)</f>
        <v>0</v>
      </c>
    </row>
    <row r="1332" spans="1:27" ht="57" x14ac:dyDescent="0.2">
      <c r="A1332" s="16" t="str">
        <f>Source!E920</f>
        <v>166</v>
      </c>
      <c r="B1332" s="17" t="str">
        <f>Source!F920</f>
        <v>3.1-29-1</v>
      </c>
      <c r="C1332" s="17" t="s">
        <v>287</v>
      </c>
      <c r="D1332" s="19" t="str">
        <f>Source!H920</f>
        <v>100 м3 уплотненного грунта</v>
      </c>
      <c r="E1332" s="18">
        <f>Source!I920</f>
        <v>0.114</v>
      </c>
      <c r="F1332" s="21"/>
      <c r="G1332" s="20"/>
      <c r="H1332" s="18"/>
      <c r="I1332" s="22"/>
      <c r="J1332" s="18"/>
      <c r="K1332" s="22"/>
      <c r="Q1332">
        <f>ROUND((Source!DN920/100)*ROUND((ROUND((Source!AF920*Source!AV920*Source!I920),2)),2), 2)</f>
        <v>15.51</v>
      </c>
      <c r="R1332">
        <f>Source!X920</f>
        <v>370.5</v>
      </c>
      <c r="S1332">
        <f>ROUND((Source!DO920/100)*ROUND((ROUND((Source!AF920*Source!AV920*Source!I920),2)),2), 2)</f>
        <v>12.19</v>
      </c>
      <c r="T1332">
        <f>Source!Y920</f>
        <v>201.36</v>
      </c>
      <c r="U1332">
        <f>ROUND((175/100)*ROUND((ROUND((Source!AE920*Source!AV920*Source!I920),2)),2), 2)</f>
        <v>48.62</v>
      </c>
      <c r="V1332">
        <f>ROUND((157/100)*ROUND(ROUND((ROUND((Source!AE920*Source!AV920*Source!I920),2)*Source!BS920),2), 2), 2)</f>
        <v>1109.55</v>
      </c>
    </row>
    <row r="1333" spans="1:27" x14ac:dyDescent="0.2">
      <c r="C1333" s="23" t="str">
        <f>"Объем: "&amp;Source!I920&amp;"=11,4/"&amp;"100"</f>
        <v>Объем: 0,114=11,4/100</v>
      </c>
    </row>
    <row r="1334" spans="1:27" ht="14.25" x14ac:dyDescent="0.2">
      <c r="A1334" s="16"/>
      <c r="B1334" s="17"/>
      <c r="C1334" s="17" t="s">
        <v>1625</v>
      </c>
      <c r="D1334" s="19"/>
      <c r="E1334" s="18"/>
      <c r="F1334" s="21">
        <f>Source!AO920</f>
        <v>120.74</v>
      </c>
      <c r="G1334" s="20" t="str">
        <f>Source!DG920</f>
        <v>)*1,15</v>
      </c>
      <c r="H1334" s="18">
        <f>Source!AV920</f>
        <v>1</v>
      </c>
      <c r="I1334" s="22">
        <f>ROUND((ROUND((Source!AF920*Source!AV920*Source!I920),2)),2)</f>
        <v>15.83</v>
      </c>
      <c r="J1334" s="18">
        <f>IF(Source!BA920&lt;&gt; 0, Source!BA920, 1)</f>
        <v>25.44</v>
      </c>
      <c r="K1334" s="22">
        <f>Source!S920</f>
        <v>402.72</v>
      </c>
      <c r="W1334">
        <f>I1334</f>
        <v>15.83</v>
      </c>
    </row>
    <row r="1335" spans="1:27" ht="14.25" x14ac:dyDescent="0.2">
      <c r="A1335" s="16"/>
      <c r="B1335" s="17"/>
      <c r="C1335" s="17" t="s">
        <v>1631</v>
      </c>
      <c r="D1335" s="19"/>
      <c r="E1335" s="18"/>
      <c r="F1335" s="21">
        <f>Source!AM920</f>
        <v>643.97</v>
      </c>
      <c r="G1335" s="20" t="str">
        <f>Source!DE920</f>
        <v>)*1,25</v>
      </c>
      <c r="H1335" s="18">
        <f>Source!AV920</f>
        <v>1</v>
      </c>
      <c r="I1335" s="22">
        <f>(ROUND((ROUND((((Source!ET920*1.25))*Source!AV920*Source!I920),2)),2)+ROUND((ROUND(((Source!AE920-((Source!EU920*1.25)))*Source!AV920*Source!I920),2)),2))</f>
        <v>91.77</v>
      </c>
      <c r="J1335" s="18">
        <f>IF(Source!BB920&lt;&gt; 0, Source!BB920, 1)</f>
        <v>12.49</v>
      </c>
      <c r="K1335" s="22">
        <f>Source!Q920</f>
        <v>1146.21</v>
      </c>
    </row>
    <row r="1336" spans="1:27" ht="14.25" x14ac:dyDescent="0.2">
      <c r="A1336" s="16"/>
      <c r="B1336" s="17"/>
      <c r="C1336" s="17" t="s">
        <v>1632</v>
      </c>
      <c r="D1336" s="19"/>
      <c r="E1336" s="18"/>
      <c r="F1336" s="21">
        <f>Source!AN920</f>
        <v>194.98</v>
      </c>
      <c r="G1336" s="20" t="str">
        <f>Source!DF920</f>
        <v>)*1,25</v>
      </c>
      <c r="H1336" s="18">
        <f>Source!AV920</f>
        <v>1</v>
      </c>
      <c r="I1336" s="26">
        <f>ROUND((ROUND((Source!AE920*Source!AV920*Source!I920),2)),2)</f>
        <v>27.78</v>
      </c>
      <c r="J1336" s="18">
        <f>IF(Source!BS920&lt;&gt; 0, Source!BS920, 1)</f>
        <v>25.44</v>
      </c>
      <c r="K1336" s="26">
        <f>Source!R920</f>
        <v>706.72</v>
      </c>
      <c r="W1336">
        <f>I1336</f>
        <v>27.78</v>
      </c>
    </row>
    <row r="1337" spans="1:27" ht="14.25" x14ac:dyDescent="0.2">
      <c r="A1337" s="16"/>
      <c r="B1337" s="17"/>
      <c r="C1337" s="17" t="s">
        <v>1626</v>
      </c>
      <c r="D1337" s="19" t="s">
        <v>1627</v>
      </c>
      <c r="E1337" s="18">
        <f>Source!DN920</f>
        <v>98</v>
      </c>
      <c r="F1337" s="21"/>
      <c r="G1337" s="20"/>
      <c r="H1337" s="18"/>
      <c r="I1337" s="22">
        <f>SUM(Q1332:Q1336)</f>
        <v>15.51</v>
      </c>
      <c r="J1337" s="18">
        <f>Source!BZ920</f>
        <v>92</v>
      </c>
      <c r="K1337" s="22">
        <f>SUM(R1332:R1336)</f>
        <v>370.5</v>
      </c>
    </row>
    <row r="1338" spans="1:27" ht="14.25" x14ac:dyDescent="0.2">
      <c r="A1338" s="16"/>
      <c r="B1338" s="17"/>
      <c r="C1338" s="17" t="s">
        <v>1628</v>
      </c>
      <c r="D1338" s="19" t="s">
        <v>1627</v>
      </c>
      <c r="E1338" s="18">
        <f>Source!DO920</f>
        <v>77</v>
      </c>
      <c r="F1338" s="21"/>
      <c r="G1338" s="20"/>
      <c r="H1338" s="18"/>
      <c r="I1338" s="22">
        <f>SUM(S1332:S1337)</f>
        <v>12.19</v>
      </c>
      <c r="J1338" s="18">
        <f>Source!CA920</f>
        <v>50</v>
      </c>
      <c r="K1338" s="22">
        <f>SUM(T1332:T1337)</f>
        <v>201.36</v>
      </c>
    </row>
    <row r="1339" spans="1:27" ht="14.25" x14ac:dyDescent="0.2">
      <c r="A1339" s="16"/>
      <c r="B1339" s="17"/>
      <c r="C1339" s="17" t="s">
        <v>1633</v>
      </c>
      <c r="D1339" s="19" t="s">
        <v>1627</v>
      </c>
      <c r="E1339" s="18">
        <f>175</f>
        <v>175</v>
      </c>
      <c r="F1339" s="21"/>
      <c r="G1339" s="20"/>
      <c r="H1339" s="18"/>
      <c r="I1339" s="22">
        <f>SUM(U1332:U1338)</f>
        <v>48.62</v>
      </c>
      <c r="J1339" s="18">
        <f>157</f>
        <v>157</v>
      </c>
      <c r="K1339" s="22">
        <f>SUM(V1332:V1338)</f>
        <v>1109.55</v>
      </c>
    </row>
    <row r="1340" spans="1:27" ht="14.25" x14ac:dyDescent="0.2">
      <c r="A1340" s="16"/>
      <c r="B1340" s="17"/>
      <c r="C1340" s="17" t="s">
        <v>1629</v>
      </c>
      <c r="D1340" s="19" t="s">
        <v>1630</v>
      </c>
      <c r="E1340" s="18">
        <f>Source!AQ920</f>
        <v>10.8</v>
      </c>
      <c r="F1340" s="21"/>
      <c r="G1340" s="20" t="str">
        <f>Source!DI920</f>
        <v>)*1,15</v>
      </c>
      <c r="H1340" s="18">
        <f>Source!AV920</f>
        <v>1</v>
      </c>
      <c r="I1340" s="22">
        <f>Source!U920</f>
        <v>1.41588</v>
      </c>
      <c r="J1340" s="18"/>
      <c r="K1340" s="22"/>
    </row>
    <row r="1341" spans="1:27" ht="15" x14ac:dyDescent="0.25">
      <c r="A1341" s="25"/>
      <c r="B1341" s="25"/>
      <c r="C1341" s="25"/>
      <c r="D1341" s="25"/>
      <c r="E1341" s="25"/>
      <c r="F1341" s="25"/>
      <c r="G1341" s="25"/>
      <c r="H1341" s="54">
        <f>I1334+I1335+I1337+I1338+I1339</f>
        <v>183.92000000000002</v>
      </c>
      <c r="I1341" s="54"/>
      <c r="J1341" s="54">
        <f>K1334+K1335+K1337+K1338+K1339</f>
        <v>3230.34</v>
      </c>
      <c r="K1341" s="54"/>
      <c r="O1341" s="24">
        <f>I1334+I1335+I1337+I1338+I1339</f>
        <v>183.92000000000002</v>
      </c>
      <c r="P1341" s="24">
        <f>K1334+K1335+K1337+K1338+K1339</f>
        <v>3230.34</v>
      </c>
      <c r="X1341">
        <f>IF(Source!BI920&lt;=1,I1334+I1335+I1337+I1338+I1339-0, 0)</f>
        <v>183.92000000000002</v>
      </c>
      <c r="Y1341">
        <f>IF(Source!BI920=2,I1334+I1335+I1337+I1338+I1339-0, 0)</f>
        <v>0</v>
      </c>
      <c r="Z1341">
        <f>IF(Source!BI920=3,I1334+I1335+I1337+I1338+I1339-0, 0)</f>
        <v>0</v>
      </c>
      <c r="AA1341">
        <f>IF(Source!BI920=4,I1334+I1335+I1337+I1338+I1339,0)</f>
        <v>0</v>
      </c>
    </row>
    <row r="1342" spans="1:27" ht="28.5" x14ac:dyDescent="0.2">
      <c r="A1342" s="16" t="str">
        <f>Source!E921</f>
        <v>167</v>
      </c>
      <c r="B1342" s="17" t="str">
        <f>Source!F921</f>
        <v>3.8-1-2</v>
      </c>
      <c r="C1342" s="17" t="s">
        <v>1016</v>
      </c>
      <c r="D1342" s="19" t="str">
        <f>Source!H921</f>
        <v>1 м3 основания</v>
      </c>
      <c r="E1342" s="18">
        <f>Source!I921</f>
        <v>3</v>
      </c>
      <c r="F1342" s="21"/>
      <c r="G1342" s="20"/>
      <c r="H1342" s="18"/>
      <c r="I1342" s="22"/>
      <c r="J1342" s="18"/>
      <c r="K1342" s="22"/>
      <c r="Q1342">
        <f>ROUND((Source!DN921/100)*ROUND((ROUND((Source!AF921*Source!AV921*Source!I921),2)),2), 2)</f>
        <v>27.78</v>
      </c>
      <c r="R1342">
        <f>Source!X921</f>
        <v>566.98</v>
      </c>
      <c r="S1342">
        <f>ROUND((Source!DO921/100)*ROUND((ROUND((Source!AF921*Source!AV921*Source!I921),2)),2), 2)</f>
        <v>21.37</v>
      </c>
      <c r="T1342">
        <f>Source!Y921</f>
        <v>318.44</v>
      </c>
      <c r="U1342">
        <f>ROUND((175/100)*ROUND((ROUND((Source!AE921*Source!AV921*Source!I921),2)),2), 2)</f>
        <v>26.58</v>
      </c>
      <c r="V1342">
        <f>ROUND((157/100)*ROUND(ROUND((ROUND((Source!AE921*Source!AV921*Source!I921),2)*Source!BS921),2), 2), 2)</f>
        <v>606.70000000000005</v>
      </c>
    </row>
    <row r="1343" spans="1:27" ht="14.25" x14ac:dyDescent="0.2">
      <c r="A1343" s="16"/>
      <c r="B1343" s="17"/>
      <c r="C1343" s="17" t="s">
        <v>1625</v>
      </c>
      <c r="D1343" s="19"/>
      <c r="E1343" s="18"/>
      <c r="F1343" s="21">
        <f>Source!AO921</f>
        <v>8.85</v>
      </c>
      <c r="G1343" s="20" t="str">
        <f>Source!DG921</f>
        <v>)*1,15</v>
      </c>
      <c r="H1343" s="18">
        <f>Source!AV921</f>
        <v>1</v>
      </c>
      <c r="I1343" s="22">
        <f>ROUND((ROUND((Source!AF921*Source!AV921*Source!I921),2)),2)</f>
        <v>30.53</v>
      </c>
      <c r="J1343" s="18">
        <f>IF(Source!BA921&lt;&gt; 0, Source!BA921, 1)</f>
        <v>25.44</v>
      </c>
      <c r="K1343" s="22">
        <f>Source!S921</f>
        <v>776.68</v>
      </c>
      <c r="W1343">
        <f>I1343</f>
        <v>30.53</v>
      </c>
    </row>
    <row r="1344" spans="1:27" ht="14.25" x14ac:dyDescent="0.2">
      <c r="A1344" s="16"/>
      <c r="B1344" s="17"/>
      <c r="C1344" s="17" t="s">
        <v>1631</v>
      </c>
      <c r="D1344" s="19"/>
      <c r="E1344" s="18"/>
      <c r="F1344" s="21">
        <f>Source!AM921</f>
        <v>16.02</v>
      </c>
      <c r="G1344" s="20" t="str">
        <f>Source!DE921</f>
        <v>)*1,25</v>
      </c>
      <c r="H1344" s="18">
        <f>Source!AV921</f>
        <v>1</v>
      </c>
      <c r="I1344" s="22">
        <f>(ROUND((ROUND((((Source!ET921*1.25))*Source!AV921*Source!I921),2)),2)+ROUND((ROUND(((Source!AE921-((Source!EU921*1.25)))*Source!AV921*Source!I921),2)),2))</f>
        <v>60.08</v>
      </c>
      <c r="J1344" s="18">
        <f>IF(Source!BB921&lt;&gt; 0, Source!BB921, 1)</f>
        <v>11.53</v>
      </c>
      <c r="K1344" s="22">
        <f>Source!Q921</f>
        <v>692.72</v>
      </c>
    </row>
    <row r="1345" spans="1:27" ht="14.25" x14ac:dyDescent="0.2">
      <c r="A1345" s="16"/>
      <c r="B1345" s="17"/>
      <c r="C1345" s="17" t="s">
        <v>1632</v>
      </c>
      <c r="D1345" s="19"/>
      <c r="E1345" s="18"/>
      <c r="F1345" s="21">
        <f>Source!AN921</f>
        <v>4.05</v>
      </c>
      <c r="G1345" s="20" t="str">
        <f>Source!DF921</f>
        <v>)*1,25</v>
      </c>
      <c r="H1345" s="18">
        <f>Source!AV921</f>
        <v>1</v>
      </c>
      <c r="I1345" s="26">
        <f>ROUND((ROUND((Source!AE921*Source!AV921*Source!I921),2)),2)</f>
        <v>15.19</v>
      </c>
      <c r="J1345" s="18">
        <f>IF(Source!BS921&lt;&gt; 0, Source!BS921, 1)</f>
        <v>25.44</v>
      </c>
      <c r="K1345" s="26">
        <f>Source!R921</f>
        <v>386.43</v>
      </c>
      <c r="W1345">
        <f>I1345</f>
        <v>15.19</v>
      </c>
    </row>
    <row r="1346" spans="1:27" ht="14.25" x14ac:dyDescent="0.2">
      <c r="A1346" s="16"/>
      <c r="B1346" s="17"/>
      <c r="C1346" s="17" t="s">
        <v>1634</v>
      </c>
      <c r="D1346" s="19"/>
      <c r="E1346" s="18"/>
      <c r="F1346" s="21">
        <f>Source!AL921</f>
        <v>1.06</v>
      </c>
      <c r="G1346" s="20" t="str">
        <f>Source!DD921</f>
        <v/>
      </c>
      <c r="H1346" s="18">
        <f>Source!AW921</f>
        <v>1</v>
      </c>
      <c r="I1346" s="22">
        <f>ROUND((ROUND((Source!AC921*Source!AW921*Source!I921),2)),2)</f>
        <v>3.18</v>
      </c>
      <c r="J1346" s="18">
        <f>IF(Source!BC921&lt;&gt; 0, Source!BC921, 1)</f>
        <v>5.14</v>
      </c>
      <c r="K1346" s="22">
        <f>Source!P921</f>
        <v>16.350000000000001</v>
      </c>
    </row>
    <row r="1347" spans="1:27" ht="42.75" x14ac:dyDescent="0.2">
      <c r="A1347" s="16" t="str">
        <f>Source!E922</f>
        <v>167,1</v>
      </c>
      <c r="B1347" s="17" t="str">
        <f>Source!F922</f>
        <v>1.1-1-1524</v>
      </c>
      <c r="C1347" s="17" t="s">
        <v>1023</v>
      </c>
      <c r="D1347" s="19" t="str">
        <f>Source!H922</f>
        <v>м3</v>
      </c>
      <c r="E1347" s="18">
        <f>Source!I922</f>
        <v>3.45</v>
      </c>
      <c r="F1347" s="21">
        <f>Source!AK922</f>
        <v>196.85</v>
      </c>
      <c r="G1347" s="27" t="s">
        <v>3</v>
      </c>
      <c r="H1347" s="18">
        <f>Source!AW922</f>
        <v>1</v>
      </c>
      <c r="I1347" s="22">
        <f>ROUND((ROUND((Source!AC922*Source!AW922*Source!I922),2)),2)+(ROUND((ROUND(((Source!ET922)*Source!AV922*Source!I922),2)),2)+ROUND((ROUND(((Source!AE922-(Source!EU922))*Source!AV922*Source!I922),2)),2))+ROUND((ROUND((Source!AF922*Source!AV922*Source!I922),2)),2)</f>
        <v>679.13</v>
      </c>
      <c r="J1347" s="18">
        <f>IF(Source!BC922&lt;&gt; 0, Source!BC922, 1)</f>
        <v>9.8699999999999992</v>
      </c>
      <c r="K1347" s="22">
        <f>Source!O922</f>
        <v>6703.01</v>
      </c>
      <c r="Q1347">
        <f>ROUND((Source!DN922/100)*ROUND((ROUND((Source!AF922*Source!AV922*Source!I922),2)),2), 2)</f>
        <v>0</v>
      </c>
      <c r="R1347">
        <f>Source!X922</f>
        <v>0</v>
      </c>
      <c r="S1347">
        <f>ROUND((Source!DO922/100)*ROUND((ROUND((Source!AF922*Source!AV922*Source!I922),2)),2), 2)</f>
        <v>0</v>
      </c>
      <c r="T1347">
        <f>Source!Y922</f>
        <v>0</v>
      </c>
      <c r="U1347">
        <f>ROUND((175/100)*ROUND((ROUND((Source!AE922*Source!AV922*Source!I922),2)),2), 2)</f>
        <v>0</v>
      </c>
      <c r="V1347">
        <f>ROUND((157/100)*ROUND(ROUND((ROUND((Source!AE922*Source!AV922*Source!I922),2)*Source!BS922),2), 2), 2)</f>
        <v>0</v>
      </c>
      <c r="X1347">
        <f>IF(Source!BI922&lt;=1,I1347, 0)</f>
        <v>679.13</v>
      </c>
      <c r="Y1347">
        <f>IF(Source!BI922=2,I1347, 0)</f>
        <v>0</v>
      </c>
      <c r="Z1347">
        <f>IF(Source!BI922=3,I1347, 0)</f>
        <v>0</v>
      </c>
      <c r="AA1347">
        <f>IF(Source!BI922=4,I1347, 0)</f>
        <v>0</v>
      </c>
    </row>
    <row r="1348" spans="1:27" ht="14.25" x14ac:dyDescent="0.2">
      <c r="A1348" s="16"/>
      <c r="B1348" s="17"/>
      <c r="C1348" s="17" t="s">
        <v>1626</v>
      </c>
      <c r="D1348" s="19" t="s">
        <v>1627</v>
      </c>
      <c r="E1348" s="18">
        <f>Source!DN921</f>
        <v>91</v>
      </c>
      <c r="F1348" s="21"/>
      <c r="G1348" s="20"/>
      <c r="H1348" s="18"/>
      <c r="I1348" s="22">
        <f>SUM(Q1342:Q1347)</f>
        <v>27.78</v>
      </c>
      <c r="J1348" s="18">
        <f>Source!BZ921</f>
        <v>73</v>
      </c>
      <c r="K1348" s="22">
        <f>SUM(R1342:R1347)</f>
        <v>566.98</v>
      </c>
    </row>
    <row r="1349" spans="1:27" ht="14.25" x14ac:dyDescent="0.2">
      <c r="A1349" s="16"/>
      <c r="B1349" s="17"/>
      <c r="C1349" s="17" t="s">
        <v>1628</v>
      </c>
      <c r="D1349" s="19" t="s">
        <v>1627</v>
      </c>
      <c r="E1349" s="18">
        <f>Source!DO921</f>
        <v>70</v>
      </c>
      <c r="F1349" s="21"/>
      <c r="G1349" s="20"/>
      <c r="H1349" s="18"/>
      <c r="I1349" s="22">
        <f>SUM(S1342:S1348)</f>
        <v>21.37</v>
      </c>
      <c r="J1349" s="18">
        <f>Source!CA921</f>
        <v>41</v>
      </c>
      <c r="K1349" s="22">
        <f>SUM(T1342:T1348)</f>
        <v>318.44</v>
      </c>
    </row>
    <row r="1350" spans="1:27" ht="14.25" x14ac:dyDescent="0.2">
      <c r="A1350" s="16"/>
      <c r="B1350" s="17"/>
      <c r="C1350" s="17" t="s">
        <v>1633</v>
      </c>
      <c r="D1350" s="19" t="s">
        <v>1627</v>
      </c>
      <c r="E1350" s="18">
        <f>175</f>
        <v>175</v>
      </c>
      <c r="F1350" s="21"/>
      <c r="G1350" s="20"/>
      <c r="H1350" s="18"/>
      <c r="I1350" s="22">
        <f>SUM(U1342:U1349)</f>
        <v>26.58</v>
      </c>
      <c r="J1350" s="18">
        <f>157</f>
        <v>157</v>
      </c>
      <c r="K1350" s="22">
        <f>SUM(V1342:V1349)</f>
        <v>606.70000000000005</v>
      </c>
    </row>
    <row r="1351" spans="1:27" ht="14.25" x14ac:dyDescent="0.2">
      <c r="A1351" s="16"/>
      <c r="B1351" s="17"/>
      <c r="C1351" s="17" t="s">
        <v>1629</v>
      </c>
      <c r="D1351" s="19" t="s">
        <v>1630</v>
      </c>
      <c r="E1351" s="18">
        <f>Source!AQ921</f>
        <v>0.85</v>
      </c>
      <c r="F1351" s="21"/>
      <c r="G1351" s="20" t="str">
        <f>Source!DI921</f>
        <v>)*1,15</v>
      </c>
      <c r="H1351" s="18">
        <f>Source!AV921</f>
        <v>1</v>
      </c>
      <c r="I1351" s="22">
        <f>Source!U921</f>
        <v>2.9324999999999997</v>
      </c>
      <c r="J1351" s="18"/>
      <c r="K1351" s="22"/>
    </row>
    <row r="1352" spans="1:27" ht="15" x14ac:dyDescent="0.25">
      <c r="A1352" s="25"/>
      <c r="B1352" s="25"/>
      <c r="C1352" s="25"/>
      <c r="D1352" s="25"/>
      <c r="E1352" s="25"/>
      <c r="F1352" s="25"/>
      <c r="G1352" s="25"/>
      <c r="H1352" s="54">
        <f>I1343+I1344+I1346+I1348+I1349+I1350+SUM(I1347:I1347)</f>
        <v>848.65</v>
      </c>
      <c r="I1352" s="54"/>
      <c r="J1352" s="54">
        <f>K1343+K1344+K1346+K1348+K1349+K1350+SUM(K1347:K1347)</f>
        <v>9680.880000000001</v>
      </c>
      <c r="K1352" s="54"/>
      <c r="O1352" s="24">
        <f>I1343+I1344+I1346+I1348+I1349+I1350+SUM(I1347:I1347)</f>
        <v>848.65</v>
      </c>
      <c r="P1352" s="24">
        <f>K1343+K1344+K1346+K1348+K1349+K1350+SUM(K1347:K1347)</f>
        <v>9680.880000000001</v>
      </c>
      <c r="X1352">
        <f>IF(Source!BI921&lt;=1,I1343+I1344+I1346+I1348+I1349+I1350-0, 0)</f>
        <v>169.51999999999998</v>
      </c>
      <c r="Y1352">
        <f>IF(Source!BI921=2,I1343+I1344+I1346+I1348+I1349+I1350-0, 0)</f>
        <v>0</v>
      </c>
      <c r="Z1352">
        <f>IF(Source!BI921=3,I1343+I1344+I1346+I1348+I1349+I1350-0, 0)</f>
        <v>0</v>
      </c>
      <c r="AA1352">
        <f>IF(Source!BI921=4,I1343+I1344+I1346+I1348+I1349+I1350,0)</f>
        <v>0</v>
      </c>
    </row>
    <row r="1353" spans="1:27" ht="171" x14ac:dyDescent="0.2">
      <c r="A1353" s="16" t="str">
        <f>Source!E923</f>
        <v>168</v>
      </c>
      <c r="B1353" s="17" t="str">
        <f>Source!F923</f>
        <v>3.33-39-1</v>
      </c>
      <c r="C1353" s="17" t="s">
        <v>1595</v>
      </c>
      <c r="D1353" s="19" t="str">
        <f>Source!H923</f>
        <v>1  ШТ.</v>
      </c>
      <c r="E1353" s="18">
        <f>Source!I923</f>
        <v>30</v>
      </c>
      <c r="F1353" s="21"/>
      <c r="G1353" s="20"/>
      <c r="H1353" s="18"/>
      <c r="I1353" s="22"/>
      <c r="J1353" s="18"/>
      <c r="K1353" s="22"/>
      <c r="Q1353">
        <f>ROUND((Source!DN923/100)*ROUND((ROUND((Source!AF923*Source!AV923*Source!I923),2)),2), 2)</f>
        <v>678.84</v>
      </c>
      <c r="R1353">
        <f>Source!X923</f>
        <v>13936.86</v>
      </c>
      <c r="S1353">
        <f>ROUND((Source!DO923/100)*ROUND((ROUND((Source!AF923*Source!AV923*Source!I923),2)),2), 2)</f>
        <v>476.38</v>
      </c>
      <c r="T1353">
        <f>Source!Y923</f>
        <v>6210.99</v>
      </c>
      <c r="U1353">
        <f>ROUND((175/100)*ROUND((ROUND((Source!AE923*Source!AV923*Source!I923),2)),2), 2)</f>
        <v>948.29</v>
      </c>
      <c r="V1353">
        <f>ROUND((157/100)*ROUND(ROUND((ROUND((Source!AE923*Source!AV923*Source!I923),2)*Source!BS923),2), 2), 2)</f>
        <v>21643.13</v>
      </c>
    </row>
    <row r="1354" spans="1:27" ht="14.25" x14ac:dyDescent="0.2">
      <c r="A1354" s="16"/>
      <c r="B1354" s="17"/>
      <c r="C1354" s="17" t="s">
        <v>1625</v>
      </c>
      <c r="D1354" s="19"/>
      <c r="E1354" s="18"/>
      <c r="F1354" s="21">
        <f>Source!AO923</f>
        <v>17.260000000000002</v>
      </c>
      <c r="G1354" s="20" t="str">
        <f>Source!DG923</f>
        <v>)*1,15</v>
      </c>
      <c r="H1354" s="18">
        <f>Source!AV923</f>
        <v>1</v>
      </c>
      <c r="I1354" s="22">
        <f>ROUND((ROUND((Source!AF923*Source!AV923*Source!I923),2)),2)</f>
        <v>595.47</v>
      </c>
      <c r="J1354" s="18">
        <f>IF(Source!BA923&lt;&gt; 0, Source!BA923, 1)</f>
        <v>25.44</v>
      </c>
      <c r="K1354" s="22">
        <f>Source!S923</f>
        <v>15148.76</v>
      </c>
      <c r="W1354">
        <f>I1354</f>
        <v>595.47</v>
      </c>
    </row>
    <row r="1355" spans="1:27" ht="14.25" x14ac:dyDescent="0.2">
      <c r="A1355" s="16"/>
      <c r="B1355" s="17"/>
      <c r="C1355" s="17" t="s">
        <v>1631</v>
      </c>
      <c r="D1355" s="19"/>
      <c r="E1355" s="18"/>
      <c r="F1355" s="21">
        <f>Source!AM923</f>
        <v>70.64</v>
      </c>
      <c r="G1355" s="20" t="str">
        <f>Source!DE923</f>
        <v>)*1,25</v>
      </c>
      <c r="H1355" s="18">
        <f>Source!AV923</f>
        <v>1</v>
      </c>
      <c r="I1355" s="22">
        <f>(ROUND((ROUND((((Source!ET923*1.25))*Source!AV923*Source!I923),2)),2)+ROUND((ROUND(((Source!AE923-((Source!EU923*1.25)))*Source!AV923*Source!I923),2)),2))</f>
        <v>2649</v>
      </c>
      <c r="J1355" s="18">
        <f>IF(Source!BB923&lt;&gt; 0, Source!BB923, 1)</f>
        <v>11.09</v>
      </c>
      <c r="K1355" s="22">
        <f>Source!Q923</f>
        <v>29377.41</v>
      </c>
    </row>
    <row r="1356" spans="1:27" ht="14.25" x14ac:dyDescent="0.2">
      <c r="A1356" s="16"/>
      <c r="B1356" s="17"/>
      <c r="C1356" s="17" t="s">
        <v>1632</v>
      </c>
      <c r="D1356" s="19"/>
      <c r="E1356" s="18"/>
      <c r="F1356" s="21">
        <f>Source!AN923</f>
        <v>14.45</v>
      </c>
      <c r="G1356" s="20" t="str">
        <f>Source!DF923</f>
        <v>)*1,25</v>
      </c>
      <c r="H1356" s="18">
        <f>Source!AV923</f>
        <v>1</v>
      </c>
      <c r="I1356" s="26">
        <f>ROUND((ROUND((Source!AE923*Source!AV923*Source!I923),2)),2)</f>
        <v>541.88</v>
      </c>
      <c r="J1356" s="18">
        <f>IF(Source!BS923&lt;&gt; 0, Source!BS923, 1)</f>
        <v>25.44</v>
      </c>
      <c r="K1356" s="26">
        <f>Source!R923</f>
        <v>13785.43</v>
      </c>
      <c r="W1356">
        <f>I1356</f>
        <v>541.88</v>
      </c>
    </row>
    <row r="1357" spans="1:27" ht="57" x14ac:dyDescent="0.2">
      <c r="A1357" s="16" t="str">
        <f>Source!E924</f>
        <v>168,1</v>
      </c>
      <c r="B1357" s="17" t="str">
        <f>Source!F924</f>
        <v>1.24-5-128</v>
      </c>
      <c r="C1357" s="17" t="s">
        <v>1032</v>
      </c>
      <c r="D1357" s="19" t="str">
        <f>Source!H924</f>
        <v>шт.</v>
      </c>
      <c r="E1357" s="18">
        <f>Source!I924</f>
        <v>30</v>
      </c>
      <c r="F1357" s="21">
        <f>Source!AK924</f>
        <v>571.15</v>
      </c>
      <c r="G1357" s="27" t="s">
        <v>3</v>
      </c>
      <c r="H1357" s="18">
        <f>Source!AW924</f>
        <v>1</v>
      </c>
      <c r="I1357" s="22">
        <f>ROUND((ROUND((Source!AC924*Source!AW924*Source!I924),2)),2)+(ROUND((ROUND(((Source!ET924)*Source!AV924*Source!I924),2)),2)+ROUND((ROUND(((Source!AE924-(Source!EU924))*Source!AV924*Source!I924),2)),2))+ROUND((ROUND((Source!AF924*Source!AV924*Source!I924),2)),2)</f>
        <v>17134.5</v>
      </c>
      <c r="J1357" s="18">
        <f>IF(Source!BC924&lt;&gt; 0, Source!BC924, 1)</f>
        <v>3.87</v>
      </c>
      <c r="K1357" s="22">
        <f>Source!O924</f>
        <v>66310.52</v>
      </c>
      <c r="Q1357">
        <f>ROUND((Source!DN924/100)*ROUND((ROUND((Source!AF924*Source!AV924*Source!I924),2)),2), 2)</f>
        <v>0</v>
      </c>
      <c r="R1357">
        <f>Source!X924</f>
        <v>0</v>
      </c>
      <c r="S1357">
        <f>ROUND((Source!DO924/100)*ROUND((ROUND((Source!AF924*Source!AV924*Source!I924),2)),2), 2)</f>
        <v>0</v>
      </c>
      <c r="T1357">
        <f>Source!Y924</f>
        <v>0</v>
      </c>
      <c r="U1357">
        <f>ROUND((175/100)*ROUND((ROUND((Source!AE924*Source!AV924*Source!I924),2)),2), 2)</f>
        <v>0</v>
      </c>
      <c r="V1357">
        <f>ROUND((157/100)*ROUND(ROUND((ROUND((Source!AE924*Source!AV924*Source!I924),2)*Source!BS924),2), 2), 2)</f>
        <v>0</v>
      </c>
      <c r="X1357">
        <f>IF(Source!BI924&lt;=1,I1357, 0)</f>
        <v>17134.5</v>
      </c>
      <c r="Y1357">
        <f>IF(Source!BI924=2,I1357, 0)</f>
        <v>0</v>
      </c>
      <c r="Z1357">
        <f>IF(Source!BI924=3,I1357, 0)</f>
        <v>0</v>
      </c>
      <c r="AA1357">
        <f>IF(Source!BI924=4,I1357, 0)</f>
        <v>0</v>
      </c>
    </row>
    <row r="1358" spans="1:27" ht="54" x14ac:dyDescent="0.2">
      <c r="A1358" s="16" t="str">
        <f>Source!E925</f>
        <v>168,2</v>
      </c>
      <c r="B1358" s="17" t="str">
        <f>Source!F925</f>
        <v>Цена поставщика</v>
      </c>
      <c r="C1358" s="17" t="s">
        <v>1693</v>
      </c>
      <c r="D1358" s="19" t="str">
        <f>Source!H925</f>
        <v>шт.</v>
      </c>
      <c r="E1358" s="18">
        <f>Source!I925</f>
        <v>30</v>
      </c>
      <c r="F1358" s="21">
        <f>Source!AK925</f>
        <v>1494.74</v>
      </c>
      <c r="G1358" s="27" t="s">
        <v>3</v>
      </c>
      <c r="H1358" s="18">
        <f>Source!AW925</f>
        <v>1</v>
      </c>
      <c r="I1358" s="22">
        <f>ROUND((ROUND((Source!AC925*Source!AW925*Source!I925),2)),2)+(ROUND((ROUND(((Source!ET925)*Source!AV925*Source!I925),2)),2)+ROUND((ROUND(((Source!AE925-(Source!EU925))*Source!AV925*Source!I925),2)),2))+ROUND((ROUND((Source!AF925*Source!AV925*Source!I925),2)),2)</f>
        <v>44842.2</v>
      </c>
      <c r="J1358" s="18">
        <f>IF(Source!BC925&lt;&gt; 0, Source!BC925, 1)</f>
        <v>6.34</v>
      </c>
      <c r="K1358" s="22">
        <f>Source!O925</f>
        <v>284299.55</v>
      </c>
      <c r="Q1358">
        <f>ROUND((Source!DN925/100)*ROUND((ROUND((Source!AF925*Source!AV925*Source!I925),2)),2), 2)</f>
        <v>0</v>
      </c>
      <c r="R1358">
        <f>Source!X925</f>
        <v>0</v>
      </c>
      <c r="S1358">
        <f>ROUND((Source!DO925/100)*ROUND((ROUND((Source!AF925*Source!AV925*Source!I925),2)),2), 2)</f>
        <v>0</v>
      </c>
      <c r="T1358">
        <f>Source!Y925</f>
        <v>0</v>
      </c>
      <c r="U1358">
        <f>ROUND((175/100)*ROUND((ROUND((Source!AE925*Source!AV925*Source!I925),2)),2), 2)</f>
        <v>0</v>
      </c>
      <c r="V1358">
        <f>ROUND((157/100)*ROUND(ROUND((ROUND((Source!AE925*Source!AV925*Source!I925),2)*Source!BS925),2), 2), 2)</f>
        <v>0</v>
      </c>
      <c r="X1358">
        <f>IF(Source!BI925&lt;=1,I1358, 0)</f>
        <v>44842.2</v>
      </c>
      <c r="Y1358">
        <f>IF(Source!BI925=2,I1358, 0)</f>
        <v>0</v>
      </c>
      <c r="Z1358">
        <f>IF(Source!BI925=3,I1358, 0)</f>
        <v>0</v>
      </c>
      <c r="AA1358">
        <f>IF(Source!BI925=4,I1358, 0)</f>
        <v>0</v>
      </c>
    </row>
    <row r="1359" spans="1:27" ht="14.25" x14ac:dyDescent="0.2">
      <c r="A1359" s="16"/>
      <c r="B1359" s="17"/>
      <c r="C1359" s="17" t="s">
        <v>1626</v>
      </c>
      <c r="D1359" s="19" t="s">
        <v>1627</v>
      </c>
      <c r="E1359" s="18">
        <f>Source!DN923</f>
        <v>114</v>
      </c>
      <c r="F1359" s="21"/>
      <c r="G1359" s="20"/>
      <c r="H1359" s="18"/>
      <c r="I1359" s="22">
        <f>SUM(Q1353:Q1358)</f>
        <v>678.84</v>
      </c>
      <c r="J1359" s="18">
        <f>Source!BZ923</f>
        <v>92</v>
      </c>
      <c r="K1359" s="22">
        <f>SUM(R1353:R1358)</f>
        <v>13936.86</v>
      </c>
    </row>
    <row r="1360" spans="1:27" ht="14.25" x14ac:dyDescent="0.2">
      <c r="A1360" s="16"/>
      <c r="B1360" s="17"/>
      <c r="C1360" s="17" t="s">
        <v>1628</v>
      </c>
      <c r="D1360" s="19" t="s">
        <v>1627</v>
      </c>
      <c r="E1360" s="18">
        <f>Source!DO923</f>
        <v>80</v>
      </c>
      <c r="F1360" s="21"/>
      <c r="G1360" s="20"/>
      <c r="H1360" s="18"/>
      <c r="I1360" s="22">
        <f>SUM(S1353:S1359)</f>
        <v>476.38</v>
      </c>
      <c r="J1360" s="18">
        <f>Source!CA923</f>
        <v>41</v>
      </c>
      <c r="K1360" s="22">
        <f>SUM(T1353:T1359)</f>
        <v>6210.99</v>
      </c>
    </row>
    <row r="1361" spans="1:27" ht="14.25" x14ac:dyDescent="0.2">
      <c r="A1361" s="16"/>
      <c r="B1361" s="17"/>
      <c r="C1361" s="17" t="s">
        <v>1633</v>
      </c>
      <c r="D1361" s="19" t="s">
        <v>1627</v>
      </c>
      <c r="E1361" s="18">
        <f>175</f>
        <v>175</v>
      </c>
      <c r="F1361" s="21"/>
      <c r="G1361" s="20"/>
      <c r="H1361" s="18"/>
      <c r="I1361" s="22">
        <f>SUM(U1353:U1360)</f>
        <v>948.29</v>
      </c>
      <c r="J1361" s="18">
        <f>157</f>
        <v>157</v>
      </c>
      <c r="K1361" s="22">
        <f>SUM(V1353:V1360)</f>
        <v>21643.13</v>
      </c>
    </row>
    <row r="1362" spans="1:27" ht="14.25" x14ac:dyDescent="0.2">
      <c r="A1362" s="16"/>
      <c r="B1362" s="17"/>
      <c r="C1362" s="17" t="s">
        <v>1629</v>
      </c>
      <c r="D1362" s="19" t="s">
        <v>1630</v>
      </c>
      <c r="E1362" s="18">
        <f>Source!AQ923</f>
        <v>1.52</v>
      </c>
      <c r="F1362" s="21"/>
      <c r="G1362" s="20" t="str">
        <f>Source!DI923</f>
        <v>)*1,15</v>
      </c>
      <c r="H1362" s="18">
        <f>Source!AV923</f>
        <v>1</v>
      </c>
      <c r="I1362" s="22">
        <f>Source!U923</f>
        <v>52.439999999999991</v>
      </c>
      <c r="J1362" s="18"/>
      <c r="K1362" s="22"/>
    </row>
    <row r="1363" spans="1:27" ht="15" x14ac:dyDescent="0.25">
      <c r="A1363" s="25"/>
      <c r="B1363" s="25"/>
      <c r="C1363" s="25"/>
      <c r="D1363" s="25"/>
      <c r="E1363" s="25"/>
      <c r="F1363" s="25"/>
      <c r="G1363" s="25"/>
      <c r="H1363" s="54">
        <f>I1354+I1355+I1359+I1360+I1361+SUM(I1357:I1358)</f>
        <v>67324.679999999993</v>
      </c>
      <c r="I1363" s="54"/>
      <c r="J1363" s="54">
        <f>K1354+K1355+K1359+K1360+K1361+SUM(K1357:K1358)</f>
        <v>436927.22</v>
      </c>
      <c r="K1363" s="54"/>
      <c r="O1363" s="24">
        <f>I1354+I1355+I1359+I1360+I1361+SUM(I1357:I1358)</f>
        <v>67324.679999999993</v>
      </c>
      <c r="P1363" s="24">
        <f>K1354+K1355+K1359+K1360+K1361+SUM(K1357:K1358)</f>
        <v>436927.22</v>
      </c>
      <c r="X1363">
        <f>IF(Source!BI923&lt;=1,I1354+I1355+I1359+I1360+I1361-0, 0)</f>
        <v>5347.9800000000005</v>
      </c>
      <c r="Y1363">
        <f>IF(Source!BI923=2,I1354+I1355+I1359+I1360+I1361-0, 0)</f>
        <v>0</v>
      </c>
      <c r="Z1363">
        <f>IF(Source!BI923=3,I1354+I1355+I1359+I1360+I1361-0, 0)</f>
        <v>0</v>
      </c>
      <c r="AA1363">
        <f>IF(Source!BI923=4,I1354+I1355+I1359+I1360+I1361,0)</f>
        <v>0</v>
      </c>
    </row>
    <row r="1364" spans="1:27" ht="71.25" x14ac:dyDescent="0.2">
      <c r="A1364" s="16" t="str">
        <f>Source!E926</f>
        <v>169</v>
      </c>
      <c r="B1364" s="17" t="str">
        <f>Source!F926</f>
        <v>6.68-72-2</v>
      </c>
      <c r="C1364" s="17" t="s">
        <v>1039</v>
      </c>
      <c r="D1364" s="19" t="str">
        <f>Source!H926</f>
        <v>10 шт.</v>
      </c>
      <c r="E1364" s="18">
        <f>Source!I926</f>
        <v>1.5</v>
      </c>
      <c r="F1364" s="21"/>
      <c r="G1364" s="20"/>
      <c r="H1364" s="18"/>
      <c r="I1364" s="22"/>
      <c r="J1364" s="18"/>
      <c r="K1364" s="22"/>
      <c r="Q1364">
        <f>ROUND((Source!DN926/100)*ROUND((ROUND((Source!AF926*Source!AV926*Source!I926),2)),2), 2)</f>
        <v>153.86000000000001</v>
      </c>
      <c r="R1364">
        <f>Source!X926</f>
        <v>2258.2399999999998</v>
      </c>
      <c r="S1364">
        <f>ROUND((Source!DO926/100)*ROUND((ROUND((Source!AF926*Source!AV926*Source!I926),2)),2), 2)</f>
        <v>82.85</v>
      </c>
      <c r="T1364">
        <f>Source!Y926</f>
        <v>1028.75</v>
      </c>
      <c r="U1364">
        <f>ROUND((175/100)*ROUND((ROUND((Source!AE926*Source!AV926*Source!I926),2)),2), 2)</f>
        <v>0.77</v>
      </c>
      <c r="V1364">
        <f>ROUND((157/100)*ROUND(ROUND((ROUND((Source!AE926*Source!AV926*Source!I926),2)*Source!BS926),2), 2), 2)</f>
        <v>17.57</v>
      </c>
    </row>
    <row r="1365" spans="1:27" x14ac:dyDescent="0.2">
      <c r="C1365" s="23" t="str">
        <f>"Объем: "&amp;Source!I926&amp;"=15/"&amp;"10"</f>
        <v>Объем: 1,5=15/10</v>
      </c>
    </row>
    <row r="1366" spans="1:27" ht="14.25" x14ac:dyDescent="0.2">
      <c r="A1366" s="16"/>
      <c r="B1366" s="17"/>
      <c r="C1366" s="17" t="s">
        <v>1625</v>
      </c>
      <c r="D1366" s="19"/>
      <c r="E1366" s="18"/>
      <c r="F1366" s="21">
        <f>Source!AO926</f>
        <v>65.75</v>
      </c>
      <c r="G1366" s="20" t="str">
        <f>Source!DG926</f>
        <v/>
      </c>
      <c r="H1366" s="18">
        <f>Source!AV926</f>
        <v>1</v>
      </c>
      <c r="I1366" s="22">
        <f>ROUND((ROUND((Source!AF926*Source!AV926*Source!I926),2)),2)</f>
        <v>98.63</v>
      </c>
      <c r="J1366" s="18">
        <f>IF(Source!BA926&lt;&gt; 0, Source!BA926, 1)</f>
        <v>25.44</v>
      </c>
      <c r="K1366" s="22">
        <f>Source!S926</f>
        <v>2509.15</v>
      </c>
      <c r="W1366">
        <f>I1366</f>
        <v>98.63</v>
      </c>
    </row>
    <row r="1367" spans="1:27" ht="14.25" x14ac:dyDescent="0.2">
      <c r="A1367" s="16"/>
      <c r="B1367" s="17"/>
      <c r="C1367" s="17" t="s">
        <v>1631</v>
      </c>
      <c r="D1367" s="19"/>
      <c r="E1367" s="18"/>
      <c r="F1367" s="21">
        <f>Source!AM926</f>
        <v>1.54</v>
      </c>
      <c r="G1367" s="20" t="str">
        <f>Source!DE926</f>
        <v/>
      </c>
      <c r="H1367" s="18">
        <f>Source!AV926</f>
        <v>1</v>
      </c>
      <c r="I1367" s="22">
        <f>(ROUND((ROUND(((Source!ET926)*Source!AV926*Source!I926),2)),2)+ROUND((ROUND(((Source!AE926-(Source!EU926))*Source!AV926*Source!I926),2)),2))</f>
        <v>2.31</v>
      </c>
      <c r="J1367" s="18">
        <f>IF(Source!BB926&lt;&gt; 0, Source!BB926, 1)</f>
        <v>9.7100000000000009</v>
      </c>
      <c r="K1367" s="22">
        <f>Source!Q926</f>
        <v>22.43</v>
      </c>
    </row>
    <row r="1368" spans="1:27" ht="14.25" x14ac:dyDescent="0.2">
      <c r="A1368" s="16"/>
      <c r="B1368" s="17"/>
      <c r="C1368" s="17" t="s">
        <v>1632</v>
      </c>
      <c r="D1368" s="19"/>
      <c r="E1368" s="18"/>
      <c r="F1368" s="21">
        <f>Source!AN926</f>
        <v>0.28999999999999998</v>
      </c>
      <c r="G1368" s="20" t="str">
        <f>Source!DF926</f>
        <v/>
      </c>
      <c r="H1368" s="18">
        <f>Source!AV926</f>
        <v>1</v>
      </c>
      <c r="I1368" s="26">
        <f>ROUND((ROUND((Source!AE926*Source!AV926*Source!I926),2)),2)</f>
        <v>0.44</v>
      </c>
      <c r="J1368" s="18">
        <f>IF(Source!BS926&lt;&gt; 0, Source!BS926, 1)</f>
        <v>25.44</v>
      </c>
      <c r="K1368" s="26">
        <f>Source!R926</f>
        <v>11.19</v>
      </c>
      <c r="W1368">
        <f>I1368</f>
        <v>0.44</v>
      </c>
    </row>
    <row r="1369" spans="1:27" ht="14.25" x14ac:dyDescent="0.2">
      <c r="A1369" s="16"/>
      <c r="B1369" s="17"/>
      <c r="C1369" s="17" t="s">
        <v>1634</v>
      </c>
      <c r="D1369" s="19"/>
      <c r="E1369" s="18"/>
      <c r="F1369" s="21">
        <f>Source!AL926</f>
        <v>67.53</v>
      </c>
      <c r="G1369" s="20" t="str">
        <f>Source!DD926</f>
        <v/>
      </c>
      <c r="H1369" s="18">
        <f>Source!AW926</f>
        <v>1</v>
      </c>
      <c r="I1369" s="22">
        <f>ROUND((ROUND((Source!AC926*Source!AW926*Source!I926),2)),2)</f>
        <v>101.3</v>
      </c>
      <c r="J1369" s="18">
        <f>IF(Source!BC926&lt;&gt; 0, Source!BC926, 1)</f>
        <v>9.4600000000000009</v>
      </c>
      <c r="K1369" s="22">
        <f>Source!P926</f>
        <v>958.3</v>
      </c>
    </row>
    <row r="1370" spans="1:27" ht="42.75" x14ac:dyDescent="0.2">
      <c r="A1370" s="16" t="str">
        <f>Source!E927</f>
        <v>169,1</v>
      </c>
      <c r="B1370" s="17" t="str">
        <f>Source!F927</f>
        <v>Цена поставщика</v>
      </c>
      <c r="C1370" s="17" t="s">
        <v>1694</v>
      </c>
      <c r="D1370" s="19" t="str">
        <f>Source!H927</f>
        <v>шт.</v>
      </c>
      <c r="E1370" s="18">
        <f>Source!I927</f>
        <v>15</v>
      </c>
      <c r="F1370" s="21">
        <f>Source!AK927</f>
        <v>1085.96</v>
      </c>
      <c r="G1370" s="27" t="s">
        <v>3</v>
      </c>
      <c r="H1370" s="18">
        <f>Source!AW927</f>
        <v>1</v>
      </c>
      <c r="I1370" s="22">
        <f>ROUND((ROUND((Source!AC927*Source!AW927*Source!I927),2)),2)+(ROUND((ROUND(((Source!ET927)*Source!AV927*Source!I927),2)),2)+ROUND((ROUND(((Source!AE927-(Source!EU927))*Source!AV927*Source!I927),2)),2))+ROUND((ROUND((Source!AF927*Source!AV927*Source!I927),2)),2)</f>
        <v>16289.4</v>
      </c>
      <c r="J1370" s="18">
        <f>IF(Source!BC927&lt;&gt; 0, Source!BC927, 1)</f>
        <v>6.34</v>
      </c>
      <c r="K1370" s="22">
        <f>Source!O927</f>
        <v>103274.8</v>
      </c>
      <c r="Q1370">
        <f>ROUND((Source!DN927/100)*ROUND((ROUND((Source!AF927*Source!AV927*Source!I927),2)),2), 2)</f>
        <v>0</v>
      </c>
      <c r="R1370">
        <f>Source!X927</f>
        <v>0</v>
      </c>
      <c r="S1370">
        <f>ROUND((Source!DO927/100)*ROUND((ROUND((Source!AF927*Source!AV927*Source!I927),2)),2), 2)</f>
        <v>0</v>
      </c>
      <c r="T1370">
        <f>Source!Y927</f>
        <v>0</v>
      </c>
      <c r="U1370">
        <f>ROUND((175/100)*ROUND((ROUND((Source!AE927*Source!AV927*Source!I927),2)),2), 2)</f>
        <v>0</v>
      </c>
      <c r="V1370">
        <f>ROUND((157/100)*ROUND(ROUND((ROUND((Source!AE927*Source!AV927*Source!I927),2)*Source!BS927),2), 2), 2)</f>
        <v>0</v>
      </c>
      <c r="X1370">
        <f>IF(Source!BI927&lt;=1,I1370, 0)</f>
        <v>16289.4</v>
      </c>
      <c r="Y1370">
        <f>IF(Source!BI927=2,I1370, 0)</f>
        <v>0</v>
      </c>
      <c r="Z1370">
        <f>IF(Source!BI927=3,I1370, 0)</f>
        <v>0</v>
      </c>
      <c r="AA1370">
        <f>IF(Source!BI927=4,I1370, 0)</f>
        <v>0</v>
      </c>
    </row>
    <row r="1371" spans="1:27" ht="14.25" x14ac:dyDescent="0.2">
      <c r="A1371" s="16"/>
      <c r="B1371" s="17"/>
      <c r="C1371" s="17" t="s">
        <v>1626</v>
      </c>
      <c r="D1371" s="19" t="s">
        <v>1627</v>
      </c>
      <c r="E1371" s="18">
        <f>Source!DN926</f>
        <v>156</v>
      </c>
      <c r="F1371" s="21"/>
      <c r="G1371" s="20"/>
      <c r="H1371" s="18"/>
      <c r="I1371" s="22">
        <f>SUM(Q1364:Q1370)</f>
        <v>153.86000000000001</v>
      </c>
      <c r="J1371" s="18">
        <f>Source!BZ926</f>
        <v>90</v>
      </c>
      <c r="K1371" s="22">
        <f>SUM(R1364:R1370)</f>
        <v>2258.2399999999998</v>
      </c>
    </row>
    <row r="1372" spans="1:27" ht="14.25" x14ac:dyDescent="0.2">
      <c r="A1372" s="16"/>
      <c r="B1372" s="17"/>
      <c r="C1372" s="17" t="s">
        <v>1628</v>
      </c>
      <c r="D1372" s="19" t="s">
        <v>1627</v>
      </c>
      <c r="E1372" s="18">
        <f>Source!DO926</f>
        <v>84</v>
      </c>
      <c r="F1372" s="21"/>
      <c r="G1372" s="20"/>
      <c r="H1372" s="18"/>
      <c r="I1372" s="22">
        <f>SUM(S1364:S1371)</f>
        <v>82.85</v>
      </c>
      <c r="J1372" s="18">
        <f>Source!CA926</f>
        <v>41</v>
      </c>
      <c r="K1372" s="22">
        <f>SUM(T1364:T1371)</f>
        <v>1028.75</v>
      </c>
    </row>
    <row r="1373" spans="1:27" ht="14.25" x14ac:dyDescent="0.2">
      <c r="A1373" s="16"/>
      <c r="B1373" s="17"/>
      <c r="C1373" s="17" t="s">
        <v>1633</v>
      </c>
      <c r="D1373" s="19" t="s">
        <v>1627</v>
      </c>
      <c r="E1373" s="18">
        <f>175</f>
        <v>175</v>
      </c>
      <c r="F1373" s="21"/>
      <c r="G1373" s="20"/>
      <c r="H1373" s="18"/>
      <c r="I1373" s="22">
        <f>SUM(U1364:U1372)</f>
        <v>0.77</v>
      </c>
      <c r="J1373" s="18">
        <f>157</f>
        <v>157</v>
      </c>
      <c r="K1373" s="22">
        <f>SUM(V1364:V1372)</f>
        <v>17.57</v>
      </c>
    </row>
    <row r="1374" spans="1:27" ht="14.25" x14ac:dyDescent="0.2">
      <c r="A1374" s="16"/>
      <c r="B1374" s="17"/>
      <c r="C1374" s="17" t="s">
        <v>1629</v>
      </c>
      <c r="D1374" s="19" t="s">
        <v>1630</v>
      </c>
      <c r="E1374" s="18">
        <f>Source!AQ926</f>
        <v>6.22</v>
      </c>
      <c r="F1374" s="21"/>
      <c r="G1374" s="20" t="str">
        <f>Source!DI926</f>
        <v/>
      </c>
      <c r="H1374" s="18">
        <f>Source!AV926</f>
        <v>1</v>
      </c>
      <c r="I1374" s="22">
        <f>Source!U926</f>
        <v>9.33</v>
      </c>
      <c r="J1374" s="18"/>
      <c r="K1374" s="22"/>
    </row>
    <row r="1375" spans="1:27" ht="15" x14ac:dyDescent="0.25">
      <c r="A1375" s="25"/>
      <c r="B1375" s="25"/>
      <c r="C1375" s="25"/>
      <c r="D1375" s="25"/>
      <c r="E1375" s="25"/>
      <c r="F1375" s="25"/>
      <c r="G1375" s="25"/>
      <c r="H1375" s="54">
        <f>I1366+I1367+I1369+I1371+I1372+I1373+SUM(I1370:I1370)</f>
        <v>16729.12</v>
      </c>
      <c r="I1375" s="54"/>
      <c r="J1375" s="54">
        <f>K1366+K1367+K1369+K1371+K1372+K1373+SUM(K1370:K1370)</f>
        <v>110069.24</v>
      </c>
      <c r="K1375" s="54"/>
      <c r="O1375" s="24">
        <f>I1366+I1367+I1369+I1371+I1372+I1373+SUM(I1370:I1370)</f>
        <v>16729.12</v>
      </c>
      <c r="P1375" s="24">
        <f>K1366+K1367+K1369+K1371+K1372+K1373+SUM(K1370:K1370)</f>
        <v>110069.24</v>
      </c>
      <c r="X1375">
        <f>IF(Source!BI926&lt;=1,I1366+I1367+I1369+I1371+I1372+I1373-0, 0)</f>
        <v>439.72</v>
      </c>
      <c r="Y1375">
        <f>IF(Source!BI926=2,I1366+I1367+I1369+I1371+I1372+I1373-0, 0)</f>
        <v>0</v>
      </c>
      <c r="Z1375">
        <f>IF(Source!BI926=3,I1366+I1367+I1369+I1371+I1372+I1373-0, 0)</f>
        <v>0</v>
      </c>
      <c r="AA1375">
        <f>IF(Source!BI926=4,I1366+I1367+I1369+I1371+I1372+I1373,0)</f>
        <v>0</v>
      </c>
    </row>
    <row r="1376" spans="1:27" ht="57" x14ac:dyDescent="0.2">
      <c r="A1376" s="16" t="str">
        <f>Source!E928</f>
        <v>170</v>
      </c>
      <c r="B1376" s="17" t="str">
        <f>Source!F928</f>
        <v>4.8-76-1</v>
      </c>
      <c r="C1376" s="17" t="s">
        <v>1049</v>
      </c>
      <c r="D1376" s="19" t="str">
        <f>Source!H928</f>
        <v>100 шт.</v>
      </c>
      <c r="E1376" s="18">
        <f>Source!I928</f>
        <v>0.3</v>
      </c>
      <c r="F1376" s="21"/>
      <c r="G1376" s="20"/>
      <c r="H1376" s="18"/>
      <c r="I1376" s="22"/>
      <c r="J1376" s="18"/>
      <c r="K1376" s="22"/>
      <c r="Q1376">
        <f>ROUND((Source!DN928/100)*ROUND((ROUND((Source!AF928*Source!AV928*Source!I928),2)),2), 2)</f>
        <v>50.18</v>
      </c>
      <c r="R1376">
        <f>Source!X928</f>
        <v>862.3</v>
      </c>
      <c r="S1376">
        <f>ROUND((Source!DO928/100)*ROUND((ROUND((Source!AF928*Source!AV928*Source!I928),2)),2), 2)</f>
        <v>29.49</v>
      </c>
      <c r="T1376">
        <f>Source!Y928</f>
        <v>459.15</v>
      </c>
      <c r="U1376">
        <f>ROUND((175/100)*ROUND((ROUND((Source!AE928*Source!AV928*Source!I928),2)),2), 2)</f>
        <v>0</v>
      </c>
      <c r="V1376">
        <f>ROUND((157/100)*ROUND(ROUND((ROUND((Source!AE928*Source!AV928*Source!I928),2)*Source!BS928),2), 2), 2)</f>
        <v>0</v>
      </c>
    </row>
    <row r="1377" spans="1:27" x14ac:dyDescent="0.2">
      <c r="C1377" s="23" t="str">
        <f>"Объем: "&amp;Source!I928&amp;"=30/"&amp;"100"</f>
        <v>Объем: 0,3=30/100</v>
      </c>
    </row>
    <row r="1378" spans="1:27" ht="14.25" x14ac:dyDescent="0.2">
      <c r="A1378" s="16"/>
      <c r="B1378" s="17"/>
      <c r="C1378" s="17" t="s">
        <v>1625</v>
      </c>
      <c r="D1378" s="19"/>
      <c r="E1378" s="18"/>
      <c r="F1378" s="21">
        <f>Source!AO928</f>
        <v>146.72999999999999</v>
      </c>
      <c r="G1378" s="20" t="str">
        <f>Source!DG928</f>
        <v/>
      </c>
      <c r="H1378" s="18">
        <f>Source!AV928</f>
        <v>1</v>
      </c>
      <c r="I1378" s="22">
        <f>ROUND((ROUND((Source!AF928*Source!AV928*Source!I928),2)),2)</f>
        <v>44.02</v>
      </c>
      <c r="J1378" s="18">
        <f>IF(Source!BA928&lt;&gt; 0, Source!BA928, 1)</f>
        <v>25.44</v>
      </c>
      <c r="K1378" s="22">
        <f>Source!S928</f>
        <v>1119.8699999999999</v>
      </c>
      <c r="W1378">
        <f>I1378</f>
        <v>44.02</v>
      </c>
    </row>
    <row r="1379" spans="1:27" ht="14.25" x14ac:dyDescent="0.2">
      <c r="A1379" s="16"/>
      <c r="B1379" s="17"/>
      <c r="C1379" s="17" t="s">
        <v>1634</v>
      </c>
      <c r="D1379" s="19"/>
      <c r="E1379" s="18"/>
      <c r="F1379" s="21">
        <f>Source!AL928</f>
        <v>1.26</v>
      </c>
      <c r="G1379" s="20" t="str">
        <f>Source!DD928</f>
        <v/>
      </c>
      <c r="H1379" s="18">
        <f>Source!AW928</f>
        <v>1</v>
      </c>
      <c r="I1379" s="22">
        <f>ROUND((ROUND((Source!AC928*Source!AW928*Source!I928),2)),2)</f>
        <v>0.38</v>
      </c>
      <c r="J1379" s="18">
        <f>IF(Source!BC928&lt;&gt; 0, Source!BC928, 1)</f>
        <v>6.58</v>
      </c>
      <c r="K1379" s="22">
        <f>Source!P928</f>
        <v>2.5</v>
      </c>
    </row>
    <row r="1380" spans="1:27" ht="14.25" x14ac:dyDescent="0.2">
      <c r="A1380" s="16"/>
      <c r="B1380" s="17"/>
      <c r="C1380" s="17" t="s">
        <v>1626</v>
      </c>
      <c r="D1380" s="19" t="s">
        <v>1627</v>
      </c>
      <c r="E1380" s="18">
        <f>Source!DN928</f>
        <v>114</v>
      </c>
      <c r="F1380" s="21"/>
      <c r="G1380" s="20"/>
      <c r="H1380" s="18"/>
      <c r="I1380" s="22">
        <f>SUM(Q1376:Q1379)</f>
        <v>50.18</v>
      </c>
      <c r="J1380" s="18">
        <f>Source!BZ928</f>
        <v>77</v>
      </c>
      <c r="K1380" s="22">
        <f>SUM(R1376:R1379)</f>
        <v>862.3</v>
      </c>
    </row>
    <row r="1381" spans="1:27" ht="14.25" x14ac:dyDescent="0.2">
      <c r="A1381" s="16"/>
      <c r="B1381" s="17"/>
      <c r="C1381" s="17" t="s">
        <v>1628</v>
      </c>
      <c r="D1381" s="19" t="s">
        <v>1627</v>
      </c>
      <c r="E1381" s="18">
        <f>Source!DO928</f>
        <v>67</v>
      </c>
      <c r="F1381" s="21"/>
      <c r="G1381" s="20"/>
      <c r="H1381" s="18"/>
      <c r="I1381" s="22">
        <f>SUM(S1376:S1380)</f>
        <v>29.49</v>
      </c>
      <c r="J1381" s="18">
        <f>Source!CA928</f>
        <v>41</v>
      </c>
      <c r="K1381" s="22">
        <f>SUM(T1376:T1380)</f>
        <v>459.15</v>
      </c>
    </row>
    <row r="1382" spans="1:27" ht="14.25" x14ac:dyDescent="0.2">
      <c r="A1382" s="16"/>
      <c r="B1382" s="17"/>
      <c r="C1382" s="17" t="s">
        <v>1629</v>
      </c>
      <c r="D1382" s="19" t="s">
        <v>1630</v>
      </c>
      <c r="E1382" s="18">
        <f>Source!AQ928</f>
        <v>11.9</v>
      </c>
      <c r="F1382" s="21"/>
      <c r="G1382" s="20" t="str">
        <f>Source!DI928</f>
        <v/>
      </c>
      <c r="H1382" s="18">
        <f>Source!AV928</f>
        <v>1</v>
      </c>
      <c r="I1382" s="22">
        <f>Source!U928</f>
        <v>3.57</v>
      </c>
      <c r="J1382" s="18"/>
      <c r="K1382" s="22"/>
    </row>
    <row r="1383" spans="1:27" ht="15" x14ac:dyDescent="0.25">
      <c r="A1383" s="25"/>
      <c r="B1383" s="25"/>
      <c r="C1383" s="25"/>
      <c r="D1383" s="25"/>
      <c r="E1383" s="25"/>
      <c r="F1383" s="25"/>
      <c r="G1383" s="25"/>
      <c r="H1383" s="54">
        <f>I1378+I1379+I1380+I1381</f>
        <v>124.07000000000001</v>
      </c>
      <c r="I1383" s="54"/>
      <c r="J1383" s="54">
        <f>K1378+K1379+K1380+K1381</f>
        <v>2443.8199999999997</v>
      </c>
      <c r="K1383" s="54"/>
      <c r="O1383" s="24">
        <f>I1378+I1379+I1380+I1381</f>
        <v>124.07000000000001</v>
      </c>
      <c r="P1383" s="24">
        <f>K1378+K1379+K1380+K1381</f>
        <v>2443.8199999999997</v>
      </c>
      <c r="X1383">
        <f>IF(Source!BI928&lt;=1,I1378+I1379+I1380+I1381-0, 0)</f>
        <v>0</v>
      </c>
      <c r="Y1383">
        <f>IF(Source!BI928=2,I1378+I1379+I1380+I1381-0, 0)</f>
        <v>124.07000000000001</v>
      </c>
      <c r="Z1383">
        <f>IF(Source!BI928=3,I1378+I1379+I1380+I1381-0, 0)</f>
        <v>0</v>
      </c>
      <c r="AA1383">
        <f>IF(Source!BI928=4,I1378+I1379+I1380+I1381,0)</f>
        <v>0</v>
      </c>
    </row>
    <row r="1384" spans="1:27" ht="28.5" x14ac:dyDescent="0.2">
      <c r="A1384" s="16" t="str">
        <f>Source!E929</f>
        <v>171</v>
      </c>
      <c r="B1384" s="17" t="str">
        <f>Source!F929</f>
        <v>1.21-5-342</v>
      </c>
      <c r="C1384" s="17" t="s">
        <v>1054</v>
      </c>
      <c r="D1384" s="19" t="str">
        <f>Source!H929</f>
        <v>шт.</v>
      </c>
      <c r="E1384" s="18">
        <f>Source!I929</f>
        <v>30</v>
      </c>
      <c r="F1384" s="21">
        <f>Source!AL929</f>
        <v>29.82</v>
      </c>
      <c r="G1384" s="20" t="str">
        <f>Source!DD929</f>
        <v/>
      </c>
      <c r="H1384" s="18">
        <f>Source!AW929</f>
        <v>1</v>
      </c>
      <c r="I1384" s="22">
        <f>ROUND((ROUND((Source!AC929*Source!AW929*Source!I929),2)),2)</f>
        <v>894.6</v>
      </c>
      <c r="J1384" s="18">
        <f>IF(Source!BC929&lt;&gt; 0, Source!BC929, 1)</f>
        <v>1.68</v>
      </c>
      <c r="K1384" s="22">
        <f>Source!P929</f>
        <v>1502.93</v>
      </c>
      <c r="Q1384">
        <f>ROUND((Source!DN929/100)*ROUND((ROUND((Source!AF929*Source!AV929*Source!I929),2)),2), 2)</f>
        <v>0</v>
      </c>
      <c r="R1384">
        <f>Source!X929</f>
        <v>0</v>
      </c>
      <c r="S1384">
        <f>ROUND((Source!DO929/100)*ROUND((ROUND((Source!AF929*Source!AV929*Source!I929),2)),2), 2)</f>
        <v>0</v>
      </c>
      <c r="T1384">
        <f>Source!Y929</f>
        <v>0</v>
      </c>
      <c r="U1384">
        <f>ROUND((175/100)*ROUND((ROUND((Source!AE929*Source!AV929*Source!I929),2)),2), 2)</f>
        <v>0</v>
      </c>
      <c r="V1384">
        <f>ROUND((157/100)*ROUND(ROUND((ROUND((Source!AE929*Source!AV929*Source!I929),2)*Source!BS929),2), 2), 2)</f>
        <v>0</v>
      </c>
    </row>
    <row r="1385" spans="1:27" ht="15" x14ac:dyDescent="0.25">
      <c r="A1385" s="25"/>
      <c r="B1385" s="25"/>
      <c r="C1385" s="25"/>
      <c r="D1385" s="25"/>
      <c r="E1385" s="25"/>
      <c r="F1385" s="25"/>
      <c r="G1385" s="25"/>
      <c r="H1385" s="54">
        <f>I1384</f>
        <v>894.6</v>
      </c>
      <c r="I1385" s="54"/>
      <c r="J1385" s="54">
        <f>K1384</f>
        <v>1502.93</v>
      </c>
      <c r="K1385" s="54"/>
      <c r="O1385" s="24">
        <f>I1384</f>
        <v>894.6</v>
      </c>
      <c r="P1385" s="24">
        <f>K1384</f>
        <v>1502.93</v>
      </c>
      <c r="X1385">
        <f>IF(Source!BI929&lt;=1,I1384-0, 0)</f>
        <v>0</v>
      </c>
      <c r="Y1385">
        <f>IF(Source!BI929=2,I1384-0, 0)</f>
        <v>894.6</v>
      </c>
      <c r="Z1385">
        <f>IF(Source!BI929=3,I1384-0, 0)</f>
        <v>0</v>
      </c>
      <c r="AA1385">
        <f>IF(Source!BI929=4,I1384,0)</f>
        <v>0</v>
      </c>
    </row>
    <row r="1386" spans="1:27" ht="85.5" x14ac:dyDescent="0.2">
      <c r="A1386" s="16" t="str">
        <f>Source!E930</f>
        <v>172</v>
      </c>
      <c r="B1386" s="17" t="str">
        <f>Source!F930</f>
        <v>4.8-239-1</v>
      </c>
      <c r="C1386" s="17" t="s">
        <v>1058</v>
      </c>
      <c r="D1386" s="19" t="str">
        <f>Source!H930</f>
        <v>1  ШТ.</v>
      </c>
      <c r="E1386" s="18">
        <f>Source!I930</f>
        <v>1</v>
      </c>
      <c r="F1386" s="21"/>
      <c r="G1386" s="20"/>
      <c r="H1386" s="18"/>
      <c r="I1386" s="22"/>
      <c r="J1386" s="18"/>
      <c r="K1386" s="22"/>
      <c r="Q1386">
        <f>ROUND((Source!DN930/100)*ROUND((ROUND((Source!AF930*Source!AV930*Source!I930),2)),2), 2)</f>
        <v>30.53</v>
      </c>
      <c r="R1386">
        <f>Source!X930</f>
        <v>524.59</v>
      </c>
      <c r="S1386">
        <f>ROUND((Source!DO930/100)*ROUND((ROUND((Source!AF930*Source!AV930*Source!I930),2)),2), 2)</f>
        <v>17.940000000000001</v>
      </c>
      <c r="T1386">
        <f>Source!Y930</f>
        <v>279.32</v>
      </c>
      <c r="U1386">
        <f>ROUND((175/100)*ROUND((ROUND((Source!AE930*Source!AV930*Source!I930),2)),2), 2)</f>
        <v>7.81</v>
      </c>
      <c r="V1386">
        <f>ROUND((157/100)*ROUND(ROUND((ROUND((Source!AE930*Source!AV930*Source!I930),2)*Source!BS930),2), 2), 2)</f>
        <v>178.13</v>
      </c>
    </row>
    <row r="1387" spans="1:27" ht="14.25" x14ac:dyDescent="0.2">
      <c r="A1387" s="16"/>
      <c r="B1387" s="17"/>
      <c r="C1387" s="17" t="s">
        <v>1625</v>
      </c>
      <c r="D1387" s="19"/>
      <c r="E1387" s="18"/>
      <c r="F1387" s="21">
        <f>Source!AO930</f>
        <v>26.78</v>
      </c>
      <c r="G1387" s="20" t="str">
        <f>Source!DG930</f>
        <v/>
      </c>
      <c r="H1387" s="18">
        <f>Source!AV930</f>
        <v>1</v>
      </c>
      <c r="I1387" s="22">
        <f>ROUND((ROUND((Source!AF930*Source!AV930*Source!I930),2)),2)</f>
        <v>26.78</v>
      </c>
      <c r="J1387" s="18">
        <f>IF(Source!BA930&lt;&gt; 0, Source!BA930, 1)</f>
        <v>25.44</v>
      </c>
      <c r="K1387" s="22">
        <f>Source!S930</f>
        <v>681.28</v>
      </c>
      <c r="W1387">
        <f>I1387</f>
        <v>26.78</v>
      </c>
    </row>
    <row r="1388" spans="1:27" ht="14.25" x14ac:dyDescent="0.2">
      <c r="A1388" s="16"/>
      <c r="B1388" s="17"/>
      <c r="C1388" s="17" t="s">
        <v>1631</v>
      </c>
      <c r="D1388" s="19"/>
      <c r="E1388" s="18"/>
      <c r="F1388" s="21">
        <f>Source!AM930</f>
        <v>41.82</v>
      </c>
      <c r="G1388" s="20" t="str">
        <f>Source!DE930</f>
        <v/>
      </c>
      <c r="H1388" s="18">
        <f>Source!AV930</f>
        <v>1</v>
      </c>
      <c r="I1388" s="22">
        <f>(ROUND((ROUND(((Source!ET930)*Source!AV930*Source!I930),2)),2)+ROUND((ROUND(((Source!AE930-(Source!EU930))*Source!AV930*Source!I930),2)),2))</f>
        <v>41.82</v>
      </c>
      <c r="J1388" s="18">
        <f>IF(Source!BB930&lt;&gt; 0, Source!BB930, 1)</f>
        <v>7.94</v>
      </c>
      <c r="K1388" s="22">
        <f>Source!Q930</f>
        <v>332.05</v>
      </c>
    </row>
    <row r="1389" spans="1:27" ht="14.25" x14ac:dyDescent="0.2">
      <c r="A1389" s="16"/>
      <c r="B1389" s="17"/>
      <c r="C1389" s="17" t="s">
        <v>1632</v>
      </c>
      <c r="D1389" s="19"/>
      <c r="E1389" s="18"/>
      <c r="F1389" s="21">
        <f>Source!AN930</f>
        <v>4.46</v>
      </c>
      <c r="G1389" s="20" t="str">
        <f>Source!DF930</f>
        <v/>
      </c>
      <c r="H1389" s="18">
        <f>Source!AV930</f>
        <v>1</v>
      </c>
      <c r="I1389" s="26">
        <f>ROUND((ROUND((Source!AE930*Source!AV930*Source!I930),2)),2)</f>
        <v>4.46</v>
      </c>
      <c r="J1389" s="18">
        <f>IF(Source!BS930&lt;&gt; 0, Source!BS930, 1)</f>
        <v>25.44</v>
      </c>
      <c r="K1389" s="26">
        <f>Source!R930</f>
        <v>113.46</v>
      </c>
      <c r="W1389">
        <f>I1389</f>
        <v>4.46</v>
      </c>
    </row>
    <row r="1390" spans="1:27" ht="14.25" x14ac:dyDescent="0.2">
      <c r="A1390" s="16"/>
      <c r="B1390" s="17"/>
      <c r="C1390" s="17" t="s">
        <v>1634</v>
      </c>
      <c r="D1390" s="19"/>
      <c r="E1390" s="18"/>
      <c r="F1390" s="21">
        <f>Source!AL930</f>
        <v>79.099999999999994</v>
      </c>
      <c r="G1390" s="20" t="str">
        <f>Source!DD930</f>
        <v/>
      </c>
      <c r="H1390" s="18">
        <f>Source!AW930</f>
        <v>1</v>
      </c>
      <c r="I1390" s="22">
        <f>ROUND((ROUND((Source!AC930*Source!AW930*Source!I930),2)),2)</f>
        <v>79.099999999999994</v>
      </c>
      <c r="J1390" s="18">
        <f>IF(Source!BC930&lt;&gt; 0, Source!BC930, 1)</f>
        <v>6.58</v>
      </c>
      <c r="K1390" s="22">
        <f>Source!P930</f>
        <v>520.48</v>
      </c>
    </row>
    <row r="1391" spans="1:27" ht="14.25" x14ac:dyDescent="0.2">
      <c r="A1391" s="16"/>
      <c r="B1391" s="17"/>
      <c r="C1391" s="17" t="s">
        <v>1626</v>
      </c>
      <c r="D1391" s="19" t="s">
        <v>1627</v>
      </c>
      <c r="E1391" s="18">
        <f>Source!DN930</f>
        <v>114</v>
      </c>
      <c r="F1391" s="21"/>
      <c r="G1391" s="20"/>
      <c r="H1391" s="18"/>
      <c r="I1391" s="22">
        <f>SUM(Q1386:Q1390)</f>
        <v>30.53</v>
      </c>
      <c r="J1391" s="18">
        <f>Source!BZ930</f>
        <v>77</v>
      </c>
      <c r="K1391" s="22">
        <f>SUM(R1386:R1390)</f>
        <v>524.59</v>
      </c>
    </row>
    <row r="1392" spans="1:27" ht="14.25" x14ac:dyDescent="0.2">
      <c r="A1392" s="16"/>
      <c r="B1392" s="17"/>
      <c r="C1392" s="17" t="s">
        <v>1628</v>
      </c>
      <c r="D1392" s="19" t="s">
        <v>1627</v>
      </c>
      <c r="E1392" s="18">
        <f>Source!DO930</f>
        <v>67</v>
      </c>
      <c r="F1392" s="21"/>
      <c r="G1392" s="20"/>
      <c r="H1392" s="18"/>
      <c r="I1392" s="22">
        <f>SUM(S1386:S1391)</f>
        <v>17.940000000000001</v>
      </c>
      <c r="J1392" s="18">
        <f>Source!CA930</f>
        <v>41</v>
      </c>
      <c r="K1392" s="22">
        <f>SUM(T1386:T1391)</f>
        <v>279.32</v>
      </c>
    </row>
    <row r="1393" spans="1:27" ht="14.25" x14ac:dyDescent="0.2">
      <c r="A1393" s="16"/>
      <c r="B1393" s="17"/>
      <c r="C1393" s="17" t="s">
        <v>1633</v>
      </c>
      <c r="D1393" s="19" t="s">
        <v>1627</v>
      </c>
      <c r="E1393" s="18">
        <f>175</f>
        <v>175</v>
      </c>
      <c r="F1393" s="21"/>
      <c r="G1393" s="20"/>
      <c r="H1393" s="18"/>
      <c r="I1393" s="22">
        <f>SUM(U1386:U1392)</f>
        <v>7.81</v>
      </c>
      <c r="J1393" s="18">
        <f>157</f>
        <v>157</v>
      </c>
      <c r="K1393" s="22">
        <f>SUM(V1386:V1392)</f>
        <v>178.13</v>
      </c>
    </row>
    <row r="1394" spans="1:27" ht="14.25" x14ac:dyDescent="0.2">
      <c r="A1394" s="16"/>
      <c r="B1394" s="17"/>
      <c r="C1394" s="17" t="s">
        <v>1629</v>
      </c>
      <c r="D1394" s="19" t="s">
        <v>1630</v>
      </c>
      <c r="E1394" s="18">
        <f>Source!AQ930</f>
        <v>2.06</v>
      </c>
      <c r="F1394" s="21"/>
      <c r="G1394" s="20" t="str">
        <f>Source!DI930</f>
        <v/>
      </c>
      <c r="H1394" s="18">
        <f>Source!AV930</f>
        <v>1</v>
      </c>
      <c r="I1394" s="22">
        <f>Source!U930</f>
        <v>2.06</v>
      </c>
      <c r="J1394" s="18"/>
      <c r="K1394" s="22"/>
    </row>
    <row r="1395" spans="1:27" ht="15" x14ac:dyDescent="0.25">
      <c r="A1395" s="25"/>
      <c r="B1395" s="25"/>
      <c r="C1395" s="25"/>
      <c r="D1395" s="25"/>
      <c r="E1395" s="25"/>
      <c r="F1395" s="25"/>
      <c r="G1395" s="25"/>
      <c r="H1395" s="54">
        <f>I1387+I1388+I1390+I1391+I1392+I1393</f>
        <v>203.98</v>
      </c>
      <c r="I1395" s="54"/>
      <c r="J1395" s="54">
        <f>K1387+K1388+K1390+K1391+K1392+K1393</f>
        <v>2515.8500000000004</v>
      </c>
      <c r="K1395" s="54"/>
      <c r="O1395" s="24">
        <f>I1387+I1388+I1390+I1391+I1392+I1393</f>
        <v>203.98</v>
      </c>
      <c r="P1395" s="24">
        <f>K1387+K1388+K1390+K1391+K1392+K1393</f>
        <v>2515.8500000000004</v>
      </c>
      <c r="X1395">
        <f>IF(Source!BI930&lt;=1,I1387+I1388+I1390+I1391+I1392+I1393-0, 0)</f>
        <v>0</v>
      </c>
      <c r="Y1395">
        <f>IF(Source!BI930=2,I1387+I1388+I1390+I1391+I1392+I1393-0, 0)</f>
        <v>203.98</v>
      </c>
      <c r="Z1395">
        <f>IF(Source!BI930=3,I1387+I1388+I1390+I1391+I1392+I1393-0, 0)</f>
        <v>0</v>
      </c>
      <c r="AA1395">
        <f>IF(Source!BI930=4,I1387+I1388+I1390+I1391+I1392+I1393,0)</f>
        <v>0</v>
      </c>
    </row>
    <row r="1396" spans="1:27" ht="270.75" x14ac:dyDescent="0.2">
      <c r="A1396" s="16" t="str">
        <f>Source!E931</f>
        <v>173</v>
      </c>
      <c r="B1396" s="17" t="str">
        <f>Source!F931</f>
        <v>13.1-1-719</v>
      </c>
      <c r="C1396" s="17" t="s">
        <v>1596</v>
      </c>
      <c r="D1396" s="19" t="str">
        <f>Source!H931</f>
        <v>КОМПЛЕКТ</v>
      </c>
      <c r="E1396" s="18">
        <f>Source!I931</f>
        <v>1</v>
      </c>
      <c r="F1396" s="21">
        <f>Source!AL931</f>
        <v>42888.45</v>
      </c>
      <c r="G1396" s="20" t="str">
        <f>Source!DD931</f>
        <v/>
      </c>
      <c r="H1396" s="18">
        <f>Source!AW931</f>
        <v>1</v>
      </c>
      <c r="I1396" s="22">
        <f>ROUND((ROUND((Source!AC931*Source!AW931*Source!I931),2)),2)</f>
        <v>42888.45</v>
      </c>
      <c r="J1396" s="18">
        <f>IF(Source!BC931&lt;&gt; 0, Source!BC931, 1)</f>
        <v>3.97</v>
      </c>
      <c r="K1396" s="22">
        <f>Source!P931</f>
        <v>170267.15</v>
      </c>
      <c r="Q1396">
        <f>ROUND((Source!DN931/100)*ROUND((ROUND((Source!AF931*Source!AV931*Source!I931),2)),2), 2)</f>
        <v>0</v>
      </c>
      <c r="R1396">
        <f>Source!X931</f>
        <v>0</v>
      </c>
      <c r="S1396">
        <f>ROUND((Source!DO931/100)*ROUND((ROUND((Source!AF931*Source!AV931*Source!I931),2)),2), 2)</f>
        <v>0</v>
      </c>
      <c r="T1396">
        <f>Source!Y931</f>
        <v>0</v>
      </c>
      <c r="U1396">
        <f>ROUND((175/100)*ROUND((ROUND((Source!AE931*Source!AV931*Source!I931),2)),2), 2)</f>
        <v>0</v>
      </c>
      <c r="V1396">
        <f>ROUND((157/100)*ROUND(ROUND((ROUND((Source!AE931*Source!AV931*Source!I931),2)*Source!BS931),2), 2), 2)</f>
        <v>0</v>
      </c>
    </row>
    <row r="1397" spans="1:27" ht="15" x14ac:dyDescent="0.25">
      <c r="A1397" s="25"/>
      <c r="B1397" s="25"/>
      <c r="C1397" s="25"/>
      <c r="D1397" s="25"/>
      <c r="E1397" s="25"/>
      <c r="F1397" s="25"/>
      <c r="G1397" s="25"/>
      <c r="H1397" s="54">
        <f>I1396</f>
        <v>42888.45</v>
      </c>
      <c r="I1397" s="54"/>
      <c r="J1397" s="54">
        <f>K1396</f>
        <v>170267.15</v>
      </c>
      <c r="K1397" s="54"/>
      <c r="O1397" s="24">
        <f>I1396</f>
        <v>42888.45</v>
      </c>
      <c r="P1397" s="24">
        <f>K1396</f>
        <v>170267.15</v>
      </c>
      <c r="X1397">
        <f>IF(Source!BI931&lt;=1,I1396-0, 0)</f>
        <v>0</v>
      </c>
      <c r="Y1397">
        <f>IF(Source!BI931=2,I1396-0, 0)</f>
        <v>0</v>
      </c>
      <c r="Z1397">
        <f>IF(Source!BI931=3,I1396-0, 0)</f>
        <v>42888.45</v>
      </c>
      <c r="AA1397">
        <f>IF(Source!BI931=4,I1396,0)</f>
        <v>0</v>
      </c>
    </row>
    <row r="1398" spans="1:27" ht="42.75" x14ac:dyDescent="0.2">
      <c r="A1398" s="16" t="str">
        <f>Source!E932</f>
        <v>174</v>
      </c>
      <c r="B1398" s="17" t="str">
        <f>Source!F932</f>
        <v>5.2-32-1</v>
      </c>
      <c r="C1398" s="17" t="s">
        <v>1069</v>
      </c>
      <c r="D1398" s="19" t="str">
        <f>Source!H932</f>
        <v>1 комплекс</v>
      </c>
      <c r="E1398" s="18">
        <f>Source!I932</f>
        <v>1</v>
      </c>
      <c r="F1398" s="21"/>
      <c r="G1398" s="20"/>
      <c r="H1398" s="18"/>
      <c r="I1398" s="22"/>
      <c r="J1398" s="18"/>
      <c r="K1398" s="22"/>
      <c r="Q1398">
        <f>ROUND((Source!DN932/100)*ROUND((ROUND((Source!AF932*Source!AV932*Source!I932),2)),2), 2)</f>
        <v>651.98</v>
      </c>
      <c r="R1398">
        <f>Source!X932</f>
        <v>15038.19</v>
      </c>
      <c r="S1398">
        <f>ROUND((Source!DO932/100)*ROUND((ROUND((Source!AF932*Source!AV932*Source!I932),2)),2), 2)</f>
        <v>608.51</v>
      </c>
      <c r="T1398">
        <f>Source!Y932</f>
        <v>9067.15</v>
      </c>
      <c r="U1398">
        <f>ROUND((175/100)*ROUND((ROUND((Source!AE932*Source!AV932*Source!I932),2)),2), 2)</f>
        <v>0</v>
      </c>
      <c r="V1398">
        <f>ROUND((157/100)*ROUND(ROUND((ROUND((Source!AE932*Source!AV932*Source!I932),2)*Source!BS932),2), 2), 2)</f>
        <v>0</v>
      </c>
    </row>
    <row r="1399" spans="1:27" ht="14.25" x14ac:dyDescent="0.2">
      <c r="A1399" s="16"/>
      <c r="B1399" s="17"/>
      <c r="C1399" s="17" t="s">
        <v>1625</v>
      </c>
      <c r="D1399" s="19"/>
      <c r="E1399" s="18"/>
      <c r="F1399" s="21">
        <f>Source!AO932</f>
        <v>1086.6199999999999</v>
      </c>
      <c r="G1399" s="20" t="str">
        <f>Source!DG932</f>
        <v>*0,8</v>
      </c>
      <c r="H1399" s="18">
        <f>Source!AV932</f>
        <v>1</v>
      </c>
      <c r="I1399" s="22">
        <f>ROUND((ROUND((Source!AF932*Source!AV932*Source!I932),2)),2)</f>
        <v>869.3</v>
      </c>
      <c r="J1399" s="18">
        <f>IF(Source!BA932&lt;&gt; 0, Source!BA932, 1)</f>
        <v>25.44</v>
      </c>
      <c r="K1399" s="22">
        <f>Source!S932</f>
        <v>22114.99</v>
      </c>
      <c r="W1399">
        <f>I1399</f>
        <v>869.3</v>
      </c>
    </row>
    <row r="1400" spans="1:27" ht="14.25" x14ac:dyDescent="0.2">
      <c r="A1400" s="16"/>
      <c r="B1400" s="17"/>
      <c r="C1400" s="17" t="s">
        <v>1626</v>
      </c>
      <c r="D1400" s="19" t="s">
        <v>1627</v>
      </c>
      <c r="E1400" s="18">
        <f>Source!DN932</f>
        <v>75</v>
      </c>
      <c r="F1400" s="21"/>
      <c r="G1400" s="20"/>
      <c r="H1400" s="18"/>
      <c r="I1400" s="22">
        <f>SUM(Q1398:Q1399)</f>
        <v>651.98</v>
      </c>
      <c r="J1400" s="18">
        <f>Source!BZ932</f>
        <v>68</v>
      </c>
      <c r="K1400" s="22">
        <f>SUM(R1398:R1399)</f>
        <v>15038.19</v>
      </c>
    </row>
    <row r="1401" spans="1:27" ht="14.25" x14ac:dyDescent="0.2">
      <c r="A1401" s="16"/>
      <c r="B1401" s="17"/>
      <c r="C1401" s="17" t="s">
        <v>1628</v>
      </c>
      <c r="D1401" s="19" t="s">
        <v>1627</v>
      </c>
      <c r="E1401" s="18">
        <f>Source!DO932</f>
        <v>70</v>
      </c>
      <c r="F1401" s="21"/>
      <c r="G1401" s="20"/>
      <c r="H1401" s="18"/>
      <c r="I1401" s="22">
        <f>SUM(S1398:S1400)</f>
        <v>608.51</v>
      </c>
      <c r="J1401" s="18">
        <f>Source!CA932</f>
        <v>41</v>
      </c>
      <c r="K1401" s="22">
        <f>SUM(T1398:T1400)</f>
        <v>9067.15</v>
      </c>
    </row>
    <row r="1402" spans="1:27" ht="14.25" x14ac:dyDescent="0.2">
      <c r="A1402" s="16"/>
      <c r="B1402" s="17"/>
      <c r="C1402" s="17" t="s">
        <v>1629</v>
      </c>
      <c r="D1402" s="19" t="s">
        <v>1630</v>
      </c>
      <c r="E1402" s="18">
        <f>Source!AQ932</f>
        <v>56</v>
      </c>
      <c r="F1402" s="21"/>
      <c r="G1402" s="20" t="str">
        <f>Source!DI932</f>
        <v>*0,8</v>
      </c>
      <c r="H1402" s="18">
        <f>Source!AV932</f>
        <v>1</v>
      </c>
      <c r="I1402" s="22">
        <f>Source!U932</f>
        <v>44.800000000000004</v>
      </c>
      <c r="J1402" s="18"/>
      <c r="K1402" s="22"/>
    </row>
    <row r="1403" spans="1:27" ht="15" x14ac:dyDescent="0.25">
      <c r="A1403" s="25"/>
      <c r="B1403" s="25"/>
      <c r="C1403" s="25"/>
      <c r="D1403" s="25"/>
      <c r="E1403" s="25"/>
      <c r="F1403" s="25"/>
      <c r="G1403" s="25"/>
      <c r="H1403" s="54">
        <f>I1399+I1400+I1401</f>
        <v>2129.79</v>
      </c>
      <c r="I1403" s="54"/>
      <c r="J1403" s="54">
        <f>K1399+K1400+K1401</f>
        <v>46220.33</v>
      </c>
      <c r="K1403" s="54"/>
      <c r="O1403" s="24">
        <f>I1399+I1400+I1401</f>
        <v>2129.79</v>
      </c>
      <c r="P1403" s="24">
        <f>K1399+K1400+K1401</f>
        <v>46220.33</v>
      </c>
      <c r="X1403">
        <f>IF(Source!BI932&lt;=1,I1399+I1400+I1401-0, 0)</f>
        <v>0</v>
      </c>
      <c r="Y1403">
        <f>IF(Source!BI932=2,I1399+I1400+I1401-0, 0)</f>
        <v>0</v>
      </c>
      <c r="Z1403">
        <f>IF(Source!BI932=3,I1399+I1400+I1401-0, 0)</f>
        <v>0</v>
      </c>
      <c r="AA1403">
        <f>IF(Source!BI932=4,I1399+I1400+I1401,0)</f>
        <v>2129.79</v>
      </c>
    </row>
    <row r="1404" spans="1:27" ht="57" x14ac:dyDescent="0.2">
      <c r="A1404" s="16" t="str">
        <f>Source!E933</f>
        <v>175</v>
      </c>
      <c r="B1404" s="17" t="str">
        <f>Source!F933</f>
        <v>15.2-46-1</v>
      </c>
      <c r="C1404" s="17" t="s">
        <v>1076</v>
      </c>
      <c r="D1404" s="19" t="str">
        <f>Source!H933</f>
        <v>т</v>
      </c>
      <c r="E1404" s="18">
        <f>Source!I933</f>
        <v>51.3</v>
      </c>
      <c r="F1404" s="21"/>
      <c r="G1404" s="20"/>
      <c r="H1404" s="18"/>
      <c r="I1404" s="22"/>
      <c r="J1404" s="18"/>
      <c r="K1404" s="22"/>
      <c r="Q1404">
        <f>ROUND((Source!DN933/100)*ROUND((ROUND((Source!AF933*Source!AV933*Source!I933),2)),2), 2)</f>
        <v>0</v>
      </c>
      <c r="R1404">
        <f>Source!X933</f>
        <v>0</v>
      </c>
      <c r="S1404">
        <f>ROUND((Source!DO933/100)*ROUND((ROUND((Source!AF933*Source!AV933*Source!I933),2)),2), 2)</f>
        <v>0</v>
      </c>
      <c r="T1404">
        <f>Source!Y933</f>
        <v>0</v>
      </c>
      <c r="U1404">
        <f>ROUND((175/100)*ROUND((ROUND((Source!AE933*Source!AV933*Source!I933),2)),2), 2)</f>
        <v>0</v>
      </c>
      <c r="V1404">
        <f>ROUND((157/100)*ROUND(ROUND((ROUND((Source!AE933*Source!AV933*Source!I933),2)*Source!BS933),2), 2), 2)</f>
        <v>0</v>
      </c>
    </row>
    <row r="1405" spans="1:27" ht="14.25" x14ac:dyDescent="0.2">
      <c r="A1405" s="16"/>
      <c r="B1405" s="17"/>
      <c r="C1405" s="17" t="s">
        <v>1631</v>
      </c>
      <c r="D1405" s="19"/>
      <c r="E1405" s="18"/>
      <c r="F1405" s="21">
        <f>Source!AM933</f>
        <v>46</v>
      </c>
      <c r="G1405" s="20" t="str">
        <f>Source!DE933</f>
        <v/>
      </c>
      <c r="H1405" s="18">
        <f>Source!AV933</f>
        <v>1</v>
      </c>
      <c r="I1405" s="22">
        <f>(ROUND((ROUND(((Source!ET933)*Source!AV933*Source!I933),2)),2)+ROUND((ROUND(((Source!AE933-(Source!EU933))*Source!AV933*Source!I933),2)),2))</f>
        <v>2359.8000000000002</v>
      </c>
      <c r="J1405" s="18">
        <f>IF(Source!BB933&lt;&gt; 0, Source!BB933, 1)</f>
        <v>12.21</v>
      </c>
      <c r="K1405" s="22">
        <f>Source!Q933</f>
        <v>28813.16</v>
      </c>
    </row>
    <row r="1406" spans="1:27" ht="15" x14ac:dyDescent="0.25">
      <c r="A1406" s="25"/>
      <c r="B1406" s="25"/>
      <c r="C1406" s="25"/>
      <c r="D1406" s="25"/>
      <c r="E1406" s="25"/>
      <c r="F1406" s="25"/>
      <c r="G1406" s="25"/>
      <c r="H1406" s="54">
        <f>I1405</f>
        <v>2359.8000000000002</v>
      </c>
      <c r="I1406" s="54"/>
      <c r="J1406" s="54">
        <f>K1405</f>
        <v>28813.16</v>
      </c>
      <c r="K1406" s="54"/>
      <c r="O1406" s="24">
        <f>I1405</f>
        <v>2359.8000000000002</v>
      </c>
      <c r="P1406" s="24">
        <f>K1405</f>
        <v>28813.16</v>
      </c>
      <c r="X1406">
        <f>IF(Source!BI933&lt;=1,I1405-0, 0)</f>
        <v>0</v>
      </c>
      <c r="Y1406">
        <f>IF(Source!BI933=2,I1405-0, 0)</f>
        <v>0</v>
      </c>
      <c r="Z1406">
        <f>IF(Source!BI933=3,I1405-0, 0)</f>
        <v>0</v>
      </c>
      <c r="AA1406">
        <f>IF(Source!BI933=4,I1405,0)</f>
        <v>2359.8000000000002</v>
      </c>
    </row>
    <row r="1407" spans="1:27" ht="42.75" x14ac:dyDescent="0.2">
      <c r="A1407" s="16" t="str">
        <f>Source!E934</f>
        <v>176</v>
      </c>
      <c r="B1407" s="17" t="str">
        <f>Source!F934</f>
        <v>15.1-1102-01</v>
      </c>
      <c r="C1407" s="17" t="s">
        <v>211</v>
      </c>
      <c r="D1407" s="19" t="str">
        <f>Source!H934</f>
        <v>1 Т</v>
      </c>
      <c r="E1407" s="18">
        <f>Source!I934</f>
        <v>51.3</v>
      </c>
      <c r="F1407" s="21"/>
      <c r="G1407" s="20"/>
      <c r="H1407" s="18"/>
      <c r="I1407" s="22"/>
      <c r="J1407" s="18"/>
      <c r="K1407" s="22"/>
      <c r="Q1407">
        <f>ROUND((Source!DN934/100)*ROUND((ROUND((Source!AF934*Source!AV934*Source!I934),2)),2), 2)</f>
        <v>0</v>
      </c>
      <c r="R1407">
        <f>Source!X934</f>
        <v>0</v>
      </c>
      <c r="S1407">
        <f>ROUND((Source!DO934/100)*ROUND((ROUND((Source!AF934*Source!AV934*Source!I934),2)),2), 2)</f>
        <v>0</v>
      </c>
      <c r="T1407">
        <f>Source!Y934</f>
        <v>0</v>
      </c>
      <c r="U1407">
        <f>ROUND((175/100)*ROUND((ROUND((Source!AE934*Source!AV934*Source!I934),2)),2), 2)</f>
        <v>0</v>
      </c>
      <c r="V1407">
        <f>ROUND((157/100)*ROUND(ROUND((ROUND((Source!AE934*Source!AV934*Source!I934),2)*Source!BS934),2), 2), 2)</f>
        <v>0</v>
      </c>
    </row>
    <row r="1408" spans="1:27" ht="14.25" x14ac:dyDescent="0.2">
      <c r="A1408" s="16"/>
      <c r="B1408" s="17"/>
      <c r="C1408" s="17" t="s">
        <v>1631</v>
      </c>
      <c r="D1408" s="19"/>
      <c r="E1408" s="18"/>
      <c r="F1408" s="21">
        <f>Source!AM934</f>
        <v>12.61</v>
      </c>
      <c r="G1408" s="20" t="str">
        <f>Source!DE934</f>
        <v/>
      </c>
      <c r="H1408" s="18">
        <f>Source!AV934</f>
        <v>1</v>
      </c>
      <c r="I1408" s="22">
        <f>(ROUND((ROUND(((Source!ET934)*Source!AV934*Source!I934),2)),2)+ROUND((ROUND(((Source!AE934-(Source!EU934))*Source!AV934*Source!I934),2)),2))</f>
        <v>646.89</v>
      </c>
      <c r="J1408" s="18">
        <f>IF(Source!BB934&lt;&gt; 0, Source!BB934, 1)</f>
        <v>7.63</v>
      </c>
      <c r="K1408" s="22">
        <f>Source!Q934</f>
        <v>4935.7700000000004</v>
      </c>
    </row>
    <row r="1409" spans="1:27" ht="15" x14ac:dyDescent="0.25">
      <c r="A1409" s="25"/>
      <c r="B1409" s="25"/>
      <c r="C1409" s="25"/>
      <c r="D1409" s="25"/>
      <c r="E1409" s="25"/>
      <c r="F1409" s="25"/>
      <c r="G1409" s="25"/>
      <c r="H1409" s="54">
        <f>I1408</f>
        <v>646.89</v>
      </c>
      <c r="I1409" s="54"/>
      <c r="J1409" s="54">
        <f>K1408</f>
        <v>4935.7700000000004</v>
      </c>
      <c r="K1409" s="54"/>
      <c r="O1409" s="24">
        <f>I1408</f>
        <v>646.89</v>
      </c>
      <c r="P1409" s="24">
        <f>K1408</f>
        <v>4935.7700000000004</v>
      </c>
      <c r="X1409">
        <f>IF(Source!BI934&lt;=1,I1408-0, 0)</f>
        <v>0</v>
      </c>
      <c r="Y1409">
        <f>IF(Source!BI934=2,I1408-0, 0)</f>
        <v>0</v>
      </c>
      <c r="Z1409">
        <f>IF(Source!BI934=3,I1408-0, 0)</f>
        <v>0</v>
      </c>
      <c r="AA1409">
        <f>IF(Source!BI934=4,I1408,0)</f>
        <v>646.89</v>
      </c>
    </row>
    <row r="1411" spans="1:27" ht="15" x14ac:dyDescent="0.25">
      <c r="A1411" s="53" t="str">
        <f>CONCATENATE("Итого по разделу: ",IF(Source!G936&lt;&gt;"Новый раздел", Source!G936, ""))</f>
        <v>Итого по разделу: Установка  ландшафтных светильников</v>
      </c>
      <c r="B1411" s="53"/>
      <c r="C1411" s="53"/>
      <c r="D1411" s="53"/>
      <c r="E1411" s="53"/>
      <c r="F1411" s="53"/>
      <c r="G1411" s="53"/>
      <c r="H1411" s="51">
        <f>SUM(O1256:O1410)</f>
        <v>177593.54</v>
      </c>
      <c r="I1411" s="52"/>
      <c r="J1411" s="51">
        <f>SUM(P1256:P1410)</f>
        <v>1190633.5</v>
      </c>
      <c r="K1411" s="52"/>
    </row>
    <row r="1412" spans="1:27" hidden="1" x14ac:dyDescent="0.2">
      <c r="A1412" t="s">
        <v>1641</v>
      </c>
      <c r="H1412">
        <f>SUM(AC1256:AC1411)</f>
        <v>0</v>
      </c>
      <c r="J1412">
        <f>SUM(AD1256:AD1411)</f>
        <v>0</v>
      </c>
    </row>
    <row r="1413" spans="1:27" hidden="1" x14ac:dyDescent="0.2">
      <c r="A1413" t="s">
        <v>1642</v>
      </c>
      <c r="H1413">
        <f>SUM(AE1256:AE1412)</f>
        <v>0</v>
      </c>
      <c r="J1413">
        <f>SUM(AF1256:AF1412)</f>
        <v>0</v>
      </c>
    </row>
    <row r="1415" spans="1:27" ht="16.5" x14ac:dyDescent="0.25">
      <c r="A1415" s="56" t="str">
        <f>CONCATENATE("Раздел: ",IF(Source!G966&lt;&gt;"Новый раздел", Source!G966, ""))</f>
        <v>Раздел: Установка тематических топиартых фигур (входная группа)</v>
      </c>
      <c r="B1415" s="56"/>
      <c r="C1415" s="56"/>
      <c r="D1415" s="56"/>
      <c r="E1415" s="56"/>
      <c r="F1415" s="56"/>
      <c r="G1415" s="56"/>
      <c r="H1415" s="56"/>
      <c r="I1415" s="56"/>
      <c r="J1415" s="56"/>
      <c r="K1415" s="56"/>
    </row>
    <row r="1416" spans="1:27" ht="42.75" x14ac:dyDescent="0.2">
      <c r="A1416" s="16" t="str">
        <f>Source!E970</f>
        <v>177</v>
      </c>
      <c r="B1416" s="17" t="str">
        <f>Source!F970</f>
        <v>3.6-6-7</v>
      </c>
      <c r="C1416" s="17" t="s">
        <v>1081</v>
      </c>
      <c r="D1416" s="19" t="str">
        <f>Source!H970</f>
        <v>1 Т</v>
      </c>
      <c r="E1416" s="18">
        <f>Source!I970</f>
        <v>0.1</v>
      </c>
      <c r="F1416" s="21"/>
      <c r="G1416" s="20"/>
      <c r="H1416" s="18"/>
      <c r="I1416" s="22"/>
      <c r="J1416" s="18"/>
      <c r="K1416" s="22"/>
      <c r="Q1416">
        <f>ROUND((Source!DN970/100)*ROUND((ROUND((Source!AF970*Source!AV970*Source!I970),2)),2), 2)</f>
        <v>230.32</v>
      </c>
      <c r="R1416">
        <f>Source!X970</f>
        <v>4687.3900000000003</v>
      </c>
      <c r="S1416">
        <f>ROUND((Source!DO970/100)*ROUND((ROUND((Source!AF970*Source!AV970*Source!I970),2)),2), 2)</f>
        <v>189.67</v>
      </c>
      <c r="T1416">
        <f>Source!Y970</f>
        <v>2826.22</v>
      </c>
      <c r="U1416">
        <f>ROUND((175/100)*ROUND((ROUND((Source!AE970*Source!AV970*Source!I970),2)),2), 2)</f>
        <v>1.1599999999999999</v>
      </c>
      <c r="V1416">
        <f>ROUND((157/100)*ROUND(ROUND((ROUND((Source!AE970*Source!AV970*Source!I970),2)*Source!BS970),2), 2), 2)</f>
        <v>26.36</v>
      </c>
    </row>
    <row r="1417" spans="1:27" ht="14.25" x14ac:dyDescent="0.2">
      <c r="A1417" s="16"/>
      <c r="B1417" s="17"/>
      <c r="C1417" s="17" t="s">
        <v>1625</v>
      </c>
      <c r="D1417" s="19"/>
      <c r="E1417" s="18"/>
      <c r="F1417" s="21">
        <f>Source!AO970</f>
        <v>2356.1999999999998</v>
      </c>
      <c r="G1417" s="20" t="str">
        <f>Source!DG970</f>
        <v>)*1,15</v>
      </c>
      <c r="H1417" s="18">
        <f>Source!AV970</f>
        <v>1</v>
      </c>
      <c r="I1417" s="22">
        <f>ROUND((ROUND((Source!AF970*Source!AV970*Source!I970),2)),2)</f>
        <v>270.95999999999998</v>
      </c>
      <c r="J1417" s="18">
        <f>IF(Source!BA970&lt;&gt; 0, Source!BA970, 1)</f>
        <v>25.44</v>
      </c>
      <c r="K1417" s="22">
        <f>Source!S970</f>
        <v>6893.22</v>
      </c>
      <c r="W1417">
        <f>I1417</f>
        <v>270.95999999999998</v>
      </c>
    </row>
    <row r="1418" spans="1:27" ht="14.25" x14ac:dyDescent="0.2">
      <c r="A1418" s="16"/>
      <c r="B1418" s="17"/>
      <c r="C1418" s="17" t="s">
        <v>1631</v>
      </c>
      <c r="D1418" s="19"/>
      <c r="E1418" s="18"/>
      <c r="F1418" s="21">
        <f>Source!AM970</f>
        <v>41.32</v>
      </c>
      <c r="G1418" s="20" t="str">
        <f>Source!DE970</f>
        <v>)*1,25</v>
      </c>
      <c r="H1418" s="18">
        <f>Source!AV970</f>
        <v>1</v>
      </c>
      <c r="I1418" s="22">
        <f>(ROUND((ROUND((((Source!ET970*1.25))*Source!AV970*Source!I970),2)),2)+ROUND((ROUND(((Source!AE970-((Source!EU970*1.25)))*Source!AV970*Source!I970),2)),2))</f>
        <v>5.17</v>
      </c>
      <c r="J1418" s="18">
        <f>IF(Source!BB970&lt;&gt; 0, Source!BB970, 1)</f>
        <v>8.98</v>
      </c>
      <c r="K1418" s="22">
        <f>Source!Q970</f>
        <v>46.43</v>
      </c>
    </row>
    <row r="1419" spans="1:27" ht="14.25" x14ac:dyDescent="0.2">
      <c r="A1419" s="16"/>
      <c r="B1419" s="17"/>
      <c r="C1419" s="17" t="s">
        <v>1632</v>
      </c>
      <c r="D1419" s="19"/>
      <c r="E1419" s="18"/>
      <c r="F1419" s="21">
        <f>Source!AN970</f>
        <v>5.27</v>
      </c>
      <c r="G1419" s="20" t="str">
        <f>Source!DF970</f>
        <v>)*1,25</v>
      </c>
      <c r="H1419" s="18">
        <f>Source!AV970</f>
        <v>1</v>
      </c>
      <c r="I1419" s="26">
        <f>ROUND((ROUND((Source!AE970*Source!AV970*Source!I970),2)),2)</f>
        <v>0.66</v>
      </c>
      <c r="J1419" s="18">
        <f>IF(Source!BS970&lt;&gt; 0, Source!BS970, 1)</f>
        <v>25.44</v>
      </c>
      <c r="K1419" s="26">
        <f>Source!R970</f>
        <v>16.79</v>
      </c>
      <c r="W1419">
        <f>I1419</f>
        <v>0.66</v>
      </c>
    </row>
    <row r="1420" spans="1:27" ht="57" x14ac:dyDescent="0.2">
      <c r="A1420" s="16" t="str">
        <f>Source!E971</f>
        <v>177,1</v>
      </c>
      <c r="B1420" s="17" t="str">
        <f>Source!F971</f>
        <v>1.3-4-38</v>
      </c>
      <c r="C1420" s="17" t="s">
        <v>1085</v>
      </c>
      <c r="D1420" s="19" t="str">
        <f>Source!H971</f>
        <v>т</v>
      </c>
      <c r="E1420" s="18">
        <f>Source!I971</f>
        <v>0.1</v>
      </c>
      <c r="F1420" s="21">
        <f>Source!AK971</f>
        <v>4673.1499999999996</v>
      </c>
      <c r="G1420" s="27" t="s">
        <v>3</v>
      </c>
      <c r="H1420" s="18">
        <f>Source!AW971</f>
        <v>1</v>
      </c>
      <c r="I1420" s="22">
        <f>ROUND((ROUND((Source!AC971*Source!AW971*Source!I971),2)),2)+(ROUND((ROUND(((Source!ET971)*Source!AV971*Source!I971),2)),2)+ROUND((ROUND(((Source!AE971-(Source!EU971))*Source!AV971*Source!I971),2)),2))+ROUND((ROUND((Source!AF971*Source!AV971*Source!I971),2)),2)</f>
        <v>467.32</v>
      </c>
      <c r="J1420" s="18">
        <f>IF(Source!BC971&lt;&gt; 0, Source!BC971, 1)</f>
        <v>8.33</v>
      </c>
      <c r="K1420" s="22">
        <f>Source!O971</f>
        <v>3892.78</v>
      </c>
      <c r="Q1420">
        <f>ROUND((Source!DN971/100)*ROUND((ROUND((Source!AF971*Source!AV971*Source!I971),2)),2), 2)</f>
        <v>0</v>
      </c>
      <c r="R1420">
        <f>Source!X971</f>
        <v>0</v>
      </c>
      <c r="S1420">
        <f>ROUND((Source!DO971/100)*ROUND((ROUND((Source!AF971*Source!AV971*Source!I971),2)),2), 2)</f>
        <v>0</v>
      </c>
      <c r="T1420">
        <f>Source!Y971</f>
        <v>0</v>
      </c>
      <c r="U1420">
        <f>ROUND((175/100)*ROUND((ROUND((Source!AE971*Source!AV971*Source!I971),2)),2), 2)</f>
        <v>0</v>
      </c>
      <c r="V1420">
        <f>ROUND((157/100)*ROUND(ROUND((ROUND((Source!AE971*Source!AV971*Source!I971),2)*Source!BS971),2), 2), 2)</f>
        <v>0</v>
      </c>
      <c r="X1420">
        <f>IF(Source!BI971&lt;=1,I1420, 0)</f>
        <v>467.32</v>
      </c>
      <c r="Y1420">
        <f>IF(Source!BI971=2,I1420, 0)</f>
        <v>0</v>
      </c>
      <c r="Z1420">
        <f>IF(Source!BI971=3,I1420, 0)</f>
        <v>0</v>
      </c>
      <c r="AA1420">
        <f>IF(Source!BI971=4,I1420, 0)</f>
        <v>0</v>
      </c>
    </row>
    <row r="1421" spans="1:27" ht="14.25" x14ac:dyDescent="0.2">
      <c r="A1421" s="16"/>
      <c r="B1421" s="17"/>
      <c r="C1421" s="17" t="s">
        <v>1626</v>
      </c>
      <c r="D1421" s="19" t="s">
        <v>1627</v>
      </c>
      <c r="E1421" s="18">
        <f>Source!DN970</f>
        <v>85</v>
      </c>
      <c r="F1421" s="21"/>
      <c r="G1421" s="20"/>
      <c r="H1421" s="18"/>
      <c r="I1421" s="22">
        <f>SUM(Q1416:Q1420)</f>
        <v>230.32</v>
      </c>
      <c r="J1421" s="18">
        <f>Source!BZ970</f>
        <v>68</v>
      </c>
      <c r="K1421" s="22">
        <f>SUM(R1416:R1420)</f>
        <v>4687.3900000000003</v>
      </c>
    </row>
    <row r="1422" spans="1:27" ht="14.25" x14ac:dyDescent="0.2">
      <c r="A1422" s="16"/>
      <c r="B1422" s="17"/>
      <c r="C1422" s="17" t="s">
        <v>1628</v>
      </c>
      <c r="D1422" s="19" t="s">
        <v>1627</v>
      </c>
      <c r="E1422" s="18">
        <f>Source!DO970</f>
        <v>70</v>
      </c>
      <c r="F1422" s="21"/>
      <c r="G1422" s="20"/>
      <c r="H1422" s="18"/>
      <c r="I1422" s="22">
        <f>SUM(S1416:S1421)</f>
        <v>189.67</v>
      </c>
      <c r="J1422" s="18">
        <f>Source!CA970</f>
        <v>41</v>
      </c>
      <c r="K1422" s="22">
        <f>SUM(T1416:T1421)</f>
        <v>2826.22</v>
      </c>
    </row>
    <row r="1423" spans="1:27" ht="14.25" x14ac:dyDescent="0.2">
      <c r="A1423" s="16"/>
      <c r="B1423" s="17"/>
      <c r="C1423" s="17" t="s">
        <v>1633</v>
      </c>
      <c r="D1423" s="19" t="s">
        <v>1627</v>
      </c>
      <c r="E1423" s="18">
        <f>175</f>
        <v>175</v>
      </c>
      <c r="F1423" s="21"/>
      <c r="G1423" s="20"/>
      <c r="H1423" s="18"/>
      <c r="I1423" s="22">
        <f>SUM(U1416:U1422)</f>
        <v>1.1599999999999999</v>
      </c>
      <c r="J1423" s="18">
        <f>157</f>
        <v>157</v>
      </c>
      <c r="K1423" s="22">
        <f>SUM(V1416:V1422)</f>
        <v>26.36</v>
      </c>
    </row>
    <row r="1424" spans="1:27" ht="14.25" x14ac:dyDescent="0.2">
      <c r="A1424" s="16"/>
      <c r="B1424" s="17"/>
      <c r="C1424" s="17" t="s">
        <v>1629</v>
      </c>
      <c r="D1424" s="19" t="s">
        <v>1630</v>
      </c>
      <c r="E1424" s="18">
        <f>Source!AQ970</f>
        <v>198</v>
      </c>
      <c r="F1424" s="21"/>
      <c r="G1424" s="20" t="str">
        <f>Source!DI970</f>
        <v>)*1,15</v>
      </c>
      <c r="H1424" s="18">
        <f>Source!AV970</f>
        <v>1</v>
      </c>
      <c r="I1424" s="22">
        <f>Source!U970</f>
        <v>22.77</v>
      </c>
      <c r="J1424" s="18"/>
      <c r="K1424" s="22"/>
    </row>
    <row r="1425" spans="1:38" ht="15" x14ac:dyDescent="0.25">
      <c r="A1425" s="25"/>
      <c r="B1425" s="25"/>
      <c r="C1425" s="25"/>
      <c r="D1425" s="25"/>
      <c r="E1425" s="25"/>
      <c r="F1425" s="25"/>
      <c r="G1425" s="25"/>
      <c r="H1425" s="54">
        <f>I1417+I1418+I1421+I1422+I1423+SUM(I1420:I1420)</f>
        <v>1164.5999999999999</v>
      </c>
      <c r="I1425" s="54"/>
      <c r="J1425" s="54">
        <f>K1417+K1418+K1421+K1422+K1423+SUM(K1420:K1420)</f>
        <v>18372.400000000001</v>
      </c>
      <c r="K1425" s="54"/>
      <c r="O1425" s="24">
        <f>I1417+I1418+I1421+I1422+I1423+SUM(I1420:I1420)</f>
        <v>1164.5999999999999</v>
      </c>
      <c r="P1425" s="24">
        <f>K1417+K1418+K1421+K1422+K1423+SUM(K1420:K1420)</f>
        <v>18372.400000000001</v>
      </c>
      <c r="X1425">
        <f>IF(Source!BI970&lt;=1,I1417+I1418+I1421+I1422+I1423-0, 0)</f>
        <v>697.28</v>
      </c>
      <c r="Y1425">
        <f>IF(Source!BI970=2,I1417+I1418+I1421+I1422+I1423-0, 0)</f>
        <v>0</v>
      </c>
      <c r="Z1425">
        <f>IF(Source!BI970=3,I1417+I1418+I1421+I1422+I1423-0, 0)</f>
        <v>0</v>
      </c>
      <c r="AA1425">
        <f>IF(Source!BI970=4,I1417+I1418+I1421+I1422+I1423,0)</f>
        <v>0</v>
      </c>
    </row>
    <row r="1426" spans="1:38" ht="42.75" x14ac:dyDescent="0.2">
      <c r="A1426" s="16" t="str">
        <f>Source!E972</f>
        <v>178</v>
      </c>
      <c r="B1426" s="17" t="str">
        <f>Source!F972</f>
        <v>3.47-60-11</v>
      </c>
      <c r="C1426" s="17" t="s">
        <v>1089</v>
      </c>
      <c r="D1426" s="19" t="str">
        <f>Source!H972</f>
        <v>1  ШТ.</v>
      </c>
      <c r="E1426" s="18">
        <f>Source!I972</f>
        <v>2</v>
      </c>
      <c r="F1426" s="21"/>
      <c r="G1426" s="20"/>
      <c r="H1426" s="18"/>
      <c r="I1426" s="22"/>
      <c r="J1426" s="18"/>
      <c r="K1426" s="22"/>
      <c r="Q1426">
        <f>ROUND((Source!DN972/100)*ROUND((ROUND((Source!AF972*Source!AV972*Source!I972),2)),2), 2)</f>
        <v>911.61</v>
      </c>
      <c r="R1426">
        <f>Source!X972</f>
        <v>18604.07</v>
      </c>
      <c r="S1426">
        <f>ROUND((Source!DO972/100)*ROUND((ROUND((Source!AF972*Source!AV972*Source!I972),2)),2), 2)</f>
        <v>701.24</v>
      </c>
      <c r="T1426">
        <f>Source!Y972</f>
        <v>10448.86</v>
      </c>
      <c r="U1426">
        <f>ROUND((175/100)*ROUND((ROUND((Source!AE972*Source!AV972*Source!I972),2)),2), 2)</f>
        <v>380.98</v>
      </c>
      <c r="V1426">
        <f>ROUND((157/100)*ROUND(ROUND((ROUND((Source!AE972*Source!AV972*Source!I972),2)*Source!BS972),2), 2), 2)</f>
        <v>8695.1200000000008</v>
      </c>
    </row>
    <row r="1427" spans="1:38" ht="14.25" x14ac:dyDescent="0.2">
      <c r="A1427" s="16"/>
      <c r="B1427" s="17"/>
      <c r="C1427" s="17" t="s">
        <v>1625</v>
      </c>
      <c r="D1427" s="19"/>
      <c r="E1427" s="18"/>
      <c r="F1427" s="21">
        <f>Source!AO972</f>
        <v>435.55</v>
      </c>
      <c r="G1427" s="20" t="str">
        <f>Source!DG972</f>
        <v>)*1,15</v>
      </c>
      <c r="H1427" s="18">
        <f>Source!AV972</f>
        <v>1</v>
      </c>
      <c r="I1427" s="22">
        <f>ROUND((ROUND((Source!AF972*Source!AV972*Source!I972),2)),2)</f>
        <v>1001.77</v>
      </c>
      <c r="J1427" s="18">
        <f>IF(Source!BA972&lt;&gt; 0, Source!BA972, 1)</f>
        <v>25.44</v>
      </c>
      <c r="K1427" s="22">
        <f>Source!S972</f>
        <v>25485.03</v>
      </c>
      <c r="W1427">
        <f>I1427</f>
        <v>1001.77</v>
      </c>
    </row>
    <row r="1428" spans="1:38" ht="14.25" x14ac:dyDescent="0.2">
      <c r="A1428" s="16"/>
      <c r="B1428" s="17"/>
      <c r="C1428" s="17" t="s">
        <v>1631</v>
      </c>
      <c r="D1428" s="19"/>
      <c r="E1428" s="18"/>
      <c r="F1428" s="21">
        <f>Source!AM972</f>
        <v>929.75</v>
      </c>
      <c r="G1428" s="20" t="str">
        <f>Source!DE972</f>
        <v>)*1,25</v>
      </c>
      <c r="H1428" s="18">
        <f>Source!AV972</f>
        <v>1</v>
      </c>
      <c r="I1428" s="22">
        <f>(ROUND((ROUND((((Source!ET972*1.25))*Source!AV972*Source!I972),2)),2)+ROUND((ROUND(((Source!AE972-((Source!EU972*1.25)))*Source!AV972*Source!I972),2)),2))</f>
        <v>2324.38</v>
      </c>
      <c r="J1428" s="18">
        <f>IF(Source!BB972&lt;&gt; 0, Source!BB972, 1)</f>
        <v>8.5399999999999991</v>
      </c>
      <c r="K1428" s="22">
        <f>Source!Q972</f>
        <v>19850.21</v>
      </c>
    </row>
    <row r="1429" spans="1:38" ht="14.25" x14ac:dyDescent="0.2">
      <c r="A1429" s="16"/>
      <c r="B1429" s="17"/>
      <c r="C1429" s="17" t="s">
        <v>1632</v>
      </c>
      <c r="D1429" s="19"/>
      <c r="E1429" s="18"/>
      <c r="F1429" s="21">
        <f>Source!AN972</f>
        <v>87.08</v>
      </c>
      <c r="G1429" s="20" t="str">
        <f>Source!DF972</f>
        <v>)*1,25</v>
      </c>
      <c r="H1429" s="18">
        <f>Source!AV972</f>
        <v>1</v>
      </c>
      <c r="I1429" s="26">
        <f>ROUND((ROUND((Source!AE972*Source!AV972*Source!I972),2)),2)</f>
        <v>217.7</v>
      </c>
      <c r="J1429" s="18">
        <f>IF(Source!BS972&lt;&gt; 0, Source!BS972, 1)</f>
        <v>25.44</v>
      </c>
      <c r="K1429" s="26">
        <f>Source!R972</f>
        <v>5538.29</v>
      </c>
      <c r="W1429">
        <f>I1429</f>
        <v>217.7</v>
      </c>
    </row>
    <row r="1430" spans="1:38" ht="14.25" x14ac:dyDescent="0.2">
      <c r="A1430" s="16"/>
      <c r="B1430" s="17"/>
      <c r="C1430" s="17" t="s">
        <v>1634</v>
      </c>
      <c r="D1430" s="19"/>
      <c r="E1430" s="18"/>
      <c r="F1430" s="21">
        <f>Source!AL972</f>
        <v>246.66</v>
      </c>
      <c r="G1430" s="20" t="str">
        <f>Source!DD972</f>
        <v/>
      </c>
      <c r="H1430" s="18">
        <f>Source!AW972</f>
        <v>1</v>
      </c>
      <c r="I1430" s="22">
        <f>ROUND((ROUND((Source!AC972*Source!AW972*Source!I972),2)),2)</f>
        <v>493.32</v>
      </c>
      <c r="J1430" s="18">
        <f>IF(Source!BC972&lt;&gt; 0, Source!BC972, 1)</f>
        <v>7.93</v>
      </c>
      <c r="K1430" s="22">
        <f>Source!P972</f>
        <v>3912.03</v>
      </c>
    </row>
    <row r="1431" spans="1:38" ht="54" x14ac:dyDescent="0.2">
      <c r="A1431" s="16" t="str">
        <f>Source!E973</f>
        <v>178,1</v>
      </c>
      <c r="B1431" s="17" t="str">
        <f>Source!F973</f>
        <v>Цена поставщика</v>
      </c>
      <c r="C1431" s="17" t="s">
        <v>1695</v>
      </c>
      <c r="D1431" s="19" t="str">
        <f>Source!H973</f>
        <v>шт.</v>
      </c>
      <c r="E1431" s="18">
        <f>Source!I973</f>
        <v>2</v>
      </c>
      <c r="F1431" s="21">
        <f>Source!AK973</f>
        <v>43546.1</v>
      </c>
      <c r="G1431" s="27" t="s">
        <v>3</v>
      </c>
      <c r="H1431" s="18">
        <f>Source!AW973</f>
        <v>1</v>
      </c>
      <c r="I1431" s="22">
        <f>ROUND((ROUND((Source!AC973*Source!AW973*Source!I973),2)),2)+(ROUND((ROUND(((Source!ET973)*Source!AV973*Source!I973),2)),2)+ROUND((ROUND(((Source!AE973-(Source!EU973))*Source!AV973*Source!I973),2)),2))+ROUND((ROUND((Source!AF973*Source!AV973*Source!I973),2)),2)</f>
        <v>87092.2</v>
      </c>
      <c r="J1431" s="18">
        <f>IF(Source!BC973&lt;&gt; 0, Source!BC973, 1)</f>
        <v>6.34</v>
      </c>
      <c r="K1431" s="22">
        <f>Source!O973</f>
        <v>552164.55000000005</v>
      </c>
      <c r="Q1431">
        <f>ROUND((Source!DN973/100)*ROUND((ROUND((Source!AF973*Source!AV973*Source!I973),2)),2), 2)</f>
        <v>0</v>
      </c>
      <c r="R1431">
        <f>Source!X973</f>
        <v>0</v>
      </c>
      <c r="S1431">
        <f>ROUND((Source!DO973/100)*ROUND((ROUND((Source!AF973*Source!AV973*Source!I973),2)),2), 2)</f>
        <v>0</v>
      </c>
      <c r="T1431">
        <f>Source!Y973</f>
        <v>0</v>
      </c>
      <c r="U1431">
        <f>ROUND((175/100)*ROUND((ROUND((Source!AE973*Source!AV973*Source!I973),2)),2), 2)</f>
        <v>0</v>
      </c>
      <c r="V1431">
        <f>ROUND((157/100)*ROUND(ROUND((ROUND((Source!AE973*Source!AV973*Source!I973),2)*Source!BS973),2), 2), 2)</f>
        <v>0</v>
      </c>
      <c r="X1431">
        <f>IF(Source!BI973&lt;=1,I1431, 0)</f>
        <v>87092.2</v>
      </c>
      <c r="Y1431">
        <f>IF(Source!BI973=2,I1431, 0)</f>
        <v>0</v>
      </c>
      <c r="Z1431">
        <f>IF(Source!BI973=3,I1431, 0)</f>
        <v>0</v>
      </c>
      <c r="AA1431">
        <f>IF(Source!BI973=4,I1431, 0)</f>
        <v>0</v>
      </c>
    </row>
    <row r="1432" spans="1:38" ht="14.25" x14ac:dyDescent="0.2">
      <c r="A1432" s="16"/>
      <c r="B1432" s="17"/>
      <c r="C1432" s="17" t="s">
        <v>1626</v>
      </c>
      <c r="D1432" s="19" t="s">
        <v>1627</v>
      </c>
      <c r="E1432" s="18">
        <f>Source!DN972</f>
        <v>91</v>
      </c>
      <c r="F1432" s="21"/>
      <c r="G1432" s="20"/>
      <c r="H1432" s="18"/>
      <c r="I1432" s="22">
        <f>SUM(Q1426:Q1431)</f>
        <v>911.61</v>
      </c>
      <c r="J1432" s="18">
        <f>Source!BZ972</f>
        <v>73</v>
      </c>
      <c r="K1432" s="22">
        <f>SUM(R1426:R1431)</f>
        <v>18604.07</v>
      </c>
    </row>
    <row r="1433" spans="1:38" ht="14.25" x14ac:dyDescent="0.2">
      <c r="A1433" s="16"/>
      <c r="B1433" s="17"/>
      <c r="C1433" s="17" t="s">
        <v>1628</v>
      </c>
      <c r="D1433" s="19" t="s">
        <v>1627</v>
      </c>
      <c r="E1433" s="18">
        <f>Source!DO972</f>
        <v>70</v>
      </c>
      <c r="F1433" s="21"/>
      <c r="G1433" s="20"/>
      <c r="H1433" s="18"/>
      <c r="I1433" s="22">
        <f>SUM(S1426:S1432)</f>
        <v>701.24</v>
      </c>
      <c r="J1433" s="18">
        <f>Source!CA972</f>
        <v>41</v>
      </c>
      <c r="K1433" s="22">
        <f>SUM(T1426:T1432)</f>
        <v>10448.86</v>
      </c>
    </row>
    <row r="1434" spans="1:38" ht="14.25" x14ac:dyDescent="0.2">
      <c r="A1434" s="16"/>
      <c r="B1434" s="17"/>
      <c r="C1434" s="17" t="s">
        <v>1633</v>
      </c>
      <c r="D1434" s="19" t="s">
        <v>1627</v>
      </c>
      <c r="E1434" s="18">
        <f>175</f>
        <v>175</v>
      </c>
      <c r="F1434" s="21"/>
      <c r="G1434" s="20"/>
      <c r="H1434" s="18"/>
      <c r="I1434" s="22">
        <f>SUM(U1426:U1433)</f>
        <v>380.98</v>
      </c>
      <c r="J1434" s="18">
        <f>157</f>
        <v>157</v>
      </c>
      <c r="K1434" s="22">
        <f>SUM(V1426:V1433)</f>
        <v>8695.1200000000008</v>
      </c>
    </row>
    <row r="1435" spans="1:38" ht="14.25" x14ac:dyDescent="0.2">
      <c r="A1435" s="16"/>
      <c r="B1435" s="17"/>
      <c r="C1435" s="17" t="s">
        <v>1629</v>
      </c>
      <c r="D1435" s="19" t="s">
        <v>1630</v>
      </c>
      <c r="E1435" s="18">
        <f>Source!AQ972</f>
        <v>31.63</v>
      </c>
      <c r="F1435" s="21"/>
      <c r="G1435" s="20" t="str">
        <f>Source!DI972</f>
        <v>)*1,15</v>
      </c>
      <c r="H1435" s="18">
        <f>Source!AV972</f>
        <v>1</v>
      </c>
      <c r="I1435" s="22">
        <f>Source!U972</f>
        <v>72.748999999999995</v>
      </c>
      <c r="J1435" s="18"/>
      <c r="K1435" s="22"/>
    </row>
    <row r="1436" spans="1:38" ht="15" x14ac:dyDescent="0.25">
      <c r="A1436" s="25"/>
      <c r="B1436" s="25"/>
      <c r="C1436" s="25"/>
      <c r="D1436" s="25"/>
      <c r="E1436" s="25"/>
      <c r="F1436" s="25"/>
      <c r="G1436" s="25"/>
      <c r="H1436" s="54">
        <f>I1427+I1428+I1430+I1432+I1433+I1434+SUM(I1431:I1431)</f>
        <v>92905.5</v>
      </c>
      <c r="I1436" s="54"/>
      <c r="J1436" s="54">
        <f>K1427+K1428+K1430+K1432+K1433+K1434+SUM(K1431:K1431)</f>
        <v>639159.87</v>
      </c>
      <c r="K1436" s="54"/>
      <c r="O1436" s="24">
        <f>I1427+I1428+I1430+I1432+I1433+I1434+SUM(I1431:I1431)</f>
        <v>92905.5</v>
      </c>
      <c r="P1436" s="24">
        <f>K1427+K1428+K1430+K1432+K1433+K1434+SUM(K1431:K1431)</f>
        <v>639159.87</v>
      </c>
      <c r="X1436">
        <f>IF(Source!BI972&lt;=1,I1427+I1428+I1430+I1432+I1433+I1434-0, 0)</f>
        <v>5813.2999999999993</v>
      </c>
      <c r="Y1436">
        <f>IF(Source!BI972=2,I1427+I1428+I1430+I1432+I1433+I1434-0, 0)</f>
        <v>0</v>
      </c>
      <c r="Z1436">
        <f>IF(Source!BI972=3,I1427+I1428+I1430+I1432+I1433+I1434-0, 0)</f>
        <v>0</v>
      </c>
      <c r="AA1436">
        <f>IF(Source!BI972=4,I1427+I1428+I1430+I1432+I1433+I1434,0)</f>
        <v>0</v>
      </c>
    </row>
    <row r="1438" spans="1:38" ht="15" x14ac:dyDescent="0.25">
      <c r="A1438" s="53" t="str">
        <f>CONCATENATE("Итого по разделу: ",IF(Source!G975&lt;&gt;"Новый раздел", Source!G975, ""))</f>
        <v>Итого по разделу: Установка тематических топиартых фигур (входная группа)</v>
      </c>
      <c r="B1438" s="53"/>
      <c r="C1438" s="53"/>
      <c r="D1438" s="53"/>
      <c r="E1438" s="53"/>
      <c r="F1438" s="53"/>
      <c r="G1438" s="53"/>
      <c r="H1438" s="51">
        <f>SUM(O1415:O1437)</f>
        <v>94070.1</v>
      </c>
      <c r="I1438" s="52"/>
      <c r="J1438" s="51">
        <f>SUM(P1415:P1437)</f>
        <v>657532.27</v>
      </c>
      <c r="K1438" s="52"/>
      <c r="AL1438" s="30" t="str">
        <f>CONCATENATE("Итого по разделу: ",IF(Source!G975&lt;&gt;"Новый раздел", Source!G975, ""))</f>
        <v>Итого по разделу: Установка тематических топиартых фигур (входная группа)</v>
      </c>
    </row>
    <row r="1439" spans="1:38" hidden="1" x14ac:dyDescent="0.2">
      <c r="A1439" t="s">
        <v>1641</v>
      </c>
      <c r="H1439">
        <f>SUM(AC1415:AC1438)</f>
        <v>0</v>
      </c>
      <c r="J1439">
        <f>SUM(AD1415:AD1438)</f>
        <v>0</v>
      </c>
    </row>
    <row r="1440" spans="1:38" hidden="1" x14ac:dyDescent="0.2">
      <c r="A1440" t="s">
        <v>1642</v>
      </c>
      <c r="H1440">
        <f>SUM(AE1415:AE1439)</f>
        <v>0</v>
      </c>
      <c r="J1440">
        <f>SUM(AF1415:AF1439)</f>
        <v>0</v>
      </c>
    </row>
    <row r="1442" spans="1:27" ht="16.5" x14ac:dyDescent="0.25">
      <c r="A1442" s="55" t="str">
        <f>CONCATENATE("Раздел: ",IF(Source!G1005&lt;&gt;"Новый раздел", Source!G1005, ""))</f>
        <v>Раздел: Замена опор освещения</v>
      </c>
      <c r="B1442" s="55"/>
      <c r="C1442" s="55"/>
      <c r="D1442" s="55"/>
      <c r="E1442" s="55"/>
      <c r="F1442" s="55"/>
      <c r="G1442" s="55"/>
      <c r="H1442" s="55"/>
      <c r="I1442" s="55"/>
      <c r="J1442" s="55"/>
      <c r="K1442" s="55"/>
    </row>
    <row r="1444" spans="1:27" ht="16.5" x14ac:dyDescent="0.25">
      <c r="A1444" s="56" t="str">
        <f>CONCATENATE("Подраздел: ",IF(Source!G1009&lt;&gt;"Новый подраздел", Source!G1009, ""))</f>
        <v>Подраздел: Замена существующих опор и сетей до ШНО</v>
      </c>
      <c r="B1444" s="56"/>
      <c r="C1444" s="56"/>
      <c r="D1444" s="56"/>
      <c r="E1444" s="56"/>
      <c r="F1444" s="56"/>
      <c r="G1444" s="56"/>
      <c r="H1444" s="56"/>
      <c r="I1444" s="56"/>
      <c r="J1444" s="56"/>
      <c r="K1444" s="56"/>
    </row>
    <row r="1445" spans="1:27" ht="57" x14ac:dyDescent="0.2">
      <c r="A1445" s="16" t="str">
        <f>Source!E1013</f>
        <v>179</v>
      </c>
      <c r="B1445" s="17" t="str">
        <f>Source!F1013</f>
        <v>3.1-2-10</v>
      </c>
      <c r="C1445" s="17" t="s">
        <v>1099</v>
      </c>
      <c r="D1445" s="19" t="str">
        <f>Source!H1013</f>
        <v>100 м3 грунта</v>
      </c>
      <c r="E1445" s="18">
        <f>Source!I1013</f>
        <v>0.7</v>
      </c>
      <c r="F1445" s="21"/>
      <c r="G1445" s="20"/>
      <c r="H1445" s="18"/>
      <c r="I1445" s="22"/>
      <c r="J1445" s="18"/>
      <c r="K1445" s="22"/>
      <c r="Q1445">
        <f>ROUND((Source!DN1013/100)*ROUND((ROUND((Source!AF1013*Source!AV1013*Source!I1013),2)),2), 2)</f>
        <v>9.76</v>
      </c>
      <c r="R1445">
        <f>Source!X1013</f>
        <v>233.11</v>
      </c>
      <c r="S1445">
        <f>ROUND((Source!DO1013/100)*ROUND((ROUND((Source!AF1013*Source!AV1013*Source!I1013),2)),2), 2)</f>
        <v>7.67</v>
      </c>
      <c r="T1445">
        <f>Source!Y1013</f>
        <v>126.69</v>
      </c>
      <c r="U1445">
        <f>ROUND((175/100)*ROUND((ROUND((Source!AE1013*Source!AV1013*Source!I1013),2)),2), 2)</f>
        <v>84.35</v>
      </c>
      <c r="V1445">
        <f>ROUND((157/100)*ROUND(ROUND((ROUND((Source!AE1013*Source!AV1013*Source!I1013),2)*Source!BS1013),2), 2), 2)</f>
        <v>1925.15</v>
      </c>
    </row>
    <row r="1446" spans="1:27" x14ac:dyDescent="0.2">
      <c r="C1446" s="23" t="str">
        <f>"Объем: "&amp;Source!I1013&amp;"=70/"&amp;"100"</f>
        <v>Объем: 0,7=70/100</v>
      </c>
    </row>
    <row r="1447" spans="1:27" ht="14.25" x14ac:dyDescent="0.2">
      <c r="A1447" s="16"/>
      <c r="B1447" s="17"/>
      <c r="C1447" s="17" t="s">
        <v>1625</v>
      </c>
      <c r="D1447" s="19"/>
      <c r="E1447" s="18"/>
      <c r="F1447" s="21">
        <f>Source!AO1013</f>
        <v>12.37</v>
      </c>
      <c r="G1447" s="20" t="str">
        <f>Source!DG1013</f>
        <v>)*1,15</v>
      </c>
      <c r="H1447" s="18">
        <f>Source!AV1013</f>
        <v>1</v>
      </c>
      <c r="I1447" s="22">
        <f>ROUND((ROUND((Source!AF1013*Source!AV1013*Source!I1013),2)),2)</f>
        <v>9.9600000000000009</v>
      </c>
      <c r="J1447" s="18">
        <f>IF(Source!BA1013&lt;&gt; 0, Source!BA1013, 1)</f>
        <v>25.44</v>
      </c>
      <c r="K1447" s="22">
        <f>Source!S1013</f>
        <v>253.38</v>
      </c>
      <c r="W1447">
        <f>I1447</f>
        <v>9.9600000000000009</v>
      </c>
    </row>
    <row r="1448" spans="1:27" ht="14.25" x14ac:dyDescent="0.2">
      <c r="A1448" s="16"/>
      <c r="B1448" s="17"/>
      <c r="C1448" s="17" t="s">
        <v>1631</v>
      </c>
      <c r="D1448" s="19"/>
      <c r="E1448" s="18"/>
      <c r="F1448" s="21">
        <f>Source!AM1013</f>
        <v>568.54999999999995</v>
      </c>
      <c r="G1448" s="20" t="str">
        <f>Source!DE1013</f>
        <v>)*1,25</v>
      </c>
      <c r="H1448" s="18">
        <f>Source!AV1013</f>
        <v>1</v>
      </c>
      <c r="I1448" s="22">
        <f>(ROUND((ROUND((((Source!ET1013*1.25))*Source!AV1013*Source!I1013),2)),2)+ROUND((ROUND(((Source!AE1013-((Source!EU1013*1.25)))*Source!AV1013*Source!I1013),2)),2))</f>
        <v>497.48</v>
      </c>
      <c r="J1448" s="18">
        <f>IF(Source!BB1013&lt;&gt; 0, Source!BB1013, 1)</f>
        <v>8.9</v>
      </c>
      <c r="K1448" s="22">
        <f>Source!Q1013</f>
        <v>4427.57</v>
      </c>
    </row>
    <row r="1449" spans="1:27" ht="14.25" x14ac:dyDescent="0.2">
      <c r="A1449" s="16"/>
      <c r="B1449" s="17"/>
      <c r="C1449" s="17" t="s">
        <v>1632</v>
      </c>
      <c r="D1449" s="19"/>
      <c r="E1449" s="18"/>
      <c r="F1449" s="21">
        <f>Source!AN1013</f>
        <v>55.09</v>
      </c>
      <c r="G1449" s="20" t="str">
        <f>Source!DF1013</f>
        <v>)*1,25</v>
      </c>
      <c r="H1449" s="18">
        <f>Source!AV1013</f>
        <v>1</v>
      </c>
      <c r="I1449" s="26">
        <f>ROUND((ROUND((Source!AE1013*Source!AV1013*Source!I1013),2)),2)</f>
        <v>48.2</v>
      </c>
      <c r="J1449" s="18">
        <f>IF(Source!BS1013&lt;&gt; 0, Source!BS1013, 1)</f>
        <v>25.44</v>
      </c>
      <c r="K1449" s="26">
        <f>Source!R1013</f>
        <v>1226.21</v>
      </c>
      <c r="W1449">
        <f>I1449</f>
        <v>48.2</v>
      </c>
    </row>
    <row r="1450" spans="1:27" ht="14.25" x14ac:dyDescent="0.2">
      <c r="A1450" s="16"/>
      <c r="B1450" s="17"/>
      <c r="C1450" s="17" t="s">
        <v>1626</v>
      </c>
      <c r="D1450" s="19" t="s">
        <v>1627</v>
      </c>
      <c r="E1450" s="18">
        <f>Source!DN1013</f>
        <v>98</v>
      </c>
      <c r="F1450" s="21"/>
      <c r="G1450" s="20"/>
      <c r="H1450" s="18"/>
      <c r="I1450" s="22">
        <f>SUM(Q1445:Q1449)</f>
        <v>9.76</v>
      </c>
      <c r="J1450" s="18">
        <f>Source!BZ1013</f>
        <v>92</v>
      </c>
      <c r="K1450" s="22">
        <f>SUM(R1445:R1449)</f>
        <v>233.11</v>
      </c>
    </row>
    <row r="1451" spans="1:27" ht="14.25" x14ac:dyDescent="0.2">
      <c r="A1451" s="16"/>
      <c r="B1451" s="17"/>
      <c r="C1451" s="17" t="s">
        <v>1628</v>
      </c>
      <c r="D1451" s="19" t="s">
        <v>1627</v>
      </c>
      <c r="E1451" s="18">
        <f>Source!DO1013</f>
        <v>77</v>
      </c>
      <c r="F1451" s="21"/>
      <c r="G1451" s="20"/>
      <c r="H1451" s="18"/>
      <c r="I1451" s="22">
        <f>SUM(S1445:S1450)</f>
        <v>7.67</v>
      </c>
      <c r="J1451" s="18">
        <f>Source!CA1013</f>
        <v>50</v>
      </c>
      <c r="K1451" s="22">
        <f>SUM(T1445:T1450)</f>
        <v>126.69</v>
      </c>
    </row>
    <row r="1452" spans="1:27" ht="14.25" x14ac:dyDescent="0.2">
      <c r="A1452" s="16"/>
      <c r="B1452" s="17"/>
      <c r="C1452" s="17" t="s">
        <v>1633</v>
      </c>
      <c r="D1452" s="19" t="s">
        <v>1627</v>
      </c>
      <c r="E1452" s="18">
        <f>175</f>
        <v>175</v>
      </c>
      <c r="F1452" s="21"/>
      <c r="G1452" s="20"/>
      <c r="H1452" s="18"/>
      <c r="I1452" s="22">
        <f>SUM(U1445:U1451)</f>
        <v>84.35</v>
      </c>
      <c r="J1452" s="18">
        <f>157</f>
        <v>157</v>
      </c>
      <c r="K1452" s="22">
        <f>SUM(V1445:V1451)</f>
        <v>1925.15</v>
      </c>
    </row>
    <row r="1453" spans="1:27" ht="14.25" x14ac:dyDescent="0.2">
      <c r="A1453" s="16"/>
      <c r="B1453" s="17"/>
      <c r="C1453" s="17" t="s">
        <v>1629</v>
      </c>
      <c r="D1453" s="19" t="s">
        <v>1630</v>
      </c>
      <c r="E1453" s="18">
        <f>Source!AQ1013</f>
        <v>1.21</v>
      </c>
      <c r="F1453" s="21"/>
      <c r="G1453" s="20" t="str">
        <f>Source!DI1013</f>
        <v>)*1,15</v>
      </c>
      <c r="H1453" s="18">
        <f>Source!AV1013</f>
        <v>1</v>
      </c>
      <c r="I1453" s="22">
        <f>Source!U1013</f>
        <v>0.97404999999999986</v>
      </c>
      <c r="J1453" s="18"/>
      <c r="K1453" s="22"/>
    </row>
    <row r="1454" spans="1:27" ht="15" x14ac:dyDescent="0.25">
      <c r="A1454" s="25"/>
      <c r="B1454" s="25"/>
      <c r="C1454" s="25"/>
      <c r="D1454" s="25"/>
      <c r="E1454" s="25"/>
      <c r="F1454" s="25"/>
      <c r="G1454" s="25"/>
      <c r="H1454" s="54">
        <f>I1447+I1448+I1450+I1451+I1452</f>
        <v>609.22</v>
      </c>
      <c r="I1454" s="54"/>
      <c r="J1454" s="54">
        <f>K1447+K1448+K1450+K1451+K1452</f>
        <v>6965.9</v>
      </c>
      <c r="K1454" s="54"/>
      <c r="O1454" s="24">
        <f>I1447+I1448+I1450+I1451+I1452</f>
        <v>609.22</v>
      </c>
      <c r="P1454" s="24">
        <f>K1447+K1448+K1450+K1451+K1452</f>
        <v>6965.9</v>
      </c>
      <c r="X1454">
        <f>IF(Source!BI1013&lt;=1,I1447+I1448+I1450+I1451+I1452-0, 0)</f>
        <v>609.22</v>
      </c>
      <c r="Y1454">
        <f>IF(Source!BI1013=2,I1447+I1448+I1450+I1451+I1452-0, 0)</f>
        <v>0</v>
      </c>
      <c r="Z1454">
        <f>IF(Source!BI1013=3,I1447+I1448+I1450+I1451+I1452-0, 0)</f>
        <v>0</v>
      </c>
      <c r="AA1454">
        <f>IF(Source!BI1013=4,I1447+I1448+I1450+I1451+I1452,0)</f>
        <v>0</v>
      </c>
    </row>
    <row r="1455" spans="1:27" ht="57" x14ac:dyDescent="0.2">
      <c r="A1455" s="16" t="str">
        <f>Source!E1014</f>
        <v>180</v>
      </c>
      <c r="B1455" s="17" t="str">
        <f>Source!F1014</f>
        <v>15.2-46-2</v>
      </c>
      <c r="C1455" s="17" t="s">
        <v>1102</v>
      </c>
      <c r="D1455" s="19" t="str">
        <f>Source!H1014</f>
        <v>т</v>
      </c>
      <c r="E1455" s="18">
        <f>Source!I1014</f>
        <v>105</v>
      </c>
      <c r="F1455" s="21"/>
      <c r="G1455" s="20"/>
      <c r="H1455" s="18"/>
      <c r="I1455" s="22"/>
      <c r="J1455" s="18"/>
      <c r="K1455" s="22"/>
      <c r="Q1455">
        <f>ROUND((Source!DN1014/100)*ROUND((ROUND((Source!AF1014*Source!AV1014*Source!I1014),2)),2), 2)</f>
        <v>0</v>
      </c>
      <c r="R1455">
        <f>Source!X1014</f>
        <v>0</v>
      </c>
      <c r="S1455">
        <f>ROUND((Source!DO1014/100)*ROUND((ROUND((Source!AF1014*Source!AV1014*Source!I1014),2)),2), 2)</f>
        <v>0</v>
      </c>
      <c r="T1455">
        <f>Source!Y1014</f>
        <v>0</v>
      </c>
      <c r="U1455">
        <f>ROUND((175/100)*ROUND((ROUND((Source!AE1014*Source!AV1014*Source!I1014),2)),2), 2)</f>
        <v>0</v>
      </c>
      <c r="V1455">
        <f>ROUND((157/100)*ROUND(ROUND((ROUND((Source!AE1014*Source!AV1014*Source!I1014),2)*Source!BS1014),2), 2), 2)</f>
        <v>0</v>
      </c>
    </row>
    <row r="1456" spans="1:27" ht="14.25" x14ac:dyDescent="0.2">
      <c r="A1456" s="16"/>
      <c r="B1456" s="17"/>
      <c r="C1456" s="17" t="s">
        <v>1631</v>
      </c>
      <c r="D1456" s="19"/>
      <c r="E1456" s="18"/>
      <c r="F1456" s="21">
        <f>Source!AM1014</f>
        <v>43.04</v>
      </c>
      <c r="G1456" s="20" t="str">
        <f>Source!DE1014</f>
        <v/>
      </c>
      <c r="H1456" s="18">
        <f>Source!AV1014</f>
        <v>1</v>
      </c>
      <c r="I1456" s="22">
        <f>(ROUND((ROUND(((Source!ET1014)*Source!AV1014*Source!I1014),2)),2)+ROUND((ROUND(((Source!AE1014-(Source!EU1014))*Source!AV1014*Source!I1014),2)),2))</f>
        <v>4519.2</v>
      </c>
      <c r="J1456" s="18">
        <f>IF(Source!BB1014&lt;&gt; 0, Source!BB1014, 1)</f>
        <v>11.02</v>
      </c>
      <c r="K1456" s="22">
        <f>Source!Q1014</f>
        <v>49801.58</v>
      </c>
    </row>
    <row r="1457" spans="1:27" ht="15" x14ac:dyDescent="0.25">
      <c r="A1457" s="25"/>
      <c r="B1457" s="25"/>
      <c r="C1457" s="25"/>
      <c r="D1457" s="25"/>
      <c r="E1457" s="25"/>
      <c r="F1457" s="25"/>
      <c r="G1457" s="25"/>
      <c r="H1457" s="54">
        <f>I1456</f>
        <v>4519.2</v>
      </c>
      <c r="I1457" s="54"/>
      <c r="J1457" s="54">
        <f>K1456</f>
        <v>49801.58</v>
      </c>
      <c r="K1457" s="54"/>
      <c r="O1457" s="24">
        <f>I1456</f>
        <v>4519.2</v>
      </c>
      <c r="P1457" s="24">
        <f>K1456</f>
        <v>49801.58</v>
      </c>
      <c r="X1457">
        <f>IF(Source!BI1014&lt;=1,I1456-0, 0)</f>
        <v>0</v>
      </c>
      <c r="Y1457">
        <f>IF(Source!BI1014=2,I1456-0, 0)</f>
        <v>0</v>
      </c>
      <c r="Z1457">
        <f>IF(Source!BI1014=3,I1456-0, 0)</f>
        <v>0</v>
      </c>
      <c r="AA1457">
        <f>IF(Source!BI1014=4,I1456,0)</f>
        <v>4519.2</v>
      </c>
    </row>
    <row r="1458" spans="1:27" ht="42.75" x14ac:dyDescent="0.2">
      <c r="A1458" s="16" t="str">
        <f>Source!E1015</f>
        <v>181</v>
      </c>
      <c r="B1458" s="17" t="str">
        <f>Source!F1015</f>
        <v>15.1-1102-01</v>
      </c>
      <c r="C1458" s="17" t="s">
        <v>211</v>
      </c>
      <c r="D1458" s="19" t="str">
        <f>Source!H1015</f>
        <v>1 Т</v>
      </c>
      <c r="E1458" s="18">
        <f>Source!I1015</f>
        <v>105</v>
      </c>
      <c r="F1458" s="21"/>
      <c r="G1458" s="20"/>
      <c r="H1458" s="18"/>
      <c r="I1458" s="22"/>
      <c r="J1458" s="18"/>
      <c r="K1458" s="22"/>
      <c r="Q1458">
        <f>ROUND((Source!DN1015/100)*ROUND((ROUND((Source!AF1015*Source!AV1015*Source!I1015),2)),2), 2)</f>
        <v>0</v>
      </c>
      <c r="R1458">
        <f>Source!X1015</f>
        <v>0</v>
      </c>
      <c r="S1458">
        <f>ROUND((Source!DO1015/100)*ROUND((ROUND((Source!AF1015*Source!AV1015*Source!I1015),2)),2), 2)</f>
        <v>0</v>
      </c>
      <c r="T1458">
        <f>Source!Y1015</f>
        <v>0</v>
      </c>
      <c r="U1458">
        <f>ROUND((175/100)*ROUND((ROUND((Source!AE1015*Source!AV1015*Source!I1015),2)),2), 2)</f>
        <v>0</v>
      </c>
      <c r="V1458">
        <f>ROUND((157/100)*ROUND(ROUND((ROUND((Source!AE1015*Source!AV1015*Source!I1015),2)*Source!BS1015),2), 2), 2)</f>
        <v>0</v>
      </c>
    </row>
    <row r="1459" spans="1:27" ht="14.25" x14ac:dyDescent="0.2">
      <c r="A1459" s="16"/>
      <c r="B1459" s="17"/>
      <c r="C1459" s="17" t="s">
        <v>1631</v>
      </c>
      <c r="D1459" s="19"/>
      <c r="E1459" s="18"/>
      <c r="F1459" s="21">
        <f>Source!AM1015</f>
        <v>12.61</v>
      </c>
      <c r="G1459" s="20" t="str">
        <f>Source!DE1015</f>
        <v/>
      </c>
      <c r="H1459" s="18">
        <f>Source!AV1015</f>
        <v>1</v>
      </c>
      <c r="I1459" s="22">
        <f>(ROUND((ROUND(((Source!ET1015)*Source!AV1015*Source!I1015),2)),2)+ROUND((ROUND(((Source!AE1015-(Source!EU1015))*Source!AV1015*Source!I1015),2)),2))</f>
        <v>1324.05</v>
      </c>
      <c r="J1459" s="18">
        <f>IF(Source!BB1015&lt;&gt; 0, Source!BB1015, 1)</f>
        <v>7.63</v>
      </c>
      <c r="K1459" s="22">
        <f>Source!Q1015</f>
        <v>10102.5</v>
      </c>
    </row>
    <row r="1460" spans="1:27" ht="15" x14ac:dyDescent="0.25">
      <c r="A1460" s="25"/>
      <c r="B1460" s="25"/>
      <c r="C1460" s="25"/>
      <c r="D1460" s="25"/>
      <c r="E1460" s="25"/>
      <c r="F1460" s="25"/>
      <c r="G1460" s="25"/>
      <c r="H1460" s="54">
        <f>I1459</f>
        <v>1324.05</v>
      </c>
      <c r="I1460" s="54"/>
      <c r="J1460" s="54">
        <f>K1459</f>
        <v>10102.5</v>
      </c>
      <c r="K1460" s="54"/>
      <c r="O1460" s="24">
        <f>I1459</f>
        <v>1324.05</v>
      </c>
      <c r="P1460" s="24">
        <f>K1459</f>
        <v>10102.5</v>
      </c>
      <c r="X1460">
        <f>IF(Source!BI1015&lt;=1,I1459-0, 0)</f>
        <v>0</v>
      </c>
      <c r="Y1460">
        <f>IF(Source!BI1015=2,I1459-0, 0)</f>
        <v>0</v>
      </c>
      <c r="Z1460">
        <f>IF(Source!BI1015=3,I1459-0, 0)</f>
        <v>0</v>
      </c>
      <c r="AA1460">
        <f>IF(Source!BI1015=4,I1459,0)</f>
        <v>1324.05</v>
      </c>
    </row>
    <row r="1461" spans="1:27" ht="99.75" x14ac:dyDescent="0.2">
      <c r="A1461" s="16" t="str">
        <f>Source!E1016</f>
        <v>182</v>
      </c>
      <c r="B1461" s="17" t="str">
        <f>Source!F1016</f>
        <v>3.27-12-1</v>
      </c>
      <c r="C1461" s="17" t="s">
        <v>88</v>
      </c>
      <c r="D1461" s="19" t="str">
        <f>Source!H1016</f>
        <v>100 м3 материала основания (в плотном теле)</v>
      </c>
      <c r="E1461" s="18">
        <f>Source!I1016</f>
        <v>0.2</v>
      </c>
      <c r="F1461" s="21"/>
      <c r="G1461" s="20"/>
      <c r="H1461" s="18"/>
      <c r="I1461" s="22"/>
      <c r="J1461" s="18"/>
      <c r="K1461" s="22"/>
      <c r="Q1461">
        <f>ROUND((Source!DN1016/100)*ROUND((ROUND((Source!AF1016*Source!AV1016*Source!I1016),2)),2), 2)</f>
        <v>48.78</v>
      </c>
      <c r="R1461">
        <f>Source!X1016</f>
        <v>992.69</v>
      </c>
      <c r="S1461">
        <f>ROUND((Source!DO1016/100)*ROUND((ROUND((Source!AF1016*Source!AV1016*Source!I1016),2)),2), 2)</f>
        <v>27.52</v>
      </c>
      <c r="T1461">
        <f>Source!Y1016</f>
        <v>363.4</v>
      </c>
      <c r="U1461">
        <f>ROUND((175/100)*ROUND((ROUND((Source!AE1016*Source!AV1016*Source!I1016),2)),2), 2)</f>
        <v>46.38</v>
      </c>
      <c r="V1461">
        <f>ROUND((157/100)*ROUND(ROUND((ROUND((Source!AE1016*Source!AV1016*Source!I1016),2)*Source!BS1016),2), 2), 2)</f>
        <v>1058.43</v>
      </c>
    </row>
    <row r="1462" spans="1:27" x14ac:dyDescent="0.2">
      <c r="C1462" s="23" t="str">
        <f>"Объем: "&amp;Source!I1016&amp;"=20/"&amp;"100"</f>
        <v>Объем: 0,2=20/100</v>
      </c>
    </row>
    <row r="1463" spans="1:27" ht="14.25" x14ac:dyDescent="0.2">
      <c r="A1463" s="16"/>
      <c r="B1463" s="17"/>
      <c r="C1463" s="17" t="s">
        <v>1625</v>
      </c>
      <c r="D1463" s="19"/>
      <c r="E1463" s="18"/>
      <c r="F1463" s="21">
        <f>Source!AO1016</f>
        <v>151.49</v>
      </c>
      <c r="G1463" s="20" t="str">
        <f>Source!DG1016</f>
        <v>)*1,15</v>
      </c>
      <c r="H1463" s="18">
        <f>Source!AV1016</f>
        <v>1</v>
      </c>
      <c r="I1463" s="22">
        <f>ROUND((ROUND((Source!AF1016*Source!AV1016*Source!I1016),2)),2)</f>
        <v>34.840000000000003</v>
      </c>
      <c r="J1463" s="18">
        <f>IF(Source!BA1016&lt;&gt; 0, Source!BA1016, 1)</f>
        <v>25.44</v>
      </c>
      <c r="K1463" s="22">
        <f>Source!S1016</f>
        <v>886.33</v>
      </c>
      <c r="W1463">
        <f>I1463</f>
        <v>34.840000000000003</v>
      </c>
    </row>
    <row r="1464" spans="1:27" ht="14.25" x14ac:dyDescent="0.2">
      <c r="A1464" s="16"/>
      <c r="B1464" s="17"/>
      <c r="C1464" s="17" t="s">
        <v>1631</v>
      </c>
      <c r="D1464" s="19"/>
      <c r="E1464" s="18"/>
      <c r="F1464" s="21">
        <f>Source!AM1016</f>
        <v>745.18</v>
      </c>
      <c r="G1464" s="20" t="str">
        <f>Source!DE1016</f>
        <v>)*1,25</v>
      </c>
      <c r="H1464" s="18">
        <f>Source!AV1016</f>
        <v>1</v>
      </c>
      <c r="I1464" s="22">
        <f>(ROUND((ROUND((((Source!ET1016*1.25))*Source!AV1016*Source!I1016),2)),2)+ROUND((ROUND(((Source!AE1016-((Source!EU1016*1.25)))*Source!AV1016*Source!I1016),2)),2))</f>
        <v>186.3</v>
      </c>
      <c r="J1464" s="18">
        <f>IF(Source!BB1016&lt;&gt; 0, Source!BB1016, 1)</f>
        <v>9.77</v>
      </c>
      <c r="K1464" s="22">
        <f>Source!Q1016</f>
        <v>1820.15</v>
      </c>
    </row>
    <row r="1465" spans="1:27" ht="14.25" x14ac:dyDescent="0.2">
      <c r="A1465" s="16"/>
      <c r="B1465" s="17"/>
      <c r="C1465" s="17" t="s">
        <v>1632</v>
      </c>
      <c r="D1465" s="19"/>
      <c r="E1465" s="18"/>
      <c r="F1465" s="21">
        <f>Source!AN1016</f>
        <v>105.99</v>
      </c>
      <c r="G1465" s="20" t="str">
        <f>Source!DF1016</f>
        <v>)*1,25</v>
      </c>
      <c r="H1465" s="18">
        <f>Source!AV1016</f>
        <v>1</v>
      </c>
      <c r="I1465" s="26">
        <f>ROUND((ROUND((Source!AE1016*Source!AV1016*Source!I1016),2)),2)</f>
        <v>26.5</v>
      </c>
      <c r="J1465" s="18">
        <f>IF(Source!BS1016&lt;&gt; 0, Source!BS1016, 1)</f>
        <v>25.44</v>
      </c>
      <c r="K1465" s="26">
        <f>Source!R1016</f>
        <v>674.16</v>
      </c>
      <c r="W1465">
        <f>I1465</f>
        <v>26.5</v>
      </c>
    </row>
    <row r="1466" spans="1:27" ht="14.25" x14ac:dyDescent="0.2">
      <c r="A1466" s="16"/>
      <c r="B1466" s="17"/>
      <c r="C1466" s="17" t="s">
        <v>1634</v>
      </c>
      <c r="D1466" s="19"/>
      <c r="E1466" s="18"/>
      <c r="F1466" s="21">
        <f>Source!AL1016</f>
        <v>35.35</v>
      </c>
      <c r="G1466" s="20" t="str">
        <f>Source!DD1016</f>
        <v/>
      </c>
      <c r="H1466" s="18">
        <f>Source!AW1016</f>
        <v>1</v>
      </c>
      <c r="I1466" s="22">
        <f>ROUND((ROUND((Source!AC1016*Source!AW1016*Source!I1016),2)),2)</f>
        <v>7.07</v>
      </c>
      <c r="J1466" s="18">
        <f>IF(Source!BC1016&lt;&gt; 0, Source!BC1016, 1)</f>
        <v>5.14</v>
      </c>
      <c r="K1466" s="22">
        <f>Source!P1016</f>
        <v>36.340000000000003</v>
      </c>
    </row>
    <row r="1467" spans="1:27" ht="28.5" x14ac:dyDescent="0.2">
      <c r="A1467" s="16" t="str">
        <f>Source!E1017</f>
        <v>182,1</v>
      </c>
      <c r="B1467" s="17" t="str">
        <f>Source!F1017</f>
        <v>1.1-1-766</v>
      </c>
      <c r="C1467" s="17" t="s">
        <v>92</v>
      </c>
      <c r="D1467" s="19" t="str">
        <f>Source!H1017</f>
        <v>м3</v>
      </c>
      <c r="E1467" s="18">
        <f>Source!I1017</f>
        <v>2</v>
      </c>
      <c r="F1467" s="21">
        <f>Source!AK1017</f>
        <v>104.99</v>
      </c>
      <c r="G1467" s="27" t="s">
        <v>3</v>
      </c>
      <c r="H1467" s="18">
        <f>Source!AW1017</f>
        <v>1</v>
      </c>
      <c r="I1467" s="22">
        <f>ROUND((ROUND((Source!AC1017*Source!AW1017*Source!I1017),2)),2)+(ROUND((ROUND(((Source!ET1017)*Source!AV1017*Source!I1017),2)),2)+ROUND((ROUND(((Source!AE1017-(Source!EU1017))*Source!AV1017*Source!I1017),2)),2))+ROUND((ROUND((Source!AF1017*Source!AV1017*Source!I1017),2)),2)</f>
        <v>209.98</v>
      </c>
      <c r="J1467" s="18">
        <f>IF(Source!BC1017&lt;&gt; 0, Source!BC1017, 1)</f>
        <v>5.51</v>
      </c>
      <c r="K1467" s="22">
        <f>Source!O1017</f>
        <v>1156.99</v>
      </c>
      <c r="Q1467">
        <f>ROUND((Source!DN1017/100)*ROUND((ROUND((Source!AF1017*Source!AV1017*Source!I1017),2)),2), 2)</f>
        <v>0</v>
      </c>
      <c r="R1467">
        <f>Source!X1017</f>
        <v>0</v>
      </c>
      <c r="S1467">
        <f>ROUND((Source!DO1017/100)*ROUND((ROUND((Source!AF1017*Source!AV1017*Source!I1017),2)),2), 2)</f>
        <v>0</v>
      </c>
      <c r="T1467">
        <f>Source!Y1017</f>
        <v>0</v>
      </c>
      <c r="U1467">
        <f>ROUND((175/100)*ROUND((ROUND((Source!AE1017*Source!AV1017*Source!I1017),2)),2), 2)</f>
        <v>0</v>
      </c>
      <c r="V1467">
        <f>ROUND((157/100)*ROUND(ROUND((ROUND((Source!AE1017*Source!AV1017*Source!I1017),2)*Source!BS1017),2), 2), 2)</f>
        <v>0</v>
      </c>
      <c r="X1467">
        <f>IF(Source!BI1017&lt;=1,I1467, 0)</f>
        <v>209.98</v>
      </c>
      <c r="Y1467">
        <f>IF(Source!BI1017=2,I1467, 0)</f>
        <v>0</v>
      </c>
      <c r="Z1467">
        <f>IF(Source!BI1017=3,I1467, 0)</f>
        <v>0</v>
      </c>
      <c r="AA1467">
        <f>IF(Source!BI1017=4,I1467, 0)</f>
        <v>0</v>
      </c>
    </row>
    <row r="1468" spans="1:27" ht="14.25" x14ac:dyDescent="0.2">
      <c r="A1468" s="16"/>
      <c r="B1468" s="17"/>
      <c r="C1468" s="17" t="s">
        <v>1626</v>
      </c>
      <c r="D1468" s="19" t="s">
        <v>1627</v>
      </c>
      <c r="E1468" s="18">
        <f>Source!DN1016</f>
        <v>140</v>
      </c>
      <c r="F1468" s="21"/>
      <c r="G1468" s="20"/>
      <c r="H1468" s="18"/>
      <c r="I1468" s="22">
        <f>SUM(Q1461:Q1467)</f>
        <v>48.78</v>
      </c>
      <c r="J1468" s="18">
        <f>Source!BZ1016</f>
        <v>112</v>
      </c>
      <c r="K1468" s="22">
        <f>SUM(R1461:R1467)</f>
        <v>992.69</v>
      </c>
    </row>
    <row r="1469" spans="1:27" ht="14.25" x14ac:dyDescent="0.2">
      <c r="A1469" s="16"/>
      <c r="B1469" s="17"/>
      <c r="C1469" s="17" t="s">
        <v>1628</v>
      </c>
      <c r="D1469" s="19" t="s">
        <v>1627</v>
      </c>
      <c r="E1469" s="18">
        <f>Source!DO1016</f>
        <v>79</v>
      </c>
      <c r="F1469" s="21"/>
      <c r="G1469" s="20"/>
      <c r="H1469" s="18"/>
      <c r="I1469" s="22">
        <f>SUM(S1461:S1468)</f>
        <v>27.52</v>
      </c>
      <c r="J1469" s="18">
        <f>Source!CA1016</f>
        <v>41</v>
      </c>
      <c r="K1469" s="22">
        <f>SUM(T1461:T1468)</f>
        <v>363.4</v>
      </c>
    </row>
    <row r="1470" spans="1:27" ht="14.25" x14ac:dyDescent="0.2">
      <c r="A1470" s="16"/>
      <c r="B1470" s="17"/>
      <c r="C1470" s="17" t="s">
        <v>1633</v>
      </c>
      <c r="D1470" s="19" t="s">
        <v>1627</v>
      </c>
      <c r="E1470" s="18">
        <f>175</f>
        <v>175</v>
      </c>
      <c r="F1470" s="21"/>
      <c r="G1470" s="20"/>
      <c r="H1470" s="18"/>
      <c r="I1470" s="22">
        <f>SUM(U1461:U1469)</f>
        <v>46.38</v>
      </c>
      <c r="J1470" s="18">
        <f>157</f>
        <v>157</v>
      </c>
      <c r="K1470" s="22">
        <f>SUM(V1461:V1469)</f>
        <v>1058.43</v>
      </c>
    </row>
    <row r="1471" spans="1:27" ht="14.25" x14ac:dyDescent="0.2">
      <c r="A1471" s="16"/>
      <c r="B1471" s="17"/>
      <c r="C1471" s="17" t="s">
        <v>1629</v>
      </c>
      <c r="D1471" s="19" t="s">
        <v>1630</v>
      </c>
      <c r="E1471" s="18">
        <f>Source!AQ1016</f>
        <v>14.4</v>
      </c>
      <c r="F1471" s="21"/>
      <c r="G1471" s="20" t="str">
        <f>Source!DI1016</f>
        <v>)*1,15</v>
      </c>
      <c r="H1471" s="18">
        <f>Source!AV1016</f>
        <v>1</v>
      </c>
      <c r="I1471" s="22">
        <f>Source!U1016</f>
        <v>3.3119999999999998</v>
      </c>
      <c r="J1471" s="18"/>
      <c r="K1471" s="22"/>
    </row>
    <row r="1472" spans="1:27" ht="15" x14ac:dyDescent="0.25">
      <c r="A1472" s="25"/>
      <c r="B1472" s="25"/>
      <c r="C1472" s="25"/>
      <c r="D1472" s="25"/>
      <c r="E1472" s="25"/>
      <c r="F1472" s="25"/>
      <c r="G1472" s="25"/>
      <c r="H1472" s="54">
        <f>I1463+I1464+I1466+I1468+I1469+I1470+SUM(I1467:I1467)</f>
        <v>560.87</v>
      </c>
      <c r="I1472" s="54"/>
      <c r="J1472" s="54">
        <f>K1463+K1464+K1466+K1468+K1469+K1470+SUM(K1467:K1467)</f>
        <v>6314.33</v>
      </c>
      <c r="K1472" s="54"/>
      <c r="O1472" s="24">
        <f>I1463+I1464+I1466+I1468+I1469+I1470+SUM(I1467:I1467)</f>
        <v>560.87</v>
      </c>
      <c r="P1472" s="24">
        <f>K1463+K1464+K1466+K1468+K1469+K1470+SUM(K1467:K1467)</f>
        <v>6314.33</v>
      </c>
      <c r="X1472">
        <f>IF(Source!BI1016&lt;=1,I1463+I1464+I1466+I1468+I1469+I1470-0, 0)</f>
        <v>350.89</v>
      </c>
      <c r="Y1472">
        <f>IF(Source!BI1016=2,I1463+I1464+I1466+I1468+I1469+I1470-0, 0)</f>
        <v>0</v>
      </c>
      <c r="Z1472">
        <f>IF(Source!BI1016=3,I1463+I1464+I1466+I1468+I1469+I1470-0, 0)</f>
        <v>0</v>
      </c>
      <c r="AA1472">
        <f>IF(Source!BI1016=4,I1463+I1464+I1466+I1468+I1469+I1470,0)</f>
        <v>0</v>
      </c>
    </row>
    <row r="1473" spans="1:27" ht="57" x14ac:dyDescent="0.2">
      <c r="A1473" s="16" t="str">
        <f>Source!E1018</f>
        <v>183</v>
      </c>
      <c r="B1473" s="17" t="str">
        <f>Source!F1018</f>
        <v>3.34-18-1</v>
      </c>
      <c r="C1473" s="17" t="s">
        <v>1108</v>
      </c>
      <c r="D1473" s="19" t="str">
        <f>Source!H1018</f>
        <v>1 канало-километр трубопровода</v>
      </c>
      <c r="E1473" s="18">
        <f>Source!I1018</f>
        <v>5.8000000000000003E-2</v>
      </c>
      <c r="F1473" s="21"/>
      <c r="G1473" s="20"/>
      <c r="H1473" s="18"/>
      <c r="I1473" s="22"/>
      <c r="J1473" s="18"/>
      <c r="K1473" s="22"/>
      <c r="Q1473">
        <f>ROUND((Source!DN1018/100)*ROUND((ROUND((Source!AF1018*Source!AV1018*Source!I1018),2)),2), 2)</f>
        <v>111.08</v>
      </c>
      <c r="R1473">
        <f>Source!X1018</f>
        <v>2270.83</v>
      </c>
      <c r="S1473">
        <f>ROUND((Source!DO1018/100)*ROUND((ROUND((Source!AF1018*Source!AV1018*Source!I1018),2)),2), 2)</f>
        <v>69.430000000000007</v>
      </c>
      <c r="T1473">
        <f>Source!Y1018</f>
        <v>1034.49</v>
      </c>
      <c r="U1473">
        <f>ROUND((175/100)*ROUND((ROUND((Source!AE1018*Source!AV1018*Source!I1018),2)),2), 2)</f>
        <v>0</v>
      </c>
      <c r="V1473">
        <f>ROUND((157/100)*ROUND(ROUND((ROUND((Source!AE1018*Source!AV1018*Source!I1018),2)*Source!BS1018),2), 2), 2)</f>
        <v>0</v>
      </c>
    </row>
    <row r="1474" spans="1:27" ht="14.25" x14ac:dyDescent="0.2">
      <c r="A1474" s="16"/>
      <c r="B1474" s="17"/>
      <c r="C1474" s="17" t="s">
        <v>1625</v>
      </c>
      <c r="D1474" s="19"/>
      <c r="E1474" s="18"/>
      <c r="F1474" s="21">
        <f>Source!AO1018</f>
        <v>1486.94</v>
      </c>
      <c r="G1474" s="20" t="str">
        <f>Source!DG1018</f>
        <v>)*1,15</v>
      </c>
      <c r="H1474" s="18">
        <f>Source!AV1018</f>
        <v>1</v>
      </c>
      <c r="I1474" s="22">
        <f>ROUND((ROUND((Source!AF1018*Source!AV1018*Source!I1018),2)),2)</f>
        <v>99.18</v>
      </c>
      <c r="J1474" s="18">
        <f>IF(Source!BA1018&lt;&gt; 0, Source!BA1018, 1)</f>
        <v>25.44</v>
      </c>
      <c r="K1474" s="22">
        <f>Source!S1018</f>
        <v>2523.14</v>
      </c>
      <c r="W1474">
        <f>I1474</f>
        <v>99.18</v>
      </c>
    </row>
    <row r="1475" spans="1:27" ht="14.25" x14ac:dyDescent="0.2">
      <c r="A1475" s="16"/>
      <c r="B1475" s="17"/>
      <c r="C1475" s="17" t="s">
        <v>1634</v>
      </c>
      <c r="D1475" s="19"/>
      <c r="E1475" s="18"/>
      <c r="F1475" s="21">
        <f>Source!AL1018</f>
        <v>44.38</v>
      </c>
      <c r="G1475" s="20" t="str">
        <f>Source!DD1018</f>
        <v/>
      </c>
      <c r="H1475" s="18">
        <f>Source!AW1018</f>
        <v>1</v>
      </c>
      <c r="I1475" s="22">
        <f>ROUND((ROUND((Source!AC1018*Source!AW1018*Source!I1018),2)),2)</f>
        <v>2.57</v>
      </c>
      <c r="J1475" s="18">
        <f>IF(Source!BC1018&lt;&gt; 0, Source!BC1018, 1)</f>
        <v>6.58</v>
      </c>
      <c r="K1475" s="22">
        <f>Source!P1018</f>
        <v>16.91</v>
      </c>
    </row>
    <row r="1476" spans="1:27" ht="185.25" x14ac:dyDescent="0.2">
      <c r="A1476" s="16" t="str">
        <f>Source!E1019</f>
        <v>183,1</v>
      </c>
      <c r="B1476" s="17" t="str">
        <f>Source!F1019</f>
        <v>1.12-5-1131</v>
      </c>
      <c r="C1476" s="17" t="s">
        <v>1597</v>
      </c>
      <c r="D1476" s="19" t="str">
        <f>Source!H1019</f>
        <v>м</v>
      </c>
      <c r="E1476" s="18">
        <f>Source!I1019</f>
        <v>58</v>
      </c>
      <c r="F1476" s="21">
        <f>Source!AK1019</f>
        <v>99.95</v>
      </c>
      <c r="G1476" s="27" t="s">
        <v>3</v>
      </c>
      <c r="H1476" s="18">
        <f>Source!AW1019</f>
        <v>1</v>
      </c>
      <c r="I1476" s="22">
        <f>ROUND((ROUND((Source!AC1019*Source!AW1019*Source!I1019),2)),2)+(ROUND((ROUND(((Source!ET1019)*Source!AV1019*Source!I1019),2)),2)+ROUND((ROUND(((Source!AE1019-(Source!EU1019))*Source!AV1019*Source!I1019),2)),2))+ROUND((ROUND((Source!AF1019*Source!AV1019*Source!I1019),2)),2)</f>
        <v>5797.1</v>
      </c>
      <c r="J1476" s="18">
        <f>IF(Source!BC1019&lt;&gt; 0, Source!BC1019, 1)</f>
        <v>5.77</v>
      </c>
      <c r="K1476" s="22">
        <f>Source!O1019</f>
        <v>33449.269999999997</v>
      </c>
      <c r="Q1476">
        <f>ROUND((Source!DN1019/100)*ROUND((ROUND((Source!AF1019*Source!AV1019*Source!I1019),2)),2), 2)</f>
        <v>0</v>
      </c>
      <c r="R1476">
        <f>Source!X1019</f>
        <v>0</v>
      </c>
      <c r="S1476">
        <f>ROUND((Source!DO1019/100)*ROUND((ROUND((Source!AF1019*Source!AV1019*Source!I1019),2)),2), 2)</f>
        <v>0</v>
      </c>
      <c r="T1476">
        <f>Source!Y1019</f>
        <v>0</v>
      </c>
      <c r="U1476">
        <f>ROUND((175/100)*ROUND((ROUND((Source!AE1019*Source!AV1019*Source!I1019),2)),2), 2)</f>
        <v>0</v>
      </c>
      <c r="V1476">
        <f>ROUND((157/100)*ROUND(ROUND((ROUND((Source!AE1019*Source!AV1019*Source!I1019),2)*Source!BS1019),2), 2), 2)</f>
        <v>0</v>
      </c>
      <c r="X1476">
        <f>IF(Source!BI1019&lt;=1,I1476, 0)</f>
        <v>5797.1</v>
      </c>
      <c r="Y1476">
        <f>IF(Source!BI1019=2,I1476, 0)</f>
        <v>0</v>
      </c>
      <c r="Z1476">
        <f>IF(Source!BI1019=3,I1476, 0)</f>
        <v>0</v>
      </c>
      <c r="AA1476">
        <f>IF(Source!BI1019=4,I1476, 0)</f>
        <v>0</v>
      </c>
    </row>
    <row r="1477" spans="1:27" ht="28.5" x14ac:dyDescent="0.2">
      <c r="A1477" s="16" t="str">
        <f>Source!E1020</f>
        <v>183,2</v>
      </c>
      <c r="B1477" s="17" t="str">
        <f>Source!F1020</f>
        <v>1.1-1-3587</v>
      </c>
      <c r="C1477" s="17" t="s">
        <v>998</v>
      </c>
      <c r="D1477" s="19" t="str">
        <f>Source!H1020</f>
        <v>м</v>
      </c>
      <c r="E1477" s="18">
        <f>Source!I1020</f>
        <v>58</v>
      </c>
      <c r="F1477" s="21">
        <f>Source!AK1020</f>
        <v>0.49</v>
      </c>
      <c r="G1477" s="27" t="s">
        <v>3</v>
      </c>
      <c r="H1477" s="18">
        <f>Source!AW1020</f>
        <v>1</v>
      </c>
      <c r="I1477" s="22">
        <f>ROUND((ROUND((Source!AC1020*Source!AW1020*Source!I1020),2)),2)+(ROUND((ROUND(((Source!ET1020)*Source!AV1020*Source!I1020),2)),2)+ROUND((ROUND(((Source!AE1020-(Source!EU1020))*Source!AV1020*Source!I1020),2)),2))+ROUND((ROUND((Source!AF1020*Source!AV1020*Source!I1020),2)),2)</f>
        <v>28.42</v>
      </c>
      <c r="J1477" s="18">
        <f>IF(Source!BC1020&lt;&gt; 0, Source!BC1020, 1)</f>
        <v>2.4500000000000002</v>
      </c>
      <c r="K1477" s="22">
        <f>Source!O1020</f>
        <v>69.63</v>
      </c>
      <c r="Q1477">
        <f>ROUND((Source!DN1020/100)*ROUND((ROUND((Source!AF1020*Source!AV1020*Source!I1020),2)),2), 2)</f>
        <v>0</v>
      </c>
      <c r="R1477">
        <f>Source!X1020</f>
        <v>0</v>
      </c>
      <c r="S1477">
        <f>ROUND((Source!DO1020/100)*ROUND((ROUND((Source!AF1020*Source!AV1020*Source!I1020),2)),2), 2)</f>
        <v>0</v>
      </c>
      <c r="T1477">
        <f>Source!Y1020</f>
        <v>0</v>
      </c>
      <c r="U1477">
        <f>ROUND((175/100)*ROUND((ROUND((Source!AE1020*Source!AV1020*Source!I1020),2)),2), 2)</f>
        <v>0</v>
      </c>
      <c r="V1477">
        <f>ROUND((157/100)*ROUND(ROUND((ROUND((Source!AE1020*Source!AV1020*Source!I1020),2)*Source!BS1020),2), 2), 2)</f>
        <v>0</v>
      </c>
      <c r="X1477">
        <f>IF(Source!BI1020&lt;=1,I1477, 0)</f>
        <v>28.42</v>
      </c>
      <c r="Y1477">
        <f>IF(Source!BI1020=2,I1477, 0)</f>
        <v>0</v>
      </c>
      <c r="Z1477">
        <f>IF(Source!BI1020=3,I1477, 0)</f>
        <v>0</v>
      </c>
      <c r="AA1477">
        <f>IF(Source!BI1020=4,I1477, 0)</f>
        <v>0</v>
      </c>
    </row>
    <row r="1478" spans="1:27" ht="14.25" x14ac:dyDescent="0.2">
      <c r="A1478" s="16"/>
      <c r="B1478" s="17"/>
      <c r="C1478" s="17" t="s">
        <v>1626</v>
      </c>
      <c r="D1478" s="19" t="s">
        <v>1627</v>
      </c>
      <c r="E1478" s="18">
        <f>Source!DN1018</f>
        <v>112</v>
      </c>
      <c r="F1478" s="21"/>
      <c r="G1478" s="20"/>
      <c r="H1478" s="18"/>
      <c r="I1478" s="22">
        <f>SUM(Q1473:Q1477)</f>
        <v>111.08</v>
      </c>
      <c r="J1478" s="18">
        <f>Source!BZ1018</f>
        <v>90</v>
      </c>
      <c r="K1478" s="22">
        <f>SUM(R1473:R1477)</f>
        <v>2270.83</v>
      </c>
    </row>
    <row r="1479" spans="1:27" ht="14.25" x14ac:dyDescent="0.2">
      <c r="A1479" s="16"/>
      <c r="B1479" s="17"/>
      <c r="C1479" s="17" t="s">
        <v>1628</v>
      </c>
      <c r="D1479" s="19" t="s">
        <v>1627</v>
      </c>
      <c r="E1479" s="18">
        <f>Source!DO1018</f>
        <v>70</v>
      </c>
      <c r="F1479" s="21"/>
      <c r="G1479" s="20"/>
      <c r="H1479" s="18"/>
      <c r="I1479" s="22">
        <f>SUM(S1473:S1478)</f>
        <v>69.430000000000007</v>
      </c>
      <c r="J1479" s="18">
        <f>Source!CA1018</f>
        <v>41</v>
      </c>
      <c r="K1479" s="22">
        <f>SUM(T1473:T1478)</f>
        <v>1034.49</v>
      </c>
    </row>
    <row r="1480" spans="1:27" ht="14.25" x14ac:dyDescent="0.2">
      <c r="A1480" s="16"/>
      <c r="B1480" s="17"/>
      <c r="C1480" s="17" t="s">
        <v>1629</v>
      </c>
      <c r="D1480" s="19" t="s">
        <v>1630</v>
      </c>
      <c r="E1480" s="18">
        <f>Source!AQ1018</f>
        <v>133</v>
      </c>
      <c r="F1480" s="21"/>
      <c r="G1480" s="20" t="str">
        <f>Source!DI1018</f>
        <v>)*1,15</v>
      </c>
      <c r="H1480" s="18">
        <f>Source!AV1018</f>
        <v>1</v>
      </c>
      <c r="I1480" s="22">
        <f>Source!U1018</f>
        <v>8.8711000000000002</v>
      </c>
      <c r="J1480" s="18"/>
      <c r="K1480" s="22"/>
    </row>
    <row r="1481" spans="1:27" ht="15" x14ac:dyDescent="0.25">
      <c r="A1481" s="25"/>
      <c r="B1481" s="25"/>
      <c r="C1481" s="25"/>
      <c r="D1481" s="25"/>
      <c r="E1481" s="25"/>
      <c r="F1481" s="25"/>
      <c r="G1481" s="25"/>
      <c r="H1481" s="54">
        <f>I1474+I1475+I1478+I1479+SUM(I1476:I1477)</f>
        <v>6107.7800000000007</v>
      </c>
      <c r="I1481" s="54"/>
      <c r="J1481" s="54">
        <f>K1474+K1475+K1478+K1479+SUM(K1476:K1477)</f>
        <v>39364.26999999999</v>
      </c>
      <c r="K1481" s="54"/>
      <c r="O1481" s="24">
        <f>I1474+I1475+I1478+I1479+SUM(I1476:I1477)</f>
        <v>6107.7800000000007</v>
      </c>
      <c r="P1481" s="24">
        <f>K1474+K1475+K1478+K1479+SUM(K1476:K1477)</f>
        <v>39364.26999999999</v>
      </c>
      <c r="X1481">
        <f>IF(Source!BI1018&lt;=1,I1474+I1475+I1478+I1479-0, 0)</f>
        <v>282.26</v>
      </c>
      <c r="Y1481">
        <f>IF(Source!BI1018=2,I1474+I1475+I1478+I1479-0, 0)</f>
        <v>0</v>
      </c>
      <c r="Z1481">
        <f>IF(Source!BI1018=3,I1474+I1475+I1478+I1479-0, 0)</f>
        <v>0</v>
      </c>
      <c r="AA1481">
        <f>IF(Source!BI1018=4,I1474+I1475+I1478+I1479,0)</f>
        <v>0</v>
      </c>
    </row>
    <row r="1482" spans="1:27" ht="28.5" x14ac:dyDescent="0.2">
      <c r="A1482" s="16" t="str">
        <f>Source!E1021</f>
        <v>184</v>
      </c>
      <c r="B1482" s="17" t="str">
        <f>Source!F1021</f>
        <v>4.8-301-1</v>
      </c>
      <c r="C1482" s="17" t="s">
        <v>1115</v>
      </c>
      <c r="D1482" s="19" t="str">
        <f>Source!H1021</f>
        <v>100 компл.</v>
      </c>
      <c r="E1482" s="18">
        <f>Source!I1021</f>
        <v>0.04</v>
      </c>
      <c r="F1482" s="21"/>
      <c r="G1482" s="20"/>
      <c r="H1482" s="18"/>
      <c r="I1482" s="22"/>
      <c r="J1482" s="18"/>
      <c r="K1482" s="22"/>
      <c r="Q1482">
        <f>ROUND((Source!DN1021/100)*ROUND((ROUND((Source!AF1021*Source!AV1021*Source!I1021),2)),2), 2)</f>
        <v>112.56</v>
      </c>
      <c r="R1482">
        <f>Source!X1021</f>
        <v>1934.2</v>
      </c>
      <c r="S1482">
        <f>ROUND((Source!DO1021/100)*ROUND((ROUND((Source!AF1021*Source!AV1021*Source!I1021),2)),2), 2)</f>
        <v>66.16</v>
      </c>
      <c r="T1482">
        <f>Source!Y1021</f>
        <v>1029.9000000000001</v>
      </c>
      <c r="U1482">
        <f>ROUND((175/100)*ROUND((ROUND((Source!AE1021*Source!AV1021*Source!I1021),2)),2), 2)</f>
        <v>5.43</v>
      </c>
      <c r="V1482">
        <f>ROUND((157/100)*ROUND(ROUND((ROUND((Source!AE1021*Source!AV1021*Source!I1021),2)*Source!BS1021),2), 2), 2)</f>
        <v>123.81</v>
      </c>
    </row>
    <row r="1483" spans="1:27" x14ac:dyDescent="0.2">
      <c r="C1483" s="23" t="str">
        <f>"Объем: "&amp;Source!I1021&amp;"=4/"&amp;"100"</f>
        <v>Объем: 0,04=4/100</v>
      </c>
    </row>
    <row r="1484" spans="1:27" ht="14.25" x14ac:dyDescent="0.2">
      <c r="A1484" s="16"/>
      <c r="B1484" s="17"/>
      <c r="C1484" s="17" t="s">
        <v>1625</v>
      </c>
      <c r="D1484" s="19"/>
      <c r="E1484" s="18"/>
      <c r="F1484" s="21">
        <f>Source!AO1021</f>
        <v>2146.46</v>
      </c>
      <c r="G1484" s="20" t="str">
        <f>Source!DG1021</f>
        <v>)*1,15</v>
      </c>
      <c r="H1484" s="18">
        <f>Source!AV1021</f>
        <v>1</v>
      </c>
      <c r="I1484" s="22">
        <f>ROUND((ROUND((Source!AF1021*Source!AV1021*Source!I1021),2)),2)</f>
        <v>98.74</v>
      </c>
      <c r="J1484" s="18">
        <f>IF(Source!BA1021&lt;&gt; 0, Source!BA1021, 1)</f>
        <v>25.44</v>
      </c>
      <c r="K1484" s="22">
        <f>Source!S1021</f>
        <v>2511.9499999999998</v>
      </c>
      <c r="W1484">
        <f>I1484</f>
        <v>98.74</v>
      </c>
    </row>
    <row r="1485" spans="1:27" ht="14.25" x14ac:dyDescent="0.2">
      <c r="A1485" s="16"/>
      <c r="B1485" s="17"/>
      <c r="C1485" s="17" t="s">
        <v>1631</v>
      </c>
      <c r="D1485" s="19"/>
      <c r="E1485" s="18"/>
      <c r="F1485" s="21">
        <f>Source!AM1021</f>
        <v>715.22</v>
      </c>
      <c r="G1485" s="20" t="str">
        <f>Source!DE1021</f>
        <v>)*1,25</v>
      </c>
      <c r="H1485" s="18">
        <f>Source!AV1021</f>
        <v>1</v>
      </c>
      <c r="I1485" s="22">
        <f>(ROUND((ROUND((((Source!ET1021*1.25))*Source!AV1021*Source!I1021),2)),2)+ROUND((ROUND(((Source!AE1021-((Source!EU1021*1.25)))*Source!AV1021*Source!I1021),2)),2))</f>
        <v>35.76</v>
      </c>
      <c r="J1485" s="18">
        <f>IF(Source!BB1021&lt;&gt; 0, Source!BB1021, 1)</f>
        <v>7.55</v>
      </c>
      <c r="K1485" s="22">
        <f>Source!Q1021</f>
        <v>269.99</v>
      </c>
    </row>
    <row r="1486" spans="1:27" ht="14.25" x14ac:dyDescent="0.2">
      <c r="A1486" s="16"/>
      <c r="B1486" s="17"/>
      <c r="C1486" s="17" t="s">
        <v>1632</v>
      </c>
      <c r="D1486" s="19"/>
      <c r="E1486" s="18"/>
      <c r="F1486" s="21">
        <f>Source!AN1021</f>
        <v>62.01</v>
      </c>
      <c r="G1486" s="20" t="str">
        <f>Source!DF1021</f>
        <v>)*1,25</v>
      </c>
      <c r="H1486" s="18">
        <f>Source!AV1021</f>
        <v>1</v>
      </c>
      <c r="I1486" s="26">
        <f>ROUND((ROUND((Source!AE1021*Source!AV1021*Source!I1021),2)),2)</f>
        <v>3.1</v>
      </c>
      <c r="J1486" s="18">
        <f>IF(Source!BS1021&lt;&gt; 0, Source!BS1021, 1)</f>
        <v>25.44</v>
      </c>
      <c r="K1486" s="26">
        <f>Source!R1021</f>
        <v>78.86</v>
      </c>
      <c r="W1486">
        <f>I1486</f>
        <v>3.1</v>
      </c>
    </row>
    <row r="1487" spans="1:27" ht="14.25" x14ac:dyDescent="0.2">
      <c r="A1487" s="16"/>
      <c r="B1487" s="17"/>
      <c r="C1487" s="17" t="s">
        <v>1634</v>
      </c>
      <c r="D1487" s="19"/>
      <c r="E1487" s="18"/>
      <c r="F1487" s="21">
        <f>Source!AL1021</f>
        <v>519.45000000000005</v>
      </c>
      <c r="G1487" s="20" t="str">
        <f>Source!DD1021</f>
        <v/>
      </c>
      <c r="H1487" s="18">
        <f>Source!AW1021</f>
        <v>1</v>
      </c>
      <c r="I1487" s="22">
        <f>ROUND((ROUND((Source!AC1021*Source!AW1021*Source!I1021),2)),2)</f>
        <v>20.78</v>
      </c>
      <c r="J1487" s="18">
        <f>IF(Source!BC1021&lt;&gt; 0, Source!BC1021, 1)</f>
        <v>6.58</v>
      </c>
      <c r="K1487" s="22">
        <f>Source!P1021</f>
        <v>136.72999999999999</v>
      </c>
    </row>
    <row r="1488" spans="1:27" ht="28.5" x14ac:dyDescent="0.2">
      <c r="A1488" s="16" t="str">
        <f>Source!E1022</f>
        <v>184,1</v>
      </c>
      <c r="B1488" s="17" t="str">
        <f>Source!F1022</f>
        <v>1.21-5-1069</v>
      </c>
      <c r="C1488" s="17" t="s">
        <v>1124</v>
      </c>
      <c r="D1488" s="19" t="str">
        <f>Source!H1022</f>
        <v>КОМПЛЕКТ</v>
      </c>
      <c r="E1488" s="18">
        <f>Source!I1022</f>
        <v>4</v>
      </c>
      <c r="F1488" s="21">
        <f>Source!AK1022</f>
        <v>153.63</v>
      </c>
      <c r="G1488" s="27" t="s">
        <v>3</v>
      </c>
      <c r="H1488" s="18">
        <f>Source!AW1022</f>
        <v>1</v>
      </c>
      <c r="I1488" s="22">
        <f>ROUND((ROUND((Source!AC1022*Source!AW1022*Source!I1022),2)),2)+(ROUND((ROUND(((Source!ET1022)*Source!AV1022*Source!I1022),2)),2)+ROUND((ROUND(((Source!AE1022-(Source!EU1022))*Source!AV1022*Source!I1022),2)),2))+ROUND((ROUND((Source!AF1022*Source!AV1022*Source!I1022),2)),2)</f>
        <v>614.52</v>
      </c>
      <c r="J1488" s="18">
        <f>IF(Source!BC1022&lt;&gt; 0, Source!BC1022, 1)</f>
        <v>2.02</v>
      </c>
      <c r="K1488" s="22">
        <f>Source!O1022</f>
        <v>1241.33</v>
      </c>
      <c r="Q1488">
        <f>ROUND((Source!DN1022/100)*ROUND((ROUND((Source!AF1022*Source!AV1022*Source!I1022),2)),2), 2)</f>
        <v>0</v>
      </c>
      <c r="R1488">
        <f>Source!X1022</f>
        <v>0</v>
      </c>
      <c r="S1488">
        <f>ROUND((Source!DO1022/100)*ROUND((ROUND((Source!AF1022*Source!AV1022*Source!I1022),2)),2), 2)</f>
        <v>0</v>
      </c>
      <c r="T1488">
        <f>Source!Y1022</f>
        <v>0</v>
      </c>
      <c r="U1488">
        <f>ROUND((175/100)*ROUND((ROUND((Source!AE1022*Source!AV1022*Source!I1022),2)),2), 2)</f>
        <v>0</v>
      </c>
      <c r="V1488">
        <f>ROUND((157/100)*ROUND(ROUND((ROUND((Source!AE1022*Source!AV1022*Source!I1022),2)*Source!BS1022),2), 2), 2)</f>
        <v>0</v>
      </c>
      <c r="X1488">
        <f>IF(Source!BI1022&lt;=1,I1488, 0)</f>
        <v>0</v>
      </c>
      <c r="Y1488">
        <f>IF(Source!BI1022=2,I1488, 0)</f>
        <v>614.52</v>
      </c>
      <c r="Z1488">
        <f>IF(Source!BI1022=3,I1488, 0)</f>
        <v>0</v>
      </c>
      <c r="AA1488">
        <f>IF(Source!BI1022=4,I1488, 0)</f>
        <v>0</v>
      </c>
    </row>
    <row r="1489" spans="1:27" ht="14.25" x14ac:dyDescent="0.2">
      <c r="A1489" s="16"/>
      <c r="B1489" s="17"/>
      <c r="C1489" s="17" t="s">
        <v>1626</v>
      </c>
      <c r="D1489" s="19" t="s">
        <v>1627</v>
      </c>
      <c r="E1489" s="18">
        <f>Source!DN1021</f>
        <v>114</v>
      </c>
      <c r="F1489" s="21"/>
      <c r="G1489" s="20"/>
      <c r="H1489" s="18"/>
      <c r="I1489" s="22">
        <f>SUM(Q1482:Q1488)</f>
        <v>112.56</v>
      </c>
      <c r="J1489" s="18">
        <f>Source!BZ1021</f>
        <v>77</v>
      </c>
      <c r="K1489" s="22">
        <f>SUM(R1482:R1488)</f>
        <v>1934.2</v>
      </c>
    </row>
    <row r="1490" spans="1:27" ht="14.25" x14ac:dyDescent="0.2">
      <c r="A1490" s="16"/>
      <c r="B1490" s="17"/>
      <c r="C1490" s="17" t="s">
        <v>1628</v>
      </c>
      <c r="D1490" s="19" t="s">
        <v>1627</v>
      </c>
      <c r="E1490" s="18">
        <f>Source!DO1021</f>
        <v>67</v>
      </c>
      <c r="F1490" s="21"/>
      <c r="G1490" s="20"/>
      <c r="H1490" s="18"/>
      <c r="I1490" s="22">
        <f>SUM(S1482:S1489)</f>
        <v>66.16</v>
      </c>
      <c r="J1490" s="18">
        <f>Source!CA1021</f>
        <v>41</v>
      </c>
      <c r="K1490" s="22">
        <f>SUM(T1482:T1489)</f>
        <v>1029.9000000000001</v>
      </c>
    </row>
    <row r="1491" spans="1:27" ht="14.25" x14ac:dyDescent="0.2">
      <c r="A1491" s="16"/>
      <c r="B1491" s="17"/>
      <c r="C1491" s="17" t="s">
        <v>1633</v>
      </c>
      <c r="D1491" s="19" t="s">
        <v>1627</v>
      </c>
      <c r="E1491" s="18">
        <f>175</f>
        <v>175</v>
      </c>
      <c r="F1491" s="21"/>
      <c r="G1491" s="20"/>
      <c r="H1491" s="18"/>
      <c r="I1491" s="22">
        <f>SUM(U1482:U1490)</f>
        <v>5.43</v>
      </c>
      <c r="J1491" s="18">
        <f>157</f>
        <v>157</v>
      </c>
      <c r="K1491" s="22">
        <f>SUM(V1482:V1490)</f>
        <v>123.81</v>
      </c>
    </row>
    <row r="1492" spans="1:27" ht="14.25" x14ac:dyDescent="0.2">
      <c r="A1492" s="16"/>
      <c r="B1492" s="17"/>
      <c r="C1492" s="17" t="s">
        <v>1629</v>
      </c>
      <c r="D1492" s="19" t="s">
        <v>1630</v>
      </c>
      <c r="E1492" s="18">
        <f>Source!AQ1021</f>
        <v>155.88999999999999</v>
      </c>
      <c r="F1492" s="21"/>
      <c r="G1492" s="20" t="str">
        <f>Source!DI1021</f>
        <v>)*1,15</v>
      </c>
      <c r="H1492" s="18">
        <f>Source!AV1021</f>
        <v>1</v>
      </c>
      <c r="I1492" s="22">
        <f>Source!U1021</f>
        <v>7.1709399999999999</v>
      </c>
      <c r="J1492" s="18"/>
      <c r="K1492" s="22"/>
    </row>
    <row r="1493" spans="1:27" ht="15" x14ac:dyDescent="0.25">
      <c r="A1493" s="25"/>
      <c r="B1493" s="25"/>
      <c r="C1493" s="25"/>
      <c r="D1493" s="25"/>
      <c r="E1493" s="25"/>
      <c r="F1493" s="25"/>
      <c r="G1493" s="25"/>
      <c r="H1493" s="54">
        <f>I1484+I1485+I1487+I1489+I1490+I1491+SUM(I1488:I1488)</f>
        <v>953.95</v>
      </c>
      <c r="I1493" s="54"/>
      <c r="J1493" s="54">
        <f>K1484+K1485+K1487+K1489+K1490+K1491+SUM(K1488:K1488)</f>
        <v>7247.9100000000008</v>
      </c>
      <c r="K1493" s="54"/>
      <c r="O1493" s="24">
        <f>I1484+I1485+I1487+I1489+I1490+I1491+SUM(I1488:I1488)</f>
        <v>953.95</v>
      </c>
      <c r="P1493" s="24">
        <f>K1484+K1485+K1487+K1489+K1490+K1491+SUM(K1488:K1488)</f>
        <v>7247.9100000000008</v>
      </c>
      <c r="X1493">
        <f>IF(Source!BI1021&lt;=1,I1484+I1485+I1487+I1489+I1490+I1491-0, 0)</f>
        <v>0</v>
      </c>
      <c r="Y1493">
        <f>IF(Source!BI1021=2,I1484+I1485+I1487+I1489+I1490+I1491-0, 0)</f>
        <v>339.43</v>
      </c>
      <c r="Z1493">
        <f>IF(Source!BI1021=3,I1484+I1485+I1487+I1489+I1490+I1491-0, 0)</f>
        <v>0</v>
      </c>
      <c r="AA1493">
        <f>IF(Source!BI1021=4,I1484+I1485+I1487+I1489+I1490+I1491,0)</f>
        <v>0</v>
      </c>
    </row>
    <row r="1494" spans="1:27" ht="42.75" x14ac:dyDescent="0.2">
      <c r="A1494" s="16" t="str">
        <f>Source!E1023</f>
        <v>185</v>
      </c>
      <c r="B1494" s="17" t="str">
        <f>Source!F1023</f>
        <v>4.8-80-2</v>
      </c>
      <c r="C1494" s="17" t="s">
        <v>1128</v>
      </c>
      <c r="D1494" s="19" t="str">
        <f>Source!H1023</f>
        <v>100 М КАБЕЛЯ</v>
      </c>
      <c r="E1494" s="18">
        <f>Source!I1023</f>
        <v>2</v>
      </c>
      <c r="F1494" s="21"/>
      <c r="G1494" s="20"/>
      <c r="H1494" s="18"/>
      <c r="I1494" s="22"/>
      <c r="J1494" s="18"/>
      <c r="K1494" s="22"/>
      <c r="Q1494">
        <f>ROUND((Source!DN1023/100)*ROUND((ROUND((Source!AF1023*Source!AV1023*Source!I1023),2)),2), 2)</f>
        <v>510.79</v>
      </c>
      <c r="R1494">
        <f>Source!X1023</f>
        <v>8776.9599999999991</v>
      </c>
      <c r="S1494">
        <f>ROUND((Source!DO1023/100)*ROUND((ROUND((Source!AF1023*Source!AV1023*Source!I1023),2)),2), 2)</f>
        <v>300.2</v>
      </c>
      <c r="T1494">
        <f>Source!Y1023</f>
        <v>4673.45</v>
      </c>
      <c r="U1494">
        <f>ROUND((175/100)*ROUND((ROUND((Source!AE1023*Source!AV1023*Source!I1023),2)),2), 2)</f>
        <v>45.33</v>
      </c>
      <c r="V1494">
        <f>ROUND((157/100)*ROUND(ROUND((ROUND((Source!AE1023*Source!AV1023*Source!I1023),2)*Source!BS1023),2), 2), 2)</f>
        <v>1034.47</v>
      </c>
    </row>
    <row r="1495" spans="1:27" x14ac:dyDescent="0.2">
      <c r="C1495" s="23" t="str">
        <f>"Объем: "&amp;Source!I1023&amp;"=200/"&amp;"100"</f>
        <v>Объем: 2=200/100</v>
      </c>
    </row>
    <row r="1496" spans="1:27" ht="14.25" x14ac:dyDescent="0.2">
      <c r="A1496" s="16"/>
      <c r="B1496" s="17"/>
      <c r="C1496" s="17" t="s">
        <v>1625</v>
      </c>
      <c r="D1496" s="19"/>
      <c r="E1496" s="18"/>
      <c r="F1496" s="21">
        <f>Source!AO1023</f>
        <v>194.81</v>
      </c>
      <c r="G1496" s="20" t="str">
        <f>Source!DG1023</f>
        <v>)*1,15</v>
      </c>
      <c r="H1496" s="18">
        <f>Source!AV1023</f>
        <v>1</v>
      </c>
      <c r="I1496" s="22">
        <f>ROUND((ROUND((Source!AF1023*Source!AV1023*Source!I1023),2)),2)</f>
        <v>448.06</v>
      </c>
      <c r="J1496" s="18">
        <f>IF(Source!BA1023&lt;&gt; 0, Source!BA1023, 1)</f>
        <v>25.44</v>
      </c>
      <c r="K1496" s="22">
        <f>Source!S1023</f>
        <v>11398.65</v>
      </c>
      <c r="W1496">
        <f>I1496</f>
        <v>448.06</v>
      </c>
    </row>
    <row r="1497" spans="1:27" ht="14.25" x14ac:dyDescent="0.2">
      <c r="A1497" s="16"/>
      <c r="B1497" s="17"/>
      <c r="C1497" s="17" t="s">
        <v>1631</v>
      </c>
      <c r="D1497" s="19"/>
      <c r="E1497" s="18"/>
      <c r="F1497" s="21">
        <f>Source!AM1023</f>
        <v>46.11</v>
      </c>
      <c r="G1497" s="20" t="str">
        <f>Source!DE1023</f>
        <v>)*1,25</v>
      </c>
      <c r="H1497" s="18">
        <f>Source!AV1023</f>
        <v>1</v>
      </c>
      <c r="I1497" s="22">
        <f>(ROUND((ROUND((((Source!ET1023*1.25))*Source!AV1023*Source!I1023),2)),2)+ROUND((ROUND(((Source!AE1023-((Source!EU1023*1.25)))*Source!AV1023*Source!I1023),2)),2))</f>
        <v>115.28</v>
      </c>
      <c r="J1497" s="18">
        <f>IF(Source!BB1023&lt;&gt; 0, Source!BB1023, 1)</f>
        <v>10.25</v>
      </c>
      <c r="K1497" s="22">
        <f>Source!Q1023</f>
        <v>1181.6199999999999</v>
      </c>
    </row>
    <row r="1498" spans="1:27" ht="14.25" x14ac:dyDescent="0.2">
      <c r="A1498" s="16"/>
      <c r="B1498" s="17"/>
      <c r="C1498" s="17" t="s">
        <v>1632</v>
      </c>
      <c r="D1498" s="19"/>
      <c r="E1498" s="18"/>
      <c r="F1498" s="21">
        <f>Source!AN1023</f>
        <v>10.36</v>
      </c>
      <c r="G1498" s="20" t="str">
        <f>Source!DF1023</f>
        <v>)*1,25</v>
      </c>
      <c r="H1498" s="18">
        <f>Source!AV1023</f>
        <v>1</v>
      </c>
      <c r="I1498" s="26">
        <f>ROUND((ROUND((Source!AE1023*Source!AV1023*Source!I1023),2)),2)</f>
        <v>25.9</v>
      </c>
      <c r="J1498" s="18">
        <f>IF(Source!BS1023&lt;&gt; 0, Source!BS1023, 1)</f>
        <v>25.44</v>
      </c>
      <c r="K1498" s="26">
        <f>Source!R1023</f>
        <v>658.9</v>
      </c>
      <c r="W1498">
        <f>I1498</f>
        <v>25.9</v>
      </c>
    </row>
    <row r="1499" spans="1:27" ht="14.25" x14ac:dyDescent="0.2">
      <c r="A1499" s="16"/>
      <c r="B1499" s="17"/>
      <c r="C1499" s="17" t="s">
        <v>1634</v>
      </c>
      <c r="D1499" s="19"/>
      <c r="E1499" s="18"/>
      <c r="F1499" s="21">
        <f>Source!AL1023</f>
        <v>36.049999999999997</v>
      </c>
      <c r="G1499" s="20" t="str">
        <f>Source!DD1023</f>
        <v/>
      </c>
      <c r="H1499" s="18">
        <f>Source!AW1023</f>
        <v>1</v>
      </c>
      <c r="I1499" s="22">
        <f>ROUND((ROUND((Source!AC1023*Source!AW1023*Source!I1023),2)),2)</f>
        <v>72.099999999999994</v>
      </c>
      <c r="J1499" s="18">
        <f>IF(Source!BC1023&lt;&gt; 0, Source!BC1023, 1)</f>
        <v>6.58</v>
      </c>
      <c r="K1499" s="22">
        <f>Source!P1023</f>
        <v>474.42</v>
      </c>
    </row>
    <row r="1500" spans="1:27" ht="42.75" x14ac:dyDescent="0.2">
      <c r="A1500" s="16" t="str">
        <f>Source!E1024</f>
        <v>185,1</v>
      </c>
      <c r="B1500" s="17" t="str">
        <f>Source!F1024</f>
        <v>1.23-8-79</v>
      </c>
      <c r="C1500" s="17" t="s">
        <v>1132</v>
      </c>
      <c r="D1500" s="19" t="str">
        <f>Source!H1024</f>
        <v>км</v>
      </c>
      <c r="E1500" s="18">
        <f>Source!I1024</f>
        <v>0.25</v>
      </c>
      <c r="F1500" s="21">
        <f>Source!AK1024</f>
        <v>85337.64</v>
      </c>
      <c r="G1500" s="27" t="s">
        <v>3</v>
      </c>
      <c r="H1500" s="18">
        <f>Source!AW1024</f>
        <v>1</v>
      </c>
      <c r="I1500" s="22">
        <f>ROUND((ROUND((Source!AC1024*Source!AW1024*Source!I1024),2)),2)+(ROUND((ROUND(((Source!ET1024)*Source!AV1024*Source!I1024),2)),2)+ROUND((ROUND(((Source!AE1024-(Source!EU1024))*Source!AV1024*Source!I1024),2)),2))+ROUND((ROUND((Source!AF1024*Source!AV1024*Source!I1024),2)),2)</f>
        <v>21334.41</v>
      </c>
      <c r="J1500" s="18">
        <f>IF(Source!BC1024&lt;&gt; 0, Source!BC1024, 1)</f>
        <v>10.14</v>
      </c>
      <c r="K1500" s="22">
        <f>Source!O1024</f>
        <v>216330.92</v>
      </c>
      <c r="Q1500">
        <f>ROUND((Source!DN1024/100)*ROUND((ROUND((Source!AF1024*Source!AV1024*Source!I1024),2)),2), 2)</f>
        <v>0</v>
      </c>
      <c r="R1500">
        <f>Source!X1024</f>
        <v>0</v>
      </c>
      <c r="S1500">
        <f>ROUND((Source!DO1024/100)*ROUND((ROUND((Source!AF1024*Source!AV1024*Source!I1024),2)),2), 2)</f>
        <v>0</v>
      </c>
      <c r="T1500">
        <f>Source!Y1024</f>
        <v>0</v>
      </c>
      <c r="U1500">
        <f>ROUND((175/100)*ROUND((ROUND((Source!AE1024*Source!AV1024*Source!I1024),2)),2), 2)</f>
        <v>0</v>
      </c>
      <c r="V1500">
        <f>ROUND((157/100)*ROUND(ROUND((ROUND((Source!AE1024*Source!AV1024*Source!I1024),2)*Source!BS1024),2), 2), 2)</f>
        <v>0</v>
      </c>
      <c r="X1500">
        <f>IF(Source!BI1024&lt;=1,I1500, 0)</f>
        <v>0</v>
      </c>
      <c r="Y1500">
        <f>IF(Source!BI1024=2,I1500, 0)</f>
        <v>21334.41</v>
      </c>
      <c r="Z1500">
        <f>IF(Source!BI1024=3,I1500, 0)</f>
        <v>0</v>
      </c>
      <c r="AA1500">
        <f>IF(Source!BI1024=4,I1500, 0)</f>
        <v>0</v>
      </c>
    </row>
    <row r="1501" spans="1:27" ht="14.25" x14ac:dyDescent="0.2">
      <c r="A1501" s="16"/>
      <c r="B1501" s="17"/>
      <c r="C1501" s="17" t="s">
        <v>1626</v>
      </c>
      <c r="D1501" s="19" t="s">
        <v>1627</v>
      </c>
      <c r="E1501" s="18">
        <f>Source!DN1023</f>
        <v>114</v>
      </c>
      <c r="F1501" s="21"/>
      <c r="G1501" s="20"/>
      <c r="H1501" s="18"/>
      <c r="I1501" s="22">
        <f>SUM(Q1494:Q1500)</f>
        <v>510.79</v>
      </c>
      <c r="J1501" s="18">
        <f>Source!BZ1023</f>
        <v>77</v>
      </c>
      <c r="K1501" s="22">
        <f>SUM(R1494:R1500)</f>
        <v>8776.9599999999991</v>
      </c>
    </row>
    <row r="1502" spans="1:27" ht="14.25" x14ac:dyDescent="0.2">
      <c r="A1502" s="16"/>
      <c r="B1502" s="17"/>
      <c r="C1502" s="17" t="s">
        <v>1628</v>
      </c>
      <c r="D1502" s="19" t="s">
        <v>1627</v>
      </c>
      <c r="E1502" s="18">
        <f>Source!DO1023</f>
        <v>67</v>
      </c>
      <c r="F1502" s="21"/>
      <c r="G1502" s="20"/>
      <c r="H1502" s="18"/>
      <c r="I1502" s="22">
        <f>SUM(S1494:S1501)</f>
        <v>300.2</v>
      </c>
      <c r="J1502" s="18">
        <f>Source!CA1023</f>
        <v>41</v>
      </c>
      <c r="K1502" s="22">
        <f>SUM(T1494:T1501)</f>
        <v>4673.45</v>
      </c>
    </row>
    <row r="1503" spans="1:27" ht="14.25" x14ac:dyDescent="0.2">
      <c r="A1503" s="16"/>
      <c r="B1503" s="17"/>
      <c r="C1503" s="17" t="s">
        <v>1633</v>
      </c>
      <c r="D1503" s="19" t="s">
        <v>1627</v>
      </c>
      <c r="E1503" s="18">
        <f>175</f>
        <v>175</v>
      </c>
      <c r="F1503" s="21"/>
      <c r="G1503" s="20"/>
      <c r="H1503" s="18"/>
      <c r="I1503" s="22">
        <f>SUM(U1494:U1502)</f>
        <v>45.33</v>
      </c>
      <c r="J1503" s="18">
        <f>157</f>
        <v>157</v>
      </c>
      <c r="K1503" s="22">
        <f>SUM(V1494:V1502)</f>
        <v>1034.47</v>
      </c>
    </row>
    <row r="1504" spans="1:27" ht="14.25" x14ac:dyDescent="0.2">
      <c r="A1504" s="16"/>
      <c r="B1504" s="17"/>
      <c r="C1504" s="17" t="s">
        <v>1629</v>
      </c>
      <c r="D1504" s="19" t="s">
        <v>1630</v>
      </c>
      <c r="E1504" s="18">
        <f>Source!AQ1023</f>
        <v>15.8</v>
      </c>
      <c r="F1504" s="21"/>
      <c r="G1504" s="20" t="str">
        <f>Source!DI1023</f>
        <v>)*1,15</v>
      </c>
      <c r="H1504" s="18">
        <f>Source!AV1023</f>
        <v>1</v>
      </c>
      <c r="I1504" s="22">
        <f>Source!U1023</f>
        <v>36.339999999999996</v>
      </c>
      <c r="J1504" s="18"/>
      <c r="K1504" s="22"/>
    </row>
    <row r="1505" spans="1:27" ht="15" x14ac:dyDescent="0.25">
      <c r="A1505" s="25"/>
      <c r="B1505" s="25"/>
      <c r="C1505" s="25"/>
      <c r="D1505" s="25"/>
      <c r="E1505" s="25"/>
      <c r="F1505" s="25"/>
      <c r="G1505" s="25"/>
      <c r="H1505" s="54">
        <f>I1496+I1497+I1499+I1501+I1502+I1503+SUM(I1500:I1500)</f>
        <v>22826.17</v>
      </c>
      <c r="I1505" s="54"/>
      <c r="J1505" s="54">
        <f>K1496+K1497+K1499+K1501+K1502+K1503+SUM(K1500:K1500)</f>
        <v>243870.49000000002</v>
      </c>
      <c r="K1505" s="54"/>
      <c r="O1505" s="24">
        <f>I1496+I1497+I1499+I1501+I1502+I1503+SUM(I1500:I1500)</f>
        <v>22826.17</v>
      </c>
      <c r="P1505" s="24">
        <f>K1496+K1497+K1499+K1501+K1502+K1503+SUM(K1500:K1500)</f>
        <v>243870.49000000002</v>
      </c>
      <c r="X1505">
        <f>IF(Source!BI1023&lt;=1,I1496+I1497+I1499+I1501+I1502+I1503-0, 0)</f>
        <v>0</v>
      </c>
      <c r="Y1505">
        <f>IF(Source!BI1023=2,I1496+I1497+I1499+I1501+I1502+I1503-0, 0)</f>
        <v>1491.76</v>
      </c>
      <c r="Z1505">
        <f>IF(Source!BI1023=3,I1496+I1497+I1499+I1501+I1502+I1503-0, 0)</f>
        <v>0</v>
      </c>
      <c r="AA1505">
        <f>IF(Source!BI1023=4,I1496+I1497+I1499+I1501+I1502+I1503,0)</f>
        <v>0</v>
      </c>
    </row>
    <row r="1506" spans="1:27" ht="42.75" x14ac:dyDescent="0.2">
      <c r="A1506" s="16" t="str">
        <f>Source!E1025</f>
        <v>186</v>
      </c>
      <c r="B1506" s="17" t="str">
        <f>Source!F1025</f>
        <v>3.1-39-1</v>
      </c>
      <c r="C1506" s="17" t="s">
        <v>1136</v>
      </c>
      <c r="D1506" s="19" t="str">
        <f>Source!H1025</f>
        <v>100 ям</v>
      </c>
      <c r="E1506" s="18">
        <f>Source!I1025</f>
        <v>0.04</v>
      </c>
      <c r="F1506" s="21"/>
      <c r="G1506" s="20"/>
      <c r="H1506" s="18"/>
      <c r="I1506" s="22"/>
      <c r="J1506" s="18"/>
      <c r="K1506" s="22"/>
      <c r="Q1506">
        <f>ROUND((Source!DN1025/100)*ROUND((ROUND((Source!AF1025*Source!AV1025*Source!I1025),2)),2), 2)</f>
        <v>7.83</v>
      </c>
      <c r="R1506">
        <f>Source!X1025</f>
        <v>187.01</v>
      </c>
      <c r="S1506">
        <f>ROUND((Source!DO1025/100)*ROUND((ROUND((Source!AF1025*Source!AV1025*Source!I1025),2)),2), 2)</f>
        <v>6.15</v>
      </c>
      <c r="T1506">
        <f>Source!Y1025</f>
        <v>101.64</v>
      </c>
      <c r="U1506">
        <f>ROUND((175/100)*ROUND((ROUND((Source!AE1025*Source!AV1025*Source!I1025),2)),2), 2)</f>
        <v>36.49</v>
      </c>
      <c r="V1506">
        <f>ROUND((157/100)*ROUND(ROUND((ROUND((Source!AE1025*Source!AV1025*Source!I1025),2)*Source!BS1025),2), 2), 2)</f>
        <v>832.76</v>
      </c>
    </row>
    <row r="1507" spans="1:27" x14ac:dyDescent="0.2">
      <c r="C1507" s="23" t="str">
        <f>"Объем: "&amp;Source!I1025&amp;"=4/"&amp;"100"</f>
        <v>Объем: 0,04=4/100</v>
      </c>
    </row>
    <row r="1508" spans="1:27" ht="14.25" x14ac:dyDescent="0.2">
      <c r="A1508" s="16"/>
      <c r="B1508" s="17"/>
      <c r="C1508" s="17" t="s">
        <v>1625</v>
      </c>
      <c r="D1508" s="19"/>
      <c r="E1508" s="18"/>
      <c r="F1508" s="21">
        <f>Source!AO1025</f>
        <v>173.74</v>
      </c>
      <c r="G1508" s="20" t="str">
        <f>Source!DG1025</f>
        <v>)*1,15</v>
      </c>
      <c r="H1508" s="18">
        <f>Source!AV1025</f>
        <v>1</v>
      </c>
      <c r="I1508" s="22">
        <f>ROUND((ROUND((Source!AF1025*Source!AV1025*Source!I1025),2)),2)</f>
        <v>7.99</v>
      </c>
      <c r="J1508" s="18">
        <f>IF(Source!BA1025&lt;&gt; 0, Source!BA1025, 1)</f>
        <v>25.44</v>
      </c>
      <c r="K1508" s="22">
        <f>Source!S1025</f>
        <v>203.27</v>
      </c>
      <c r="W1508">
        <f>I1508</f>
        <v>7.99</v>
      </c>
    </row>
    <row r="1509" spans="1:27" ht="14.25" x14ac:dyDescent="0.2">
      <c r="A1509" s="16"/>
      <c r="B1509" s="17"/>
      <c r="C1509" s="17" t="s">
        <v>1631</v>
      </c>
      <c r="D1509" s="19"/>
      <c r="E1509" s="18"/>
      <c r="F1509" s="21">
        <f>Source!AM1025</f>
        <v>1875.71</v>
      </c>
      <c r="G1509" s="20" t="str">
        <f>Source!DE1025</f>
        <v>)*1,25</v>
      </c>
      <c r="H1509" s="18">
        <f>Source!AV1025</f>
        <v>1</v>
      </c>
      <c r="I1509" s="22">
        <f>(ROUND((ROUND((((Source!ET1025*1.25))*Source!AV1025*Source!I1025),2)),2)+ROUND((ROUND(((Source!AE1025-((Source!EU1025*1.25)))*Source!AV1025*Source!I1025),2)),2))</f>
        <v>93.79</v>
      </c>
      <c r="J1509" s="18">
        <f>IF(Source!BB1025&lt;&gt; 0, Source!BB1025, 1)</f>
        <v>12.98</v>
      </c>
      <c r="K1509" s="22">
        <f>Source!Q1025</f>
        <v>1217.3900000000001</v>
      </c>
    </row>
    <row r="1510" spans="1:27" ht="14.25" x14ac:dyDescent="0.2">
      <c r="A1510" s="16"/>
      <c r="B1510" s="17"/>
      <c r="C1510" s="17" t="s">
        <v>1632</v>
      </c>
      <c r="D1510" s="19"/>
      <c r="E1510" s="18"/>
      <c r="F1510" s="21">
        <f>Source!AN1025</f>
        <v>416.99</v>
      </c>
      <c r="G1510" s="20" t="str">
        <f>Source!DF1025</f>
        <v>)*1,25</v>
      </c>
      <c r="H1510" s="18">
        <f>Source!AV1025</f>
        <v>1</v>
      </c>
      <c r="I1510" s="26">
        <f>ROUND((ROUND((Source!AE1025*Source!AV1025*Source!I1025),2)),2)</f>
        <v>20.85</v>
      </c>
      <c r="J1510" s="18">
        <f>IF(Source!BS1025&lt;&gt; 0, Source!BS1025, 1)</f>
        <v>25.44</v>
      </c>
      <c r="K1510" s="26">
        <f>Source!R1025</f>
        <v>530.41999999999996</v>
      </c>
      <c r="W1510">
        <f>I1510</f>
        <v>20.85</v>
      </c>
    </row>
    <row r="1511" spans="1:27" ht="14.25" x14ac:dyDescent="0.2">
      <c r="A1511" s="16"/>
      <c r="B1511" s="17"/>
      <c r="C1511" s="17" t="s">
        <v>1626</v>
      </c>
      <c r="D1511" s="19" t="s">
        <v>1627</v>
      </c>
      <c r="E1511" s="18">
        <f>Source!DN1025</f>
        <v>98</v>
      </c>
      <c r="F1511" s="21"/>
      <c r="G1511" s="20"/>
      <c r="H1511" s="18"/>
      <c r="I1511" s="22">
        <f>SUM(Q1506:Q1510)</f>
        <v>7.83</v>
      </c>
      <c r="J1511" s="18">
        <f>Source!BZ1025</f>
        <v>92</v>
      </c>
      <c r="K1511" s="22">
        <f>SUM(R1506:R1510)</f>
        <v>187.01</v>
      </c>
    </row>
    <row r="1512" spans="1:27" ht="14.25" x14ac:dyDescent="0.2">
      <c r="A1512" s="16"/>
      <c r="B1512" s="17"/>
      <c r="C1512" s="17" t="s">
        <v>1628</v>
      </c>
      <c r="D1512" s="19" t="s">
        <v>1627</v>
      </c>
      <c r="E1512" s="18">
        <f>Source!DO1025</f>
        <v>77</v>
      </c>
      <c r="F1512" s="21"/>
      <c r="G1512" s="20"/>
      <c r="H1512" s="18"/>
      <c r="I1512" s="22">
        <f>SUM(S1506:S1511)</f>
        <v>6.15</v>
      </c>
      <c r="J1512" s="18">
        <f>Source!CA1025</f>
        <v>50</v>
      </c>
      <c r="K1512" s="22">
        <f>SUM(T1506:T1511)</f>
        <v>101.64</v>
      </c>
    </row>
    <row r="1513" spans="1:27" ht="14.25" x14ac:dyDescent="0.2">
      <c r="A1513" s="16"/>
      <c r="B1513" s="17"/>
      <c r="C1513" s="17" t="s">
        <v>1633</v>
      </c>
      <c r="D1513" s="19" t="s">
        <v>1627</v>
      </c>
      <c r="E1513" s="18">
        <f>175</f>
        <v>175</v>
      </c>
      <c r="F1513" s="21"/>
      <c r="G1513" s="20"/>
      <c r="H1513" s="18"/>
      <c r="I1513" s="22">
        <f>SUM(U1506:U1512)</f>
        <v>36.49</v>
      </c>
      <c r="J1513" s="18">
        <f>157</f>
        <v>157</v>
      </c>
      <c r="K1513" s="22">
        <f>SUM(V1506:V1512)</f>
        <v>832.76</v>
      </c>
    </row>
    <row r="1514" spans="1:27" ht="14.25" x14ac:dyDescent="0.2">
      <c r="A1514" s="16"/>
      <c r="B1514" s="17"/>
      <c r="C1514" s="17" t="s">
        <v>1629</v>
      </c>
      <c r="D1514" s="19" t="s">
        <v>1630</v>
      </c>
      <c r="E1514" s="18">
        <f>Source!AQ1025</f>
        <v>17</v>
      </c>
      <c r="F1514" s="21"/>
      <c r="G1514" s="20" t="str">
        <f>Source!DI1025</f>
        <v>)*1,15</v>
      </c>
      <c r="H1514" s="18">
        <f>Source!AV1025</f>
        <v>1</v>
      </c>
      <c r="I1514" s="22">
        <f>Source!U1025</f>
        <v>0.78199999999999992</v>
      </c>
      <c r="J1514" s="18"/>
      <c r="K1514" s="22"/>
    </row>
    <row r="1515" spans="1:27" ht="15" x14ac:dyDescent="0.25">
      <c r="A1515" s="25"/>
      <c r="B1515" s="25"/>
      <c r="C1515" s="25"/>
      <c r="D1515" s="25"/>
      <c r="E1515" s="25"/>
      <c r="F1515" s="25"/>
      <c r="G1515" s="25"/>
      <c r="H1515" s="54">
        <f>I1508+I1509+I1511+I1512+I1513</f>
        <v>152.25</v>
      </c>
      <c r="I1515" s="54"/>
      <c r="J1515" s="54">
        <f>K1508+K1509+K1511+K1512+K1513</f>
        <v>2542.0700000000002</v>
      </c>
      <c r="K1515" s="54"/>
      <c r="O1515" s="24">
        <f>I1508+I1509+I1511+I1512+I1513</f>
        <v>152.25</v>
      </c>
      <c r="P1515" s="24">
        <f>K1508+K1509+K1511+K1512+K1513</f>
        <v>2542.0700000000002</v>
      </c>
      <c r="X1515">
        <f>IF(Source!BI1025&lt;=1,I1508+I1509+I1511+I1512+I1513-0, 0)</f>
        <v>152.25</v>
      </c>
      <c r="Y1515">
        <f>IF(Source!BI1025=2,I1508+I1509+I1511+I1512+I1513-0, 0)</f>
        <v>0</v>
      </c>
      <c r="Z1515">
        <f>IF(Source!BI1025=3,I1508+I1509+I1511+I1512+I1513-0, 0)</f>
        <v>0</v>
      </c>
      <c r="AA1515">
        <f>IF(Source!BI1025=4,I1508+I1509+I1511+I1512+I1513,0)</f>
        <v>0</v>
      </c>
    </row>
    <row r="1516" spans="1:27" ht="28.5" x14ac:dyDescent="0.2">
      <c r="A1516" s="16" t="str">
        <f>Source!E1026</f>
        <v>187</v>
      </c>
      <c r="B1516" s="17" t="str">
        <f>Source!F1026</f>
        <v>3.8-1-2</v>
      </c>
      <c r="C1516" s="17" t="s">
        <v>1140</v>
      </c>
      <c r="D1516" s="19" t="str">
        <f>Source!H1026</f>
        <v>1 м3 основания</v>
      </c>
      <c r="E1516" s="18">
        <f>Source!I1026</f>
        <v>0.16</v>
      </c>
      <c r="F1516" s="21"/>
      <c r="G1516" s="20"/>
      <c r="H1516" s="18"/>
      <c r="I1516" s="22"/>
      <c r="J1516" s="18"/>
      <c r="K1516" s="22"/>
      <c r="Q1516">
        <f>ROUND((Source!DN1026/100)*ROUND((ROUND((Source!AF1026*Source!AV1026*Source!I1026),2)),2), 2)</f>
        <v>1.48</v>
      </c>
      <c r="R1516">
        <f>Source!X1026</f>
        <v>30.27</v>
      </c>
      <c r="S1516">
        <f>ROUND((Source!DO1026/100)*ROUND((ROUND((Source!AF1026*Source!AV1026*Source!I1026),2)),2), 2)</f>
        <v>1.1399999999999999</v>
      </c>
      <c r="T1516">
        <f>Source!Y1026</f>
        <v>17</v>
      </c>
      <c r="U1516">
        <f>ROUND((175/100)*ROUND((ROUND((Source!AE1026*Source!AV1026*Source!I1026),2)),2), 2)</f>
        <v>1.42</v>
      </c>
      <c r="V1516">
        <f>ROUND((157/100)*ROUND(ROUND((ROUND((Source!AE1026*Source!AV1026*Source!I1026),2)*Source!BS1026),2), 2), 2)</f>
        <v>32.36</v>
      </c>
    </row>
    <row r="1517" spans="1:27" ht="14.25" x14ac:dyDescent="0.2">
      <c r="A1517" s="16"/>
      <c r="B1517" s="17"/>
      <c r="C1517" s="17" t="s">
        <v>1625</v>
      </c>
      <c r="D1517" s="19"/>
      <c r="E1517" s="18"/>
      <c r="F1517" s="21">
        <f>Source!AO1026</f>
        <v>8.85</v>
      </c>
      <c r="G1517" s="20" t="str">
        <f>Source!DG1026</f>
        <v>)*1,15</v>
      </c>
      <c r="H1517" s="18">
        <f>Source!AV1026</f>
        <v>1</v>
      </c>
      <c r="I1517" s="22">
        <f>ROUND((ROUND((Source!AF1026*Source!AV1026*Source!I1026),2)),2)</f>
        <v>1.63</v>
      </c>
      <c r="J1517" s="18">
        <f>IF(Source!BA1026&lt;&gt; 0, Source!BA1026, 1)</f>
        <v>25.44</v>
      </c>
      <c r="K1517" s="22">
        <f>Source!S1026</f>
        <v>41.47</v>
      </c>
      <c r="W1517">
        <f>I1517</f>
        <v>1.63</v>
      </c>
    </row>
    <row r="1518" spans="1:27" ht="14.25" x14ac:dyDescent="0.2">
      <c r="A1518" s="16"/>
      <c r="B1518" s="17"/>
      <c r="C1518" s="17" t="s">
        <v>1631</v>
      </c>
      <c r="D1518" s="19"/>
      <c r="E1518" s="18"/>
      <c r="F1518" s="21">
        <f>Source!AM1026</f>
        <v>16.02</v>
      </c>
      <c r="G1518" s="20" t="str">
        <f>Source!DE1026</f>
        <v>)*1,25</v>
      </c>
      <c r="H1518" s="18">
        <f>Source!AV1026</f>
        <v>1</v>
      </c>
      <c r="I1518" s="22">
        <f>(ROUND((ROUND((((Source!ET1026*1.25))*Source!AV1026*Source!I1026),2)),2)+ROUND((ROUND(((Source!AE1026-((Source!EU1026*1.25)))*Source!AV1026*Source!I1026),2)),2))</f>
        <v>3.2</v>
      </c>
      <c r="J1518" s="18">
        <f>IF(Source!BB1026&lt;&gt; 0, Source!BB1026, 1)</f>
        <v>11.53</v>
      </c>
      <c r="K1518" s="22">
        <f>Source!Q1026</f>
        <v>36.9</v>
      </c>
    </row>
    <row r="1519" spans="1:27" ht="14.25" x14ac:dyDescent="0.2">
      <c r="A1519" s="16"/>
      <c r="B1519" s="17"/>
      <c r="C1519" s="17" t="s">
        <v>1632</v>
      </c>
      <c r="D1519" s="19"/>
      <c r="E1519" s="18"/>
      <c r="F1519" s="21">
        <f>Source!AN1026</f>
        <v>4.05</v>
      </c>
      <c r="G1519" s="20" t="str">
        <f>Source!DF1026</f>
        <v>)*1,25</v>
      </c>
      <c r="H1519" s="18">
        <f>Source!AV1026</f>
        <v>1</v>
      </c>
      <c r="I1519" s="26">
        <f>ROUND((ROUND((Source!AE1026*Source!AV1026*Source!I1026),2)),2)</f>
        <v>0.81</v>
      </c>
      <c r="J1519" s="18">
        <f>IF(Source!BS1026&lt;&gt; 0, Source!BS1026, 1)</f>
        <v>25.44</v>
      </c>
      <c r="K1519" s="26">
        <f>Source!R1026</f>
        <v>20.61</v>
      </c>
      <c r="W1519">
        <f>I1519</f>
        <v>0.81</v>
      </c>
    </row>
    <row r="1520" spans="1:27" ht="14.25" x14ac:dyDescent="0.2">
      <c r="A1520" s="16"/>
      <c r="B1520" s="17"/>
      <c r="C1520" s="17" t="s">
        <v>1634</v>
      </c>
      <c r="D1520" s="19"/>
      <c r="E1520" s="18"/>
      <c r="F1520" s="21">
        <f>Source!AL1026</f>
        <v>1.06</v>
      </c>
      <c r="G1520" s="20" t="str">
        <f>Source!DD1026</f>
        <v/>
      </c>
      <c r="H1520" s="18">
        <f>Source!AW1026</f>
        <v>1</v>
      </c>
      <c r="I1520" s="22">
        <f>ROUND((ROUND((Source!AC1026*Source!AW1026*Source!I1026),2)),2)</f>
        <v>0.17</v>
      </c>
      <c r="J1520" s="18">
        <f>IF(Source!BC1026&lt;&gt; 0, Source!BC1026, 1)</f>
        <v>5.14</v>
      </c>
      <c r="K1520" s="22">
        <f>Source!P1026</f>
        <v>0.87</v>
      </c>
    </row>
    <row r="1521" spans="1:27" ht="42.75" x14ac:dyDescent="0.2">
      <c r="A1521" s="16" t="str">
        <f>Source!E1027</f>
        <v>187,1</v>
      </c>
      <c r="B1521" s="17" t="str">
        <f>Source!F1027</f>
        <v>1.1-1-1524</v>
      </c>
      <c r="C1521" s="17" t="s">
        <v>1023</v>
      </c>
      <c r="D1521" s="19" t="str">
        <f>Source!H1027</f>
        <v>м3</v>
      </c>
      <c r="E1521" s="18">
        <f>Source!I1027</f>
        <v>0.184</v>
      </c>
      <c r="F1521" s="21">
        <f>Source!AK1027</f>
        <v>196.85</v>
      </c>
      <c r="G1521" s="27" t="s">
        <v>3</v>
      </c>
      <c r="H1521" s="18">
        <f>Source!AW1027</f>
        <v>1</v>
      </c>
      <c r="I1521" s="22">
        <f>ROUND((ROUND((Source!AC1027*Source!AW1027*Source!I1027),2)),2)+(ROUND((ROUND(((Source!ET1027)*Source!AV1027*Source!I1027),2)),2)+ROUND((ROUND(((Source!AE1027-(Source!EU1027))*Source!AV1027*Source!I1027),2)),2))+ROUND((ROUND((Source!AF1027*Source!AV1027*Source!I1027),2)),2)</f>
        <v>36.22</v>
      </c>
      <c r="J1521" s="18">
        <f>IF(Source!BC1027&lt;&gt; 0, Source!BC1027, 1)</f>
        <v>9.8699999999999992</v>
      </c>
      <c r="K1521" s="22">
        <v>357.48</v>
      </c>
      <c r="Q1521">
        <f>ROUND((Source!DN1027/100)*ROUND((ROUND((Source!AF1027*Source!AV1027*Source!I1027),2)),2), 2)</f>
        <v>0</v>
      </c>
      <c r="R1521">
        <f>Source!X1027</f>
        <v>0</v>
      </c>
      <c r="S1521">
        <f>ROUND((Source!DO1027/100)*ROUND((ROUND((Source!AF1027*Source!AV1027*Source!I1027),2)),2), 2)</f>
        <v>0</v>
      </c>
      <c r="T1521">
        <f>Source!Y1027</f>
        <v>0</v>
      </c>
      <c r="U1521">
        <f>ROUND((175/100)*ROUND((ROUND((Source!AE1027*Source!AV1027*Source!I1027),2)),2), 2)</f>
        <v>0</v>
      </c>
      <c r="V1521">
        <f>ROUND((157/100)*ROUND(ROUND((ROUND((Source!AE1027*Source!AV1027*Source!I1027),2)*Source!BS1027),2), 2), 2)</f>
        <v>0</v>
      </c>
      <c r="X1521">
        <f>IF(Source!BI1027&lt;=1,I1521, 0)</f>
        <v>36.22</v>
      </c>
      <c r="Y1521">
        <f>IF(Source!BI1027=2,I1521, 0)</f>
        <v>0</v>
      </c>
      <c r="Z1521">
        <f>IF(Source!BI1027=3,I1521, 0)</f>
        <v>0</v>
      </c>
      <c r="AA1521">
        <f>IF(Source!BI1027=4,I1521, 0)</f>
        <v>0</v>
      </c>
    </row>
    <row r="1522" spans="1:27" ht="14.25" x14ac:dyDescent="0.2">
      <c r="A1522" s="16"/>
      <c r="B1522" s="17"/>
      <c r="C1522" s="17" t="s">
        <v>1626</v>
      </c>
      <c r="D1522" s="19" t="s">
        <v>1627</v>
      </c>
      <c r="E1522" s="18">
        <f>Source!DN1026</f>
        <v>91</v>
      </c>
      <c r="F1522" s="21"/>
      <c r="G1522" s="20"/>
      <c r="H1522" s="18"/>
      <c r="I1522" s="22">
        <f>SUM(Q1516:Q1521)</f>
        <v>1.48</v>
      </c>
      <c r="J1522" s="18">
        <f>Source!BZ1026</f>
        <v>73</v>
      </c>
      <c r="K1522" s="22">
        <f>SUM(R1516:R1521)</f>
        <v>30.27</v>
      </c>
    </row>
    <row r="1523" spans="1:27" ht="14.25" x14ac:dyDescent="0.2">
      <c r="A1523" s="16"/>
      <c r="B1523" s="17"/>
      <c r="C1523" s="17" t="s">
        <v>1628</v>
      </c>
      <c r="D1523" s="19" t="s">
        <v>1627</v>
      </c>
      <c r="E1523" s="18">
        <f>Source!DO1026</f>
        <v>70</v>
      </c>
      <c r="F1523" s="21"/>
      <c r="G1523" s="20"/>
      <c r="H1523" s="18"/>
      <c r="I1523" s="22">
        <f>SUM(S1516:S1522)</f>
        <v>1.1399999999999999</v>
      </c>
      <c r="J1523" s="18">
        <f>Source!CA1026</f>
        <v>41</v>
      </c>
      <c r="K1523" s="22">
        <f>SUM(T1516:T1522)</f>
        <v>17</v>
      </c>
    </row>
    <row r="1524" spans="1:27" ht="14.25" x14ac:dyDescent="0.2">
      <c r="A1524" s="16"/>
      <c r="B1524" s="17"/>
      <c r="C1524" s="17" t="s">
        <v>1633</v>
      </c>
      <c r="D1524" s="19" t="s">
        <v>1627</v>
      </c>
      <c r="E1524" s="18">
        <f>175</f>
        <v>175</v>
      </c>
      <c r="F1524" s="21"/>
      <c r="G1524" s="20"/>
      <c r="H1524" s="18"/>
      <c r="I1524" s="22">
        <f>SUM(U1516:U1523)</f>
        <v>1.42</v>
      </c>
      <c r="J1524" s="18">
        <f>157</f>
        <v>157</v>
      </c>
      <c r="K1524" s="22">
        <f>SUM(V1516:V1523)</f>
        <v>32.36</v>
      </c>
    </row>
    <row r="1525" spans="1:27" ht="14.25" x14ac:dyDescent="0.2">
      <c r="A1525" s="16"/>
      <c r="B1525" s="17"/>
      <c r="C1525" s="17" t="s">
        <v>1629</v>
      </c>
      <c r="D1525" s="19" t="s">
        <v>1630</v>
      </c>
      <c r="E1525" s="18">
        <f>Source!AQ1026</f>
        <v>0.85</v>
      </c>
      <c r="F1525" s="21"/>
      <c r="G1525" s="20" t="str">
        <f>Source!DI1026</f>
        <v>)*1,15</v>
      </c>
      <c r="H1525" s="18">
        <f>Source!AV1026</f>
        <v>1</v>
      </c>
      <c r="I1525" s="22">
        <f>Source!U1026</f>
        <v>0.15639999999999998</v>
      </c>
      <c r="J1525" s="18"/>
      <c r="K1525" s="22"/>
    </row>
    <row r="1526" spans="1:27" ht="15" x14ac:dyDescent="0.25">
      <c r="A1526" s="25"/>
      <c r="B1526" s="25"/>
      <c r="C1526" s="25"/>
      <c r="D1526" s="25"/>
      <c r="E1526" s="25"/>
      <c r="F1526" s="25"/>
      <c r="G1526" s="25"/>
      <c r="H1526" s="54">
        <f>I1517+I1518+I1520+I1522+I1523+I1524+SUM(I1521:I1521)</f>
        <v>45.26</v>
      </c>
      <c r="I1526" s="54"/>
      <c r="J1526" s="54">
        <f>K1517+K1518+K1520+K1522+K1523+K1524+SUM(K1521:K1521)</f>
        <v>516.35</v>
      </c>
      <c r="K1526" s="54"/>
      <c r="O1526" s="24">
        <f>I1517+I1518+I1520+I1522+I1523+I1524+SUM(I1521:I1521)</f>
        <v>45.26</v>
      </c>
      <c r="P1526" s="24">
        <f>K1517+K1518+K1520+K1522+K1523+K1524+SUM(K1521:K1521)</f>
        <v>516.35</v>
      </c>
      <c r="X1526">
        <f>IF(Source!BI1026&lt;=1,I1517+I1518+I1520+I1522+I1523+I1524-0, 0)</f>
        <v>9.0399999999999991</v>
      </c>
      <c r="Y1526">
        <f>IF(Source!BI1026=2,I1517+I1518+I1520+I1522+I1523+I1524-0, 0)</f>
        <v>0</v>
      </c>
      <c r="Z1526">
        <f>IF(Source!BI1026=3,I1517+I1518+I1520+I1522+I1523+I1524-0, 0)</f>
        <v>0</v>
      </c>
      <c r="AA1526">
        <f>IF(Source!BI1026=4,I1517+I1518+I1520+I1522+I1523+I1524,0)</f>
        <v>0</v>
      </c>
    </row>
    <row r="1527" spans="1:27" ht="28.5" x14ac:dyDescent="0.2">
      <c r="A1527" s="16" t="str">
        <f>Source!E1028</f>
        <v>188</v>
      </c>
      <c r="B1527" s="17" t="str">
        <f>Source!F1028</f>
        <v>3.6-6-9</v>
      </c>
      <c r="C1527" s="17" t="s">
        <v>1144</v>
      </c>
      <c r="D1527" s="19" t="str">
        <f>Source!H1028</f>
        <v>1 Т</v>
      </c>
      <c r="E1527" s="18">
        <f>Source!I1028</f>
        <v>0.33600000000000002</v>
      </c>
      <c r="F1527" s="21"/>
      <c r="G1527" s="20"/>
      <c r="H1527" s="18"/>
      <c r="I1527" s="22"/>
      <c r="J1527" s="18"/>
      <c r="K1527" s="22"/>
      <c r="Q1527">
        <f>ROUND((Source!DN1028/100)*ROUND((ROUND((Source!AF1028*Source!AV1028*Source!I1028),2)),2), 2)</f>
        <v>78.17</v>
      </c>
      <c r="R1527">
        <f>Source!X1028</f>
        <v>1590.83</v>
      </c>
      <c r="S1527">
        <f>ROUND((Source!DO1028/100)*ROUND((ROUND((Source!AF1028*Source!AV1028*Source!I1028),2)),2), 2)</f>
        <v>64.37</v>
      </c>
      <c r="T1527">
        <f>Source!Y1028</f>
        <v>959.18</v>
      </c>
      <c r="U1527">
        <f>ROUND((175/100)*ROUND((ROUND((Source!AE1028*Source!AV1028*Source!I1028),2)),2), 2)</f>
        <v>3.87</v>
      </c>
      <c r="V1527">
        <f>ROUND((157/100)*ROUND(ROUND((ROUND((Source!AE1028*Source!AV1028*Source!I1028),2)*Source!BS1028),2), 2), 2)</f>
        <v>88.27</v>
      </c>
    </row>
    <row r="1528" spans="1:27" ht="14.25" x14ac:dyDescent="0.2">
      <c r="A1528" s="16"/>
      <c r="B1528" s="17"/>
      <c r="C1528" s="17" t="s">
        <v>1625</v>
      </c>
      <c r="D1528" s="19"/>
      <c r="E1528" s="18"/>
      <c r="F1528" s="21">
        <f>Source!AO1028</f>
        <v>238</v>
      </c>
      <c r="G1528" s="20" t="str">
        <f>Source!DG1028</f>
        <v>)*1,15</v>
      </c>
      <c r="H1528" s="18">
        <f>Source!AV1028</f>
        <v>1</v>
      </c>
      <c r="I1528" s="22">
        <f>ROUND((ROUND((Source!AF1028*Source!AV1028*Source!I1028),2)),2)</f>
        <v>91.96</v>
      </c>
      <c r="J1528" s="18">
        <f>IF(Source!BA1028&lt;&gt; 0, Source!BA1028, 1)</f>
        <v>25.44</v>
      </c>
      <c r="K1528" s="22">
        <f>Source!S1028</f>
        <v>2339.46</v>
      </c>
      <c r="W1528">
        <f>I1528</f>
        <v>91.96</v>
      </c>
    </row>
    <row r="1529" spans="1:27" ht="14.25" x14ac:dyDescent="0.2">
      <c r="A1529" s="16"/>
      <c r="B1529" s="17"/>
      <c r="C1529" s="17" t="s">
        <v>1631</v>
      </c>
      <c r="D1529" s="19"/>
      <c r="E1529" s="18"/>
      <c r="F1529" s="21">
        <f>Source!AM1028</f>
        <v>41.32</v>
      </c>
      <c r="G1529" s="20" t="str">
        <f>Source!DE1028</f>
        <v>)*1,25</v>
      </c>
      <c r="H1529" s="18">
        <f>Source!AV1028</f>
        <v>1</v>
      </c>
      <c r="I1529" s="22">
        <f>(ROUND((ROUND((((Source!ET1028*1.25))*Source!AV1028*Source!I1028),2)),2)+ROUND((ROUND(((Source!AE1028-((Source!EU1028*1.25)))*Source!AV1028*Source!I1028),2)),2))</f>
        <v>17.350000000000001</v>
      </c>
      <c r="J1529" s="18">
        <f>IF(Source!BB1028&lt;&gt; 0, Source!BB1028, 1)</f>
        <v>8.98</v>
      </c>
      <c r="K1529" s="22">
        <f>Source!Q1028</f>
        <v>155.80000000000001</v>
      </c>
    </row>
    <row r="1530" spans="1:27" ht="14.25" x14ac:dyDescent="0.2">
      <c r="A1530" s="16"/>
      <c r="B1530" s="17"/>
      <c r="C1530" s="17" t="s">
        <v>1632</v>
      </c>
      <c r="D1530" s="19"/>
      <c r="E1530" s="18"/>
      <c r="F1530" s="21">
        <f>Source!AN1028</f>
        <v>5.27</v>
      </c>
      <c r="G1530" s="20" t="str">
        <f>Source!DF1028</f>
        <v>)*1,25</v>
      </c>
      <c r="H1530" s="18">
        <f>Source!AV1028</f>
        <v>1</v>
      </c>
      <c r="I1530" s="26">
        <f>ROUND((ROUND((Source!AE1028*Source!AV1028*Source!I1028),2)),2)</f>
        <v>2.21</v>
      </c>
      <c r="J1530" s="18">
        <f>IF(Source!BS1028&lt;&gt; 0, Source!BS1028, 1)</f>
        <v>25.44</v>
      </c>
      <c r="K1530" s="26">
        <f>Source!R1028</f>
        <v>56.22</v>
      </c>
      <c r="W1530">
        <f>I1530</f>
        <v>2.21</v>
      </c>
    </row>
    <row r="1531" spans="1:27" ht="55.5" x14ac:dyDescent="0.2">
      <c r="A1531" s="16" t="str">
        <f>Source!E1029</f>
        <v>188,1</v>
      </c>
      <c r="B1531" s="17" t="str">
        <f>Source!F1029</f>
        <v>Цена поставщика</v>
      </c>
      <c r="C1531" s="17" t="s">
        <v>1696</v>
      </c>
      <c r="D1531" s="19" t="str">
        <f>Source!H1029</f>
        <v>шт.</v>
      </c>
      <c r="E1531" s="18">
        <f>Source!I1029</f>
        <v>3.9999999999999996</v>
      </c>
      <c r="F1531" s="21">
        <f>Source!AK1029</f>
        <v>1193.8900000000001</v>
      </c>
      <c r="G1531" s="27" t="s">
        <v>3</v>
      </c>
      <c r="H1531" s="18">
        <f>Source!AW1029</f>
        <v>1</v>
      </c>
      <c r="I1531" s="22">
        <f>ROUND((ROUND((Source!AC1029*Source!AW1029*Source!I1029),2)),2)+(ROUND((ROUND(((Source!ET1029)*Source!AV1029*Source!I1029),2)),2)+ROUND((ROUND(((Source!AE1029-(Source!EU1029))*Source!AV1029*Source!I1029),2)),2))+ROUND((ROUND((Source!AF1029*Source!AV1029*Source!I1029),2)),2)</f>
        <v>4775.5600000000004</v>
      </c>
      <c r="J1531" s="18">
        <f>IF(Source!BC1029&lt;&gt; 0, Source!BC1029, 1)</f>
        <v>6.34</v>
      </c>
      <c r="K1531" s="22">
        <f>Source!O1029</f>
        <v>30277.05</v>
      </c>
      <c r="Q1531">
        <f>ROUND((Source!DN1029/100)*ROUND((ROUND((Source!AF1029*Source!AV1029*Source!I1029),2)),2), 2)</f>
        <v>0</v>
      </c>
      <c r="R1531">
        <f>Source!X1029</f>
        <v>0</v>
      </c>
      <c r="S1531">
        <f>ROUND((Source!DO1029/100)*ROUND((ROUND((Source!AF1029*Source!AV1029*Source!I1029),2)),2), 2)</f>
        <v>0</v>
      </c>
      <c r="T1531">
        <f>Source!Y1029</f>
        <v>0</v>
      </c>
      <c r="U1531">
        <f>ROUND((175/100)*ROUND((ROUND((Source!AE1029*Source!AV1029*Source!I1029),2)),2), 2)</f>
        <v>0</v>
      </c>
      <c r="V1531">
        <f>ROUND((157/100)*ROUND(ROUND((ROUND((Source!AE1029*Source!AV1029*Source!I1029),2)*Source!BS1029),2), 2), 2)</f>
        <v>0</v>
      </c>
      <c r="X1531">
        <f>IF(Source!BI1029&lt;=1,I1531, 0)</f>
        <v>4775.5600000000004</v>
      </c>
      <c r="Y1531">
        <f>IF(Source!BI1029=2,I1531, 0)</f>
        <v>0</v>
      </c>
      <c r="Z1531">
        <f>IF(Source!BI1029=3,I1531, 0)</f>
        <v>0</v>
      </c>
      <c r="AA1531">
        <f>IF(Source!BI1029=4,I1531, 0)</f>
        <v>0</v>
      </c>
    </row>
    <row r="1532" spans="1:27" ht="14.25" x14ac:dyDescent="0.2">
      <c r="A1532" s="16"/>
      <c r="B1532" s="17"/>
      <c r="C1532" s="17" t="s">
        <v>1626</v>
      </c>
      <c r="D1532" s="19" t="s">
        <v>1627</v>
      </c>
      <c r="E1532" s="18">
        <f>Source!DN1028</f>
        <v>85</v>
      </c>
      <c r="F1532" s="21"/>
      <c r="G1532" s="20"/>
      <c r="H1532" s="18"/>
      <c r="I1532" s="22">
        <f>SUM(Q1527:Q1531)</f>
        <v>78.17</v>
      </c>
      <c r="J1532" s="18">
        <f>Source!BZ1028</f>
        <v>68</v>
      </c>
      <c r="K1532" s="22">
        <f>SUM(R1527:R1531)</f>
        <v>1590.83</v>
      </c>
    </row>
    <row r="1533" spans="1:27" ht="14.25" x14ac:dyDescent="0.2">
      <c r="A1533" s="16"/>
      <c r="B1533" s="17"/>
      <c r="C1533" s="17" t="s">
        <v>1628</v>
      </c>
      <c r="D1533" s="19" t="s">
        <v>1627</v>
      </c>
      <c r="E1533" s="18">
        <f>Source!DO1028</f>
        <v>70</v>
      </c>
      <c r="F1533" s="21"/>
      <c r="G1533" s="20"/>
      <c r="H1533" s="18"/>
      <c r="I1533" s="22">
        <f>SUM(S1527:S1532)</f>
        <v>64.37</v>
      </c>
      <c r="J1533" s="18">
        <f>Source!CA1028</f>
        <v>41</v>
      </c>
      <c r="K1533" s="22">
        <f>SUM(T1527:T1532)</f>
        <v>959.18</v>
      </c>
    </row>
    <row r="1534" spans="1:27" ht="14.25" x14ac:dyDescent="0.2">
      <c r="A1534" s="16"/>
      <c r="B1534" s="17"/>
      <c r="C1534" s="17" t="s">
        <v>1633</v>
      </c>
      <c r="D1534" s="19" t="s">
        <v>1627</v>
      </c>
      <c r="E1534" s="18">
        <f>175</f>
        <v>175</v>
      </c>
      <c r="F1534" s="21"/>
      <c r="G1534" s="20"/>
      <c r="H1534" s="18"/>
      <c r="I1534" s="22">
        <f>SUM(U1527:U1533)</f>
        <v>3.87</v>
      </c>
      <c r="J1534" s="18">
        <f>157</f>
        <v>157</v>
      </c>
      <c r="K1534" s="22">
        <f>SUM(V1527:V1533)</f>
        <v>88.27</v>
      </c>
    </row>
    <row r="1535" spans="1:27" ht="14.25" x14ac:dyDescent="0.2">
      <c r="A1535" s="16"/>
      <c r="B1535" s="17"/>
      <c r="C1535" s="17" t="s">
        <v>1629</v>
      </c>
      <c r="D1535" s="19" t="s">
        <v>1630</v>
      </c>
      <c r="E1535" s="18">
        <f>Source!AQ1028</f>
        <v>20</v>
      </c>
      <c r="F1535" s="21"/>
      <c r="G1535" s="20" t="str">
        <f>Source!DI1028</f>
        <v>)*1,15</v>
      </c>
      <c r="H1535" s="18">
        <f>Source!AV1028</f>
        <v>1</v>
      </c>
      <c r="I1535" s="22">
        <f>Source!U1028</f>
        <v>7.7280000000000006</v>
      </c>
      <c r="J1535" s="18"/>
      <c r="K1535" s="22"/>
    </row>
    <row r="1536" spans="1:27" ht="15" x14ac:dyDescent="0.25">
      <c r="A1536" s="25"/>
      <c r="B1536" s="25"/>
      <c r="C1536" s="25"/>
      <c r="D1536" s="25"/>
      <c r="E1536" s="25"/>
      <c r="F1536" s="25"/>
      <c r="G1536" s="25"/>
      <c r="H1536" s="54">
        <f>I1528+I1529+I1532+I1533+I1534+SUM(I1531:I1531)</f>
        <v>5031.2800000000007</v>
      </c>
      <c r="I1536" s="54"/>
      <c r="J1536" s="54">
        <f>K1528+K1529+K1532+K1533+K1534+SUM(K1531:K1531)</f>
        <v>35410.589999999997</v>
      </c>
      <c r="K1536" s="54"/>
      <c r="O1536" s="24">
        <f>I1528+I1529+I1532+I1533+I1534+SUM(I1531:I1531)</f>
        <v>5031.2800000000007</v>
      </c>
      <c r="P1536" s="24">
        <f>K1528+K1529+K1532+K1533+K1534+SUM(K1531:K1531)</f>
        <v>35410.589999999997</v>
      </c>
      <c r="X1536">
        <f>IF(Source!BI1028&lt;=1,I1528+I1529+I1532+I1533+I1534-0, 0)</f>
        <v>255.72000000000003</v>
      </c>
      <c r="Y1536">
        <f>IF(Source!BI1028=2,I1528+I1529+I1532+I1533+I1534-0, 0)</f>
        <v>0</v>
      </c>
      <c r="Z1536">
        <f>IF(Source!BI1028=3,I1528+I1529+I1532+I1533+I1534-0, 0)</f>
        <v>0</v>
      </c>
      <c r="AA1536">
        <f>IF(Source!BI1028=4,I1528+I1529+I1532+I1533+I1534,0)</f>
        <v>0</v>
      </c>
    </row>
    <row r="1537" spans="1:27" ht="42.75" x14ac:dyDescent="0.2">
      <c r="A1537" s="16" t="str">
        <f>Source!E1030</f>
        <v>189</v>
      </c>
      <c r="B1537" s="17" t="str">
        <f>Source!F1030</f>
        <v>3.33-33-1</v>
      </c>
      <c r="C1537" s="17" t="s">
        <v>1151</v>
      </c>
      <c r="D1537" s="19" t="str">
        <f>Source!H1030</f>
        <v>1 м3</v>
      </c>
      <c r="E1537" s="18">
        <f>Source!I1030</f>
        <v>0.96</v>
      </c>
      <c r="F1537" s="21"/>
      <c r="G1537" s="20"/>
      <c r="H1537" s="18"/>
      <c r="I1537" s="22"/>
      <c r="J1537" s="18"/>
      <c r="K1537" s="22"/>
      <c r="Q1537">
        <f>ROUND((Source!DN1030/100)*ROUND((ROUND((Source!AF1030*Source!AV1030*Source!I1030),2)),2), 2)</f>
        <v>20.83</v>
      </c>
      <c r="R1537">
        <f>Source!X1030</f>
        <v>427.61</v>
      </c>
      <c r="S1537">
        <f>ROUND((Source!DO1030/100)*ROUND((ROUND((Source!AF1030*Source!AV1030*Source!I1030),2)),2), 2)</f>
        <v>14.62</v>
      </c>
      <c r="T1537">
        <f>Source!Y1030</f>
        <v>190.56</v>
      </c>
      <c r="U1537">
        <f>ROUND((175/100)*ROUND((ROUND((Source!AE1030*Source!AV1030*Source!I1030),2)),2), 2)</f>
        <v>7.39</v>
      </c>
      <c r="V1537">
        <f>ROUND((157/100)*ROUND(ROUND((ROUND((Source!AE1030*Source!AV1030*Source!I1030),2)*Source!BS1030),2), 2), 2)</f>
        <v>168.56</v>
      </c>
    </row>
    <row r="1538" spans="1:27" ht="14.25" x14ac:dyDescent="0.2">
      <c r="A1538" s="16"/>
      <c r="B1538" s="17"/>
      <c r="C1538" s="17" t="s">
        <v>1625</v>
      </c>
      <c r="D1538" s="19"/>
      <c r="E1538" s="18"/>
      <c r="F1538" s="21">
        <f>Source!AO1030</f>
        <v>16.55</v>
      </c>
      <c r="G1538" s="20" t="str">
        <f>Source!DG1030</f>
        <v>)*1,15</v>
      </c>
      <c r="H1538" s="18">
        <f>Source!AV1030</f>
        <v>1</v>
      </c>
      <c r="I1538" s="22">
        <f>ROUND((ROUND((Source!AF1030*Source!AV1030*Source!I1030),2)),2)</f>
        <v>18.27</v>
      </c>
      <c r="J1538" s="18">
        <f>IF(Source!BA1030&lt;&gt; 0, Source!BA1030, 1)</f>
        <v>25.44</v>
      </c>
      <c r="K1538" s="22">
        <f>Source!S1030</f>
        <v>464.79</v>
      </c>
      <c r="W1538">
        <f>I1538</f>
        <v>18.27</v>
      </c>
    </row>
    <row r="1539" spans="1:27" ht="14.25" x14ac:dyDescent="0.2">
      <c r="A1539" s="16"/>
      <c r="B1539" s="17"/>
      <c r="C1539" s="17" t="s">
        <v>1631</v>
      </c>
      <c r="D1539" s="19"/>
      <c r="E1539" s="18"/>
      <c r="F1539" s="21">
        <f>Source!AM1030</f>
        <v>26.59</v>
      </c>
      <c r="G1539" s="20" t="str">
        <f>Source!DE1030</f>
        <v>)*1,25</v>
      </c>
      <c r="H1539" s="18">
        <f>Source!AV1030</f>
        <v>1</v>
      </c>
      <c r="I1539" s="22">
        <f>(ROUND((ROUND((((Source!ET1030*1.25))*Source!AV1030*Source!I1030),2)),2)+ROUND((ROUND(((Source!AE1030-((Source!EU1030*1.25)))*Source!AV1030*Source!I1030),2)),2))</f>
        <v>31.91</v>
      </c>
      <c r="J1539" s="18">
        <f>IF(Source!BB1030&lt;&gt; 0, Source!BB1030, 1)</f>
        <v>9.0299999999999994</v>
      </c>
      <c r="K1539" s="22">
        <f>Source!Q1030</f>
        <v>288.14999999999998</v>
      </c>
    </row>
    <row r="1540" spans="1:27" ht="14.25" x14ac:dyDescent="0.2">
      <c r="A1540" s="16"/>
      <c r="B1540" s="17"/>
      <c r="C1540" s="17" t="s">
        <v>1632</v>
      </c>
      <c r="D1540" s="19"/>
      <c r="E1540" s="18"/>
      <c r="F1540" s="21">
        <f>Source!AN1030</f>
        <v>3.52</v>
      </c>
      <c r="G1540" s="20" t="str">
        <f>Source!DF1030</f>
        <v>)*1,25</v>
      </c>
      <c r="H1540" s="18">
        <f>Source!AV1030</f>
        <v>1</v>
      </c>
      <c r="I1540" s="26">
        <f>ROUND((ROUND((Source!AE1030*Source!AV1030*Source!I1030),2)),2)</f>
        <v>4.22</v>
      </c>
      <c r="J1540" s="18">
        <f>IF(Source!BS1030&lt;&gt; 0, Source!BS1030, 1)</f>
        <v>25.44</v>
      </c>
      <c r="K1540" s="26">
        <f>Source!R1030</f>
        <v>107.36</v>
      </c>
      <c r="W1540">
        <f>I1540</f>
        <v>4.22</v>
      </c>
    </row>
    <row r="1541" spans="1:27" ht="57" x14ac:dyDescent="0.2">
      <c r="A1541" s="16" t="str">
        <f>Source!E1031</f>
        <v>189,1</v>
      </c>
      <c r="B1541" s="17" t="str">
        <f>Source!F1031</f>
        <v>1.3-1-63</v>
      </c>
      <c r="C1541" s="17" t="s">
        <v>1157</v>
      </c>
      <c r="D1541" s="19" t="str">
        <f>Source!H1031</f>
        <v>м3</v>
      </c>
      <c r="E1541" s="18">
        <f>Source!I1031</f>
        <v>0.97919999999999996</v>
      </c>
      <c r="F1541" s="21">
        <f>Source!AK1031</f>
        <v>565.62</v>
      </c>
      <c r="G1541" s="27" t="s">
        <v>3</v>
      </c>
      <c r="H1541" s="18">
        <f>Source!AW1031</f>
        <v>1</v>
      </c>
      <c r="I1541" s="22">
        <f>ROUND((ROUND((Source!AC1031*Source!AW1031*Source!I1031),2)),2)+(ROUND((ROUND(((Source!ET1031)*Source!AV1031*Source!I1031),2)),2)+ROUND((ROUND(((Source!AE1031-(Source!EU1031))*Source!AV1031*Source!I1031),2)),2))+ROUND((ROUND((Source!AF1031*Source!AV1031*Source!I1031),2)),2)</f>
        <v>553.86</v>
      </c>
      <c r="J1541" s="18">
        <f>IF(Source!BC1031&lt;&gt; 0, Source!BC1031, 1)</f>
        <v>7.17</v>
      </c>
      <c r="K1541" s="22">
        <f>Source!O1031</f>
        <v>3971.18</v>
      </c>
      <c r="Q1541">
        <f>ROUND((Source!DN1031/100)*ROUND((ROUND((Source!AF1031*Source!AV1031*Source!I1031),2)),2), 2)</f>
        <v>0</v>
      </c>
      <c r="R1541">
        <f>Source!X1031</f>
        <v>0</v>
      </c>
      <c r="S1541">
        <f>ROUND((Source!DO1031/100)*ROUND((ROUND((Source!AF1031*Source!AV1031*Source!I1031),2)),2), 2)</f>
        <v>0</v>
      </c>
      <c r="T1541">
        <f>Source!Y1031</f>
        <v>0</v>
      </c>
      <c r="U1541">
        <f>ROUND((175/100)*ROUND((ROUND((Source!AE1031*Source!AV1031*Source!I1031),2)),2), 2)</f>
        <v>0</v>
      </c>
      <c r="V1541">
        <f>ROUND((157/100)*ROUND(ROUND((ROUND((Source!AE1031*Source!AV1031*Source!I1031),2)*Source!BS1031),2), 2), 2)</f>
        <v>0</v>
      </c>
      <c r="X1541">
        <f>IF(Source!BI1031&lt;=1,I1541, 0)</f>
        <v>553.86</v>
      </c>
      <c r="Y1541">
        <f>IF(Source!BI1031=2,I1541, 0)</f>
        <v>0</v>
      </c>
      <c r="Z1541">
        <f>IF(Source!BI1031=3,I1541, 0)</f>
        <v>0</v>
      </c>
      <c r="AA1541">
        <f>IF(Source!BI1031=4,I1541, 0)</f>
        <v>0</v>
      </c>
    </row>
    <row r="1542" spans="1:27" ht="14.25" x14ac:dyDescent="0.2">
      <c r="A1542" s="16"/>
      <c r="B1542" s="17"/>
      <c r="C1542" s="17" t="s">
        <v>1626</v>
      </c>
      <c r="D1542" s="19" t="s">
        <v>1627</v>
      </c>
      <c r="E1542" s="18">
        <f>Source!DN1030</f>
        <v>114</v>
      </c>
      <c r="F1542" s="21"/>
      <c r="G1542" s="20"/>
      <c r="H1542" s="18"/>
      <c r="I1542" s="22">
        <f>SUM(Q1537:Q1541)</f>
        <v>20.83</v>
      </c>
      <c r="J1542" s="18">
        <f>Source!BZ1030</f>
        <v>92</v>
      </c>
      <c r="K1542" s="22">
        <f>SUM(R1537:R1541)</f>
        <v>427.61</v>
      </c>
    </row>
    <row r="1543" spans="1:27" ht="14.25" x14ac:dyDescent="0.2">
      <c r="A1543" s="16"/>
      <c r="B1543" s="17"/>
      <c r="C1543" s="17" t="s">
        <v>1628</v>
      </c>
      <c r="D1543" s="19" t="s">
        <v>1627</v>
      </c>
      <c r="E1543" s="18">
        <f>Source!DO1030</f>
        <v>80</v>
      </c>
      <c r="F1543" s="21"/>
      <c r="G1543" s="20"/>
      <c r="H1543" s="18"/>
      <c r="I1543" s="22">
        <f>SUM(S1537:S1542)</f>
        <v>14.62</v>
      </c>
      <c r="J1543" s="18">
        <f>Source!CA1030</f>
        <v>41</v>
      </c>
      <c r="K1543" s="22">
        <f>SUM(T1537:T1542)</f>
        <v>190.56</v>
      </c>
    </row>
    <row r="1544" spans="1:27" ht="14.25" x14ac:dyDescent="0.2">
      <c r="A1544" s="16"/>
      <c r="B1544" s="17"/>
      <c r="C1544" s="17" t="s">
        <v>1633</v>
      </c>
      <c r="D1544" s="19" t="s">
        <v>1627</v>
      </c>
      <c r="E1544" s="18">
        <f>175</f>
        <v>175</v>
      </c>
      <c r="F1544" s="21"/>
      <c r="G1544" s="20"/>
      <c r="H1544" s="18"/>
      <c r="I1544" s="22">
        <f>SUM(U1537:U1543)</f>
        <v>7.39</v>
      </c>
      <c r="J1544" s="18">
        <f>157</f>
        <v>157</v>
      </c>
      <c r="K1544" s="22">
        <f>SUM(V1537:V1543)</f>
        <v>168.56</v>
      </c>
    </row>
    <row r="1545" spans="1:27" ht="14.25" x14ac:dyDescent="0.2">
      <c r="A1545" s="16"/>
      <c r="B1545" s="17"/>
      <c r="C1545" s="17" t="s">
        <v>1629</v>
      </c>
      <c r="D1545" s="19" t="s">
        <v>1630</v>
      </c>
      <c r="E1545" s="18">
        <f>Source!AQ1030</f>
        <v>1.48</v>
      </c>
      <c r="F1545" s="21"/>
      <c r="G1545" s="20" t="str">
        <f>Source!DI1030</f>
        <v>)*1,15</v>
      </c>
      <c r="H1545" s="18">
        <f>Source!AV1030</f>
        <v>1</v>
      </c>
      <c r="I1545" s="22">
        <f>Source!U1030</f>
        <v>1.6339199999999998</v>
      </c>
      <c r="J1545" s="18"/>
      <c r="K1545" s="22"/>
    </row>
    <row r="1546" spans="1:27" ht="15" x14ac:dyDescent="0.25">
      <c r="A1546" s="25"/>
      <c r="B1546" s="25"/>
      <c r="C1546" s="25"/>
      <c r="D1546" s="25"/>
      <c r="E1546" s="25"/>
      <c r="F1546" s="25"/>
      <c r="G1546" s="25"/>
      <c r="H1546" s="54">
        <f>I1538+I1539+I1542+I1543+I1544+SUM(I1541:I1541)</f>
        <v>646.88</v>
      </c>
      <c r="I1546" s="54"/>
      <c r="J1546" s="54">
        <f>K1538+K1539+K1542+K1543+K1544+SUM(K1541:K1541)</f>
        <v>5510.85</v>
      </c>
      <c r="K1546" s="54"/>
      <c r="O1546" s="24">
        <f>I1538+I1539+I1542+I1543+I1544+SUM(I1541:I1541)</f>
        <v>646.88</v>
      </c>
      <c r="P1546" s="24">
        <f>K1538+K1539+K1542+K1543+K1544+SUM(K1541:K1541)</f>
        <v>5510.85</v>
      </c>
      <c r="X1546">
        <f>IF(Source!BI1030&lt;=1,I1538+I1539+I1542+I1543+I1544-0, 0)</f>
        <v>93.02</v>
      </c>
      <c r="Y1546">
        <f>IF(Source!BI1030=2,I1538+I1539+I1542+I1543+I1544-0, 0)</f>
        <v>0</v>
      </c>
      <c r="Z1546">
        <f>IF(Source!BI1030=3,I1538+I1539+I1542+I1543+I1544-0, 0)</f>
        <v>0</v>
      </c>
      <c r="AA1546">
        <f>IF(Source!BI1030=4,I1538+I1539+I1542+I1543+I1544,0)</f>
        <v>0</v>
      </c>
    </row>
    <row r="1547" spans="1:27" ht="42.75" x14ac:dyDescent="0.2">
      <c r="A1547" s="16" t="str">
        <f>Source!E1032</f>
        <v>190</v>
      </c>
      <c r="B1547" s="17" t="str">
        <f>Source!F1032</f>
        <v>3.33-38-1</v>
      </c>
      <c r="C1547" s="17" t="s">
        <v>1161</v>
      </c>
      <c r="D1547" s="19" t="str">
        <f>Source!H1032</f>
        <v>1  ШТ.</v>
      </c>
      <c r="E1547" s="18">
        <f>Source!I1032</f>
        <v>4</v>
      </c>
      <c r="F1547" s="21"/>
      <c r="G1547" s="20"/>
      <c r="H1547" s="18"/>
      <c r="I1547" s="22"/>
      <c r="J1547" s="18"/>
      <c r="K1547" s="22"/>
      <c r="Q1547">
        <f>ROUND((Source!DN1032/100)*ROUND((ROUND((Source!AF1032*Source!AV1032*Source!I1032),2)),2), 2)</f>
        <v>231.25</v>
      </c>
      <c r="R1547">
        <f>Source!X1032</f>
        <v>4747.66</v>
      </c>
      <c r="S1547">
        <f>ROUND((Source!DO1032/100)*ROUND((ROUND((Source!AF1032*Source!AV1032*Source!I1032),2)),2), 2)</f>
        <v>162.28</v>
      </c>
      <c r="T1547">
        <f>Source!Y1032</f>
        <v>2115.81</v>
      </c>
      <c r="U1547">
        <f>ROUND((175/100)*ROUND((ROUND((Source!AE1032*Source!AV1032*Source!I1032),2)),2), 2)</f>
        <v>13.83</v>
      </c>
      <c r="V1547">
        <f>ROUND((157/100)*ROUND(ROUND((ROUND((Source!AE1032*Source!AV1032*Source!I1032),2)*Source!BS1032),2), 2), 2)</f>
        <v>315.54000000000002</v>
      </c>
    </row>
    <row r="1548" spans="1:27" ht="14.25" x14ac:dyDescent="0.2">
      <c r="A1548" s="16"/>
      <c r="B1548" s="17"/>
      <c r="C1548" s="17" t="s">
        <v>1625</v>
      </c>
      <c r="D1548" s="19"/>
      <c r="E1548" s="18"/>
      <c r="F1548" s="21">
        <f>Source!AO1032</f>
        <v>84.52</v>
      </c>
      <c r="G1548" s="20" t="str">
        <f>Source!DG1032</f>
        <v>)*0,6</v>
      </c>
      <c r="H1548" s="18">
        <f>Source!AV1032</f>
        <v>1</v>
      </c>
      <c r="I1548" s="22">
        <f>ROUND((ROUND((Source!AF1032*Source!AV1032*Source!I1032),2)),2)</f>
        <v>202.85</v>
      </c>
      <c r="J1548" s="18">
        <f>IF(Source!BA1032&lt;&gt; 0, Source!BA1032, 1)</f>
        <v>25.44</v>
      </c>
      <c r="K1548" s="22">
        <f>Source!S1032</f>
        <v>5160.5</v>
      </c>
      <c r="W1548">
        <f>I1548</f>
        <v>202.85</v>
      </c>
    </row>
    <row r="1549" spans="1:27" ht="14.25" x14ac:dyDescent="0.2">
      <c r="A1549" s="16"/>
      <c r="B1549" s="17"/>
      <c r="C1549" s="17" t="s">
        <v>1631</v>
      </c>
      <c r="D1549" s="19"/>
      <c r="E1549" s="18"/>
      <c r="F1549" s="21">
        <f>Source!AM1032</f>
        <v>30.99</v>
      </c>
      <c r="G1549" s="20" t="str">
        <f>Source!DE1032</f>
        <v>)*0,6</v>
      </c>
      <c r="H1549" s="18">
        <f>Source!AV1032</f>
        <v>1</v>
      </c>
      <c r="I1549" s="22">
        <f>(ROUND((ROUND((((Source!ET1032*0.6))*Source!AV1032*Source!I1032),2)),2)+ROUND((ROUND(((Source!AE1032-((Source!EU1032*0.6)))*Source!AV1032*Source!I1032),2)),2))</f>
        <v>74.38</v>
      </c>
      <c r="J1549" s="18">
        <f>IF(Source!BB1032&lt;&gt; 0, Source!BB1032, 1)</f>
        <v>8.68</v>
      </c>
      <c r="K1549" s="22">
        <f>Source!Q1032</f>
        <v>645.62</v>
      </c>
    </row>
    <row r="1550" spans="1:27" ht="14.25" x14ac:dyDescent="0.2">
      <c r="A1550" s="16"/>
      <c r="B1550" s="17"/>
      <c r="C1550" s="17" t="s">
        <v>1632</v>
      </c>
      <c r="D1550" s="19"/>
      <c r="E1550" s="18"/>
      <c r="F1550" s="21">
        <f>Source!AN1032</f>
        <v>3.29</v>
      </c>
      <c r="G1550" s="20" t="str">
        <f>Source!DF1032</f>
        <v>)*0,6</v>
      </c>
      <c r="H1550" s="18">
        <f>Source!AV1032</f>
        <v>1</v>
      </c>
      <c r="I1550" s="26">
        <f>ROUND((ROUND((Source!AE1032*Source!AV1032*Source!I1032),2)),2)</f>
        <v>7.9</v>
      </c>
      <c r="J1550" s="18">
        <f>IF(Source!BS1032&lt;&gt; 0, Source!BS1032, 1)</f>
        <v>25.44</v>
      </c>
      <c r="K1550" s="26">
        <f>Source!R1032</f>
        <v>200.98</v>
      </c>
      <c r="W1550">
        <f>I1550</f>
        <v>7.9</v>
      </c>
    </row>
    <row r="1551" spans="1:27" ht="14.25" x14ac:dyDescent="0.2">
      <c r="A1551" s="16"/>
      <c r="B1551" s="17"/>
      <c r="C1551" s="17" t="s">
        <v>1626</v>
      </c>
      <c r="D1551" s="19" t="s">
        <v>1627</v>
      </c>
      <c r="E1551" s="18">
        <f>Source!DN1032</f>
        <v>114</v>
      </c>
      <c r="F1551" s="21"/>
      <c r="G1551" s="20"/>
      <c r="H1551" s="18"/>
      <c r="I1551" s="22">
        <f>SUM(Q1547:Q1550)</f>
        <v>231.25</v>
      </c>
      <c r="J1551" s="18">
        <f>Source!BZ1032</f>
        <v>92</v>
      </c>
      <c r="K1551" s="22">
        <f>SUM(R1547:R1550)</f>
        <v>4747.66</v>
      </c>
    </row>
    <row r="1552" spans="1:27" ht="14.25" x14ac:dyDescent="0.2">
      <c r="A1552" s="16"/>
      <c r="B1552" s="17"/>
      <c r="C1552" s="17" t="s">
        <v>1628</v>
      </c>
      <c r="D1552" s="19" t="s">
        <v>1627</v>
      </c>
      <c r="E1552" s="18">
        <f>Source!DO1032</f>
        <v>80</v>
      </c>
      <c r="F1552" s="21"/>
      <c r="G1552" s="20"/>
      <c r="H1552" s="18"/>
      <c r="I1552" s="22">
        <f>SUM(S1547:S1551)</f>
        <v>162.28</v>
      </c>
      <c r="J1552" s="18">
        <f>Source!CA1032</f>
        <v>41</v>
      </c>
      <c r="K1552" s="22">
        <f>SUM(T1547:T1551)</f>
        <v>2115.81</v>
      </c>
    </row>
    <row r="1553" spans="1:27" ht="14.25" x14ac:dyDescent="0.2">
      <c r="A1553" s="16"/>
      <c r="B1553" s="17"/>
      <c r="C1553" s="17" t="s">
        <v>1633</v>
      </c>
      <c r="D1553" s="19" t="s">
        <v>1627</v>
      </c>
      <c r="E1553" s="18">
        <f>175</f>
        <v>175</v>
      </c>
      <c r="F1553" s="21"/>
      <c r="G1553" s="20"/>
      <c r="H1553" s="18"/>
      <c r="I1553" s="22">
        <f>SUM(U1547:U1552)</f>
        <v>13.83</v>
      </c>
      <c r="J1553" s="18">
        <f>157</f>
        <v>157</v>
      </c>
      <c r="K1553" s="22">
        <f>SUM(V1547:V1552)</f>
        <v>315.54000000000002</v>
      </c>
    </row>
    <row r="1554" spans="1:27" ht="14.25" x14ac:dyDescent="0.2">
      <c r="A1554" s="16"/>
      <c r="B1554" s="17"/>
      <c r="C1554" s="17" t="s">
        <v>1629</v>
      </c>
      <c r="D1554" s="19" t="s">
        <v>1630</v>
      </c>
      <c r="E1554" s="18">
        <f>Source!AQ1032</f>
        <v>6.67</v>
      </c>
      <c r="F1554" s="21"/>
      <c r="G1554" s="20" t="str">
        <f>Source!DI1032</f>
        <v>)*0,6</v>
      </c>
      <c r="H1554" s="18">
        <f>Source!AV1032</f>
        <v>1</v>
      </c>
      <c r="I1554" s="22">
        <f>Source!U1032</f>
        <v>16.007999999999999</v>
      </c>
      <c r="J1554" s="18"/>
      <c r="K1554" s="22"/>
    </row>
    <row r="1555" spans="1:27" ht="15" x14ac:dyDescent="0.25">
      <c r="A1555" s="25"/>
      <c r="B1555" s="25"/>
      <c r="C1555" s="25"/>
      <c r="D1555" s="25"/>
      <c r="E1555" s="25"/>
      <c r="F1555" s="25"/>
      <c r="G1555" s="25"/>
      <c r="H1555" s="54">
        <f>I1548+I1549+I1551+I1552+I1553</f>
        <v>684.59</v>
      </c>
      <c r="I1555" s="54"/>
      <c r="J1555" s="54">
        <f>K1548+K1549+K1551+K1552+K1553</f>
        <v>12985.13</v>
      </c>
      <c r="K1555" s="54"/>
      <c r="O1555" s="24">
        <f>I1548+I1549+I1551+I1552+I1553</f>
        <v>684.59</v>
      </c>
      <c r="P1555" s="24">
        <f>K1548+K1549+K1551+K1552+K1553</f>
        <v>12985.13</v>
      </c>
      <c r="X1555">
        <f>IF(Source!BI1032&lt;=1,I1548+I1549+I1551+I1552+I1553-0, 0)</f>
        <v>684.59</v>
      </c>
      <c r="Y1555">
        <f>IF(Source!BI1032=2,I1548+I1549+I1551+I1552+I1553-0, 0)</f>
        <v>0</v>
      </c>
      <c r="Z1555">
        <f>IF(Source!BI1032=3,I1548+I1549+I1551+I1552+I1553-0, 0)</f>
        <v>0</v>
      </c>
      <c r="AA1555">
        <f>IF(Source!BI1032=4,I1548+I1549+I1551+I1552+I1553,0)</f>
        <v>0</v>
      </c>
    </row>
    <row r="1556" spans="1:27" ht="28.5" x14ac:dyDescent="0.2">
      <c r="A1556" s="16" t="str">
        <f>Source!E1033</f>
        <v>191</v>
      </c>
      <c r="B1556" s="17" t="str">
        <f>Source!F1033</f>
        <v>3.33-38-1</v>
      </c>
      <c r="C1556" s="17" t="s">
        <v>1169</v>
      </c>
      <c r="D1556" s="19" t="str">
        <f>Source!H1033</f>
        <v>1  ШТ.</v>
      </c>
      <c r="E1556" s="18">
        <f>Source!I1033</f>
        <v>4</v>
      </c>
      <c r="F1556" s="21"/>
      <c r="G1556" s="20"/>
      <c r="H1556" s="18"/>
      <c r="I1556" s="22"/>
      <c r="J1556" s="18"/>
      <c r="K1556" s="22"/>
      <c r="Q1556">
        <f>ROUND((Source!DN1033/100)*ROUND((ROUND((Source!AF1033*Source!AV1033*Source!I1033),2)),2), 2)</f>
        <v>443.22</v>
      </c>
      <c r="R1556">
        <f>Source!X1033</f>
        <v>9099.5499999999993</v>
      </c>
      <c r="S1556">
        <f>ROUND((Source!DO1033/100)*ROUND((ROUND((Source!AF1033*Source!AV1033*Source!I1033),2)),2), 2)</f>
        <v>311.02999999999997</v>
      </c>
      <c r="T1556">
        <f>Source!Y1033</f>
        <v>4055.24</v>
      </c>
      <c r="U1556">
        <f>ROUND((175/100)*ROUND((ROUND((Source!AE1033*Source!AV1033*Source!I1033),2)),2), 2)</f>
        <v>28.79</v>
      </c>
      <c r="V1556">
        <f>ROUND((157/100)*ROUND(ROUND((ROUND((Source!AE1033*Source!AV1033*Source!I1033),2)*Source!BS1033),2), 2), 2)</f>
        <v>657.03</v>
      </c>
    </row>
    <row r="1557" spans="1:27" ht="14.25" x14ac:dyDescent="0.2">
      <c r="A1557" s="16"/>
      <c r="B1557" s="17"/>
      <c r="C1557" s="17" t="s">
        <v>1625</v>
      </c>
      <c r="D1557" s="19"/>
      <c r="E1557" s="18"/>
      <c r="F1557" s="21">
        <f>Source!AO1033</f>
        <v>84.52</v>
      </c>
      <c r="G1557" s="20" t="str">
        <f>Source!DG1033</f>
        <v>)*1,15</v>
      </c>
      <c r="H1557" s="18">
        <f>Source!AV1033</f>
        <v>1</v>
      </c>
      <c r="I1557" s="22">
        <f>ROUND((ROUND((Source!AF1033*Source!AV1033*Source!I1033),2)),2)</f>
        <v>388.79</v>
      </c>
      <c r="J1557" s="18">
        <f>IF(Source!BA1033&lt;&gt; 0, Source!BA1033, 1)</f>
        <v>25.44</v>
      </c>
      <c r="K1557" s="22">
        <f>Source!S1033</f>
        <v>9890.82</v>
      </c>
      <c r="W1557">
        <f>I1557</f>
        <v>388.79</v>
      </c>
    </row>
    <row r="1558" spans="1:27" ht="14.25" x14ac:dyDescent="0.2">
      <c r="A1558" s="16"/>
      <c r="B1558" s="17"/>
      <c r="C1558" s="17" t="s">
        <v>1631</v>
      </c>
      <c r="D1558" s="19"/>
      <c r="E1558" s="18"/>
      <c r="F1558" s="21">
        <f>Source!AM1033</f>
        <v>30.99</v>
      </c>
      <c r="G1558" s="20" t="str">
        <f>Source!DE1033</f>
        <v>)*1,25</v>
      </c>
      <c r="H1558" s="18">
        <f>Source!AV1033</f>
        <v>1</v>
      </c>
      <c r="I1558" s="22">
        <f>(ROUND((ROUND((((Source!ET1033*1.25))*Source!AV1033*Source!I1033),2)),2)+ROUND((ROUND(((Source!AE1033-((Source!EU1033*1.25)))*Source!AV1033*Source!I1033),2)),2))</f>
        <v>154.94999999999999</v>
      </c>
      <c r="J1558" s="18">
        <f>IF(Source!BB1033&lt;&gt; 0, Source!BB1033, 1)</f>
        <v>8.68</v>
      </c>
      <c r="K1558" s="22">
        <f>Source!Q1033</f>
        <v>1344.97</v>
      </c>
    </row>
    <row r="1559" spans="1:27" ht="14.25" x14ac:dyDescent="0.2">
      <c r="A1559" s="16"/>
      <c r="B1559" s="17"/>
      <c r="C1559" s="17" t="s">
        <v>1632</v>
      </c>
      <c r="D1559" s="19"/>
      <c r="E1559" s="18"/>
      <c r="F1559" s="21">
        <f>Source!AN1033</f>
        <v>3.29</v>
      </c>
      <c r="G1559" s="20" t="str">
        <f>Source!DF1033</f>
        <v>)*1,25</v>
      </c>
      <c r="H1559" s="18">
        <f>Source!AV1033</f>
        <v>1</v>
      </c>
      <c r="I1559" s="26">
        <f>ROUND((ROUND((Source!AE1033*Source!AV1033*Source!I1033),2)),2)</f>
        <v>16.45</v>
      </c>
      <c r="J1559" s="18">
        <f>IF(Source!BS1033&lt;&gt; 0, Source!BS1033, 1)</f>
        <v>25.44</v>
      </c>
      <c r="K1559" s="26">
        <f>Source!R1033</f>
        <v>418.49</v>
      </c>
      <c r="W1559">
        <f>I1559</f>
        <v>16.45</v>
      </c>
    </row>
    <row r="1560" spans="1:27" ht="54" x14ac:dyDescent="0.2">
      <c r="A1560" s="16" t="str">
        <f>Source!E1034</f>
        <v>191,1</v>
      </c>
      <c r="B1560" s="17" t="str">
        <f>Source!F1034</f>
        <v>Цена поставщика</v>
      </c>
      <c r="C1560" s="17" t="s">
        <v>1697</v>
      </c>
      <c r="D1560" s="19" t="str">
        <f>Source!H1034</f>
        <v>шт.</v>
      </c>
      <c r="E1560" s="18">
        <f>Source!I1034</f>
        <v>4</v>
      </c>
      <c r="F1560" s="21">
        <f>Source!AK1034</f>
        <v>18233.439999999999</v>
      </c>
      <c r="G1560" s="27" t="s">
        <v>3</v>
      </c>
      <c r="H1560" s="18">
        <f>Source!AW1034</f>
        <v>1</v>
      </c>
      <c r="I1560" s="22">
        <f>ROUND((ROUND((Source!AC1034*Source!AW1034*Source!I1034),2)),2)+(ROUND((ROUND(((Source!ET1034)*Source!AV1034*Source!I1034),2)),2)+ROUND((ROUND(((Source!AE1034-(Source!EU1034))*Source!AV1034*Source!I1034),2)),2))+ROUND((ROUND((Source!AF1034*Source!AV1034*Source!I1034),2)),2)</f>
        <v>72933.759999999995</v>
      </c>
      <c r="J1560" s="18">
        <f>IF(Source!BC1034&lt;&gt; 0, Source!BC1034, 1)</f>
        <v>6.34</v>
      </c>
      <c r="K1560" s="22">
        <f>Source!O1034</f>
        <v>462400.04</v>
      </c>
      <c r="Q1560">
        <f>ROUND((Source!DN1034/100)*ROUND((ROUND((Source!AF1034*Source!AV1034*Source!I1034),2)),2), 2)</f>
        <v>0</v>
      </c>
      <c r="R1560">
        <f>Source!X1034</f>
        <v>0</v>
      </c>
      <c r="S1560">
        <f>ROUND((Source!DO1034/100)*ROUND((ROUND((Source!AF1034*Source!AV1034*Source!I1034),2)),2), 2)</f>
        <v>0</v>
      </c>
      <c r="T1560">
        <f>Source!Y1034</f>
        <v>0</v>
      </c>
      <c r="U1560">
        <f>ROUND((175/100)*ROUND((ROUND((Source!AE1034*Source!AV1034*Source!I1034),2)),2), 2)</f>
        <v>0</v>
      </c>
      <c r="V1560">
        <f>ROUND((157/100)*ROUND(ROUND((ROUND((Source!AE1034*Source!AV1034*Source!I1034),2)*Source!BS1034),2), 2), 2)</f>
        <v>0</v>
      </c>
      <c r="X1560">
        <f>IF(Source!BI1034&lt;=1,I1560, 0)</f>
        <v>72933.759999999995</v>
      </c>
      <c r="Y1560">
        <f>IF(Source!BI1034=2,I1560, 0)</f>
        <v>0</v>
      </c>
      <c r="Z1560">
        <f>IF(Source!BI1034=3,I1560, 0)</f>
        <v>0</v>
      </c>
      <c r="AA1560">
        <f>IF(Source!BI1034=4,I1560, 0)</f>
        <v>0</v>
      </c>
    </row>
    <row r="1561" spans="1:27" ht="14.25" x14ac:dyDescent="0.2">
      <c r="A1561" s="16"/>
      <c r="B1561" s="17"/>
      <c r="C1561" s="17" t="s">
        <v>1626</v>
      </c>
      <c r="D1561" s="19" t="s">
        <v>1627</v>
      </c>
      <c r="E1561" s="18">
        <f>Source!DN1033</f>
        <v>114</v>
      </c>
      <c r="F1561" s="21"/>
      <c r="G1561" s="20"/>
      <c r="H1561" s="18"/>
      <c r="I1561" s="22">
        <f>SUM(Q1556:Q1560)</f>
        <v>443.22</v>
      </c>
      <c r="J1561" s="18">
        <f>Source!BZ1033</f>
        <v>92</v>
      </c>
      <c r="K1561" s="22">
        <f>SUM(R1556:R1560)</f>
        <v>9099.5499999999993</v>
      </c>
    </row>
    <row r="1562" spans="1:27" ht="14.25" x14ac:dyDescent="0.2">
      <c r="A1562" s="16"/>
      <c r="B1562" s="17"/>
      <c r="C1562" s="17" t="s">
        <v>1628</v>
      </c>
      <c r="D1562" s="19" t="s">
        <v>1627</v>
      </c>
      <c r="E1562" s="18">
        <f>Source!DO1033</f>
        <v>80</v>
      </c>
      <c r="F1562" s="21"/>
      <c r="G1562" s="20"/>
      <c r="H1562" s="18"/>
      <c r="I1562" s="22">
        <f>SUM(S1556:S1561)</f>
        <v>311.02999999999997</v>
      </c>
      <c r="J1562" s="18">
        <f>Source!CA1033</f>
        <v>41</v>
      </c>
      <c r="K1562" s="22">
        <f>SUM(T1556:T1561)</f>
        <v>4055.24</v>
      </c>
    </row>
    <row r="1563" spans="1:27" ht="14.25" x14ac:dyDescent="0.2">
      <c r="A1563" s="16"/>
      <c r="B1563" s="17"/>
      <c r="C1563" s="17" t="s">
        <v>1633</v>
      </c>
      <c r="D1563" s="19" t="s">
        <v>1627</v>
      </c>
      <c r="E1563" s="18">
        <f>175</f>
        <v>175</v>
      </c>
      <c r="F1563" s="21"/>
      <c r="G1563" s="20"/>
      <c r="H1563" s="18"/>
      <c r="I1563" s="22">
        <f>SUM(U1556:U1562)</f>
        <v>28.79</v>
      </c>
      <c r="J1563" s="18">
        <f>157</f>
        <v>157</v>
      </c>
      <c r="K1563" s="22">
        <f>SUM(V1556:V1562)</f>
        <v>657.03</v>
      </c>
    </row>
    <row r="1564" spans="1:27" ht="14.25" x14ac:dyDescent="0.2">
      <c r="A1564" s="16"/>
      <c r="B1564" s="17"/>
      <c r="C1564" s="17" t="s">
        <v>1629</v>
      </c>
      <c r="D1564" s="19" t="s">
        <v>1630</v>
      </c>
      <c r="E1564" s="18">
        <f>Source!AQ1033</f>
        <v>6.67</v>
      </c>
      <c r="F1564" s="21"/>
      <c r="G1564" s="20" t="str">
        <f>Source!DI1033</f>
        <v>)*1,15</v>
      </c>
      <c r="H1564" s="18">
        <f>Source!AV1033</f>
        <v>1</v>
      </c>
      <c r="I1564" s="22">
        <f>Source!U1033</f>
        <v>30.681999999999999</v>
      </c>
      <c r="J1564" s="18"/>
      <c r="K1564" s="22"/>
    </row>
    <row r="1565" spans="1:27" ht="15" x14ac:dyDescent="0.25">
      <c r="A1565" s="25"/>
      <c r="B1565" s="25"/>
      <c r="C1565" s="25"/>
      <c r="D1565" s="25"/>
      <c r="E1565" s="25"/>
      <c r="F1565" s="25"/>
      <c r="G1565" s="25"/>
      <c r="H1565" s="54">
        <f>I1557+I1558+I1561+I1562+I1563+SUM(I1560:I1560)</f>
        <v>74260.539999999994</v>
      </c>
      <c r="I1565" s="54"/>
      <c r="J1565" s="54">
        <f>K1557+K1558+K1561+K1562+K1563+SUM(K1560:K1560)</f>
        <v>487447.64999999997</v>
      </c>
      <c r="K1565" s="54"/>
      <c r="O1565" s="24">
        <f>I1557+I1558+I1561+I1562+I1563+SUM(I1560:I1560)</f>
        <v>74260.539999999994</v>
      </c>
      <c r="P1565" s="24">
        <f>K1557+K1558+K1561+K1562+K1563+SUM(K1560:K1560)</f>
        <v>487447.64999999997</v>
      </c>
      <c r="X1565">
        <f>IF(Source!BI1033&lt;=1,I1557+I1558+I1561+I1562+I1563-0, 0)</f>
        <v>1326.78</v>
      </c>
      <c r="Y1565">
        <f>IF(Source!BI1033=2,I1557+I1558+I1561+I1562+I1563-0, 0)</f>
        <v>0</v>
      </c>
      <c r="Z1565">
        <f>IF(Source!BI1033=3,I1557+I1558+I1561+I1562+I1563-0, 0)</f>
        <v>0</v>
      </c>
      <c r="AA1565">
        <f>IF(Source!BI1033=4,I1557+I1558+I1561+I1562+I1563,0)</f>
        <v>0</v>
      </c>
    </row>
    <row r="1566" spans="1:27" ht="42.75" x14ac:dyDescent="0.2">
      <c r="A1566" s="16" t="str">
        <f>Source!E1035</f>
        <v>192</v>
      </c>
      <c r="B1566" s="17" t="str">
        <f>Source!F1035</f>
        <v>4.8-143-2</v>
      </c>
      <c r="C1566" s="17" t="s">
        <v>1175</v>
      </c>
      <c r="D1566" s="19" t="str">
        <f>Source!H1035</f>
        <v>1  ШТ.</v>
      </c>
      <c r="E1566" s="18">
        <f>Source!I1035</f>
        <v>4</v>
      </c>
      <c r="F1566" s="21"/>
      <c r="G1566" s="20"/>
      <c r="H1566" s="18"/>
      <c r="I1566" s="22"/>
      <c r="J1566" s="18"/>
      <c r="K1566" s="22"/>
      <c r="Q1566">
        <f>ROUND((Source!DN1035/100)*ROUND((ROUND((Source!AF1035*Source!AV1035*Source!I1035),2)),2), 2)</f>
        <v>263.14999999999998</v>
      </c>
      <c r="R1566">
        <f>Source!X1035</f>
        <v>4521.6899999999996</v>
      </c>
      <c r="S1566">
        <f>ROUND((Source!DO1035/100)*ROUND((ROUND((Source!AF1035*Source!AV1035*Source!I1035),2)),2), 2)</f>
        <v>154.66</v>
      </c>
      <c r="T1566">
        <f>Source!Y1035</f>
        <v>2407.65</v>
      </c>
      <c r="U1566">
        <f>ROUND((175/100)*ROUND((ROUND((Source!AE1035*Source!AV1035*Source!I1035),2)),2), 2)</f>
        <v>304.58999999999997</v>
      </c>
      <c r="V1566">
        <f>ROUND((157/100)*ROUND(ROUND((ROUND((Source!AE1035*Source!AV1035*Source!I1035),2)*Source!BS1035),2), 2), 2)</f>
        <v>6951.69</v>
      </c>
    </row>
    <row r="1567" spans="1:27" ht="14.25" x14ac:dyDescent="0.2">
      <c r="A1567" s="16"/>
      <c r="B1567" s="17"/>
      <c r="C1567" s="17" t="s">
        <v>1625</v>
      </c>
      <c r="D1567" s="19"/>
      <c r="E1567" s="18"/>
      <c r="F1567" s="21">
        <f>Source!AO1035</f>
        <v>50.18</v>
      </c>
      <c r="G1567" s="20" t="str">
        <f>Source!DG1035</f>
        <v>)*1,15</v>
      </c>
      <c r="H1567" s="18">
        <f>Source!AV1035</f>
        <v>1</v>
      </c>
      <c r="I1567" s="22">
        <f>ROUND((ROUND((Source!AF1035*Source!AV1035*Source!I1035),2)),2)</f>
        <v>230.83</v>
      </c>
      <c r="J1567" s="18">
        <f>IF(Source!BA1035&lt;&gt; 0, Source!BA1035, 1)</f>
        <v>25.44</v>
      </c>
      <c r="K1567" s="22">
        <f>Source!S1035</f>
        <v>5872.32</v>
      </c>
      <c r="W1567">
        <f>I1567</f>
        <v>230.83</v>
      </c>
    </row>
    <row r="1568" spans="1:27" ht="14.25" x14ac:dyDescent="0.2">
      <c r="A1568" s="16"/>
      <c r="B1568" s="17"/>
      <c r="C1568" s="17" t="s">
        <v>1631</v>
      </c>
      <c r="D1568" s="19"/>
      <c r="E1568" s="18"/>
      <c r="F1568" s="21">
        <f>Source!AM1035</f>
        <v>175.54</v>
      </c>
      <c r="G1568" s="20" t="str">
        <f>Source!DE1035</f>
        <v>)*1,25</v>
      </c>
      <c r="H1568" s="18">
        <f>Source!AV1035</f>
        <v>1</v>
      </c>
      <c r="I1568" s="22">
        <f>(ROUND((ROUND((((Source!ET1035*1.25))*Source!AV1035*Source!I1035),2)),2)+ROUND((ROUND(((Source!AE1035-((Source!EU1035*1.25)))*Source!AV1035*Source!I1035),2)),2))</f>
        <v>877.7</v>
      </c>
      <c r="J1568" s="18">
        <f>IF(Source!BB1035&lt;&gt; 0, Source!BB1035, 1)</f>
        <v>9.73</v>
      </c>
      <c r="K1568" s="22">
        <f>Source!Q1035</f>
        <v>8540.02</v>
      </c>
    </row>
    <row r="1569" spans="1:27" ht="14.25" x14ac:dyDescent="0.2">
      <c r="A1569" s="16"/>
      <c r="B1569" s="17"/>
      <c r="C1569" s="17" t="s">
        <v>1632</v>
      </c>
      <c r="D1569" s="19"/>
      <c r="E1569" s="18"/>
      <c r="F1569" s="21">
        <f>Source!AN1035</f>
        <v>34.81</v>
      </c>
      <c r="G1569" s="20" t="str">
        <f>Source!DF1035</f>
        <v>)*1,25</v>
      </c>
      <c r="H1569" s="18">
        <f>Source!AV1035</f>
        <v>1</v>
      </c>
      <c r="I1569" s="26">
        <f>ROUND((ROUND((Source!AE1035*Source!AV1035*Source!I1035),2)),2)</f>
        <v>174.05</v>
      </c>
      <c r="J1569" s="18">
        <f>IF(Source!BS1035&lt;&gt; 0, Source!BS1035, 1)</f>
        <v>25.44</v>
      </c>
      <c r="K1569" s="26">
        <f>Source!R1035</f>
        <v>4427.83</v>
      </c>
      <c r="W1569">
        <f>I1569</f>
        <v>174.05</v>
      </c>
    </row>
    <row r="1570" spans="1:27" ht="14.25" x14ac:dyDescent="0.2">
      <c r="A1570" s="16"/>
      <c r="B1570" s="17"/>
      <c r="C1570" s="17" t="s">
        <v>1634</v>
      </c>
      <c r="D1570" s="19"/>
      <c r="E1570" s="18"/>
      <c r="F1570" s="21">
        <f>Source!AL1035</f>
        <v>7.3</v>
      </c>
      <c r="G1570" s="20" t="str">
        <f>Source!DD1035</f>
        <v/>
      </c>
      <c r="H1570" s="18">
        <f>Source!AW1035</f>
        <v>1</v>
      </c>
      <c r="I1570" s="22">
        <f>ROUND((ROUND((Source!AC1035*Source!AW1035*Source!I1035),2)),2)</f>
        <v>29.2</v>
      </c>
      <c r="J1570" s="18">
        <f>IF(Source!BC1035&lt;&gt; 0, Source!BC1035, 1)</f>
        <v>6.58</v>
      </c>
      <c r="K1570" s="22">
        <f>Source!P1035</f>
        <v>192.14</v>
      </c>
    </row>
    <row r="1571" spans="1:27" ht="114" x14ac:dyDescent="0.2">
      <c r="A1571" s="16" t="str">
        <f>Source!E1036</f>
        <v>192,1</v>
      </c>
      <c r="B1571" s="17" t="str">
        <f>Source!F1036</f>
        <v>13.1-2-254</v>
      </c>
      <c r="C1571" s="17" t="s">
        <v>1598</v>
      </c>
      <c r="D1571" s="19" t="str">
        <f>Source!H1036</f>
        <v>шт.</v>
      </c>
      <c r="E1571" s="18">
        <f>Source!I1036</f>
        <v>4</v>
      </c>
      <c r="F1571" s="21">
        <f>Source!AK1036</f>
        <v>1141.23</v>
      </c>
      <c r="G1571" s="27" t="s">
        <v>3</v>
      </c>
      <c r="H1571" s="18">
        <f>Source!AW1036</f>
        <v>1</v>
      </c>
      <c r="I1571" s="22">
        <f>ROUND((ROUND((Source!AC1036*Source!AW1036*Source!I1036),2)),2)+(ROUND((ROUND(((Source!ET1036)*Source!AV1036*Source!I1036),2)),2)+ROUND((ROUND(((Source!AE1036-(Source!EU1036))*Source!AV1036*Source!I1036),2)),2))+ROUND((ROUND((Source!AF1036*Source!AV1036*Source!I1036),2)),2)</f>
        <v>4564.92</v>
      </c>
      <c r="J1571" s="18">
        <f>IF(Source!BC1036&lt;&gt; 0, Source!BC1036, 1)</f>
        <v>6.34</v>
      </c>
      <c r="K1571" s="22">
        <f>Source!O1036</f>
        <v>28941.59</v>
      </c>
      <c r="Q1571">
        <f>ROUND((Source!DN1036/100)*ROUND((ROUND((Source!AF1036*Source!AV1036*Source!I1036),2)),2), 2)</f>
        <v>0</v>
      </c>
      <c r="R1571">
        <f>Source!X1036</f>
        <v>0</v>
      </c>
      <c r="S1571">
        <f>ROUND((Source!DO1036/100)*ROUND((ROUND((Source!AF1036*Source!AV1036*Source!I1036),2)),2), 2)</f>
        <v>0</v>
      </c>
      <c r="T1571">
        <f>Source!Y1036</f>
        <v>0</v>
      </c>
      <c r="U1571">
        <f>ROUND((175/100)*ROUND((ROUND((Source!AE1036*Source!AV1036*Source!I1036),2)),2), 2)</f>
        <v>0</v>
      </c>
      <c r="V1571">
        <f>ROUND((157/100)*ROUND(ROUND((ROUND((Source!AE1036*Source!AV1036*Source!I1036),2)*Source!BS1036),2), 2), 2)</f>
        <v>0</v>
      </c>
      <c r="X1571">
        <f>IF(Source!BI1036&lt;=1,I1571, 0)</f>
        <v>0</v>
      </c>
      <c r="Y1571">
        <f>IF(Source!BI1036=2,I1571, 0)</f>
        <v>4564.92</v>
      </c>
      <c r="Z1571">
        <f>IF(Source!BI1036=3,I1571, 0)</f>
        <v>0</v>
      </c>
      <c r="AA1571">
        <f>IF(Source!BI1036=4,I1571, 0)</f>
        <v>0</v>
      </c>
    </row>
    <row r="1572" spans="1:27" ht="14.25" x14ac:dyDescent="0.2">
      <c r="A1572" s="16"/>
      <c r="B1572" s="17"/>
      <c r="C1572" s="17" t="s">
        <v>1626</v>
      </c>
      <c r="D1572" s="19" t="s">
        <v>1627</v>
      </c>
      <c r="E1572" s="18">
        <f>Source!DN1035</f>
        <v>114</v>
      </c>
      <c r="F1572" s="21"/>
      <c r="G1572" s="20"/>
      <c r="H1572" s="18"/>
      <c r="I1572" s="22">
        <f>SUM(Q1566:Q1571)</f>
        <v>263.14999999999998</v>
      </c>
      <c r="J1572" s="18">
        <f>Source!BZ1035</f>
        <v>77</v>
      </c>
      <c r="K1572" s="22">
        <f>SUM(R1566:R1571)</f>
        <v>4521.6899999999996</v>
      </c>
    </row>
    <row r="1573" spans="1:27" ht="14.25" x14ac:dyDescent="0.2">
      <c r="A1573" s="16"/>
      <c r="B1573" s="17"/>
      <c r="C1573" s="17" t="s">
        <v>1628</v>
      </c>
      <c r="D1573" s="19" t="s">
        <v>1627</v>
      </c>
      <c r="E1573" s="18">
        <f>Source!DO1035</f>
        <v>67</v>
      </c>
      <c r="F1573" s="21"/>
      <c r="G1573" s="20"/>
      <c r="H1573" s="18"/>
      <c r="I1573" s="22">
        <f>SUM(S1566:S1572)</f>
        <v>154.66</v>
      </c>
      <c r="J1573" s="18">
        <f>Source!CA1035</f>
        <v>41</v>
      </c>
      <c r="K1573" s="22">
        <f>SUM(T1566:T1572)</f>
        <v>2407.65</v>
      </c>
    </row>
    <row r="1574" spans="1:27" ht="14.25" x14ac:dyDescent="0.2">
      <c r="A1574" s="16"/>
      <c r="B1574" s="17"/>
      <c r="C1574" s="17" t="s">
        <v>1633</v>
      </c>
      <c r="D1574" s="19" t="s">
        <v>1627</v>
      </c>
      <c r="E1574" s="18">
        <f>175</f>
        <v>175</v>
      </c>
      <c r="F1574" s="21"/>
      <c r="G1574" s="20"/>
      <c r="H1574" s="18"/>
      <c r="I1574" s="22">
        <f>SUM(U1566:U1573)</f>
        <v>304.58999999999997</v>
      </c>
      <c r="J1574" s="18">
        <f>157</f>
        <v>157</v>
      </c>
      <c r="K1574" s="22">
        <f>SUM(V1566:V1573)</f>
        <v>6951.69</v>
      </c>
    </row>
    <row r="1575" spans="1:27" ht="14.25" x14ac:dyDescent="0.2">
      <c r="A1575" s="16"/>
      <c r="B1575" s="17"/>
      <c r="C1575" s="17" t="s">
        <v>1629</v>
      </c>
      <c r="D1575" s="19" t="s">
        <v>1630</v>
      </c>
      <c r="E1575" s="18">
        <f>Source!AQ1035</f>
        <v>3.92</v>
      </c>
      <c r="F1575" s="21"/>
      <c r="G1575" s="20" t="str">
        <f>Source!DI1035</f>
        <v>)*1,15</v>
      </c>
      <c r="H1575" s="18">
        <f>Source!AV1035</f>
        <v>1</v>
      </c>
      <c r="I1575" s="22">
        <f>Source!U1035</f>
        <v>18.032</v>
      </c>
      <c r="J1575" s="18"/>
      <c r="K1575" s="22"/>
    </row>
    <row r="1576" spans="1:27" ht="15" x14ac:dyDescent="0.25">
      <c r="A1576" s="25"/>
      <c r="B1576" s="25"/>
      <c r="C1576" s="25"/>
      <c r="D1576" s="25"/>
      <c r="E1576" s="25"/>
      <c r="F1576" s="25"/>
      <c r="G1576" s="25"/>
      <c r="H1576" s="54">
        <f>I1567+I1568+I1570+I1572+I1573+I1574+SUM(I1571:I1571)</f>
        <v>6425.05</v>
      </c>
      <c r="I1576" s="54"/>
      <c r="J1576" s="54">
        <f>K1567+K1568+K1570+K1572+K1573+K1574+SUM(K1571:K1571)</f>
        <v>57427.1</v>
      </c>
      <c r="K1576" s="54"/>
      <c r="O1576" s="24">
        <f>I1567+I1568+I1570+I1572+I1573+I1574+SUM(I1571:I1571)</f>
        <v>6425.05</v>
      </c>
      <c r="P1576" s="24">
        <f>K1567+K1568+K1570+K1572+K1573+K1574+SUM(K1571:K1571)</f>
        <v>57427.1</v>
      </c>
      <c r="X1576">
        <f>IF(Source!BI1035&lt;=1,I1567+I1568+I1570+I1572+I1573+I1574-0, 0)</f>
        <v>0</v>
      </c>
      <c r="Y1576">
        <f>IF(Source!BI1035=2,I1567+I1568+I1570+I1572+I1573+I1574-0, 0)</f>
        <v>1860.13</v>
      </c>
      <c r="Z1576">
        <f>IF(Source!BI1035=3,I1567+I1568+I1570+I1572+I1573+I1574-0, 0)</f>
        <v>0</v>
      </c>
      <c r="AA1576">
        <f>IF(Source!BI1035=4,I1567+I1568+I1570+I1572+I1573+I1574,0)</f>
        <v>0</v>
      </c>
    </row>
    <row r="1577" spans="1:27" ht="71.25" x14ac:dyDescent="0.2">
      <c r="A1577" s="16" t="str">
        <f>Source!E1037</f>
        <v>193</v>
      </c>
      <c r="B1577" s="17" t="str">
        <f>Source!F1037</f>
        <v>4.8-149-5</v>
      </c>
      <c r="C1577" s="17" t="s">
        <v>1184</v>
      </c>
      <c r="D1577" s="19" t="str">
        <f>Source!H1037</f>
        <v>1  ШТ.</v>
      </c>
      <c r="E1577" s="18">
        <f>Source!I1037</f>
        <v>8</v>
      </c>
      <c r="F1577" s="21"/>
      <c r="G1577" s="20"/>
      <c r="H1577" s="18"/>
      <c r="I1577" s="22"/>
      <c r="J1577" s="18"/>
      <c r="K1577" s="22"/>
      <c r="Q1577">
        <f>ROUND((Source!DN1037/100)*ROUND((ROUND((Source!AF1037*Source!AV1037*Source!I1037),2)),2), 2)</f>
        <v>214.68</v>
      </c>
      <c r="R1577">
        <f>Source!X1037</f>
        <v>3688.96</v>
      </c>
      <c r="S1577">
        <f>ROUND((Source!DO1037/100)*ROUND((ROUND((Source!AF1037*Source!AV1037*Source!I1037),2)),2), 2)</f>
        <v>126.17</v>
      </c>
      <c r="T1577">
        <f>Source!Y1037</f>
        <v>1964.25</v>
      </c>
      <c r="U1577">
        <f>ROUND((175/100)*ROUND((ROUND((Source!AE1037*Source!AV1037*Source!I1037),2)),2), 2)</f>
        <v>2.98</v>
      </c>
      <c r="V1577">
        <f>ROUND((157/100)*ROUND(ROUND((ROUND((Source!AE1037*Source!AV1037*Source!I1037),2)*Source!BS1037),2), 2), 2)</f>
        <v>67.900000000000006</v>
      </c>
    </row>
    <row r="1578" spans="1:27" ht="14.25" x14ac:dyDescent="0.2">
      <c r="A1578" s="16"/>
      <c r="B1578" s="17"/>
      <c r="C1578" s="17" t="s">
        <v>1625</v>
      </c>
      <c r="D1578" s="19"/>
      <c r="E1578" s="18"/>
      <c r="F1578" s="21">
        <f>Source!AO1037</f>
        <v>20.47</v>
      </c>
      <c r="G1578" s="20" t="str">
        <f>Source!DG1037</f>
        <v>)*1,15</v>
      </c>
      <c r="H1578" s="18">
        <f>Source!AV1037</f>
        <v>1</v>
      </c>
      <c r="I1578" s="22">
        <f>ROUND((ROUND((Source!AF1037*Source!AV1037*Source!I1037),2)),2)</f>
        <v>188.32</v>
      </c>
      <c r="J1578" s="18">
        <f>IF(Source!BA1037&lt;&gt; 0, Source!BA1037, 1)</f>
        <v>25.44</v>
      </c>
      <c r="K1578" s="22">
        <f>Source!S1037</f>
        <v>4790.8599999999997</v>
      </c>
      <c r="W1578">
        <f>I1578</f>
        <v>188.32</v>
      </c>
    </row>
    <row r="1579" spans="1:27" ht="14.25" x14ac:dyDescent="0.2">
      <c r="A1579" s="16"/>
      <c r="B1579" s="17"/>
      <c r="C1579" s="17" t="s">
        <v>1631</v>
      </c>
      <c r="D1579" s="19"/>
      <c r="E1579" s="18"/>
      <c r="F1579" s="21">
        <f>Source!AM1037</f>
        <v>1.1200000000000001</v>
      </c>
      <c r="G1579" s="20" t="str">
        <f>Source!DE1037</f>
        <v>)*1,25</v>
      </c>
      <c r="H1579" s="18">
        <f>Source!AV1037</f>
        <v>1</v>
      </c>
      <c r="I1579" s="22">
        <f>(ROUND((ROUND((((Source!ET1037*1.25))*Source!AV1037*Source!I1037),2)),2)+ROUND((ROUND(((Source!AE1037-((Source!EU1037*1.25)))*Source!AV1037*Source!I1037),2)),2))</f>
        <v>11.2</v>
      </c>
      <c r="J1579" s="18">
        <f>IF(Source!BB1037&lt;&gt; 0, Source!BB1037, 1)</f>
        <v>8.4600000000000009</v>
      </c>
      <c r="K1579" s="22">
        <f>Source!Q1037</f>
        <v>94.75</v>
      </c>
    </row>
    <row r="1580" spans="1:27" ht="14.25" x14ac:dyDescent="0.2">
      <c r="A1580" s="16"/>
      <c r="B1580" s="17"/>
      <c r="C1580" s="17" t="s">
        <v>1632</v>
      </c>
      <c r="D1580" s="19"/>
      <c r="E1580" s="18"/>
      <c r="F1580" s="21">
        <f>Source!AN1037</f>
        <v>0.17</v>
      </c>
      <c r="G1580" s="20" t="str">
        <f>Source!DF1037</f>
        <v>)*1,25</v>
      </c>
      <c r="H1580" s="18">
        <f>Source!AV1037</f>
        <v>1</v>
      </c>
      <c r="I1580" s="26">
        <f>ROUND((ROUND((Source!AE1037*Source!AV1037*Source!I1037),2)),2)</f>
        <v>1.7</v>
      </c>
      <c r="J1580" s="18">
        <f>IF(Source!BS1037&lt;&gt; 0, Source!BS1037, 1)</f>
        <v>25.44</v>
      </c>
      <c r="K1580" s="26">
        <f>Source!R1037</f>
        <v>43.25</v>
      </c>
      <c r="W1580">
        <f>I1580</f>
        <v>1.7</v>
      </c>
    </row>
    <row r="1581" spans="1:27" ht="14.25" x14ac:dyDescent="0.2">
      <c r="A1581" s="16"/>
      <c r="B1581" s="17"/>
      <c r="C1581" s="17" t="s">
        <v>1634</v>
      </c>
      <c r="D1581" s="19"/>
      <c r="E1581" s="18"/>
      <c r="F1581" s="21">
        <f>Source!AL1037</f>
        <v>6.78</v>
      </c>
      <c r="G1581" s="20" t="str">
        <f>Source!DD1037</f>
        <v/>
      </c>
      <c r="H1581" s="18">
        <f>Source!AW1037</f>
        <v>1</v>
      </c>
      <c r="I1581" s="22">
        <f>ROUND((ROUND((Source!AC1037*Source!AW1037*Source!I1037),2)),2)</f>
        <v>54.24</v>
      </c>
      <c r="J1581" s="18">
        <f>IF(Source!BC1037&lt;&gt; 0, Source!BC1037, 1)</f>
        <v>7.39</v>
      </c>
      <c r="K1581" s="22">
        <f>Source!P1037</f>
        <v>400.83</v>
      </c>
    </row>
    <row r="1582" spans="1:27" ht="142.5" x14ac:dyDescent="0.2">
      <c r="A1582" s="16" t="str">
        <f>Source!E1038</f>
        <v>193,1</v>
      </c>
      <c r="B1582" s="17" t="str">
        <f>Source!F1038</f>
        <v>1.21-5-1526</v>
      </c>
      <c r="C1582" s="17" t="s">
        <v>1599</v>
      </c>
      <c r="D1582" s="19" t="str">
        <f>Source!H1038</f>
        <v>шт.</v>
      </c>
      <c r="E1582" s="18">
        <f>Source!I1038</f>
        <v>8</v>
      </c>
      <c r="F1582" s="21">
        <f>Source!AK1038</f>
        <v>409.94</v>
      </c>
      <c r="G1582" s="27" t="s">
        <v>3</v>
      </c>
      <c r="H1582" s="18">
        <f>Source!AW1038</f>
        <v>1</v>
      </c>
      <c r="I1582" s="22">
        <f>ROUND((ROUND((Source!AC1038*Source!AW1038*Source!I1038),2)),2)+(ROUND((ROUND(((Source!ET1038)*Source!AV1038*Source!I1038),2)),2)+ROUND((ROUND(((Source!AE1038-(Source!EU1038))*Source!AV1038*Source!I1038),2)),2))+ROUND((ROUND((Source!AF1038*Source!AV1038*Source!I1038),2)),2)</f>
        <v>3279.52</v>
      </c>
      <c r="J1582" s="18">
        <f>IF(Source!BC1038&lt;&gt; 0, Source!BC1038, 1)</f>
        <v>3.83</v>
      </c>
      <c r="K1582" s="22">
        <f>Source!O1038</f>
        <v>12560.56</v>
      </c>
      <c r="Q1582">
        <f>ROUND((Source!DN1038/100)*ROUND((ROUND((Source!AF1038*Source!AV1038*Source!I1038),2)),2), 2)</f>
        <v>0</v>
      </c>
      <c r="R1582">
        <f>Source!X1038</f>
        <v>0</v>
      </c>
      <c r="S1582">
        <f>ROUND((Source!DO1038/100)*ROUND((ROUND((Source!AF1038*Source!AV1038*Source!I1038),2)),2), 2)</f>
        <v>0</v>
      </c>
      <c r="T1582">
        <f>Source!Y1038</f>
        <v>0</v>
      </c>
      <c r="U1582">
        <f>ROUND((175/100)*ROUND((ROUND((Source!AE1038*Source!AV1038*Source!I1038),2)),2), 2)</f>
        <v>0</v>
      </c>
      <c r="V1582">
        <f>ROUND((157/100)*ROUND(ROUND((ROUND((Source!AE1038*Source!AV1038*Source!I1038),2)*Source!BS1038),2), 2), 2)</f>
        <v>0</v>
      </c>
      <c r="X1582">
        <f>IF(Source!BI1038&lt;=1,I1582, 0)</f>
        <v>0</v>
      </c>
      <c r="Y1582">
        <f>IF(Source!BI1038=2,I1582, 0)</f>
        <v>3279.52</v>
      </c>
      <c r="Z1582">
        <f>IF(Source!BI1038=3,I1582, 0)</f>
        <v>0</v>
      </c>
      <c r="AA1582">
        <f>IF(Source!BI1038=4,I1582, 0)</f>
        <v>0</v>
      </c>
    </row>
    <row r="1583" spans="1:27" ht="42.75" x14ac:dyDescent="0.2">
      <c r="A1583" s="16" t="str">
        <f>Source!E1039</f>
        <v>193,2</v>
      </c>
      <c r="B1583" s="17" t="str">
        <f>Source!F1039</f>
        <v>13.1-1-484</v>
      </c>
      <c r="C1583" s="17" t="s">
        <v>1193</v>
      </c>
      <c r="D1583" s="19" t="str">
        <f>Source!H1039</f>
        <v>шт.</v>
      </c>
      <c r="E1583" s="18">
        <f>Source!I1039</f>
        <v>8</v>
      </c>
      <c r="F1583" s="21">
        <f>Source!AK1039</f>
        <v>112.94</v>
      </c>
      <c r="G1583" s="27" t="s">
        <v>3</v>
      </c>
      <c r="H1583" s="18">
        <f>Source!AW1039</f>
        <v>1</v>
      </c>
      <c r="I1583" s="22">
        <f>ROUND((ROUND((Source!AC1039*Source!AW1039*Source!I1039),2)),2)+(ROUND((ROUND(((Source!ET1039)*Source!AV1039*Source!I1039),2)),2)+ROUND((ROUND(((Source!AE1039-(Source!EU1039))*Source!AV1039*Source!I1039),2)),2))+ROUND((ROUND((Source!AF1039*Source!AV1039*Source!I1039),2)),2)</f>
        <v>903.52</v>
      </c>
      <c r="J1583" s="18">
        <f>IF(Source!BC1039&lt;&gt; 0, Source!BC1039, 1)</f>
        <v>6.34</v>
      </c>
      <c r="K1583" s="22">
        <f>Source!O1039</f>
        <v>5728.32</v>
      </c>
      <c r="Q1583">
        <f>ROUND((Source!DN1039/100)*ROUND((ROUND((Source!AF1039*Source!AV1039*Source!I1039),2)),2), 2)</f>
        <v>0</v>
      </c>
      <c r="R1583">
        <f>Source!X1039</f>
        <v>0</v>
      </c>
      <c r="S1583">
        <f>ROUND((Source!DO1039/100)*ROUND((ROUND((Source!AF1039*Source!AV1039*Source!I1039),2)),2), 2)</f>
        <v>0</v>
      </c>
      <c r="T1583">
        <f>Source!Y1039</f>
        <v>0</v>
      </c>
      <c r="U1583">
        <f>ROUND((175/100)*ROUND((ROUND((Source!AE1039*Source!AV1039*Source!I1039),2)),2), 2)</f>
        <v>0</v>
      </c>
      <c r="V1583">
        <f>ROUND((157/100)*ROUND(ROUND((ROUND((Source!AE1039*Source!AV1039*Source!I1039),2)*Source!BS1039),2), 2), 2)</f>
        <v>0</v>
      </c>
      <c r="X1583">
        <f>IF(Source!BI1039&lt;=1,I1583, 0)</f>
        <v>0</v>
      </c>
      <c r="Y1583">
        <f>IF(Source!BI1039=2,I1583, 0)</f>
        <v>903.52</v>
      </c>
      <c r="Z1583">
        <f>IF(Source!BI1039=3,I1583, 0)</f>
        <v>0</v>
      </c>
      <c r="AA1583">
        <f>IF(Source!BI1039=4,I1583, 0)</f>
        <v>0</v>
      </c>
    </row>
    <row r="1584" spans="1:27" ht="85.5" x14ac:dyDescent="0.2">
      <c r="A1584" s="16" t="str">
        <f>Source!E1040</f>
        <v>193,3</v>
      </c>
      <c r="B1584" s="17" t="str">
        <f>Source!F1040</f>
        <v>1.21-5-276</v>
      </c>
      <c r="C1584" s="17" t="s">
        <v>1197</v>
      </c>
      <c r="D1584" s="19" t="str">
        <f>Source!H1040</f>
        <v>КОМПЛЕКТ</v>
      </c>
      <c r="E1584" s="18">
        <f>Source!I1040</f>
        <v>8</v>
      </c>
      <c r="F1584" s="21">
        <f>Source!AK1040</f>
        <v>227.59</v>
      </c>
      <c r="G1584" s="27" t="s">
        <v>3</v>
      </c>
      <c r="H1584" s="18">
        <f>Source!AW1040</f>
        <v>1</v>
      </c>
      <c r="I1584" s="22">
        <f>ROUND((ROUND((Source!AC1040*Source!AW1040*Source!I1040),2)),2)+(ROUND((ROUND(((Source!ET1040)*Source!AV1040*Source!I1040),2)),2)+ROUND((ROUND(((Source!AE1040-(Source!EU1040))*Source!AV1040*Source!I1040),2)),2))+ROUND((ROUND((Source!AF1040*Source!AV1040*Source!I1040),2)),2)</f>
        <v>1820.72</v>
      </c>
      <c r="J1584" s="18">
        <f>IF(Source!BC1040&lt;&gt; 0, Source!BC1040, 1)</f>
        <v>2.9</v>
      </c>
      <c r="K1584" s="22">
        <f>Source!O1040</f>
        <v>5280.09</v>
      </c>
      <c r="Q1584">
        <f>ROUND((Source!DN1040/100)*ROUND((ROUND((Source!AF1040*Source!AV1040*Source!I1040),2)),2), 2)</f>
        <v>0</v>
      </c>
      <c r="R1584">
        <f>Source!X1040</f>
        <v>0</v>
      </c>
      <c r="S1584">
        <f>ROUND((Source!DO1040/100)*ROUND((ROUND((Source!AF1040*Source!AV1040*Source!I1040),2)),2), 2)</f>
        <v>0</v>
      </c>
      <c r="T1584">
        <f>Source!Y1040</f>
        <v>0</v>
      </c>
      <c r="U1584">
        <f>ROUND((175/100)*ROUND((ROUND((Source!AE1040*Source!AV1040*Source!I1040),2)),2), 2)</f>
        <v>0</v>
      </c>
      <c r="V1584">
        <f>ROUND((157/100)*ROUND(ROUND((ROUND((Source!AE1040*Source!AV1040*Source!I1040),2)*Source!BS1040),2), 2), 2)</f>
        <v>0</v>
      </c>
      <c r="X1584">
        <f>IF(Source!BI1040&lt;=1,I1584, 0)</f>
        <v>0</v>
      </c>
      <c r="Y1584">
        <f>IF(Source!BI1040=2,I1584, 0)</f>
        <v>1820.72</v>
      </c>
      <c r="Z1584">
        <f>IF(Source!BI1040=3,I1584, 0)</f>
        <v>0</v>
      </c>
      <c r="AA1584">
        <f>IF(Source!BI1040=4,I1584, 0)</f>
        <v>0</v>
      </c>
    </row>
    <row r="1585" spans="1:27" ht="42.75" x14ac:dyDescent="0.2">
      <c r="A1585" s="16" t="str">
        <f>Source!E1041</f>
        <v>193,4</v>
      </c>
      <c r="B1585" s="17" t="str">
        <f>Source!F1041</f>
        <v>Цена поставщика</v>
      </c>
      <c r="C1585" s="17" t="s">
        <v>1698</v>
      </c>
      <c r="D1585" s="19" t="str">
        <f>Source!H1041</f>
        <v>шт.</v>
      </c>
      <c r="E1585" s="18">
        <f>Source!I1041</f>
        <v>8</v>
      </c>
      <c r="F1585" s="21">
        <f>Source!AK1041</f>
        <v>8076.3399999999992</v>
      </c>
      <c r="G1585" s="27" t="s">
        <v>3</v>
      </c>
      <c r="H1585" s="18">
        <f>Source!AW1041</f>
        <v>1</v>
      </c>
      <c r="I1585" s="22">
        <f>ROUND((ROUND((Source!AC1041*Source!AW1041*Source!I1041),2)),2)+(ROUND((ROUND(((Source!ET1041)*Source!AV1041*Source!I1041),2)),2)+ROUND((ROUND(((Source!AE1041-(Source!EU1041))*Source!AV1041*Source!I1041),2)),2))+ROUND((ROUND((Source!AF1041*Source!AV1041*Source!I1041),2)),2)</f>
        <v>64610.720000000001</v>
      </c>
      <c r="J1585" s="18">
        <f>IF(Source!BC1041&lt;&gt; 0, Source!BC1041, 1)</f>
        <v>6.34</v>
      </c>
      <c r="K1585" s="22">
        <f>Source!O1041</f>
        <v>409631.96</v>
      </c>
      <c r="Q1585">
        <f>ROUND((Source!DN1041/100)*ROUND((ROUND((Source!AF1041*Source!AV1041*Source!I1041),2)),2), 2)</f>
        <v>0</v>
      </c>
      <c r="R1585">
        <f>Source!X1041</f>
        <v>0</v>
      </c>
      <c r="S1585">
        <f>ROUND((Source!DO1041/100)*ROUND((ROUND((Source!AF1041*Source!AV1041*Source!I1041),2)),2), 2)</f>
        <v>0</v>
      </c>
      <c r="T1585">
        <f>Source!Y1041</f>
        <v>0</v>
      </c>
      <c r="U1585">
        <f>ROUND((175/100)*ROUND((ROUND((Source!AE1041*Source!AV1041*Source!I1041),2)),2), 2)</f>
        <v>0</v>
      </c>
      <c r="V1585">
        <f>ROUND((157/100)*ROUND(ROUND((ROUND((Source!AE1041*Source!AV1041*Source!I1041),2)*Source!BS1041),2), 2), 2)</f>
        <v>0</v>
      </c>
      <c r="X1585">
        <f>IF(Source!BI1041&lt;=1,I1585, 0)</f>
        <v>0</v>
      </c>
      <c r="Y1585">
        <f>IF(Source!BI1041=2,I1585, 0)</f>
        <v>64610.720000000001</v>
      </c>
      <c r="Z1585">
        <f>IF(Source!BI1041=3,I1585, 0)</f>
        <v>0</v>
      </c>
      <c r="AA1585">
        <f>IF(Source!BI1041=4,I1585, 0)</f>
        <v>0</v>
      </c>
    </row>
    <row r="1586" spans="1:27" ht="14.25" x14ac:dyDescent="0.2">
      <c r="A1586" s="16"/>
      <c r="B1586" s="17"/>
      <c r="C1586" s="17" t="s">
        <v>1626</v>
      </c>
      <c r="D1586" s="19" t="s">
        <v>1627</v>
      </c>
      <c r="E1586" s="18">
        <f>Source!DN1037</f>
        <v>114</v>
      </c>
      <c r="F1586" s="21"/>
      <c r="G1586" s="20"/>
      <c r="H1586" s="18"/>
      <c r="I1586" s="22">
        <f>SUM(Q1577:Q1585)</f>
        <v>214.68</v>
      </c>
      <c r="J1586" s="18">
        <f>Source!BZ1037</f>
        <v>77</v>
      </c>
      <c r="K1586" s="22">
        <f>SUM(R1577:R1585)</f>
        <v>3688.96</v>
      </c>
    </row>
    <row r="1587" spans="1:27" ht="14.25" x14ac:dyDescent="0.2">
      <c r="A1587" s="16"/>
      <c r="B1587" s="17"/>
      <c r="C1587" s="17" t="s">
        <v>1628</v>
      </c>
      <c r="D1587" s="19" t="s">
        <v>1627</v>
      </c>
      <c r="E1587" s="18">
        <f>Source!DO1037</f>
        <v>67</v>
      </c>
      <c r="F1587" s="21"/>
      <c r="G1587" s="20"/>
      <c r="H1587" s="18"/>
      <c r="I1587" s="22">
        <f>SUM(S1577:S1586)</f>
        <v>126.17</v>
      </c>
      <c r="J1587" s="18">
        <f>Source!CA1037</f>
        <v>41</v>
      </c>
      <c r="K1587" s="22">
        <f>SUM(T1577:T1586)</f>
        <v>1964.25</v>
      </c>
    </row>
    <row r="1588" spans="1:27" ht="14.25" x14ac:dyDescent="0.2">
      <c r="A1588" s="16"/>
      <c r="B1588" s="17"/>
      <c r="C1588" s="17" t="s">
        <v>1633</v>
      </c>
      <c r="D1588" s="19" t="s">
        <v>1627</v>
      </c>
      <c r="E1588" s="18">
        <f>175</f>
        <v>175</v>
      </c>
      <c r="F1588" s="21"/>
      <c r="G1588" s="20"/>
      <c r="H1588" s="18"/>
      <c r="I1588" s="22">
        <f>SUM(U1577:U1587)</f>
        <v>2.98</v>
      </c>
      <c r="J1588" s="18">
        <f>157</f>
        <v>157</v>
      </c>
      <c r="K1588" s="22">
        <f>SUM(V1577:V1587)</f>
        <v>67.900000000000006</v>
      </c>
    </row>
    <row r="1589" spans="1:27" ht="14.25" x14ac:dyDescent="0.2">
      <c r="A1589" s="16"/>
      <c r="B1589" s="17"/>
      <c r="C1589" s="17" t="s">
        <v>1629</v>
      </c>
      <c r="D1589" s="19" t="s">
        <v>1630</v>
      </c>
      <c r="E1589" s="18">
        <f>Source!AQ1037</f>
        <v>1.63</v>
      </c>
      <c r="F1589" s="21"/>
      <c r="G1589" s="20" t="str">
        <f>Source!DI1037</f>
        <v>)*1,15</v>
      </c>
      <c r="H1589" s="18">
        <f>Source!AV1037</f>
        <v>1</v>
      </c>
      <c r="I1589" s="22">
        <f>Source!U1037</f>
        <v>14.995999999999999</v>
      </c>
      <c r="J1589" s="18"/>
      <c r="K1589" s="22"/>
    </row>
    <row r="1590" spans="1:27" ht="15" x14ac:dyDescent="0.25">
      <c r="A1590" s="25"/>
      <c r="B1590" s="25"/>
      <c r="C1590" s="25"/>
      <c r="D1590" s="25"/>
      <c r="E1590" s="25"/>
      <c r="F1590" s="25"/>
      <c r="G1590" s="25"/>
      <c r="H1590" s="54">
        <f>I1578+I1579+I1581+I1586+I1587+I1588+SUM(I1582:I1585)</f>
        <v>71212.069999999992</v>
      </c>
      <c r="I1590" s="54"/>
      <c r="J1590" s="54">
        <f>K1578+K1579+K1581+K1586+K1587+K1588+SUM(K1582:K1585)</f>
        <v>444208.48</v>
      </c>
      <c r="K1590" s="54"/>
      <c r="O1590" s="24">
        <f>I1578+I1579+I1581+I1586+I1587+I1588+SUM(I1582:I1585)</f>
        <v>71212.069999999992</v>
      </c>
      <c r="P1590" s="24">
        <f>K1578+K1579+K1581+K1586+K1587+K1588+SUM(K1582:K1585)</f>
        <v>444208.48</v>
      </c>
      <c r="X1590">
        <f>IF(Source!BI1037&lt;=1,I1578+I1579+I1581+I1586+I1587+I1588-0, 0)</f>
        <v>0</v>
      </c>
      <c r="Y1590">
        <f>IF(Source!BI1037=2,I1578+I1579+I1581+I1586+I1587+I1588-0, 0)</f>
        <v>597.59</v>
      </c>
      <c r="Z1590">
        <f>IF(Source!BI1037=3,I1578+I1579+I1581+I1586+I1587+I1588-0, 0)</f>
        <v>0</v>
      </c>
      <c r="AA1590">
        <f>IF(Source!BI1037=4,I1578+I1579+I1581+I1586+I1587+I1588,0)</f>
        <v>0</v>
      </c>
    </row>
    <row r="1591" spans="1:27" ht="14.25" x14ac:dyDescent="0.2">
      <c r="A1591" s="16" t="str">
        <f>Source!E1042</f>
        <v>194</v>
      </c>
      <c r="B1591" s="17" t="str">
        <f>Source!F1042</f>
        <v>5.10-36-1</v>
      </c>
      <c r="C1591" s="17" t="s">
        <v>1204</v>
      </c>
      <c r="D1591" s="19" t="str">
        <f>Source!H1042</f>
        <v>1 ОПОРА</v>
      </c>
      <c r="E1591" s="18">
        <f>Source!I1042</f>
        <v>4</v>
      </c>
      <c r="F1591" s="21"/>
      <c r="G1591" s="20"/>
      <c r="H1591" s="18"/>
      <c r="I1591" s="22"/>
      <c r="J1591" s="18"/>
      <c r="K1591" s="22"/>
      <c r="Q1591">
        <f>ROUND((Source!DN1042/100)*ROUND((ROUND((Source!AF1042*Source!AV1042*Source!I1042),2)),2), 2)</f>
        <v>305.89999999999998</v>
      </c>
      <c r="R1591">
        <f>Source!X1042</f>
        <v>7055.82</v>
      </c>
      <c r="S1591">
        <f>ROUND((Source!DO1042/100)*ROUND((ROUND((Source!AF1042*Source!AV1042*Source!I1042),2)),2), 2)</f>
        <v>285.51</v>
      </c>
      <c r="T1591">
        <f>Source!Y1042</f>
        <v>4254.25</v>
      </c>
      <c r="U1591">
        <f>ROUND((175/100)*ROUND((ROUND((Source!AE1042*Source!AV1042*Source!I1042),2)),2), 2)</f>
        <v>0</v>
      </c>
      <c r="V1591">
        <f>ROUND((157/100)*ROUND(ROUND((ROUND((Source!AE1042*Source!AV1042*Source!I1042),2)*Source!BS1042),2), 2), 2)</f>
        <v>0</v>
      </c>
    </row>
    <row r="1592" spans="1:27" ht="14.25" x14ac:dyDescent="0.2">
      <c r="A1592" s="16"/>
      <c r="B1592" s="17"/>
      <c r="C1592" s="17" t="s">
        <v>1625</v>
      </c>
      <c r="D1592" s="19"/>
      <c r="E1592" s="18"/>
      <c r="F1592" s="21">
        <f>Source!AO1042</f>
        <v>127.46</v>
      </c>
      <c r="G1592" s="20" t="str">
        <f>Source!DG1042</f>
        <v>)*0,8</v>
      </c>
      <c r="H1592" s="18">
        <f>Source!AV1042</f>
        <v>1</v>
      </c>
      <c r="I1592" s="22">
        <f>ROUND((ROUND((Source!AF1042*Source!AV1042*Source!I1042),2)),2)</f>
        <v>407.87</v>
      </c>
      <c r="J1592" s="18">
        <f>IF(Source!BA1042&lt;&gt; 0, Source!BA1042, 1)</f>
        <v>25.44</v>
      </c>
      <c r="K1592" s="22">
        <f>Source!S1042</f>
        <v>10376.209999999999</v>
      </c>
      <c r="W1592">
        <f>I1592</f>
        <v>407.87</v>
      </c>
    </row>
    <row r="1593" spans="1:27" ht="14.25" x14ac:dyDescent="0.2">
      <c r="A1593" s="16"/>
      <c r="B1593" s="17"/>
      <c r="C1593" s="17" t="s">
        <v>1626</v>
      </c>
      <c r="D1593" s="19" t="s">
        <v>1627</v>
      </c>
      <c r="E1593" s="18">
        <f>Source!DN1042</f>
        <v>75</v>
      </c>
      <c r="F1593" s="21"/>
      <c r="G1593" s="20"/>
      <c r="H1593" s="18"/>
      <c r="I1593" s="22">
        <f>SUM(Q1591:Q1592)</f>
        <v>305.89999999999998</v>
      </c>
      <c r="J1593" s="18">
        <f>Source!BZ1042</f>
        <v>68</v>
      </c>
      <c r="K1593" s="22">
        <f>SUM(R1591:R1592)</f>
        <v>7055.82</v>
      </c>
    </row>
    <row r="1594" spans="1:27" ht="14.25" x14ac:dyDescent="0.2">
      <c r="A1594" s="16"/>
      <c r="B1594" s="17"/>
      <c r="C1594" s="17" t="s">
        <v>1628</v>
      </c>
      <c r="D1594" s="19" t="s">
        <v>1627</v>
      </c>
      <c r="E1594" s="18">
        <f>Source!DO1042</f>
        <v>70</v>
      </c>
      <c r="F1594" s="21"/>
      <c r="G1594" s="20"/>
      <c r="H1594" s="18"/>
      <c r="I1594" s="22">
        <f>SUM(S1591:S1593)</f>
        <v>285.51</v>
      </c>
      <c r="J1594" s="18">
        <f>Source!CA1042</f>
        <v>41</v>
      </c>
      <c r="K1594" s="22">
        <f>SUM(T1591:T1593)</f>
        <v>4254.25</v>
      </c>
    </row>
    <row r="1595" spans="1:27" ht="14.25" x14ac:dyDescent="0.2">
      <c r="A1595" s="16"/>
      <c r="B1595" s="17"/>
      <c r="C1595" s="17" t="s">
        <v>1629</v>
      </c>
      <c r="D1595" s="19" t="s">
        <v>1630</v>
      </c>
      <c r="E1595" s="18">
        <f>Source!AQ1042</f>
        <v>8</v>
      </c>
      <c r="F1595" s="21"/>
      <c r="G1595" s="20" t="str">
        <f>Source!DI1042</f>
        <v>)*0,8</v>
      </c>
      <c r="H1595" s="18">
        <f>Source!AV1042</f>
        <v>1</v>
      </c>
      <c r="I1595" s="22">
        <f>Source!U1042</f>
        <v>25.6</v>
      </c>
      <c r="J1595" s="18"/>
      <c r="K1595" s="22"/>
    </row>
    <row r="1596" spans="1:27" ht="15" x14ac:dyDescent="0.25">
      <c r="A1596" s="25"/>
      <c r="B1596" s="25"/>
      <c r="C1596" s="25"/>
      <c r="D1596" s="25"/>
      <c r="E1596" s="25"/>
      <c r="F1596" s="25"/>
      <c r="G1596" s="25"/>
      <c r="H1596" s="54">
        <f>I1592+I1593+I1594</f>
        <v>999.28</v>
      </c>
      <c r="I1596" s="54"/>
      <c r="J1596" s="54">
        <f>K1592+K1593+K1594</f>
        <v>21686.28</v>
      </c>
      <c r="K1596" s="54"/>
      <c r="O1596" s="24">
        <f>I1592+I1593+I1594</f>
        <v>999.28</v>
      </c>
      <c r="P1596" s="24">
        <f>K1592+K1593+K1594</f>
        <v>21686.28</v>
      </c>
      <c r="X1596">
        <f>IF(Source!BI1042&lt;=1,I1592+I1593+I1594-0, 0)</f>
        <v>0</v>
      </c>
      <c r="Y1596">
        <f>IF(Source!BI1042=2,I1592+I1593+I1594-0, 0)</f>
        <v>0</v>
      </c>
      <c r="Z1596">
        <f>IF(Source!BI1042=3,I1592+I1593+I1594-0, 0)</f>
        <v>0</v>
      </c>
      <c r="AA1596">
        <f>IF(Source!BI1042=4,I1592+I1593+I1594,0)</f>
        <v>999.28</v>
      </c>
    </row>
    <row r="1597" spans="1:27" ht="42.75" x14ac:dyDescent="0.2">
      <c r="A1597" s="16" t="str">
        <f>Source!E1043</f>
        <v>195</v>
      </c>
      <c r="B1597" s="17" t="str">
        <f>Source!F1043</f>
        <v>5.2-32-1</v>
      </c>
      <c r="C1597" s="17" t="s">
        <v>1069</v>
      </c>
      <c r="D1597" s="19" t="str">
        <f>Source!H1043</f>
        <v>1 комплекс</v>
      </c>
      <c r="E1597" s="18">
        <f>Source!I1043</f>
        <v>1</v>
      </c>
      <c r="F1597" s="21"/>
      <c r="G1597" s="20"/>
      <c r="H1597" s="18"/>
      <c r="I1597" s="22"/>
      <c r="J1597" s="18"/>
      <c r="K1597" s="22"/>
      <c r="Q1597">
        <f>ROUND((Source!DN1043/100)*ROUND((ROUND((Source!AF1043*Source!AV1043*Source!I1043),2)),2), 2)</f>
        <v>651.98</v>
      </c>
      <c r="R1597">
        <f>Source!X1043</f>
        <v>15038.19</v>
      </c>
      <c r="S1597">
        <f>ROUND((Source!DO1043/100)*ROUND((ROUND((Source!AF1043*Source!AV1043*Source!I1043),2)),2), 2)</f>
        <v>608.51</v>
      </c>
      <c r="T1597">
        <f>Source!Y1043</f>
        <v>9067.15</v>
      </c>
      <c r="U1597">
        <f>ROUND((175/100)*ROUND((ROUND((Source!AE1043*Source!AV1043*Source!I1043),2)),2), 2)</f>
        <v>0</v>
      </c>
      <c r="V1597">
        <f>ROUND((157/100)*ROUND(ROUND((ROUND((Source!AE1043*Source!AV1043*Source!I1043),2)*Source!BS1043),2), 2), 2)</f>
        <v>0</v>
      </c>
    </row>
    <row r="1598" spans="1:27" ht="14.25" x14ac:dyDescent="0.2">
      <c r="A1598" s="16"/>
      <c r="B1598" s="17"/>
      <c r="C1598" s="17" t="s">
        <v>1625</v>
      </c>
      <c r="D1598" s="19"/>
      <c r="E1598" s="18"/>
      <c r="F1598" s="21">
        <f>Source!AO1043</f>
        <v>1086.6199999999999</v>
      </c>
      <c r="G1598" s="20" t="str">
        <f>Source!DG1043</f>
        <v>)*0,8</v>
      </c>
      <c r="H1598" s="18">
        <f>Source!AV1043</f>
        <v>1</v>
      </c>
      <c r="I1598" s="22">
        <f>ROUND((ROUND((Source!AF1043*Source!AV1043*Source!I1043),2)),2)</f>
        <v>869.3</v>
      </c>
      <c r="J1598" s="18">
        <f>IF(Source!BA1043&lt;&gt; 0, Source!BA1043, 1)</f>
        <v>25.44</v>
      </c>
      <c r="K1598" s="22">
        <f>Source!S1043</f>
        <v>22114.99</v>
      </c>
      <c r="W1598">
        <f>I1598</f>
        <v>869.3</v>
      </c>
    </row>
    <row r="1599" spans="1:27" ht="14.25" x14ac:dyDescent="0.2">
      <c r="A1599" s="16"/>
      <c r="B1599" s="17"/>
      <c r="C1599" s="17" t="s">
        <v>1626</v>
      </c>
      <c r="D1599" s="19" t="s">
        <v>1627</v>
      </c>
      <c r="E1599" s="18">
        <f>Source!DN1043</f>
        <v>75</v>
      </c>
      <c r="F1599" s="21"/>
      <c r="G1599" s="20"/>
      <c r="H1599" s="18"/>
      <c r="I1599" s="22">
        <f>SUM(Q1597:Q1598)</f>
        <v>651.98</v>
      </c>
      <c r="J1599" s="18">
        <f>Source!BZ1043</f>
        <v>68</v>
      </c>
      <c r="K1599" s="22">
        <f>SUM(R1597:R1598)</f>
        <v>15038.19</v>
      </c>
    </row>
    <row r="1600" spans="1:27" ht="14.25" x14ac:dyDescent="0.2">
      <c r="A1600" s="16"/>
      <c r="B1600" s="17"/>
      <c r="C1600" s="17" t="s">
        <v>1628</v>
      </c>
      <c r="D1600" s="19" t="s">
        <v>1627</v>
      </c>
      <c r="E1600" s="18">
        <f>Source!DO1043</f>
        <v>70</v>
      </c>
      <c r="F1600" s="21"/>
      <c r="G1600" s="20"/>
      <c r="H1600" s="18"/>
      <c r="I1600" s="22">
        <f>SUM(S1597:S1599)</f>
        <v>608.51</v>
      </c>
      <c r="J1600" s="18">
        <f>Source!CA1043</f>
        <v>41</v>
      </c>
      <c r="K1600" s="22">
        <f>SUM(T1597:T1599)</f>
        <v>9067.15</v>
      </c>
    </row>
    <row r="1601" spans="1:27" ht="14.25" x14ac:dyDescent="0.2">
      <c r="A1601" s="16"/>
      <c r="B1601" s="17"/>
      <c r="C1601" s="17" t="s">
        <v>1629</v>
      </c>
      <c r="D1601" s="19" t="s">
        <v>1630</v>
      </c>
      <c r="E1601" s="18">
        <f>Source!AQ1043</f>
        <v>56</v>
      </c>
      <c r="F1601" s="21"/>
      <c r="G1601" s="20" t="str">
        <f>Source!DI1043</f>
        <v>)*0,8</v>
      </c>
      <c r="H1601" s="18">
        <f>Source!AV1043</f>
        <v>1</v>
      </c>
      <c r="I1601" s="22">
        <f>Source!U1043</f>
        <v>44.800000000000004</v>
      </c>
      <c r="J1601" s="18"/>
      <c r="K1601" s="22"/>
    </row>
    <row r="1602" spans="1:27" ht="15" x14ac:dyDescent="0.25">
      <c r="A1602" s="25"/>
      <c r="B1602" s="25"/>
      <c r="C1602" s="25"/>
      <c r="D1602" s="25"/>
      <c r="E1602" s="25"/>
      <c r="F1602" s="25"/>
      <c r="G1602" s="25"/>
      <c r="H1602" s="54">
        <f>I1598+I1599+I1600</f>
        <v>2129.79</v>
      </c>
      <c r="I1602" s="54"/>
      <c r="J1602" s="54">
        <f>K1598+K1599+K1600</f>
        <v>46220.33</v>
      </c>
      <c r="K1602" s="54"/>
      <c r="O1602" s="24">
        <f>I1598+I1599+I1600</f>
        <v>2129.79</v>
      </c>
      <c r="P1602" s="24">
        <f>K1598+K1599+K1600</f>
        <v>46220.33</v>
      </c>
      <c r="X1602">
        <f>IF(Source!BI1043&lt;=1,I1598+I1599+I1600-0, 0)</f>
        <v>0</v>
      </c>
      <c r="Y1602">
        <f>IF(Source!BI1043=2,I1598+I1599+I1600-0, 0)</f>
        <v>0</v>
      </c>
      <c r="Z1602">
        <f>IF(Source!BI1043=3,I1598+I1599+I1600-0, 0)</f>
        <v>0</v>
      </c>
      <c r="AA1602">
        <f>IF(Source!BI1043=4,I1598+I1599+I1600,0)</f>
        <v>2129.79</v>
      </c>
    </row>
    <row r="1603" spans="1:27" ht="57" x14ac:dyDescent="0.2">
      <c r="A1603" s="16" t="str">
        <f>Source!E1044</f>
        <v>196</v>
      </c>
      <c r="B1603" s="17" t="str">
        <f>Source!F1044</f>
        <v>15.2-46-1</v>
      </c>
      <c r="C1603" s="17" t="s">
        <v>205</v>
      </c>
      <c r="D1603" s="19" t="str">
        <f>Source!H1044</f>
        <v>т</v>
      </c>
      <c r="E1603" s="18">
        <f>Source!I1044</f>
        <v>24.9</v>
      </c>
      <c r="F1603" s="21"/>
      <c r="G1603" s="20"/>
      <c r="H1603" s="18"/>
      <c r="I1603" s="22"/>
      <c r="J1603" s="18"/>
      <c r="K1603" s="22"/>
      <c r="Q1603">
        <f>ROUND((Source!DN1044/100)*ROUND((ROUND((Source!AF1044*Source!AV1044*Source!I1044),2)),2), 2)</f>
        <v>0</v>
      </c>
      <c r="R1603">
        <f>Source!X1044</f>
        <v>0</v>
      </c>
      <c r="S1603">
        <f>ROUND((Source!DO1044/100)*ROUND((ROUND((Source!AF1044*Source!AV1044*Source!I1044),2)),2), 2)</f>
        <v>0</v>
      </c>
      <c r="T1603">
        <f>Source!Y1044</f>
        <v>0</v>
      </c>
      <c r="U1603">
        <f>ROUND((175/100)*ROUND((ROUND((Source!AE1044*Source!AV1044*Source!I1044),2)),2), 2)</f>
        <v>0</v>
      </c>
      <c r="V1603">
        <f>ROUND((157/100)*ROUND(ROUND((ROUND((Source!AE1044*Source!AV1044*Source!I1044),2)*Source!BS1044),2), 2), 2)</f>
        <v>0</v>
      </c>
    </row>
    <row r="1604" spans="1:27" ht="14.25" x14ac:dyDescent="0.2">
      <c r="A1604" s="16"/>
      <c r="B1604" s="17"/>
      <c r="C1604" s="17" t="s">
        <v>1631</v>
      </c>
      <c r="D1604" s="19"/>
      <c r="E1604" s="18"/>
      <c r="F1604" s="21">
        <f>Source!AM1044</f>
        <v>46</v>
      </c>
      <c r="G1604" s="20" t="str">
        <f>Source!DE1044</f>
        <v/>
      </c>
      <c r="H1604" s="18">
        <f>Source!AV1044</f>
        <v>1</v>
      </c>
      <c r="I1604" s="22">
        <f>(ROUND((ROUND(((Source!ET1044)*Source!AV1044*Source!I1044),2)),2)+ROUND((ROUND(((Source!AE1044-(Source!EU1044))*Source!AV1044*Source!I1044),2)),2))</f>
        <v>1145.4000000000001</v>
      </c>
      <c r="J1604" s="18">
        <f>IF(Source!BB1044&lt;&gt; 0, Source!BB1044, 1)</f>
        <v>12.21</v>
      </c>
      <c r="K1604" s="22">
        <f>Source!Q1044</f>
        <v>13985.33</v>
      </c>
    </row>
    <row r="1605" spans="1:27" ht="15" x14ac:dyDescent="0.25">
      <c r="A1605" s="25"/>
      <c r="B1605" s="25"/>
      <c r="C1605" s="25"/>
      <c r="D1605" s="25"/>
      <c r="E1605" s="25"/>
      <c r="F1605" s="25"/>
      <c r="G1605" s="25"/>
      <c r="H1605" s="54">
        <f>I1604</f>
        <v>1145.4000000000001</v>
      </c>
      <c r="I1605" s="54"/>
      <c r="J1605" s="54">
        <f>K1604</f>
        <v>13985.33</v>
      </c>
      <c r="K1605" s="54"/>
      <c r="O1605" s="24">
        <f>I1604</f>
        <v>1145.4000000000001</v>
      </c>
      <c r="P1605" s="24">
        <f>K1604</f>
        <v>13985.33</v>
      </c>
      <c r="X1605">
        <f>IF(Source!BI1044&lt;=1,I1604-0, 0)</f>
        <v>0</v>
      </c>
      <c r="Y1605">
        <f>IF(Source!BI1044=2,I1604-0, 0)</f>
        <v>0</v>
      </c>
      <c r="Z1605">
        <f>IF(Source!BI1044=3,I1604-0, 0)</f>
        <v>0</v>
      </c>
      <c r="AA1605">
        <f>IF(Source!BI1044=4,I1604,0)</f>
        <v>1145.4000000000001</v>
      </c>
    </row>
    <row r="1606" spans="1:27" ht="57" x14ac:dyDescent="0.2">
      <c r="A1606" s="16" t="str">
        <f>Source!E1045</f>
        <v>197</v>
      </c>
      <c r="B1606" s="17" t="str">
        <f>Source!F1045</f>
        <v>15.2-46-1</v>
      </c>
      <c r="C1606" s="17" t="s">
        <v>205</v>
      </c>
      <c r="D1606" s="19" t="str">
        <f>Source!H1045</f>
        <v>т</v>
      </c>
      <c r="E1606" s="18">
        <f>Source!I1045</f>
        <v>24.9</v>
      </c>
      <c r="F1606" s="21"/>
      <c r="G1606" s="20"/>
      <c r="H1606" s="18"/>
      <c r="I1606" s="22"/>
      <c r="J1606" s="18"/>
      <c r="K1606" s="22"/>
      <c r="Q1606">
        <f>ROUND((Source!DN1045/100)*ROUND((ROUND((Source!AF1045*Source!AV1045*Source!I1045),2)),2), 2)</f>
        <v>0</v>
      </c>
      <c r="R1606">
        <f>Source!X1045</f>
        <v>0</v>
      </c>
      <c r="S1606">
        <f>ROUND((Source!DO1045/100)*ROUND((ROUND((Source!AF1045*Source!AV1045*Source!I1045),2)),2), 2)</f>
        <v>0</v>
      </c>
      <c r="T1606">
        <f>Source!Y1045</f>
        <v>0</v>
      </c>
      <c r="U1606">
        <f>ROUND((175/100)*ROUND((ROUND((Source!AE1045*Source!AV1045*Source!I1045),2)),2), 2)</f>
        <v>0</v>
      </c>
      <c r="V1606">
        <f>ROUND((157/100)*ROUND(ROUND((ROUND((Source!AE1045*Source!AV1045*Source!I1045),2)*Source!BS1045),2), 2), 2)</f>
        <v>0</v>
      </c>
    </row>
    <row r="1607" spans="1:27" ht="14.25" x14ac:dyDescent="0.2">
      <c r="A1607" s="16"/>
      <c r="B1607" s="17"/>
      <c r="C1607" s="17" t="s">
        <v>1631</v>
      </c>
      <c r="D1607" s="19"/>
      <c r="E1607" s="18"/>
      <c r="F1607" s="21">
        <f>Source!AM1045</f>
        <v>46</v>
      </c>
      <c r="G1607" s="20" t="str">
        <f>Source!DE1045</f>
        <v/>
      </c>
      <c r="H1607" s="18">
        <f>Source!AV1045</f>
        <v>1</v>
      </c>
      <c r="I1607" s="22">
        <f>(ROUND((ROUND(((Source!ET1045)*Source!AV1045*Source!I1045),2)),2)+ROUND((ROUND(((Source!AE1045-(Source!EU1045))*Source!AV1045*Source!I1045),2)),2))</f>
        <v>1145.4000000000001</v>
      </c>
      <c r="J1607" s="18">
        <f>IF(Source!BB1045&lt;&gt; 0, Source!BB1045, 1)</f>
        <v>12.21</v>
      </c>
      <c r="K1607" s="22">
        <f>Source!Q1045</f>
        <v>13985.33</v>
      </c>
    </row>
    <row r="1608" spans="1:27" ht="15" x14ac:dyDescent="0.25">
      <c r="A1608" s="25"/>
      <c r="B1608" s="25"/>
      <c r="C1608" s="25"/>
      <c r="D1608" s="25"/>
      <c r="E1608" s="25"/>
      <c r="F1608" s="25"/>
      <c r="G1608" s="25"/>
      <c r="H1608" s="54">
        <f>I1607</f>
        <v>1145.4000000000001</v>
      </c>
      <c r="I1608" s="54"/>
      <c r="J1608" s="54">
        <f>K1607</f>
        <v>13985.33</v>
      </c>
      <c r="K1608" s="54"/>
      <c r="O1608" s="24">
        <f>I1607</f>
        <v>1145.4000000000001</v>
      </c>
      <c r="P1608" s="24">
        <f>K1607</f>
        <v>13985.33</v>
      </c>
      <c r="X1608">
        <f>IF(Source!BI1045&lt;=1,I1607-0, 0)</f>
        <v>0</v>
      </c>
      <c r="Y1608">
        <f>IF(Source!BI1045=2,I1607-0, 0)</f>
        <v>0</v>
      </c>
      <c r="Z1608">
        <f>IF(Source!BI1045=3,I1607-0, 0)</f>
        <v>0</v>
      </c>
      <c r="AA1608">
        <f>IF(Source!BI1045=4,I1607,0)</f>
        <v>1145.4000000000001</v>
      </c>
    </row>
    <row r="1610" spans="1:27" ht="15" x14ac:dyDescent="0.25">
      <c r="A1610" s="53" t="str">
        <f>CONCATENATE("Итого по подразделу: ",IF(Source!G1047&lt;&gt;"Новый подраздел", Source!G1047, ""))</f>
        <v>Итого по подразделу: Замена существующих опор и сетей до ШНО</v>
      </c>
      <c r="B1610" s="53"/>
      <c r="C1610" s="53"/>
      <c r="D1610" s="53"/>
      <c r="E1610" s="53"/>
      <c r="F1610" s="53"/>
      <c r="G1610" s="53"/>
      <c r="H1610" s="51">
        <f>SUM(O1444:O1609)</f>
        <v>200779.02999999997</v>
      </c>
      <c r="I1610" s="52"/>
      <c r="J1610" s="51">
        <f>SUM(P1444:P1609)</f>
        <v>1505592.47</v>
      </c>
      <c r="K1610" s="52"/>
    </row>
    <row r="1611" spans="1:27" hidden="1" x14ac:dyDescent="0.2">
      <c r="A1611" t="s">
        <v>1641</v>
      </c>
      <c r="H1611">
        <f>SUM(AC1444:AC1610)</f>
        <v>0</v>
      </c>
      <c r="J1611">
        <f>SUM(AD1444:AD1610)</f>
        <v>0</v>
      </c>
    </row>
    <row r="1612" spans="1:27" hidden="1" x14ac:dyDescent="0.2">
      <c r="A1612" t="s">
        <v>1642</v>
      </c>
      <c r="H1612">
        <f>SUM(AE1444:AE1611)</f>
        <v>0</v>
      </c>
      <c r="J1612">
        <f>SUM(AF1444:AF1611)</f>
        <v>0</v>
      </c>
    </row>
    <row r="1614" spans="1:27" ht="15" x14ac:dyDescent="0.25">
      <c r="A1614" s="53" t="str">
        <f>CONCATENATE("Итого по разделу: ",IF(Source!G1077&lt;&gt;"Новый раздел", Source!G1077, ""))</f>
        <v>Итого по разделу: Замена опор освещения</v>
      </c>
      <c r="B1614" s="53"/>
      <c r="C1614" s="53"/>
      <c r="D1614" s="53"/>
      <c r="E1614" s="53"/>
      <c r="F1614" s="53"/>
      <c r="G1614" s="53"/>
      <c r="H1614" s="51">
        <f>SUM(O1442:O1613)</f>
        <v>200779.02999999997</v>
      </c>
      <c r="I1614" s="52"/>
      <c r="J1614" s="51">
        <f>SUM(P1442:P1613)</f>
        <v>1505592.47</v>
      </c>
      <c r="K1614" s="52"/>
    </row>
    <row r="1615" spans="1:27" hidden="1" x14ac:dyDescent="0.2">
      <c r="A1615" t="s">
        <v>1641</v>
      </c>
      <c r="H1615">
        <f>SUM(AC1442:AC1614)</f>
        <v>0</v>
      </c>
      <c r="J1615">
        <f>SUM(AD1442:AD1614)</f>
        <v>0</v>
      </c>
    </row>
    <row r="1616" spans="1:27" hidden="1" x14ac:dyDescent="0.2">
      <c r="A1616" t="s">
        <v>1642</v>
      </c>
      <c r="H1616">
        <f>SUM(AE1442:AE1615)</f>
        <v>0</v>
      </c>
      <c r="J1616">
        <f>SUM(AF1442:AF1615)</f>
        <v>0</v>
      </c>
    </row>
    <row r="1618" spans="1:11" ht="15" x14ac:dyDescent="0.25">
      <c r="A1618" s="53" t="str">
        <f>CONCATENATE("Итого по локальной смете: ",IF(Source!G1107&lt;&gt;"Новая локальная смета", Source!G1107, ""))</f>
        <v xml:space="preserve">Итого по локальной смете: </v>
      </c>
      <c r="B1618" s="53"/>
      <c r="C1618" s="53"/>
      <c r="D1618" s="53"/>
      <c r="E1618" s="53"/>
      <c r="F1618" s="53"/>
      <c r="G1618" s="53"/>
      <c r="H1618" s="51">
        <f>SUM(O28:O1617)</f>
        <v>3893032.2500000009</v>
      </c>
      <c r="I1618" s="52"/>
      <c r="J1618" s="51">
        <f>SUM(P28:P1617)</f>
        <v>31155249.999999981</v>
      </c>
      <c r="K1618" s="52"/>
    </row>
    <row r="1619" spans="1:11" hidden="1" x14ac:dyDescent="0.2">
      <c r="A1619" t="s">
        <v>1641</v>
      </c>
      <c r="H1619">
        <f>SUM(AC28:AC1618)</f>
        <v>0</v>
      </c>
      <c r="J1619">
        <f>SUM(AD28:AD1618)</f>
        <v>0</v>
      </c>
    </row>
    <row r="1620" spans="1:11" hidden="1" x14ac:dyDescent="0.2">
      <c r="A1620" t="s">
        <v>1642</v>
      </c>
      <c r="H1620">
        <f>SUM(AE28:AE1619)</f>
        <v>0</v>
      </c>
      <c r="J1620">
        <f>SUM(AF28:AF1619)</f>
        <v>0</v>
      </c>
    </row>
    <row r="1622" spans="1:11" ht="15" x14ac:dyDescent="0.25">
      <c r="A1622" s="53" t="s">
        <v>1715</v>
      </c>
      <c r="B1622" s="53"/>
      <c r="C1622" s="53"/>
      <c r="D1622" s="53"/>
      <c r="E1622" s="53"/>
      <c r="F1622" s="53"/>
      <c r="G1622" s="53"/>
      <c r="H1622" s="51">
        <f>SUM(O1:O1621)</f>
        <v>3893032.2500000009</v>
      </c>
      <c r="I1622" s="52"/>
      <c r="J1622" s="51">
        <f>SUM(P1:P1621)</f>
        <v>31155249.999999981</v>
      </c>
      <c r="K1622" s="52"/>
    </row>
    <row r="1623" spans="1:11" hidden="1" x14ac:dyDescent="0.2">
      <c r="A1623" t="s">
        <v>1641</v>
      </c>
      <c r="H1623">
        <f>SUM(AC1:AC1622)</f>
        <v>0</v>
      </c>
      <c r="J1623">
        <f>SUM(AD1:AD1622)</f>
        <v>0</v>
      </c>
    </row>
    <row r="1624" spans="1:11" hidden="1" x14ac:dyDescent="0.2">
      <c r="A1624" t="s">
        <v>1642</v>
      </c>
      <c r="H1624">
        <f>SUM(AE1:AE1623)</f>
        <v>0</v>
      </c>
      <c r="J1624">
        <f>SUM(AF1:AF1623)</f>
        <v>0</v>
      </c>
    </row>
    <row r="1625" spans="1:11" ht="15" x14ac:dyDescent="0.25">
      <c r="C1625" s="49" t="str">
        <f>Source!H1166</f>
        <v>Итого:</v>
      </c>
      <c r="D1625" s="49"/>
      <c r="E1625" s="49"/>
      <c r="F1625" s="49"/>
      <c r="G1625" s="49"/>
      <c r="H1625" s="49"/>
      <c r="I1625" s="49"/>
      <c r="J1625" s="51">
        <f>SUM(P4:P1624)</f>
        <v>31155249.999999981</v>
      </c>
      <c r="K1625" s="52"/>
    </row>
    <row r="1626" spans="1:11" ht="14.25" x14ac:dyDescent="0.2">
      <c r="C1626" s="49" t="str">
        <f>Source!H1167</f>
        <v>НДС 20 %:</v>
      </c>
      <c r="D1626" s="49"/>
      <c r="E1626" s="49"/>
      <c r="F1626" s="49"/>
      <c r="G1626" s="49"/>
      <c r="H1626" s="49"/>
      <c r="I1626" s="49"/>
      <c r="J1626" s="50">
        <f>IF(Source!F1167=0, "", Source!F1167)</f>
        <v>6231050</v>
      </c>
      <c r="K1626" s="50"/>
    </row>
    <row r="1627" spans="1:11" ht="14.25" x14ac:dyDescent="0.2">
      <c r="C1627" s="49" t="str">
        <f>Source!H1168</f>
        <v>Итого по смете:</v>
      </c>
      <c r="D1627" s="49"/>
      <c r="E1627" s="49"/>
      <c r="F1627" s="49"/>
      <c r="G1627" s="49"/>
      <c r="H1627" s="49"/>
      <c r="I1627" s="49"/>
      <c r="J1627" s="50">
        <f>SUM(J1625:J1626)</f>
        <v>37386299.999999985</v>
      </c>
      <c r="K1627" s="50"/>
    </row>
    <row r="1630" spans="1:11" ht="14.25" x14ac:dyDescent="0.2">
      <c r="A1630" s="46" t="s">
        <v>1700</v>
      </c>
      <c r="B1630" s="46"/>
      <c r="C1630" s="31" t="str">
        <f>IF(Source!AC12&lt;&gt;"", Source!AC12," ")</f>
        <v xml:space="preserve"> </v>
      </c>
      <c r="D1630" s="31"/>
      <c r="E1630" s="31"/>
      <c r="F1630" s="31"/>
      <c r="G1630" s="31"/>
      <c r="H1630" s="47" t="str">
        <f>IF(Source!AB12&lt;&gt;"", Source!AB12," ")</f>
        <v xml:space="preserve"> </v>
      </c>
      <c r="I1630" s="47"/>
      <c r="J1630" s="47"/>
      <c r="K1630" s="47"/>
    </row>
    <row r="1631" spans="1:11" ht="14.25" x14ac:dyDescent="0.2">
      <c r="A1631" s="10"/>
      <c r="B1631" s="10"/>
      <c r="C1631" s="48" t="s">
        <v>1701</v>
      </c>
      <c r="D1631" s="48"/>
      <c r="E1631" s="48"/>
      <c r="F1631" s="48"/>
      <c r="G1631" s="48"/>
      <c r="H1631" s="10"/>
      <c r="I1631" s="10"/>
      <c r="J1631" s="10"/>
      <c r="K1631" s="10"/>
    </row>
    <row r="1632" spans="1:11" ht="14.25" x14ac:dyDescent="0.2">
      <c r="A1632" s="10"/>
      <c r="B1632" s="10"/>
      <c r="C1632" s="10"/>
      <c r="D1632" s="10"/>
      <c r="E1632" s="10"/>
      <c r="F1632" s="10"/>
      <c r="G1632" s="10"/>
      <c r="H1632" s="10"/>
      <c r="I1632" s="10"/>
      <c r="J1632" s="10"/>
      <c r="K1632" s="10"/>
    </row>
    <row r="1633" spans="1:11" ht="14.25" x14ac:dyDescent="0.2">
      <c r="A1633" s="46" t="s">
        <v>1702</v>
      </c>
      <c r="B1633" s="46"/>
      <c r="C1633" s="31" t="str">
        <f>IF(Source!AE12&lt;&gt;"", Source!AE12," ")</f>
        <v xml:space="preserve"> </v>
      </c>
      <c r="D1633" s="31"/>
      <c r="E1633" s="31"/>
      <c r="F1633" s="31"/>
      <c r="G1633" s="31"/>
      <c r="H1633" s="47" t="str">
        <f>IF(Source!AD12&lt;&gt;"", Source!AD12," ")</f>
        <v xml:space="preserve"> </v>
      </c>
      <c r="I1633" s="47"/>
      <c r="J1633" s="47"/>
      <c r="K1633" s="47"/>
    </row>
    <row r="1634" spans="1:11" ht="14.25" x14ac:dyDescent="0.2">
      <c r="A1634" s="10"/>
      <c r="B1634" s="10"/>
      <c r="C1634" s="48" t="s">
        <v>1701</v>
      </c>
      <c r="D1634" s="48"/>
      <c r="E1634" s="48"/>
      <c r="F1634" s="48"/>
      <c r="G1634" s="48"/>
      <c r="H1634" s="10"/>
      <c r="I1634" s="10"/>
      <c r="J1634" s="10"/>
      <c r="K1634" s="10"/>
    </row>
    <row r="1636" spans="1:11" ht="14.25" x14ac:dyDescent="0.2">
      <c r="B1636" s="73" t="s">
        <v>1716</v>
      </c>
      <c r="C1636" s="73"/>
      <c r="D1636" s="73"/>
      <c r="E1636" s="73"/>
      <c r="F1636" s="73"/>
      <c r="G1636" s="73"/>
      <c r="H1636" s="73"/>
      <c r="I1636" s="73"/>
    </row>
  </sheetData>
  <mergeCells count="520">
    <mergeCell ref="B1636:I1636"/>
    <mergeCell ref="F20:H20"/>
    <mergeCell ref="F21:H21"/>
    <mergeCell ref="F22:H22"/>
    <mergeCell ref="F23:H23"/>
    <mergeCell ref="A24:K24"/>
    <mergeCell ref="J2:K2"/>
    <mergeCell ref="A12:K12"/>
    <mergeCell ref="A14:K14"/>
    <mergeCell ref="F16:H16"/>
    <mergeCell ref="F17:H17"/>
    <mergeCell ref="F18:H18"/>
    <mergeCell ref="F19:H19"/>
    <mergeCell ref="A3:K3"/>
    <mergeCell ref="A4:K4"/>
    <mergeCell ref="A6:K6"/>
    <mergeCell ref="A7:K7"/>
    <mergeCell ref="A9:K9"/>
    <mergeCell ref="A11:K11"/>
    <mergeCell ref="J57:K57"/>
    <mergeCell ref="H57:I57"/>
    <mergeCell ref="J64:K64"/>
    <mergeCell ref="H64:I64"/>
    <mergeCell ref="J70:K70"/>
    <mergeCell ref="H70:I70"/>
    <mergeCell ref="A28:K28"/>
    <mergeCell ref="A30:K30"/>
    <mergeCell ref="J37:K37"/>
    <mergeCell ref="H37:I37"/>
    <mergeCell ref="J47:K47"/>
    <mergeCell ref="H47:I47"/>
    <mergeCell ref="J111:K111"/>
    <mergeCell ref="H111:I111"/>
    <mergeCell ref="J124:K124"/>
    <mergeCell ref="H124:I124"/>
    <mergeCell ref="J136:K136"/>
    <mergeCell ref="H136:I136"/>
    <mergeCell ref="J77:K77"/>
    <mergeCell ref="H77:I77"/>
    <mergeCell ref="J87:K87"/>
    <mergeCell ref="H87:I87"/>
    <mergeCell ref="J99:K99"/>
    <mergeCell ref="H99:I99"/>
    <mergeCell ref="J183:K183"/>
    <mergeCell ref="H183:I183"/>
    <mergeCell ref="J186:K186"/>
    <mergeCell ref="H186:I186"/>
    <mergeCell ref="J189:K189"/>
    <mergeCell ref="H189:I189"/>
    <mergeCell ref="J153:K153"/>
    <mergeCell ref="H153:I153"/>
    <mergeCell ref="J165:K165"/>
    <mergeCell ref="H165:I165"/>
    <mergeCell ref="J178:K178"/>
    <mergeCell ref="H178:I178"/>
    <mergeCell ref="J204:K204"/>
    <mergeCell ref="H204:I204"/>
    <mergeCell ref="A204:G204"/>
    <mergeCell ref="A208:K208"/>
    <mergeCell ref="J215:K215"/>
    <mergeCell ref="H215:I215"/>
    <mergeCell ref="J196:K196"/>
    <mergeCell ref="H196:I196"/>
    <mergeCell ref="J199:K199"/>
    <mergeCell ref="H199:I199"/>
    <mergeCell ref="J202:K202"/>
    <mergeCell ref="H202:I202"/>
    <mergeCell ref="J256:K256"/>
    <mergeCell ref="H256:I256"/>
    <mergeCell ref="J266:K266"/>
    <mergeCell ref="H266:I266"/>
    <mergeCell ref="J278:K278"/>
    <mergeCell ref="H278:I278"/>
    <mergeCell ref="J222:K222"/>
    <mergeCell ref="H222:I222"/>
    <mergeCell ref="J232:K232"/>
    <mergeCell ref="H232:I232"/>
    <mergeCell ref="J244:K244"/>
    <mergeCell ref="H244:I244"/>
    <mergeCell ref="J303:K303"/>
    <mergeCell ref="H303:I303"/>
    <mergeCell ref="J306:K306"/>
    <mergeCell ref="H306:I306"/>
    <mergeCell ref="J309:K309"/>
    <mergeCell ref="H309:I309"/>
    <mergeCell ref="J292:K292"/>
    <mergeCell ref="H292:I292"/>
    <mergeCell ref="J297:K297"/>
    <mergeCell ref="H297:I297"/>
    <mergeCell ref="J300:K300"/>
    <mergeCell ref="H300:I300"/>
    <mergeCell ref="J329:K329"/>
    <mergeCell ref="H329:I329"/>
    <mergeCell ref="J343:K343"/>
    <mergeCell ref="H343:I343"/>
    <mergeCell ref="J345:K345"/>
    <mergeCell ref="H345:I345"/>
    <mergeCell ref="J311:K311"/>
    <mergeCell ref="H311:I311"/>
    <mergeCell ref="A311:G311"/>
    <mergeCell ref="A315:K315"/>
    <mergeCell ref="J322:K322"/>
    <mergeCell ref="H322:I322"/>
    <mergeCell ref="J359:K359"/>
    <mergeCell ref="H359:I359"/>
    <mergeCell ref="J362:K362"/>
    <mergeCell ref="H362:I362"/>
    <mergeCell ref="J364:K364"/>
    <mergeCell ref="H364:I364"/>
    <mergeCell ref="J350:K350"/>
    <mergeCell ref="H350:I350"/>
    <mergeCell ref="J353:K353"/>
    <mergeCell ref="H353:I353"/>
    <mergeCell ref="J356:K356"/>
    <mergeCell ref="H356:I356"/>
    <mergeCell ref="J400:K400"/>
    <mergeCell ref="H400:I400"/>
    <mergeCell ref="J413:K413"/>
    <mergeCell ref="H413:I413"/>
    <mergeCell ref="J423:K423"/>
    <mergeCell ref="H423:I423"/>
    <mergeCell ref="A364:G364"/>
    <mergeCell ref="A368:K368"/>
    <mergeCell ref="J374:K374"/>
    <mergeCell ref="H374:I374"/>
    <mergeCell ref="J386:K386"/>
    <mergeCell ref="H386:I386"/>
    <mergeCell ref="A431:G431"/>
    <mergeCell ref="A435:K435"/>
    <mergeCell ref="J443:K443"/>
    <mergeCell ref="H443:I443"/>
    <mergeCell ref="J449:K449"/>
    <mergeCell ref="H449:I449"/>
    <mergeCell ref="J426:K426"/>
    <mergeCell ref="H426:I426"/>
    <mergeCell ref="J429:K429"/>
    <mergeCell ref="H429:I429"/>
    <mergeCell ref="J431:K431"/>
    <mergeCell ref="H431:I431"/>
    <mergeCell ref="A503:G503"/>
    <mergeCell ref="A507:K507"/>
    <mergeCell ref="J492:K492"/>
    <mergeCell ref="H492:I492"/>
    <mergeCell ref="J495:K495"/>
    <mergeCell ref="H495:I495"/>
    <mergeCell ref="J498:K498"/>
    <mergeCell ref="H498:I498"/>
    <mergeCell ref="J461:K461"/>
    <mergeCell ref="H461:I461"/>
    <mergeCell ref="J475:K475"/>
    <mergeCell ref="H475:I475"/>
    <mergeCell ref="J487:K487"/>
    <mergeCell ref="H487:I487"/>
    <mergeCell ref="J517:K517"/>
    <mergeCell ref="H517:I517"/>
    <mergeCell ref="J527:K527"/>
    <mergeCell ref="H527:I527"/>
    <mergeCell ref="J533:K533"/>
    <mergeCell ref="H533:I533"/>
    <mergeCell ref="J501:K501"/>
    <mergeCell ref="H501:I501"/>
    <mergeCell ref="J503:K503"/>
    <mergeCell ref="H503:I503"/>
    <mergeCell ref="J546:K546"/>
    <mergeCell ref="H546:I546"/>
    <mergeCell ref="A546:G546"/>
    <mergeCell ref="A550:K550"/>
    <mergeCell ref="J557:K557"/>
    <mergeCell ref="H557:I557"/>
    <mergeCell ref="J538:K538"/>
    <mergeCell ref="H538:I538"/>
    <mergeCell ref="J541:K541"/>
    <mergeCell ref="H541:I541"/>
    <mergeCell ref="J544:K544"/>
    <mergeCell ref="H544:I544"/>
    <mergeCell ref="A586:G586"/>
    <mergeCell ref="A590:K590"/>
    <mergeCell ref="J600:K600"/>
    <mergeCell ref="H600:I600"/>
    <mergeCell ref="J611:K611"/>
    <mergeCell ref="H611:I611"/>
    <mergeCell ref="J570:K570"/>
    <mergeCell ref="H570:I570"/>
    <mergeCell ref="J584:K584"/>
    <mergeCell ref="H584:I584"/>
    <mergeCell ref="J586:K586"/>
    <mergeCell ref="H586:I586"/>
    <mergeCell ref="J639:K639"/>
    <mergeCell ref="H639:I639"/>
    <mergeCell ref="J652:K652"/>
    <mergeCell ref="H652:I652"/>
    <mergeCell ref="J662:K662"/>
    <mergeCell ref="H662:I662"/>
    <mergeCell ref="J622:K622"/>
    <mergeCell ref="H622:I622"/>
    <mergeCell ref="J633:K633"/>
    <mergeCell ref="H633:I633"/>
    <mergeCell ref="J636:K636"/>
    <mergeCell ref="H636:I636"/>
    <mergeCell ref="J703:K703"/>
    <mergeCell ref="H703:I703"/>
    <mergeCell ref="J713:K713"/>
    <mergeCell ref="H713:I713"/>
    <mergeCell ref="J724:K724"/>
    <mergeCell ref="H724:I724"/>
    <mergeCell ref="J672:K672"/>
    <mergeCell ref="H672:I672"/>
    <mergeCell ref="J682:K682"/>
    <mergeCell ref="H682:I682"/>
    <mergeCell ref="J692:K692"/>
    <mergeCell ref="H692:I692"/>
    <mergeCell ref="A761:K761"/>
    <mergeCell ref="J763:K763"/>
    <mergeCell ref="H763:I763"/>
    <mergeCell ref="J765:K765"/>
    <mergeCell ref="H765:I765"/>
    <mergeCell ref="J767:K767"/>
    <mergeCell ref="H767:I767"/>
    <mergeCell ref="A767:G767"/>
    <mergeCell ref="J735:K735"/>
    <mergeCell ref="H735:I735"/>
    <mergeCell ref="J746:K746"/>
    <mergeCell ref="H746:I746"/>
    <mergeCell ref="J759:K759"/>
    <mergeCell ref="H759:I759"/>
    <mergeCell ref="J788:K788"/>
    <mergeCell ref="H788:I788"/>
    <mergeCell ref="J798:K798"/>
    <mergeCell ref="H798:I798"/>
    <mergeCell ref="J807:K807"/>
    <mergeCell ref="H807:I807"/>
    <mergeCell ref="J771:K771"/>
    <mergeCell ref="H771:I771"/>
    <mergeCell ref="A771:G771"/>
    <mergeCell ref="A775:K775"/>
    <mergeCell ref="J781:K781"/>
    <mergeCell ref="H781:I781"/>
    <mergeCell ref="J851:K851"/>
    <mergeCell ref="H851:I851"/>
    <mergeCell ref="J860:K860"/>
    <mergeCell ref="H860:I860"/>
    <mergeCell ref="J873:K873"/>
    <mergeCell ref="H873:I873"/>
    <mergeCell ref="J817:K817"/>
    <mergeCell ref="H817:I817"/>
    <mergeCell ref="J824:K824"/>
    <mergeCell ref="H824:I824"/>
    <mergeCell ref="J839:K839"/>
    <mergeCell ref="H839:I839"/>
    <mergeCell ref="A913:G913"/>
    <mergeCell ref="A917:K917"/>
    <mergeCell ref="J902:K902"/>
    <mergeCell ref="H902:I902"/>
    <mergeCell ref="J905:K905"/>
    <mergeCell ref="H905:I905"/>
    <mergeCell ref="J908:K908"/>
    <mergeCell ref="H908:I908"/>
    <mergeCell ref="J883:K883"/>
    <mergeCell ref="H883:I883"/>
    <mergeCell ref="J894:K894"/>
    <mergeCell ref="H894:I894"/>
    <mergeCell ref="J899:K899"/>
    <mergeCell ref="H899:I899"/>
    <mergeCell ref="J927:K927"/>
    <mergeCell ref="H927:I927"/>
    <mergeCell ref="J936:K936"/>
    <mergeCell ref="H936:I936"/>
    <mergeCell ref="J949:K949"/>
    <mergeCell ref="H949:I949"/>
    <mergeCell ref="J911:K911"/>
    <mergeCell ref="H911:I911"/>
    <mergeCell ref="J913:K913"/>
    <mergeCell ref="H913:I913"/>
    <mergeCell ref="J962:K962"/>
    <mergeCell ref="H962:I962"/>
    <mergeCell ref="A962:G962"/>
    <mergeCell ref="A966:K966"/>
    <mergeCell ref="A968:K968"/>
    <mergeCell ref="J980:K980"/>
    <mergeCell ref="H980:I980"/>
    <mergeCell ref="J954:K954"/>
    <mergeCell ref="H954:I954"/>
    <mergeCell ref="J957:K957"/>
    <mergeCell ref="H957:I957"/>
    <mergeCell ref="J960:K960"/>
    <mergeCell ref="H960:I960"/>
    <mergeCell ref="J1029:K1029"/>
    <mergeCell ref="H1029:I1029"/>
    <mergeCell ref="A1029:G1029"/>
    <mergeCell ref="A1033:K1033"/>
    <mergeCell ref="J1035:K1035"/>
    <mergeCell ref="H1035:I1035"/>
    <mergeCell ref="J996:K996"/>
    <mergeCell ref="H996:I996"/>
    <mergeCell ref="J1014:K1014"/>
    <mergeCell ref="H1014:I1014"/>
    <mergeCell ref="J1027:K1027"/>
    <mergeCell ref="H1027:I1027"/>
    <mergeCell ref="J1043:K1043"/>
    <mergeCell ref="H1043:I1043"/>
    <mergeCell ref="J1045:K1045"/>
    <mergeCell ref="H1045:I1045"/>
    <mergeCell ref="J1047:K1047"/>
    <mergeCell ref="H1047:I1047"/>
    <mergeCell ref="J1037:K1037"/>
    <mergeCell ref="H1037:I1037"/>
    <mergeCell ref="J1039:K1039"/>
    <mergeCell ref="H1039:I1039"/>
    <mergeCell ref="J1041:K1041"/>
    <mergeCell ref="H1041:I1041"/>
    <mergeCell ref="J1055:K1055"/>
    <mergeCell ref="H1055:I1055"/>
    <mergeCell ref="J1057:K1057"/>
    <mergeCell ref="H1057:I1057"/>
    <mergeCell ref="J1059:K1059"/>
    <mergeCell ref="H1059:I1059"/>
    <mergeCell ref="J1049:K1049"/>
    <mergeCell ref="H1049:I1049"/>
    <mergeCell ref="J1051:K1051"/>
    <mergeCell ref="H1051:I1051"/>
    <mergeCell ref="J1053:K1053"/>
    <mergeCell ref="H1053:I1053"/>
    <mergeCell ref="J1084:K1084"/>
    <mergeCell ref="H1084:I1084"/>
    <mergeCell ref="J1086:K1086"/>
    <mergeCell ref="H1086:I1086"/>
    <mergeCell ref="A1086:G1086"/>
    <mergeCell ref="J1090:K1090"/>
    <mergeCell ref="H1090:I1090"/>
    <mergeCell ref="A1090:G1090"/>
    <mergeCell ref="J1061:K1061"/>
    <mergeCell ref="H1061:I1061"/>
    <mergeCell ref="J1063:K1063"/>
    <mergeCell ref="H1063:I1063"/>
    <mergeCell ref="A1063:G1063"/>
    <mergeCell ref="A1067:K1067"/>
    <mergeCell ref="J1126:K1126"/>
    <mergeCell ref="H1126:I1126"/>
    <mergeCell ref="J1134:K1134"/>
    <mergeCell ref="H1134:I1134"/>
    <mergeCell ref="J1142:K1142"/>
    <mergeCell ref="H1142:I1142"/>
    <mergeCell ref="A1094:K1094"/>
    <mergeCell ref="J1101:K1101"/>
    <mergeCell ref="H1101:I1101"/>
    <mergeCell ref="J1107:K1107"/>
    <mergeCell ref="H1107:I1107"/>
    <mergeCell ref="J1118:K1118"/>
    <mergeCell ref="H1118:I1118"/>
    <mergeCell ref="J1161:K1161"/>
    <mergeCell ref="H1161:I1161"/>
    <mergeCell ref="J1163:K1163"/>
    <mergeCell ref="H1163:I1163"/>
    <mergeCell ref="A1163:G1163"/>
    <mergeCell ref="A1167:K1167"/>
    <mergeCell ref="J1144:K1144"/>
    <mergeCell ref="H1144:I1144"/>
    <mergeCell ref="J1155:K1155"/>
    <mergeCell ref="H1155:I1155"/>
    <mergeCell ref="J1158:K1158"/>
    <mergeCell ref="H1158:I1158"/>
    <mergeCell ref="J1207:K1207"/>
    <mergeCell ref="H1207:I1207"/>
    <mergeCell ref="J1214:K1214"/>
    <mergeCell ref="H1214:I1214"/>
    <mergeCell ref="J1217:K1217"/>
    <mergeCell ref="H1217:I1217"/>
    <mergeCell ref="J1176:K1176"/>
    <mergeCell ref="H1176:I1176"/>
    <mergeCell ref="J1187:K1187"/>
    <mergeCell ref="H1187:I1187"/>
    <mergeCell ref="J1198:K1198"/>
    <mergeCell ref="H1198:I1198"/>
    <mergeCell ref="J1228:K1228"/>
    <mergeCell ref="H1228:I1228"/>
    <mergeCell ref="J1230:K1230"/>
    <mergeCell ref="H1230:I1230"/>
    <mergeCell ref="J1232:K1232"/>
    <mergeCell ref="H1232:I1232"/>
    <mergeCell ref="J1220:K1220"/>
    <mergeCell ref="H1220:I1220"/>
    <mergeCell ref="A1222:K1222"/>
    <mergeCell ref="J1224:K1224"/>
    <mergeCell ref="H1224:I1224"/>
    <mergeCell ref="J1226:K1226"/>
    <mergeCell ref="H1226:I1226"/>
    <mergeCell ref="J1240:K1240"/>
    <mergeCell ref="H1240:I1240"/>
    <mergeCell ref="J1243:K1243"/>
    <mergeCell ref="H1243:I1243"/>
    <mergeCell ref="J1246:K1246"/>
    <mergeCell ref="H1246:I1246"/>
    <mergeCell ref="J1234:K1234"/>
    <mergeCell ref="H1234:I1234"/>
    <mergeCell ref="J1236:K1236"/>
    <mergeCell ref="H1236:I1236"/>
    <mergeCell ref="J1238:K1238"/>
    <mergeCell ref="H1238:I1238"/>
    <mergeCell ref="A1256:K1256"/>
    <mergeCell ref="J1266:K1266"/>
    <mergeCell ref="H1266:I1266"/>
    <mergeCell ref="J1273:K1273"/>
    <mergeCell ref="H1273:I1273"/>
    <mergeCell ref="J1284:K1284"/>
    <mergeCell ref="H1284:I1284"/>
    <mergeCell ref="J1248:K1248"/>
    <mergeCell ref="H1248:I1248"/>
    <mergeCell ref="A1248:G1248"/>
    <mergeCell ref="J1252:K1252"/>
    <mergeCell ref="H1252:I1252"/>
    <mergeCell ref="A1252:G1252"/>
    <mergeCell ref="J1318:K1318"/>
    <mergeCell ref="H1318:I1318"/>
    <mergeCell ref="J1324:K1324"/>
    <mergeCell ref="H1324:I1324"/>
    <mergeCell ref="J1331:K1331"/>
    <mergeCell ref="H1331:I1331"/>
    <mergeCell ref="J1293:K1293"/>
    <mergeCell ref="H1293:I1293"/>
    <mergeCell ref="J1306:K1306"/>
    <mergeCell ref="H1306:I1306"/>
    <mergeCell ref="J1316:K1316"/>
    <mergeCell ref="H1316:I1316"/>
    <mergeCell ref="J1375:K1375"/>
    <mergeCell ref="H1375:I1375"/>
    <mergeCell ref="J1383:K1383"/>
    <mergeCell ref="H1383:I1383"/>
    <mergeCell ref="J1385:K1385"/>
    <mergeCell ref="H1385:I1385"/>
    <mergeCell ref="J1341:K1341"/>
    <mergeCell ref="H1341:I1341"/>
    <mergeCell ref="J1352:K1352"/>
    <mergeCell ref="H1352:I1352"/>
    <mergeCell ref="J1363:K1363"/>
    <mergeCell ref="H1363:I1363"/>
    <mergeCell ref="J1406:K1406"/>
    <mergeCell ref="H1406:I1406"/>
    <mergeCell ref="J1409:K1409"/>
    <mergeCell ref="H1409:I1409"/>
    <mergeCell ref="J1411:K1411"/>
    <mergeCell ref="H1411:I1411"/>
    <mergeCell ref="J1395:K1395"/>
    <mergeCell ref="H1395:I1395"/>
    <mergeCell ref="J1397:K1397"/>
    <mergeCell ref="H1397:I1397"/>
    <mergeCell ref="J1403:K1403"/>
    <mergeCell ref="H1403:I1403"/>
    <mergeCell ref="J1438:K1438"/>
    <mergeCell ref="H1438:I1438"/>
    <mergeCell ref="A1438:G1438"/>
    <mergeCell ref="A1442:K1442"/>
    <mergeCell ref="A1444:K1444"/>
    <mergeCell ref="J1454:K1454"/>
    <mergeCell ref="H1454:I1454"/>
    <mergeCell ref="A1411:G1411"/>
    <mergeCell ref="A1415:K1415"/>
    <mergeCell ref="J1425:K1425"/>
    <mergeCell ref="H1425:I1425"/>
    <mergeCell ref="J1436:K1436"/>
    <mergeCell ref="H1436:I1436"/>
    <mergeCell ref="J1481:K1481"/>
    <mergeCell ref="H1481:I1481"/>
    <mergeCell ref="J1493:K1493"/>
    <mergeCell ref="H1493:I1493"/>
    <mergeCell ref="J1505:K1505"/>
    <mergeCell ref="H1505:I1505"/>
    <mergeCell ref="J1457:K1457"/>
    <mergeCell ref="H1457:I1457"/>
    <mergeCell ref="J1460:K1460"/>
    <mergeCell ref="H1460:I1460"/>
    <mergeCell ref="J1472:K1472"/>
    <mergeCell ref="H1472:I1472"/>
    <mergeCell ref="J1546:K1546"/>
    <mergeCell ref="H1546:I1546"/>
    <mergeCell ref="J1555:K1555"/>
    <mergeCell ref="H1555:I1555"/>
    <mergeCell ref="J1565:K1565"/>
    <mergeCell ref="H1565:I1565"/>
    <mergeCell ref="J1515:K1515"/>
    <mergeCell ref="H1515:I1515"/>
    <mergeCell ref="J1526:K1526"/>
    <mergeCell ref="H1526:I1526"/>
    <mergeCell ref="J1536:K1536"/>
    <mergeCell ref="H1536:I1536"/>
    <mergeCell ref="J1602:K1602"/>
    <mergeCell ref="H1602:I1602"/>
    <mergeCell ref="J1605:K1605"/>
    <mergeCell ref="H1605:I1605"/>
    <mergeCell ref="J1608:K1608"/>
    <mergeCell ref="H1608:I1608"/>
    <mergeCell ref="J1576:K1576"/>
    <mergeCell ref="H1576:I1576"/>
    <mergeCell ref="J1590:K1590"/>
    <mergeCell ref="H1590:I1590"/>
    <mergeCell ref="J1596:K1596"/>
    <mergeCell ref="H1596:I1596"/>
    <mergeCell ref="J1618:K1618"/>
    <mergeCell ref="H1618:I1618"/>
    <mergeCell ref="A1618:G1618"/>
    <mergeCell ref="J1622:K1622"/>
    <mergeCell ref="H1622:I1622"/>
    <mergeCell ref="A1622:G1622"/>
    <mergeCell ref="J1610:K1610"/>
    <mergeCell ref="H1610:I1610"/>
    <mergeCell ref="A1610:G1610"/>
    <mergeCell ref="J1614:K1614"/>
    <mergeCell ref="H1614:I1614"/>
    <mergeCell ref="A1614:G1614"/>
    <mergeCell ref="A1630:B1630"/>
    <mergeCell ref="H1630:K1630"/>
    <mergeCell ref="C1631:G1631"/>
    <mergeCell ref="A1633:B1633"/>
    <mergeCell ref="H1633:K1633"/>
    <mergeCell ref="C1634:G1634"/>
    <mergeCell ref="C1625:I1625"/>
    <mergeCell ref="J1625:K1625"/>
    <mergeCell ref="C1626:I1626"/>
    <mergeCell ref="J1626:K1626"/>
    <mergeCell ref="C1627:I1627"/>
    <mergeCell ref="J1627:K1627"/>
  </mergeCells>
  <pageMargins left="0.4" right="0.2" top="0.2" bottom="0.4" header="0.2" footer="0.2"/>
  <pageSetup paperSize="9" scale="68" fitToHeight="0" orientation="portrait" r:id="rId1"/>
  <headerFooter>
    <oddHeader>&amp;L&amp;8</oddHead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AE359"/>
  <sheetViews>
    <sheetView topLeftCell="A346" zoomScaleNormal="100" workbookViewId="0">
      <selection activeCell="A323" sqref="A323:E323"/>
    </sheetView>
  </sheetViews>
  <sheetFormatPr defaultRowHeight="12.75" x14ac:dyDescent="0.2"/>
  <cols>
    <col min="1" max="1" width="6.7109375" customWidth="1"/>
    <col min="2" max="2" width="75.7109375" customWidth="1"/>
    <col min="3" max="5" width="15.7109375" customWidth="1"/>
    <col min="30" max="30" width="0" hidden="1" customWidth="1"/>
    <col min="31" max="31" width="129.7109375" hidden="1" customWidth="1"/>
  </cols>
  <sheetData>
    <row r="1" spans="1:5" x14ac:dyDescent="0.2">
      <c r="A1" s="9" t="str">
        <f>Source!B1</f>
        <v>Smeta.RU Flash  (495) 974-1589</v>
      </c>
    </row>
    <row r="2" spans="1:5" ht="14.25" x14ac:dyDescent="0.2">
      <c r="B2" s="10"/>
      <c r="C2" s="10"/>
      <c r="D2" s="10"/>
    </row>
    <row r="3" spans="1:5" ht="15" x14ac:dyDescent="0.25">
      <c r="B3" s="32" t="s">
        <v>1703</v>
      </c>
      <c r="C3" s="10"/>
      <c r="D3" s="29" t="s">
        <v>1705</v>
      </c>
    </row>
    <row r="4" spans="1:5" ht="15" x14ac:dyDescent="0.25">
      <c r="B4" s="10"/>
      <c r="C4" s="29"/>
      <c r="D4" s="29"/>
    </row>
    <row r="5" spans="1:5" ht="15" x14ac:dyDescent="0.25">
      <c r="B5" s="32" t="s">
        <v>1704</v>
      </c>
      <c r="C5" s="70" t="s">
        <v>1704</v>
      </c>
      <c r="D5" s="70"/>
    </row>
    <row r="6" spans="1:5" ht="15" x14ac:dyDescent="0.25">
      <c r="B6" s="10"/>
      <c r="C6" s="33"/>
      <c r="D6" s="33"/>
    </row>
    <row r="7" spans="1:5" ht="15" x14ac:dyDescent="0.25">
      <c r="B7" s="32" t="s">
        <v>1704</v>
      </c>
      <c r="C7" s="70" t="s">
        <v>1704</v>
      </c>
      <c r="D7" s="70"/>
    </row>
    <row r="8" spans="1:5" ht="15" x14ac:dyDescent="0.25">
      <c r="B8" s="10"/>
      <c r="C8" s="33"/>
      <c r="D8" s="33"/>
    </row>
    <row r="9" spans="1:5" ht="15" x14ac:dyDescent="0.25">
      <c r="C9" s="29" t="s">
        <v>1706</v>
      </c>
      <c r="D9" s="10"/>
    </row>
    <row r="10" spans="1:5" ht="14.25" x14ac:dyDescent="0.2">
      <c r="A10" s="10"/>
      <c r="B10" s="10"/>
      <c r="C10" s="10"/>
      <c r="D10" s="10"/>
      <c r="E10" s="10"/>
    </row>
    <row r="11" spans="1:5" ht="15.75" x14ac:dyDescent="0.25">
      <c r="A11" s="71" t="str">
        <f>CONCATENATE("Дефектный акт ", IF(Source!AN15&lt;&gt;"", Source!AN15," "))</f>
        <v xml:space="preserve">Дефектный акт  </v>
      </c>
      <c r="B11" s="71"/>
      <c r="C11" s="71"/>
      <c r="D11" s="71"/>
      <c r="E11" s="10"/>
    </row>
    <row r="12" spans="1:5" ht="15" x14ac:dyDescent="0.25">
      <c r="A12" s="72" t="str">
        <f>CONCATENATE("На капитальный ремонт ", Source!G12)</f>
        <v>На капитальный ремонт Ремонт гольфполя Химки-2</v>
      </c>
      <c r="B12" s="72"/>
      <c r="C12" s="72"/>
      <c r="D12" s="72"/>
      <c r="E12" s="10"/>
    </row>
    <row r="13" spans="1:5" ht="14.25" x14ac:dyDescent="0.2">
      <c r="A13" s="10"/>
      <c r="B13" s="10"/>
      <c r="C13" s="10"/>
      <c r="D13" s="10"/>
      <c r="E13" s="10"/>
    </row>
    <row r="14" spans="1:5" ht="15" x14ac:dyDescent="0.2">
      <c r="A14" s="10"/>
      <c r="B14" s="34" t="s">
        <v>1707</v>
      </c>
      <c r="C14" s="10"/>
      <c r="D14" s="10"/>
      <c r="E14" s="10"/>
    </row>
    <row r="15" spans="1:5" ht="15" x14ac:dyDescent="0.2">
      <c r="A15" s="10"/>
      <c r="B15" s="34" t="s">
        <v>1708</v>
      </c>
      <c r="C15" s="10"/>
      <c r="D15" s="10"/>
      <c r="E15" s="10"/>
    </row>
    <row r="16" spans="1:5" ht="15" x14ac:dyDescent="0.2">
      <c r="A16" s="10"/>
      <c r="B16" s="34" t="s">
        <v>1709</v>
      </c>
      <c r="C16" s="10"/>
      <c r="D16" s="10"/>
      <c r="E16" s="10"/>
    </row>
    <row r="17" spans="1:5" ht="28.5" x14ac:dyDescent="0.2">
      <c r="A17" s="13" t="s">
        <v>1710</v>
      </c>
      <c r="B17" s="13" t="s">
        <v>1614</v>
      </c>
      <c r="C17" s="13" t="s">
        <v>1615</v>
      </c>
      <c r="D17" s="13" t="s">
        <v>1711</v>
      </c>
      <c r="E17" s="14" t="s">
        <v>1712</v>
      </c>
    </row>
    <row r="18" spans="1:5" ht="14.25" x14ac:dyDescent="0.2">
      <c r="A18" s="35">
        <v>1</v>
      </c>
      <c r="B18" s="35">
        <v>2</v>
      </c>
      <c r="C18" s="35">
        <v>3</v>
      </c>
      <c r="D18" s="35">
        <v>4</v>
      </c>
      <c r="E18" s="36">
        <v>5</v>
      </c>
    </row>
    <row r="19" spans="1:5" ht="16.5" x14ac:dyDescent="0.25">
      <c r="A19" s="69" t="str">
        <f>CONCATENATE("Локальная смета: ", Source!G20)</f>
        <v>Локальная смета: Новая локальная смета</v>
      </c>
      <c r="B19" s="69"/>
      <c r="C19" s="69"/>
      <c r="D19" s="69"/>
      <c r="E19" s="69"/>
    </row>
    <row r="20" spans="1:5" ht="16.5" x14ac:dyDescent="0.25">
      <c r="A20" s="68" t="str">
        <f>CONCATENATE("Раздел: ", Source!G24)</f>
        <v>Раздел: Покрытие "Искусственная трава" 13 мм, на площади 787 кв.м</v>
      </c>
      <c r="B20" s="68"/>
      <c r="C20" s="68"/>
      <c r="D20" s="68"/>
      <c r="E20" s="68"/>
    </row>
    <row r="21" spans="1:5" ht="14.25" x14ac:dyDescent="0.2">
      <c r="A21" s="41" t="str">
        <f>Source!E28</f>
        <v>1</v>
      </c>
      <c r="B21" s="42" t="str">
        <f>Source!G28</f>
        <v>Разбивка участка</v>
      </c>
      <c r="C21" s="43" t="str">
        <f>Source!H28</f>
        <v>100 м2</v>
      </c>
      <c r="D21" s="44">
        <f>Source!I28</f>
        <v>7.87</v>
      </c>
      <c r="E21" s="42"/>
    </row>
    <row r="22" spans="1:5" ht="14.25" x14ac:dyDescent="0.2">
      <c r="A22" s="41" t="str">
        <f>Source!E29</f>
        <v>2</v>
      </c>
      <c r="B22" s="42" t="str">
        <f>Source!G29</f>
        <v>Устройство покрытия "искусственная трава" (демонтаж)</v>
      </c>
      <c r="C22" s="43" t="str">
        <f>Source!H29</f>
        <v>100 м2</v>
      </c>
      <c r="D22" s="44">
        <f>Source!I29</f>
        <v>7.87</v>
      </c>
      <c r="E22" s="42"/>
    </row>
    <row r="23" spans="1:5" ht="28.5" x14ac:dyDescent="0.2">
      <c r="A23" s="41" t="str">
        <f>Source!E30</f>
        <v>3</v>
      </c>
      <c r="B23" s="42" t="str">
        <f>Source!G30</f>
        <v>Разборка покрытий и оснований цементобетонных (толщина 0,2 м)</v>
      </c>
      <c r="C23" s="43" t="str">
        <f>Source!H30</f>
        <v>100 м3 конструкций</v>
      </c>
      <c r="D23" s="44">
        <f>Source!I30</f>
        <v>1.5740000000000001</v>
      </c>
      <c r="E23" s="42"/>
    </row>
    <row r="24" spans="1:5" ht="14.25" x14ac:dyDescent="0.2">
      <c r="A24" s="41" t="str">
        <f>Source!E31</f>
        <v>4</v>
      </c>
      <c r="B24" s="42" t="str">
        <f>Source!G31</f>
        <v>Планировка участка вручную</v>
      </c>
      <c r="C24" s="43" t="str">
        <f>Source!H31</f>
        <v>100 м2</v>
      </c>
      <c r="D24" s="44">
        <f>Source!I31</f>
        <v>7.87</v>
      </c>
      <c r="E24" s="42"/>
    </row>
    <row r="25" spans="1:5" ht="42.75" x14ac:dyDescent="0.2">
      <c r="A25" s="41" t="str">
        <f>Source!E32</f>
        <v>5</v>
      </c>
      <c r="B25" s="42" t="str">
        <f>Source!G32</f>
        <v>Планировка земляного полотна средствами малой механизации</v>
      </c>
      <c r="C25" s="43" t="str">
        <f>Source!H32</f>
        <v>100 м2 спланированного покрытия</v>
      </c>
      <c r="D25" s="44">
        <f>Source!I32</f>
        <v>7.87</v>
      </c>
      <c r="E25" s="42"/>
    </row>
    <row r="26" spans="1:5" ht="28.5" x14ac:dyDescent="0.2">
      <c r="A26" s="41" t="str">
        <f>Source!E33</f>
        <v>6</v>
      </c>
      <c r="B26" s="42" t="str">
        <f>Source!G33</f>
        <v>Разработка грунта вручную в траншеях глубиной до 2 м без креплений с откосами группа грунтов 1-3 (вручную 25%)</v>
      </c>
      <c r="C26" s="43" t="str">
        <f>Source!H33</f>
        <v>100 м3 грунта</v>
      </c>
      <c r="D26" s="44">
        <f>Source!I33</f>
        <v>1.5740000000000001</v>
      </c>
      <c r="E26" s="42"/>
    </row>
    <row r="27" spans="1:5" ht="42.75" x14ac:dyDescent="0.2">
      <c r="A27" s="41" t="str">
        <f>Source!E34</f>
        <v>7</v>
      </c>
      <c r="B27" s="42" t="str">
        <f>Source!G34</f>
        <v>Разработка грунта с погрузкой на автомобили-самосвалы экскаваторами с ковшом вместимостью 0,5 м3 группа грунтов 1-3 (механизированно 75%)</v>
      </c>
      <c r="C27" s="43" t="str">
        <f>Source!H34</f>
        <v>100 м3 грунта</v>
      </c>
      <c r="D27" s="44">
        <f>Source!I34</f>
        <v>1.5740000000000001</v>
      </c>
      <c r="E27" s="42"/>
    </row>
    <row r="28" spans="1:5" ht="57" x14ac:dyDescent="0.2">
      <c r="A28" s="41" t="str">
        <f>Source!E35</f>
        <v>8</v>
      </c>
      <c r="B28" s="42" t="str">
        <f>Source!G35</f>
        <v>Устройство подстилающих и выравнивающих слоев оснований из щебня (787*0,2=157,4 куб.м)</v>
      </c>
      <c r="C28" s="43" t="str">
        <f>Source!H35</f>
        <v>100 м3 материала основания (в плотном теле)</v>
      </c>
      <c r="D28" s="44">
        <f>Source!I35</f>
        <v>1.5740000000000001</v>
      </c>
      <c r="E28" s="42"/>
    </row>
    <row r="29" spans="1:5" ht="28.5" x14ac:dyDescent="0.2">
      <c r="A29" s="41" t="str">
        <f>Source!E36</f>
        <v>8,1</v>
      </c>
      <c r="B29" s="42" t="str">
        <f>Source!G36</f>
        <v>Щебень из естественного камня для дорожных работ, марка 1200 - 800, фракция 40-70 мм</v>
      </c>
      <c r="C29" s="43" t="str">
        <f>Source!H36</f>
        <v>м3</v>
      </c>
      <c r="D29" s="44">
        <f>Source!I36</f>
        <v>157.4</v>
      </c>
      <c r="E29" s="42"/>
    </row>
    <row r="30" spans="1:5" ht="57" x14ac:dyDescent="0.2">
      <c r="A30" s="41" t="str">
        <f>Source!E37</f>
        <v>9</v>
      </c>
      <c r="B30" s="42" t="str">
        <f>Source!G37</f>
        <v>Устройство подстилающих и выравнивающих слоев оснований из песка</v>
      </c>
      <c r="C30" s="43" t="str">
        <f>Source!H37</f>
        <v>100 м3 материала основания (в плотном теле)</v>
      </c>
      <c r="D30" s="44">
        <f>Source!I37</f>
        <v>1.5740000000000001</v>
      </c>
      <c r="E30" s="42"/>
    </row>
    <row r="31" spans="1:5" ht="14.25" x14ac:dyDescent="0.2">
      <c r="A31" s="41" t="str">
        <f>Source!E38</f>
        <v>9,1</v>
      </c>
      <c r="B31" s="42" t="str">
        <f>Source!G38</f>
        <v>Песок для строительных работ, рядовой</v>
      </c>
      <c r="C31" s="43" t="str">
        <f>Source!H38</f>
        <v>м3</v>
      </c>
      <c r="D31" s="44">
        <f>Source!I38</f>
        <v>157.4</v>
      </c>
      <c r="E31" s="42"/>
    </row>
    <row r="32" spans="1:5" ht="28.5" x14ac:dyDescent="0.2">
      <c r="A32" s="41" t="str">
        <f>Source!E39</f>
        <v>10</v>
      </c>
      <c r="B32" s="42" t="str">
        <f>Source!G39</f>
        <v>Устройство фундаментных плит железобетонных плоских (Применительно)</v>
      </c>
      <c r="C32" s="43" t="str">
        <f>Source!H39</f>
        <v>100 м3 в деле</v>
      </c>
      <c r="D32" s="44">
        <f>Source!I39</f>
        <v>1.18</v>
      </c>
      <c r="E32" s="42"/>
    </row>
    <row r="33" spans="1:5" ht="42.75" x14ac:dyDescent="0.2">
      <c r="A33" s="41" t="str">
        <f>Source!E40</f>
        <v>10,1</v>
      </c>
      <c r="B33" s="42" t="str">
        <f>Source!G40</f>
        <v>Арматурные заготовки (стержни, хомуты и т.п.), не собранные в каркасы или сетки, углеродистая сталь общего назначения и арматурная сталь гладкая, класс А-I, диаметр 10 мм</v>
      </c>
      <c r="C33" s="43" t="str">
        <f>Source!H40</f>
        <v>т</v>
      </c>
      <c r="D33" s="44">
        <f>Source!I40</f>
        <v>9.1044999999999998</v>
      </c>
      <c r="E33" s="42"/>
    </row>
    <row r="34" spans="1:5" ht="28.5" x14ac:dyDescent="0.2">
      <c r="A34" s="41" t="str">
        <f>Source!E41</f>
        <v>10,2</v>
      </c>
      <c r="B34" s="42" t="str">
        <f>Source!G41</f>
        <v>Смеси бетонные, БСГ, тяжелого бетона на гранитном щебне, класс прочности В15 (М200); П3, фракция 5-20, F50-100, W0-2</v>
      </c>
      <c r="C34" s="43" t="str">
        <f>Source!H41</f>
        <v>м3</v>
      </c>
      <c r="D34" s="44">
        <f>Source!I41</f>
        <v>119.77</v>
      </c>
      <c r="E34" s="42"/>
    </row>
    <row r="35" spans="1:5" ht="28.5" x14ac:dyDescent="0.2">
      <c r="A35" s="41" t="str">
        <f>Source!E42</f>
        <v>11</v>
      </c>
      <c r="B35" s="42" t="str">
        <f>Source!G42</f>
        <v>Устройство прослойки из нетканого синтетического материала (НСМ) в земляном полотне сплошной</v>
      </c>
      <c r="C35" s="43" t="str">
        <f>Source!H42</f>
        <v>1000 м2 поверхности</v>
      </c>
      <c r="D35" s="44">
        <f>Source!I42</f>
        <v>0.78700000000000003</v>
      </c>
      <c r="E35" s="42"/>
    </row>
    <row r="36" spans="1:5" ht="28.5" x14ac:dyDescent="0.2">
      <c r="A36" s="41" t="str">
        <f>Source!E43</f>
        <v>11,1</v>
      </c>
      <c r="B36" s="42" t="str">
        <f>Source!G43</f>
        <v>Подложка под искусственную траву RX40010 (10 мм) или аналог (расход с учетом нахлеста)</v>
      </c>
      <c r="C36" s="43" t="str">
        <f>Source!H43</f>
        <v>м2</v>
      </c>
      <c r="D36" s="44">
        <f>Source!I43</f>
        <v>912.00000000000011</v>
      </c>
      <c r="E36" s="42"/>
    </row>
    <row r="37" spans="1:5" ht="14.25" x14ac:dyDescent="0.2">
      <c r="A37" s="41" t="str">
        <f>Source!E44</f>
        <v>12</v>
      </c>
      <c r="B37" s="42" t="str">
        <f>Source!G44</f>
        <v>Устройство покрытия "искусственная трава"</v>
      </c>
      <c r="C37" s="43" t="str">
        <f>Source!H44</f>
        <v>100 м2</v>
      </c>
      <c r="D37" s="44">
        <f>Source!I44</f>
        <v>7.87</v>
      </c>
      <c r="E37" s="42"/>
    </row>
    <row r="38" spans="1:5" ht="14.25" x14ac:dyDescent="0.2">
      <c r="A38" s="41" t="str">
        <f>Source!E45</f>
        <v>12,1</v>
      </c>
      <c r="B38" s="42" t="str">
        <f>Source!G45</f>
        <v>Искусственная трава Domo, коллекция Golf Grass,«Golf» 13 мм ворс</v>
      </c>
      <c r="C38" s="43" t="str">
        <f>Source!H45</f>
        <v>м2</v>
      </c>
      <c r="D38" s="44">
        <f>Source!I45</f>
        <v>802.69</v>
      </c>
      <c r="E38" s="42"/>
    </row>
    <row r="39" spans="1:5" ht="14.25" x14ac:dyDescent="0.2">
      <c r="A39" s="41" t="str">
        <f>Source!E46</f>
        <v>12,2</v>
      </c>
      <c r="B39" s="42" t="str">
        <f>Source!G46</f>
        <v>Клей полиуретановый двухкомпонентный для искусственных газонов</v>
      </c>
      <c r="C39" s="43" t="str">
        <f>Source!H46</f>
        <v>кг</v>
      </c>
      <c r="D39" s="44">
        <f>Source!I46</f>
        <v>-37.933399999999999</v>
      </c>
      <c r="E39" s="42"/>
    </row>
    <row r="40" spans="1:5" ht="14.25" x14ac:dyDescent="0.2">
      <c r="A40" s="41" t="str">
        <f>Source!E47</f>
        <v>12,3</v>
      </c>
      <c r="B40" s="42" t="str">
        <f>Source!G47</f>
        <v>Лента из полиэстера для фиксации искусственных газонов</v>
      </c>
      <c r="C40" s="43" t="str">
        <f>Source!H47</f>
        <v>м</v>
      </c>
      <c r="D40" s="44">
        <f>Source!I47</f>
        <v>-194.38900000000001</v>
      </c>
      <c r="E40" s="42"/>
    </row>
    <row r="41" spans="1:5" ht="28.5" x14ac:dyDescent="0.2">
      <c r="A41" s="41" t="str">
        <f>Source!E48</f>
        <v>12,4</v>
      </c>
      <c r="B41" s="42" t="str">
        <f>Source!G48</f>
        <v>Двухкомпонентный полиуретановый клей, не содержащий растворителей, для приклеивания искусственной травы GREEN PUR</v>
      </c>
      <c r="C41" s="43" t="str">
        <f>Source!H48</f>
        <v>кг</v>
      </c>
      <c r="D41" s="44">
        <f>Source!I48</f>
        <v>60</v>
      </c>
      <c r="E41" s="42"/>
    </row>
    <row r="42" spans="1:5" ht="14.25" x14ac:dyDescent="0.2">
      <c r="A42" s="41" t="str">
        <f>Source!E49</f>
        <v>12,5</v>
      </c>
      <c r="B42" s="42" t="str">
        <f>Source!G49</f>
        <v>Высококачественная серая клеевая смесь LITOSTONE K98</v>
      </c>
      <c r="C42" s="43" t="str">
        <f>Source!H49</f>
        <v>кг</v>
      </c>
      <c r="D42" s="44">
        <f>Source!I49</f>
        <v>3125</v>
      </c>
      <c r="E42" s="42"/>
    </row>
    <row r="43" spans="1:5" ht="14.25" x14ac:dyDescent="0.2">
      <c r="A43" s="41" t="str">
        <f>Source!E50</f>
        <v>12,6</v>
      </c>
      <c r="B43" s="42" t="str">
        <f>Source!G50</f>
        <v>Шовная лента для искусственной травы</v>
      </c>
      <c r="C43" s="43" t="str">
        <f>Source!H50</f>
        <v>м</v>
      </c>
      <c r="D43" s="44">
        <f>Source!I50</f>
        <v>200</v>
      </c>
      <c r="E43" s="42"/>
    </row>
    <row r="44" spans="1:5" ht="28.5" x14ac:dyDescent="0.2">
      <c r="A44" s="41" t="str">
        <f>Source!E51</f>
        <v>13</v>
      </c>
      <c r="B44" s="42" t="str">
        <f>Source!G51</f>
        <v>Укладка полиэтиленовых дренажных труб диаметром 200 мм (местами и по периметру гольф-поля)</v>
      </c>
      <c r="C44" s="43" t="str">
        <f>Source!H51</f>
        <v>100 м</v>
      </c>
      <c r="D44" s="44">
        <f>Source!I51</f>
        <v>9.5</v>
      </c>
      <c r="E44" s="42"/>
    </row>
    <row r="45" spans="1:5" ht="28.5" x14ac:dyDescent="0.2">
      <c r="A45" s="41" t="str">
        <f>Source!E52</f>
        <v>13,1</v>
      </c>
      <c r="B45" s="42" t="str">
        <f>Source!G52</f>
        <v>Дренажная труба 180/200 мм с геотекстильной тканью Wavin гофрированная или аналог</v>
      </c>
      <c r="C45" s="43" t="str">
        <f>Source!H52</f>
        <v>м</v>
      </c>
      <c r="D45" s="44">
        <f>Source!I52</f>
        <v>950</v>
      </c>
      <c r="E45" s="42"/>
    </row>
    <row r="46" spans="1:5" ht="28.5" x14ac:dyDescent="0.2">
      <c r="A46" s="41" t="str">
        <f>Source!E53</f>
        <v>14</v>
      </c>
      <c r="B46" s="42" t="str">
        <f>Source!G53</f>
        <v>Установка круглых сборных колодцев из полимерных материалов высотой 1,5 м, диаметр 630 мм (применительно дренажный колодец)</v>
      </c>
      <c r="C46" s="43" t="str">
        <f>Source!H53</f>
        <v>1  ШТ.</v>
      </c>
      <c r="D46" s="44">
        <f>Source!I53</f>
        <v>1</v>
      </c>
      <c r="E46" s="42"/>
    </row>
    <row r="47" spans="1:5" ht="28.5" x14ac:dyDescent="0.2">
      <c r="A47" s="41" t="str">
        <f>Source!E54</f>
        <v>14,1</v>
      </c>
      <c r="B47" s="42" t="str">
        <f>Source!G54</f>
        <v>Переход (конус) от тела к телескопу сборного канализационного колодца, полипропиленовый, с резиновым уплотнением, диаметр 800х630 мм</v>
      </c>
      <c r="C47" s="43" t="str">
        <f>Source!H54</f>
        <v>шт.</v>
      </c>
      <c r="D47" s="44">
        <f>Source!I54</f>
        <v>1</v>
      </c>
      <c r="E47" s="42"/>
    </row>
    <row r="48" spans="1:5" ht="28.5" x14ac:dyDescent="0.2">
      <c r="A48" s="41" t="str">
        <f>Source!E55</f>
        <v>14,2</v>
      </c>
      <c r="B48" s="42" t="str">
        <f>Source!G55</f>
        <v>Кольцо тела сборного канализационного колодца, полипропиленовое, с ребрами жесткости, лестницей, диаметр 800 мм, высота 500 мм</v>
      </c>
      <c r="C48" s="43" t="str">
        <f>Source!H55</f>
        <v>шт.</v>
      </c>
      <c r="D48" s="44">
        <f>Source!I55</f>
        <v>0.5</v>
      </c>
      <c r="E48" s="42"/>
    </row>
    <row r="49" spans="1:5" ht="42.75" x14ac:dyDescent="0.2">
      <c r="A49" s="41" t="str">
        <f>Source!E56</f>
        <v>14,3</v>
      </c>
      <c r="B49" s="42" t="str">
        <f>Source!G56</f>
        <v>Основание (кинета) сборного канализационного колодца, полипропиленовое, в сборе с дном, врезками (вход, выход), лотками, диаметр 800х250 мм</v>
      </c>
      <c r="C49" s="43" t="str">
        <f>Source!H56</f>
        <v>шт.</v>
      </c>
      <c r="D49" s="44">
        <f>Source!I56</f>
        <v>1</v>
      </c>
      <c r="E49" s="42"/>
    </row>
    <row r="50" spans="1:5" ht="28.5" x14ac:dyDescent="0.2">
      <c r="A50" s="41" t="str">
        <f>Source!E57</f>
        <v>15</v>
      </c>
      <c r="B50" s="42" t="str">
        <f>Source!G57</f>
        <v>Механизированная погрузка строительного мусора в автомобили-самосвалы (377+6)</v>
      </c>
      <c r="C50" s="43" t="str">
        <f>Source!H57</f>
        <v>1 Т</v>
      </c>
      <c r="D50" s="44">
        <f>Source!I57</f>
        <v>383</v>
      </c>
      <c r="E50" s="42"/>
    </row>
    <row r="51" spans="1:5" ht="28.5" x14ac:dyDescent="0.2">
      <c r="A51" s="41" t="str">
        <f>Source!E58</f>
        <v>16</v>
      </c>
      <c r="B51" s="42" t="str">
        <f>Source!G58</f>
        <v>Перевозка строительного мусора на расстояние до 43 км автосамосвалами грузоподъемностью до 10 т</v>
      </c>
      <c r="C51" s="43" t="str">
        <f>Source!H58</f>
        <v>т</v>
      </c>
      <c r="D51" s="44">
        <f>Source!I58</f>
        <v>383</v>
      </c>
      <c r="E51" s="42"/>
    </row>
    <row r="52" spans="1:5" ht="28.5" x14ac:dyDescent="0.2">
      <c r="A52" s="41" t="str">
        <f>Source!E59</f>
        <v>17</v>
      </c>
      <c r="B52" s="42" t="str">
        <f>Source!G59</f>
        <v>Отходы строительного щебня незагрязненные  практически неопасные (применительно 157,4куб.м *1,8т=283,32 т)</v>
      </c>
      <c r="C52" s="43" t="str">
        <f>Source!H59</f>
        <v>1 Т</v>
      </c>
      <c r="D52" s="44">
        <f>Source!I59</f>
        <v>283.32</v>
      </c>
      <c r="E52" s="42"/>
    </row>
    <row r="53" spans="1:5" ht="14.25" x14ac:dyDescent="0.2">
      <c r="A53" s="41" t="str">
        <f>Source!E60</f>
        <v>18</v>
      </c>
      <c r="B53" s="42" t="str">
        <f>Source!G60</f>
        <v>Погрузка грунта вручную в автомобили-самосвалы с выгрузкой</v>
      </c>
      <c r="C53" s="43" t="str">
        <f>Source!H60</f>
        <v>100 м3 грунта</v>
      </c>
      <c r="D53" s="44">
        <f>Source!I60</f>
        <v>0.39350000000000002</v>
      </c>
      <c r="E53" s="42"/>
    </row>
    <row r="54" spans="1:5" ht="28.5" x14ac:dyDescent="0.2">
      <c r="A54" s="41" t="str">
        <f>Source!E61</f>
        <v>19</v>
      </c>
      <c r="B54" s="42" t="str">
        <f>Source!G61</f>
        <v>Перевозка грунтов растительного слоя и торфов на расстояние до 46 км автосамосвалами грузоподъемностью до 10 т</v>
      </c>
      <c r="C54" s="43" t="str">
        <f>Source!H61</f>
        <v>т</v>
      </c>
      <c r="D54" s="44">
        <f>Source!I61</f>
        <v>236.1</v>
      </c>
      <c r="E54" s="42"/>
    </row>
    <row r="55" spans="1:5" ht="28.5" x14ac:dyDescent="0.2">
      <c r="A55" s="41" t="str">
        <f>Source!E62</f>
        <v>20</v>
      </c>
      <c r="B55" s="42" t="str">
        <f>Source!G62</f>
        <v>Отходы грунта при проведении открытых земляных работ практически неопасные</v>
      </c>
      <c r="C55" s="43" t="str">
        <f>Source!H62</f>
        <v>1 Т</v>
      </c>
      <c r="D55" s="44">
        <f>Source!I62</f>
        <v>236.1</v>
      </c>
      <c r="E55" s="42"/>
    </row>
    <row r="56" spans="1:5" ht="16.5" x14ac:dyDescent="0.25">
      <c r="A56" s="68" t="str">
        <f>CONCATENATE("Раздел: ", Source!G94)</f>
        <v>Раздел: Ремонт покрытия из тратуарной плитки 320 кв.м</v>
      </c>
      <c r="B56" s="68"/>
      <c r="C56" s="68"/>
      <c r="D56" s="68"/>
      <c r="E56" s="68"/>
    </row>
    <row r="57" spans="1:5" ht="28.5" x14ac:dyDescent="0.2">
      <c r="A57" s="41" t="str">
        <f>Source!E98</f>
        <v>21</v>
      </c>
      <c r="B57" s="42" t="str">
        <f>Source!G98</f>
        <v>Разборка тротуаров и дорожек из плит с отноской и укладкой в штабель (масса мусора 0,08*320=25,6 куб.м*2,4=61,44 т)</v>
      </c>
      <c r="C57" s="43" t="str">
        <f>Source!H98</f>
        <v>100 м2</v>
      </c>
      <c r="D57" s="44">
        <f>Source!I98</f>
        <v>3.2</v>
      </c>
      <c r="E57" s="42"/>
    </row>
    <row r="58" spans="1:5" ht="14.25" x14ac:dyDescent="0.2">
      <c r="A58" s="41" t="str">
        <f>Source!E99</f>
        <v>22</v>
      </c>
      <c r="B58" s="42" t="str">
        <f>Source!G99</f>
        <v>Планировка участка вручную</v>
      </c>
      <c r="C58" s="43" t="str">
        <f>Source!H99</f>
        <v>100 м2</v>
      </c>
      <c r="D58" s="44">
        <f>Source!I99</f>
        <v>3.2</v>
      </c>
      <c r="E58" s="42"/>
    </row>
    <row r="59" spans="1:5" ht="28.5" x14ac:dyDescent="0.2">
      <c r="A59" s="41" t="str">
        <f>Source!E100</f>
        <v>23</v>
      </c>
      <c r="B59" s="42" t="str">
        <f>Source!G100</f>
        <v>Разработка грунта с погрузкой на автомобили-самосвалы экскаваторами с ковшом вместимостью 0,5 м3 группа грунтов 1-3</v>
      </c>
      <c r="C59" s="43" t="str">
        <f>Source!H100</f>
        <v>100 м3 грунта</v>
      </c>
      <c r="D59" s="44">
        <f>Source!I100</f>
        <v>0.8</v>
      </c>
      <c r="E59" s="42"/>
    </row>
    <row r="60" spans="1:5" ht="57" x14ac:dyDescent="0.2">
      <c r="A60" s="41" t="str">
        <f>Source!E101</f>
        <v>24</v>
      </c>
      <c r="B60" s="42" t="str">
        <f>Source!G101</f>
        <v>Устройство подстилающих и выравнивающих слоев оснований из щебня</v>
      </c>
      <c r="C60" s="43" t="str">
        <f>Source!H101</f>
        <v>100 м3 материала основания (в плотном теле)</v>
      </c>
      <c r="D60" s="44">
        <f>Source!I101</f>
        <v>0.64</v>
      </c>
      <c r="E60" s="42"/>
    </row>
    <row r="61" spans="1:5" ht="28.5" x14ac:dyDescent="0.2">
      <c r="A61" s="41" t="str">
        <f>Source!E102</f>
        <v>24,1</v>
      </c>
      <c r="B61" s="42" t="str">
        <f>Source!G102</f>
        <v>Щебень из естественного камня для строительных работ, марка 300-200, фракция 10-20 мм</v>
      </c>
      <c r="C61" s="43" t="str">
        <f>Source!H102</f>
        <v>м3</v>
      </c>
      <c r="D61" s="44">
        <f>Source!I102</f>
        <v>64</v>
      </c>
      <c r="E61" s="42"/>
    </row>
    <row r="62" spans="1:5" ht="57" x14ac:dyDescent="0.2">
      <c r="A62" s="41" t="str">
        <f>Source!E103</f>
        <v>25</v>
      </c>
      <c r="B62" s="42" t="str">
        <f>Source!G103</f>
        <v>Устройство подстилающих и выравнивающих слоев оснований из песка</v>
      </c>
      <c r="C62" s="43" t="str">
        <f>Source!H103</f>
        <v>100 м3 материала основания (в плотном теле)</v>
      </c>
      <c r="D62" s="44">
        <f>Source!I103</f>
        <v>0.64</v>
      </c>
      <c r="E62" s="42"/>
    </row>
    <row r="63" spans="1:5" ht="14.25" x14ac:dyDescent="0.2">
      <c r="A63" s="41" t="str">
        <f>Source!E104</f>
        <v>25,1</v>
      </c>
      <c r="B63" s="42" t="str">
        <f>Source!G104</f>
        <v>Песок для строительных работ, рядовой</v>
      </c>
      <c r="C63" s="43" t="str">
        <f>Source!H104</f>
        <v>м3</v>
      </c>
      <c r="D63" s="44">
        <f>Source!I104</f>
        <v>64</v>
      </c>
      <c r="E63" s="42"/>
    </row>
    <row r="64" spans="1:5" ht="42.75" x14ac:dyDescent="0.2">
      <c r="A64" s="41" t="str">
        <f>Source!E105</f>
        <v>26</v>
      </c>
      <c r="B64" s="42" t="str">
        <f>Source!G105</f>
        <v>Уплотнение грунта пневматическими трамбовками группа грунтов 1,2</v>
      </c>
      <c r="C64" s="43" t="str">
        <f>Source!H105</f>
        <v>100 м3 уплотненного грунта</v>
      </c>
      <c r="D64" s="44">
        <f>Source!I105</f>
        <v>0.32</v>
      </c>
      <c r="E64" s="42"/>
    </row>
    <row r="65" spans="1:5" ht="28.5" x14ac:dyDescent="0.2">
      <c r="A65" s="41" t="str">
        <f>Source!E106</f>
        <v>27</v>
      </c>
      <c r="B65" s="42" t="str">
        <f>Source!G106</f>
        <v>Устройство прослойки из нетканого синтетического материала (НСМ) в земляном полотне сплошной</v>
      </c>
      <c r="C65" s="43" t="str">
        <f>Source!H106</f>
        <v>1000 м2 поверхности</v>
      </c>
      <c r="D65" s="44">
        <f>Source!I106</f>
        <v>0.32</v>
      </c>
      <c r="E65" s="42"/>
    </row>
    <row r="66" spans="1:5" ht="28.5" x14ac:dyDescent="0.2">
      <c r="A66" s="41" t="str">
        <f>Source!E107</f>
        <v>27,1</v>
      </c>
      <c r="B66" s="42" t="str">
        <f>Source!G107</f>
        <v>Полотно иглопробивное для дорожного строительства, ширина полотна 2,45 м</v>
      </c>
      <c r="C66" s="43" t="str">
        <f>Source!H107</f>
        <v>м2</v>
      </c>
      <c r="D66" s="44">
        <f>Source!I107</f>
        <v>350</v>
      </c>
      <c r="E66" s="42"/>
    </row>
    <row r="67" spans="1:5" ht="28.5" x14ac:dyDescent="0.2">
      <c r="A67" s="41" t="str">
        <f>Source!E108</f>
        <v>28</v>
      </c>
      <c r="B67" s="42" t="str">
        <f>Source!G108</f>
        <v>Устройство покрытий тротуаров из бетонной плитки типа "Брусчатка" кольцевым мощением</v>
      </c>
      <c r="C67" s="43" t="str">
        <f>Source!H108</f>
        <v>100 м2</v>
      </c>
      <c r="D67" s="44">
        <f>Source!I108</f>
        <v>3.2</v>
      </c>
      <c r="E67" s="42"/>
    </row>
    <row r="68" spans="1:5" ht="28.5" x14ac:dyDescent="0.2">
      <c r="A68" s="41" t="str">
        <f>Source!E109</f>
        <v>28,1</v>
      </c>
      <c r="B68" s="42" t="str">
        <f>Source!G109</f>
        <v>Диск отрезной сегментированный с алмазным покрытием, для резки бетона, кирпича и минеральных материалов, диаметр 230 мм</v>
      </c>
      <c r="C68" s="43" t="str">
        <f>Source!H109</f>
        <v>шт.</v>
      </c>
      <c r="D68" s="44">
        <f>Source!I109</f>
        <v>3.2</v>
      </c>
      <c r="E68" s="42"/>
    </row>
    <row r="69" spans="1:5" ht="28.5" x14ac:dyDescent="0.2">
      <c r="A69" s="41" t="str">
        <f>Source!E110</f>
        <v>28,2</v>
      </c>
      <c r="B69" s="42" t="str">
        <f>Source!G110</f>
        <v>Смеси сухие монтажно-кладочные цементно-песчаные, В15 (М200), F100, крупность заполнителя не более 3,5 мм</v>
      </c>
      <c r="C69" s="43" t="str">
        <f>Source!H110</f>
        <v>т</v>
      </c>
      <c r="D69" s="44">
        <f>Source!I110</f>
        <v>0.5</v>
      </c>
      <c r="E69" s="42"/>
    </row>
    <row r="70" spans="1:5" ht="14.25" x14ac:dyDescent="0.2">
      <c r="A70" s="41" t="str">
        <f>Source!E111</f>
        <v>28,3</v>
      </c>
      <c r="B70" s="42" t="str">
        <f>Source!G111</f>
        <v>Тротуарная плитка Классико, Грифельный, h=60 мм   BRAER</v>
      </c>
      <c r="C70" s="43" t="str">
        <f>Source!H111</f>
        <v>м2</v>
      </c>
      <c r="D70" s="44">
        <f>Source!I111</f>
        <v>360</v>
      </c>
      <c r="E70" s="42"/>
    </row>
    <row r="71" spans="1:5" ht="28.5" x14ac:dyDescent="0.2">
      <c r="A71" s="41" t="str">
        <f>Source!E112</f>
        <v>29</v>
      </c>
      <c r="B71" s="42" t="str">
        <f>Source!G112</f>
        <v>Механизированная погрузка строительного мусора в автомобили-самосвалы</v>
      </c>
      <c r="C71" s="43" t="str">
        <f>Source!H112</f>
        <v>1 Т</v>
      </c>
      <c r="D71" s="44">
        <f>Source!I112</f>
        <v>61.44</v>
      </c>
      <c r="E71" s="42"/>
    </row>
    <row r="72" spans="1:5" ht="28.5" x14ac:dyDescent="0.2">
      <c r="A72" s="41" t="str">
        <f>Source!E113</f>
        <v>30</v>
      </c>
      <c r="B72" s="42" t="str">
        <f>Source!G113</f>
        <v>Перевозка строительного мусора на расстояние до 43 км автосамосвалами грузоподъемностью до 10 т</v>
      </c>
      <c r="C72" s="43" t="str">
        <f>Source!H113</f>
        <v>т</v>
      </c>
      <c r="D72" s="44">
        <f>Source!I113</f>
        <v>61.44</v>
      </c>
      <c r="E72" s="42"/>
    </row>
    <row r="73" spans="1:5" ht="28.5" x14ac:dyDescent="0.2">
      <c r="A73" s="41" t="str">
        <f>Source!E114</f>
        <v>31</v>
      </c>
      <c r="B73" s="42" t="str">
        <f>Source!G114</f>
        <v>Лом бортовых камней, брусчатки, булыжных камней и прочие отходы изделий из природного камня, практически неопасный</v>
      </c>
      <c r="C73" s="43" t="str">
        <f>Source!H114</f>
        <v>1 Т</v>
      </c>
      <c r="D73" s="44">
        <f>Source!I114</f>
        <v>61.44</v>
      </c>
      <c r="E73" s="42"/>
    </row>
    <row r="74" spans="1:5" ht="28.5" x14ac:dyDescent="0.2">
      <c r="A74" s="41" t="str">
        <f>Source!E115</f>
        <v>32</v>
      </c>
      <c r="B74" s="42" t="str">
        <f>Source!G115</f>
        <v>Перевозка грунтов растительного слоя и торфов на расстояние до 46 км автосамосвалами грузоподъемностью до 10 т</v>
      </c>
      <c r="C74" s="43" t="str">
        <f>Source!H115</f>
        <v>т</v>
      </c>
      <c r="D74" s="44">
        <f>Source!I115</f>
        <v>120</v>
      </c>
      <c r="E74" s="42"/>
    </row>
    <row r="75" spans="1:5" ht="28.5" x14ac:dyDescent="0.2">
      <c r="A75" s="41" t="str">
        <f>Source!E116</f>
        <v>33</v>
      </c>
      <c r="B75" s="42" t="str">
        <f>Source!G116</f>
        <v>Отходы грунта при проведении открытых земляных работ практически неопасные</v>
      </c>
      <c r="C75" s="43" t="str">
        <f>Source!H116</f>
        <v>1 Т</v>
      </c>
      <c r="D75" s="44">
        <f>Source!I116</f>
        <v>120</v>
      </c>
      <c r="E75" s="42"/>
    </row>
    <row r="76" spans="1:5" ht="16.5" x14ac:dyDescent="0.25">
      <c r="A76" s="69" t="str">
        <f>CONCATENATE("Раздел: ", Source!G148)</f>
        <v>Раздел: Замена борткамня 953 пог.м</v>
      </c>
      <c r="B76" s="69"/>
      <c r="C76" s="69"/>
      <c r="D76" s="69"/>
      <c r="E76" s="69"/>
    </row>
    <row r="77" spans="1:5" ht="14.25" x14ac:dyDescent="0.2">
      <c r="A77" s="41" t="str">
        <f>Source!E152</f>
        <v>34</v>
      </c>
      <c r="B77" s="42" t="str">
        <f>Source!G152</f>
        <v>Разборка бортовых камней на бетонном основании</v>
      </c>
      <c r="C77" s="43" t="str">
        <f>Source!H152</f>
        <v>100 м</v>
      </c>
      <c r="D77" s="44">
        <f>Source!I152</f>
        <v>9.5299999999999994</v>
      </c>
      <c r="E77" s="42"/>
    </row>
    <row r="78" spans="1:5" ht="28.5" x14ac:dyDescent="0.2">
      <c r="A78" s="41" t="str">
        <f>Source!E153</f>
        <v>35</v>
      </c>
      <c r="B78" s="42" t="str">
        <f>Source!G153</f>
        <v>Разработка грунта вручную в траншеях глубиной до 2 м без креплений с откосами группа грунтов 1-3</v>
      </c>
      <c r="C78" s="43" t="str">
        <f>Source!H153</f>
        <v>100 м3 грунта</v>
      </c>
      <c r="D78" s="44">
        <f>Source!I153</f>
        <v>0.76239999999999997</v>
      </c>
      <c r="E78" s="42"/>
    </row>
    <row r="79" spans="1:5" ht="42.75" x14ac:dyDescent="0.2">
      <c r="A79" s="41" t="str">
        <f>Source!E154</f>
        <v>36</v>
      </c>
      <c r="B79" s="42" t="str">
        <f>Source!G154</f>
        <v>Установка бортовых камней бетонных газонных и садовых при других видах покрытий</v>
      </c>
      <c r="C79" s="43" t="str">
        <f>Source!H154</f>
        <v>100 м бортового камня</v>
      </c>
      <c r="D79" s="44">
        <f>Source!I154</f>
        <v>9.5299999999999994</v>
      </c>
      <c r="E79" s="42"/>
    </row>
    <row r="80" spans="1:5" ht="28.5" x14ac:dyDescent="0.2">
      <c r="A80" s="41" t="str">
        <f>Source!E155</f>
        <v>36,1</v>
      </c>
      <c r="B80" s="42" t="str">
        <f>Source!G155</f>
        <v>Смеси бетонные, БСГ, тяжелого бетона на гранитном щебне, класс прочности В15 (М200); П3, фракция 5-20, F50-100, W0-2</v>
      </c>
      <c r="C80" s="43" t="str">
        <f>Source!H155</f>
        <v>м3</v>
      </c>
      <c r="D80" s="44">
        <f>Source!I155</f>
        <v>-45.743999999999993</v>
      </c>
      <c r="E80" s="42"/>
    </row>
    <row r="81" spans="1:5" ht="28.5" x14ac:dyDescent="0.2">
      <c r="A81" s="41" t="str">
        <f>Source!E156</f>
        <v>36,2</v>
      </c>
      <c r="B81" s="42" t="str">
        <f>Source!G156</f>
        <v>Смеси бетонные, БСГ, тяжелого бетона на гранитном щебне, класс прочности В15 (М200); П3, фракция 5-20, F50-100, W0-2</v>
      </c>
      <c r="C81" s="43" t="str">
        <f>Source!H156</f>
        <v>м3</v>
      </c>
      <c r="D81" s="44">
        <f>Source!I156</f>
        <v>19</v>
      </c>
      <c r="E81" s="42"/>
    </row>
    <row r="82" spans="1:5" ht="28.5" x14ac:dyDescent="0.2">
      <c r="A82" s="41" t="str">
        <f>Source!E157</f>
        <v>36,3</v>
      </c>
      <c r="B82" s="42" t="str">
        <f>Source!G157</f>
        <v>Щебень из естественного камня для строительных работ, марка 600-400, фракция 20-40 мм</v>
      </c>
      <c r="C82" s="43" t="str">
        <f>Source!H157</f>
        <v>м3</v>
      </c>
      <c r="D82" s="44">
        <f>Source!I157</f>
        <v>20</v>
      </c>
      <c r="E82" s="42"/>
    </row>
    <row r="83" spans="1:5" ht="14.25" x14ac:dyDescent="0.2">
      <c r="A83" s="41" t="str">
        <f>Source!E158</f>
        <v>37</v>
      </c>
      <c r="B83" s="42" t="str">
        <f>Source!G158</f>
        <v>Тротуарный бордюр с шарнирным стыком , гладкий серый 500*200*80 мм</v>
      </c>
      <c r="C83" s="43" t="str">
        <f>Source!H158</f>
        <v>шт.</v>
      </c>
      <c r="D83" s="44">
        <f>Source!I158</f>
        <v>1906</v>
      </c>
      <c r="E83" s="42"/>
    </row>
    <row r="84" spans="1:5" ht="28.5" x14ac:dyDescent="0.2">
      <c r="A84" s="41" t="str">
        <f>Source!E159</f>
        <v>38</v>
      </c>
      <c r="B84" s="42" t="str">
        <f>Source!G159</f>
        <v>Механизированная погрузка строительного мусора в автомобили-самосвалы (масса мусора борта 98,35 т, расходные 0,953 т)</v>
      </c>
      <c r="C84" s="43" t="str">
        <f>Source!H159</f>
        <v>1 Т</v>
      </c>
      <c r="D84" s="44">
        <f>Source!I159</f>
        <v>99.302999999999997</v>
      </c>
      <c r="E84" s="42"/>
    </row>
    <row r="85" spans="1:5" ht="28.5" x14ac:dyDescent="0.2">
      <c r="A85" s="41" t="str">
        <f>Source!E160</f>
        <v>39</v>
      </c>
      <c r="B85" s="42" t="str">
        <f>Source!G160</f>
        <v>Перевозка строительного мусора на расстояние до 43 км автосамосвалами грузоподъемностью до 10 т</v>
      </c>
      <c r="C85" s="43" t="str">
        <f>Source!H160</f>
        <v>т</v>
      </c>
      <c r="D85" s="44">
        <f>Source!I160</f>
        <v>99.302999999999997</v>
      </c>
      <c r="E85" s="42"/>
    </row>
    <row r="86" spans="1:5" ht="28.5" x14ac:dyDescent="0.2">
      <c r="A86" s="41" t="str">
        <f>Source!E161</f>
        <v>40</v>
      </c>
      <c r="B86" s="42" t="str">
        <f>Source!G161</f>
        <v>Лом бортовых камней, брусчатки, булыжных камней и прочие отходы изделий из природного камня, практически неопасный</v>
      </c>
      <c r="C86" s="43" t="str">
        <f>Source!H161</f>
        <v>1 Т</v>
      </c>
      <c r="D86" s="44">
        <f>Source!I161</f>
        <v>99.302999999999997</v>
      </c>
      <c r="E86" s="42"/>
    </row>
    <row r="87" spans="1:5" ht="28.5" x14ac:dyDescent="0.2">
      <c r="A87" s="41" t="str">
        <f>Source!E162</f>
        <v>41</v>
      </c>
      <c r="B87" s="42" t="str">
        <f>Source!G162</f>
        <v>Перевозка грунтов растительного слоя и торфов на расстояние до 46 км автосамосвалами грузоподъемностью до 10 т</v>
      </c>
      <c r="C87" s="43" t="str">
        <f>Source!H162</f>
        <v>т</v>
      </c>
      <c r="D87" s="44">
        <f>Source!I162</f>
        <v>83.86</v>
      </c>
      <c r="E87" s="42"/>
    </row>
    <row r="88" spans="1:5" ht="28.5" x14ac:dyDescent="0.2">
      <c r="A88" s="41" t="str">
        <f>Source!E163</f>
        <v>42</v>
      </c>
      <c r="B88" s="42" t="str">
        <f>Source!G163</f>
        <v>Отходы грунта при проведении открытых земляных работ практически неопасные</v>
      </c>
      <c r="C88" s="43" t="str">
        <f>Source!H163</f>
        <v>1 Т</v>
      </c>
      <c r="D88" s="44">
        <f>Source!I163</f>
        <v>83.86</v>
      </c>
      <c r="E88" s="42"/>
    </row>
    <row r="89" spans="1:5" ht="16.5" x14ac:dyDescent="0.25">
      <c r="A89" s="68" t="str">
        <f>CONCATENATE("Раздел: ", Source!G195)</f>
        <v>Раздел: Устройство декоративной гравийной отсыпки (мраморный щебень)</v>
      </c>
      <c r="B89" s="68"/>
      <c r="C89" s="68"/>
      <c r="D89" s="68"/>
      <c r="E89" s="68"/>
    </row>
    <row r="90" spans="1:5" ht="57" x14ac:dyDescent="0.2">
      <c r="A90" s="41" t="str">
        <f>Source!E199</f>
        <v>43</v>
      </c>
      <c r="B90" s="42" t="str">
        <f>Source!G199</f>
        <v>Устройство корыта под газоны и цветники с планировкой дна в грунтах 1 и 2 группы (применительно 125 кв.м 10 см глубиной) Состав работ: 1. Разработка грунта вручную с зачисткой дна и стенок  2. Откидывание грунта от корыта  3. Разравнивание откинутого грунта</v>
      </c>
      <c r="C90" s="43" t="str">
        <f>Source!H199</f>
        <v>1 м3</v>
      </c>
      <c r="D90" s="44">
        <f>Source!I199</f>
        <v>12.5</v>
      </c>
      <c r="E90" s="42"/>
    </row>
    <row r="91" spans="1:5" ht="28.5" x14ac:dyDescent="0.2">
      <c r="A91" s="41" t="str">
        <f>Source!E200</f>
        <v>44</v>
      </c>
      <c r="B91" s="42" t="str">
        <f>Source!G200</f>
        <v>Устройство прослойки из нетканого синтетического материала (НСМ) в земляном полотне сплошной</v>
      </c>
      <c r="C91" s="43" t="str">
        <f>Source!H200</f>
        <v>1000 м2 поверхности</v>
      </c>
      <c r="D91" s="44">
        <f>Source!I200</f>
        <v>0.125</v>
      </c>
      <c r="E91" s="42"/>
    </row>
    <row r="92" spans="1:5" ht="28.5" x14ac:dyDescent="0.2">
      <c r="A92" s="41" t="str">
        <f>Source!E201</f>
        <v>44,1</v>
      </c>
      <c r="B92" s="42" t="str">
        <f>Source!G201</f>
        <v>Полотно иглопробивное для дорожного строительства, ширина полотна 2,45 м</v>
      </c>
      <c r="C92" s="43" t="str">
        <f>Source!H201</f>
        <v>м2</v>
      </c>
      <c r="D92" s="44">
        <f>Source!I201</f>
        <v>136.71875</v>
      </c>
      <c r="E92" s="42"/>
    </row>
    <row r="93" spans="1:5" ht="28.5" x14ac:dyDescent="0.2">
      <c r="A93" s="41" t="str">
        <f>Source!E202</f>
        <v>45</v>
      </c>
      <c r="B93" s="42" t="str">
        <f>Source!G202</f>
        <v>Устройство плинтусов деревянных (применительно пластиковый борт)</v>
      </c>
      <c r="C93" s="43" t="str">
        <f>Source!H202</f>
        <v>100 м плинтусов</v>
      </c>
      <c r="D93" s="44">
        <f>Source!I202</f>
        <v>1.1100000000000001</v>
      </c>
      <c r="E93" s="42"/>
    </row>
    <row r="94" spans="1:5" ht="14.25" x14ac:dyDescent="0.2">
      <c r="A94" s="41" t="str">
        <f>Source!E203</f>
        <v>45,1</v>
      </c>
      <c r="B94" s="42" t="str">
        <f>Source!G203</f>
        <v>Гвозди строительные</v>
      </c>
      <c r="C94" s="43" t="str">
        <f>Source!H203</f>
        <v>т</v>
      </c>
      <c r="D94" s="44">
        <f>Source!I203</f>
        <v>-4.66E-4</v>
      </c>
      <c r="E94" s="42"/>
    </row>
    <row r="95" spans="1:5" ht="14.25" x14ac:dyDescent="0.2">
      <c r="A95" s="41" t="str">
        <f>Source!E204</f>
        <v>45,2</v>
      </c>
      <c r="B95" s="42" t="str">
        <f>Source!G204</f>
        <v>Пластиковый борт -кайма для отсыпки</v>
      </c>
      <c r="C95" s="43" t="str">
        <f>Source!H204</f>
        <v>м</v>
      </c>
      <c r="D95" s="44">
        <f>Source!I204</f>
        <v>111</v>
      </c>
      <c r="E95" s="42"/>
    </row>
    <row r="96" spans="1:5" ht="14.25" x14ac:dyDescent="0.2">
      <c r="A96" s="41" t="str">
        <f>Source!E205</f>
        <v>45,3</v>
      </c>
      <c r="B96" s="42" t="str">
        <f>Source!G205</f>
        <v>Платиковый штифт</v>
      </c>
      <c r="C96" s="43" t="str">
        <f>Source!H205</f>
        <v>шт.</v>
      </c>
      <c r="D96" s="44">
        <f>Source!I205</f>
        <v>111</v>
      </c>
      <c r="E96" s="42"/>
    </row>
    <row r="97" spans="1:5" ht="28.5" x14ac:dyDescent="0.2">
      <c r="A97" s="41" t="str">
        <f>Source!E206</f>
        <v>46</v>
      </c>
      <c r="B97" s="42" t="str">
        <f>Source!G206</f>
        <v>Устройство верхнего покрытия из гранитных высевок при толщине слоя 5 см</v>
      </c>
      <c r="C97" s="43" t="str">
        <f>Source!H206</f>
        <v>100 м2</v>
      </c>
      <c r="D97" s="44">
        <f>Source!I206</f>
        <v>1.25</v>
      </c>
      <c r="E97" s="42"/>
    </row>
    <row r="98" spans="1:5" ht="14.25" x14ac:dyDescent="0.2">
      <c r="A98" s="41" t="str">
        <f>Source!E207</f>
        <v>46,1</v>
      </c>
      <c r="B98" s="42" t="str">
        <f>Source!G207</f>
        <v>Отсев гранитный</v>
      </c>
      <c r="C98" s="43" t="str">
        <f>Source!H207</f>
        <v>м3</v>
      </c>
      <c r="D98" s="44">
        <f>Source!I207</f>
        <v>-7.25</v>
      </c>
      <c r="E98" s="42"/>
    </row>
    <row r="99" spans="1:5" ht="14.25" x14ac:dyDescent="0.2">
      <c r="A99" s="41" t="str">
        <f>Source!E208</f>
        <v>46,2</v>
      </c>
      <c r="B99" s="42" t="str">
        <f>Source!G208</f>
        <v>Щебень мраморный "Уфалей" белый 20-40 фр.</v>
      </c>
      <c r="C99" s="43" t="str">
        <f>Source!H208</f>
        <v>м3</v>
      </c>
      <c r="D99" s="44">
        <f>Source!I208</f>
        <v>7.25</v>
      </c>
      <c r="E99" s="42"/>
    </row>
    <row r="100" spans="1:5" ht="28.5" x14ac:dyDescent="0.2">
      <c r="A100" s="41" t="str">
        <f>Source!E209</f>
        <v>47</v>
      </c>
      <c r="B100" s="42" t="str">
        <f>Source!G209</f>
        <v>Добавляется или исключается на каждый 1 см изменения толщины слоя гранитных высевок</v>
      </c>
      <c r="C100" s="43" t="str">
        <f>Source!H209</f>
        <v>100 м2</v>
      </c>
      <c r="D100" s="44">
        <f>Source!I209</f>
        <v>1.25</v>
      </c>
      <c r="E100" s="42"/>
    </row>
    <row r="101" spans="1:5" ht="14.25" x14ac:dyDescent="0.2">
      <c r="A101" s="41" t="str">
        <f>Source!E210</f>
        <v>47,1</v>
      </c>
      <c r="B101" s="42" t="str">
        <f>Source!G210</f>
        <v>Отсев гранитный</v>
      </c>
      <c r="C101" s="43" t="str">
        <f>Source!H210</f>
        <v>м3</v>
      </c>
      <c r="D101" s="44">
        <f>Source!I210</f>
        <v>-7.25</v>
      </c>
      <c r="E101" s="42"/>
    </row>
    <row r="102" spans="1:5" ht="14.25" x14ac:dyDescent="0.2">
      <c r="A102" s="41" t="str">
        <f>Source!E211</f>
        <v>47,2</v>
      </c>
      <c r="B102" s="42" t="str">
        <f>Source!G211</f>
        <v>Щебень мраморный "Уфалей" белый 20-40 фр.</v>
      </c>
      <c r="C102" s="43" t="str">
        <f>Source!H211</f>
        <v>м3</v>
      </c>
      <c r="D102" s="44">
        <f>Source!I211</f>
        <v>7.25</v>
      </c>
      <c r="E102" s="42"/>
    </row>
    <row r="103" spans="1:5" ht="28.5" x14ac:dyDescent="0.2">
      <c r="A103" s="41" t="str">
        <f>Source!E212</f>
        <v>48</v>
      </c>
      <c r="B103" s="42" t="str">
        <f>Source!G212</f>
        <v>Перевозка грунтов растительного слоя и торфов на расстояние до 46 км автосамосвалами грузоподъемностью до 10 т</v>
      </c>
      <c r="C103" s="43" t="str">
        <f>Source!H212</f>
        <v>т</v>
      </c>
      <c r="D103" s="44">
        <f>Source!I212</f>
        <v>18.75</v>
      </c>
      <c r="E103" s="42"/>
    </row>
    <row r="104" spans="1:5" ht="28.5" x14ac:dyDescent="0.2">
      <c r="A104" s="41" t="str">
        <f>Source!E213</f>
        <v>49</v>
      </c>
      <c r="B104" s="42" t="str">
        <f>Source!G213</f>
        <v>Отходы грунта при проведении открытых земляных работ практически неопасные</v>
      </c>
      <c r="C104" s="43" t="str">
        <f>Source!H213</f>
        <v>1 Т</v>
      </c>
      <c r="D104" s="44">
        <f>Source!I213</f>
        <v>18.75</v>
      </c>
      <c r="E104" s="42"/>
    </row>
    <row r="105" spans="1:5" ht="16.5" x14ac:dyDescent="0.25">
      <c r="A105" s="68" t="str">
        <f>CONCATENATE("Раздел: ", Source!G245)</f>
        <v>Раздел: Замена покрытия из камней типа "Валун" 166 кв.м</v>
      </c>
      <c r="B105" s="68"/>
      <c r="C105" s="68"/>
      <c r="D105" s="68"/>
      <c r="E105" s="68"/>
    </row>
    <row r="106" spans="1:5" ht="42.75" x14ac:dyDescent="0.2">
      <c r="A106" s="41" t="str">
        <f>Source!E249</f>
        <v>50</v>
      </c>
      <c r="B106" s="42" t="str">
        <f>Source!G249</f>
        <v>Разборка кирпичных столбиков под лаги (Применительно разборка каменного покрытия 35 куб.м) Состав работ: 1. Разборка основания.  2. Укладка на строительной площадке</v>
      </c>
      <c r="C106" s="43" t="str">
        <f>Source!H249</f>
        <v>100 м2 основания</v>
      </c>
      <c r="D106" s="44">
        <f>Source!I249</f>
        <v>1.66</v>
      </c>
      <c r="E106" s="42"/>
    </row>
    <row r="107" spans="1:5" ht="42.75" x14ac:dyDescent="0.2">
      <c r="A107" s="41" t="str">
        <f>Source!E250</f>
        <v>51</v>
      </c>
      <c r="B107" s="42" t="str">
        <f>Source!G250</f>
        <v>Устройство корыта под газоны и цветники с планировкой дна в грунтах 1 и 2 группы Применительно грунт/песок (Масса мусора 16,6 куб.м*1,5 т=24,9 т)</v>
      </c>
      <c r="C107" s="43" t="str">
        <f>Source!H250</f>
        <v>1 м3</v>
      </c>
      <c r="D107" s="44">
        <f>Source!I250</f>
        <v>16.600000000000001</v>
      </c>
      <c r="E107" s="42"/>
    </row>
    <row r="108" spans="1:5" ht="28.5" x14ac:dyDescent="0.2">
      <c r="A108" s="41" t="str">
        <f>Source!E251</f>
        <v>52</v>
      </c>
      <c r="B108" s="42" t="str">
        <f>Source!G251</f>
        <v>Устройство прослойки из нетканого синтетического материала (НСМ) в земляном полотне сплошной</v>
      </c>
      <c r="C108" s="43" t="str">
        <f>Source!H251</f>
        <v>1000 м2 поверхности</v>
      </c>
      <c r="D108" s="44">
        <f>Source!I251</f>
        <v>0.16600000000000001</v>
      </c>
      <c r="E108" s="42"/>
    </row>
    <row r="109" spans="1:5" ht="28.5" x14ac:dyDescent="0.2">
      <c r="A109" s="41" t="str">
        <f>Source!E252</f>
        <v>52,1</v>
      </c>
      <c r="B109" s="42" t="str">
        <f>Source!G252</f>
        <v>Полотно иглопробивное для дорожного строительства, ширина полотна 2,45 м</v>
      </c>
      <c r="C109" s="43" t="str">
        <f>Source!H252</f>
        <v>м2</v>
      </c>
      <c r="D109" s="44">
        <f>Source!I252</f>
        <v>166</v>
      </c>
      <c r="E109" s="42"/>
    </row>
    <row r="110" spans="1:5" ht="28.5" x14ac:dyDescent="0.2">
      <c r="A110" s="41" t="str">
        <f>Source!E253</f>
        <v>53</v>
      </c>
      <c r="B110" s="42" t="str">
        <f>Source!G253</f>
        <v>Устройство плинтусов деревянных (применительно пластиковый борт)</v>
      </c>
      <c r="C110" s="43" t="str">
        <f>Source!H253</f>
        <v>100 м плинтусов</v>
      </c>
      <c r="D110" s="44">
        <f>Source!I253</f>
        <v>1.47</v>
      </c>
      <c r="E110" s="42"/>
    </row>
    <row r="111" spans="1:5" ht="14.25" x14ac:dyDescent="0.2">
      <c r="A111" s="41" t="str">
        <f>Source!E254</f>
        <v>53,1</v>
      </c>
      <c r="B111" s="42" t="str">
        <f>Source!G254</f>
        <v>Гвозди строительные</v>
      </c>
      <c r="C111" s="43" t="str">
        <f>Source!H254</f>
        <v>т</v>
      </c>
      <c r="D111" s="44">
        <f>Source!I254</f>
        <v>-6.1700000000000004E-4</v>
      </c>
      <c r="E111" s="42"/>
    </row>
    <row r="112" spans="1:5" ht="14.25" x14ac:dyDescent="0.2">
      <c r="A112" s="41" t="str">
        <f>Source!E255</f>
        <v>53,2</v>
      </c>
      <c r="B112" s="42" t="str">
        <f>Source!G255</f>
        <v>Пластиковый борт -кайма для отсыпки</v>
      </c>
      <c r="C112" s="43" t="str">
        <f>Source!H255</f>
        <v>м</v>
      </c>
      <c r="D112" s="44">
        <f>Source!I255</f>
        <v>149</v>
      </c>
      <c r="E112" s="42"/>
    </row>
    <row r="113" spans="1:31" ht="14.25" x14ac:dyDescent="0.2">
      <c r="A113" s="41" t="str">
        <f>Source!E256</f>
        <v>53,3</v>
      </c>
      <c r="B113" s="42" t="str">
        <f>Source!G256</f>
        <v>Пластиковый штифт</v>
      </c>
      <c r="C113" s="43" t="str">
        <f>Source!H256</f>
        <v>шт.</v>
      </c>
      <c r="D113" s="44">
        <f>Source!I256</f>
        <v>149</v>
      </c>
      <c r="E113" s="42"/>
    </row>
    <row r="114" spans="1:31" ht="28.5" x14ac:dyDescent="0.2">
      <c r="A114" s="41" t="str">
        <f>Source!E257</f>
        <v>54</v>
      </c>
      <c r="B114" s="42" t="str">
        <f>Source!G257</f>
        <v>Устройство покрытий из брусчатки по готовому подстилающему слою с заполнением швов песком (Применительно по составу работ)</v>
      </c>
      <c r="C114" s="43" t="str">
        <f>Source!H257</f>
        <v>100 м2 покрытия</v>
      </c>
      <c r="D114" s="44">
        <f>Source!I257</f>
        <v>1.66</v>
      </c>
      <c r="E114" s="42"/>
    </row>
    <row r="115" spans="1:31" ht="14.25" x14ac:dyDescent="0.2">
      <c r="A115" s="41" t="str">
        <f>Source!E258</f>
        <v>54,1</v>
      </c>
      <c r="B115" s="42" t="str">
        <f>Source!G258</f>
        <v>Валун "Лиана" (Фракция от 10 см до 40 см)</v>
      </c>
      <c r="C115" s="43" t="str">
        <f>Source!H258</f>
        <v>м3</v>
      </c>
      <c r="D115" s="44">
        <f>Source!I258</f>
        <v>41.5</v>
      </c>
      <c r="E115" s="42"/>
    </row>
    <row r="116" spans="1:31" ht="28.5" x14ac:dyDescent="0.2">
      <c r="A116" s="41" t="str">
        <f>Source!E259</f>
        <v>55</v>
      </c>
      <c r="B116" s="42" t="str">
        <f>Source!G259</f>
        <v>Механизированная погрузка строительного мусора в автомобили-самосвалы (масса мусора 35*2.264)</v>
      </c>
      <c r="C116" s="43" t="str">
        <f>Source!H259</f>
        <v>1 Т</v>
      </c>
      <c r="D116" s="44">
        <f>Source!I259</f>
        <v>79.239999999999995</v>
      </c>
      <c r="E116" s="42"/>
    </row>
    <row r="117" spans="1:31" ht="28.5" x14ac:dyDescent="0.2">
      <c r="A117" s="41" t="str">
        <f>Source!E260</f>
        <v>56</v>
      </c>
      <c r="B117" s="42" t="str">
        <f>Source!G260</f>
        <v>Перевозка строительного мусора на расстояние до 43 км автосамосвалами грузоподъемностью до 10 т</v>
      </c>
      <c r="C117" s="43" t="str">
        <f>Source!H260</f>
        <v>т</v>
      </c>
      <c r="D117" s="44">
        <f>Source!I260</f>
        <v>79.239999999999995</v>
      </c>
      <c r="E117" s="42"/>
    </row>
    <row r="118" spans="1:31" ht="28.5" x14ac:dyDescent="0.2">
      <c r="A118" s="41" t="str">
        <f>Source!E261</f>
        <v>57</v>
      </c>
      <c r="B118" s="42" t="str">
        <f>Source!G261</f>
        <v>Перевозка грунтов растительного слоя и торфов на расстояние до 46 км автосамосвалами грузоподъемностью до 10 т</v>
      </c>
      <c r="C118" s="43" t="str">
        <f>Source!H261</f>
        <v>т</v>
      </c>
      <c r="D118" s="44">
        <f>Source!I261</f>
        <v>24.9</v>
      </c>
      <c r="E118" s="42"/>
    </row>
    <row r="119" spans="1:31" ht="28.5" x14ac:dyDescent="0.2">
      <c r="A119" s="41" t="str">
        <f>Source!E262</f>
        <v>58</v>
      </c>
      <c r="B119" s="42" t="str">
        <f>Source!G262</f>
        <v>Отходы грунта при проведении открытых земляных работ практически неопасные</v>
      </c>
      <c r="C119" s="43" t="str">
        <f>Source!H262</f>
        <v>1 Т</v>
      </c>
      <c r="D119" s="44">
        <f>Source!I262</f>
        <v>24.9</v>
      </c>
      <c r="E119" s="42"/>
    </row>
    <row r="120" spans="1:31" ht="16.5" x14ac:dyDescent="0.25">
      <c r="A120" s="68" t="str">
        <f>CONCATENATE("Раздел: ", Source!G294)</f>
        <v>Раздел: Демонтаж подпорной стены из бутового камня 118 кв.м (каменная кладка и ж/б стена)</v>
      </c>
      <c r="B120" s="68"/>
      <c r="C120" s="68"/>
      <c r="D120" s="68"/>
      <c r="E120" s="68"/>
      <c r="AE120" s="45" t="str">
        <f>CONCATENATE("Раздел: ", Source!G294)</f>
        <v>Раздел: Демонтаж подпорной стены из бутового камня 118 кв.м (каменная кладка и ж/б стена)</v>
      </c>
    </row>
    <row r="121" spans="1:31" ht="14.25" x14ac:dyDescent="0.2">
      <c r="A121" s="41" t="str">
        <f>Source!E298</f>
        <v>59</v>
      </c>
      <c r="B121" s="42" t="str">
        <f>Source!G298</f>
        <v>Разборка кладки стен из бутового камня</v>
      </c>
      <c r="C121" s="43" t="str">
        <f>Source!H298</f>
        <v>10 м3 кладки</v>
      </c>
      <c r="D121" s="44">
        <f>Source!I298</f>
        <v>12</v>
      </c>
      <c r="E121" s="42"/>
    </row>
    <row r="122" spans="1:31" ht="28.5" x14ac:dyDescent="0.2">
      <c r="A122" s="41" t="str">
        <f>Source!E299</f>
        <v>60</v>
      </c>
      <c r="B122" s="42" t="str">
        <f>Source!G299</f>
        <v>Разборка покрытий и оснований цементобетонных</v>
      </c>
      <c r="C122" s="43" t="str">
        <f>Source!H299</f>
        <v>100 м3 конструкций</v>
      </c>
      <c r="D122" s="44">
        <f>Source!I299</f>
        <v>0.12</v>
      </c>
      <c r="E122" s="42"/>
    </row>
    <row r="123" spans="1:31" ht="42.75" x14ac:dyDescent="0.2">
      <c r="A123" s="41" t="str">
        <f>Source!E300</f>
        <v>61</v>
      </c>
      <c r="B123" s="42" t="str">
        <f>Source!G300</f>
        <v>Планировка земляного полотна средствами малой механизации (применительно удаление и расчистка земляного слоя вокруг подпорной стены )</v>
      </c>
      <c r="C123" s="43" t="str">
        <f>Source!H300</f>
        <v>100 м2 спланированного покрытия</v>
      </c>
      <c r="D123" s="44">
        <f>Source!I300</f>
        <v>0.27</v>
      </c>
      <c r="E123" s="42"/>
    </row>
    <row r="124" spans="1:31" ht="28.5" x14ac:dyDescent="0.2">
      <c r="A124" s="41" t="str">
        <f>Source!E301</f>
        <v>62</v>
      </c>
      <c r="B124" s="42" t="str">
        <f>Source!G301</f>
        <v>Механизированная погрузка строительного мусора в автомобили-самосвалы ((120+12 куб.м)*2,264т=298,848 т)</v>
      </c>
      <c r="C124" s="43" t="str">
        <f>Source!H301</f>
        <v>1 Т</v>
      </c>
      <c r="D124" s="44">
        <f>Source!I301</f>
        <v>298.84800000000001</v>
      </c>
      <c r="E124" s="42"/>
    </row>
    <row r="125" spans="1:31" ht="28.5" x14ac:dyDescent="0.2">
      <c r="A125" s="41" t="str">
        <f>Source!E302</f>
        <v>63</v>
      </c>
      <c r="B125" s="42" t="str">
        <f>Source!G302</f>
        <v>Перевозка строительного мусора на расстояние до 43 км автосамосвалами грузоподъемностью до 10 т</v>
      </c>
      <c r="C125" s="43" t="str">
        <f>Source!H302</f>
        <v>т</v>
      </c>
      <c r="D125" s="44">
        <f>Source!I302</f>
        <v>298.84800000000001</v>
      </c>
      <c r="E125" s="42"/>
    </row>
    <row r="126" spans="1:31" ht="28.5" x14ac:dyDescent="0.2">
      <c r="A126" s="41" t="str">
        <f>Source!E303</f>
        <v>64</v>
      </c>
      <c r="B126" s="42" t="str">
        <f>Source!G303</f>
        <v>Лом бортовых камней, брусчатки, булыжных камней и прочие отходы изделий из природного камня, практически неопасный</v>
      </c>
      <c r="C126" s="43" t="str">
        <f>Source!H303</f>
        <v>1 Т</v>
      </c>
      <c r="D126" s="44">
        <f>Source!I303</f>
        <v>298.84800000000001</v>
      </c>
      <c r="E126" s="42"/>
    </row>
    <row r="127" spans="1:31" ht="16.5" x14ac:dyDescent="0.25">
      <c r="A127" s="68" t="str">
        <f>CONCATENATE("Раздел: ", Source!G335)</f>
        <v>Раздел: Ремонт бетонных конструкций</v>
      </c>
      <c r="B127" s="68"/>
      <c r="C127" s="68"/>
      <c r="D127" s="68"/>
      <c r="E127" s="68"/>
    </row>
    <row r="128" spans="1:31" ht="28.5" x14ac:dyDescent="0.2">
      <c r="A128" s="41" t="str">
        <f>Source!E339</f>
        <v>65</v>
      </c>
      <c r="B128" s="42" t="str">
        <f>Source!G339</f>
        <v>Отбивка штукатурки по кирпичу и бетону стен, потолков площадью до 5 м2</v>
      </c>
      <c r="C128" s="43" t="str">
        <f>Source!H339</f>
        <v>100 м2</v>
      </c>
      <c r="D128" s="44">
        <f>Source!I339</f>
        <v>0.27</v>
      </c>
      <c r="E128" s="42"/>
    </row>
    <row r="129" spans="1:5" ht="57" x14ac:dyDescent="0.2">
      <c r="A129" s="41" t="str">
        <f>Source!E340</f>
        <v>66</v>
      </c>
      <c r="B129" s="42" t="str">
        <f>Source!G340</f>
        <v>Улучшенная штукатурка по сетке стен без устройства каркаса цементно-известковым раствором</v>
      </c>
      <c r="C129" s="43" t="str">
        <f>Source!H340</f>
        <v>100 м2 оштукатуриваемой поверхности</v>
      </c>
      <c r="D129" s="44">
        <f>Source!I340</f>
        <v>0.27</v>
      </c>
      <c r="E129" s="42"/>
    </row>
    <row r="130" spans="1:5" ht="14.25" x14ac:dyDescent="0.2">
      <c r="A130" s="41" t="str">
        <f>Source!E341</f>
        <v>66,1</v>
      </c>
      <c r="B130" s="42" t="str">
        <f>Source!G341</f>
        <v>Вода</v>
      </c>
      <c r="C130" s="43" t="str">
        <f>Source!H341</f>
        <v>м3</v>
      </c>
      <c r="D130" s="44">
        <f>Source!I341</f>
        <v>4.9216000000000003E-2</v>
      </c>
      <c r="E130" s="42"/>
    </row>
    <row r="131" spans="1:5" ht="156.75" x14ac:dyDescent="0.2">
      <c r="A131" s="41" t="str">
        <f>Source!E342</f>
        <v>66,2</v>
      </c>
      <c r="B131" s="42" t="str">
        <f>Source!G342</f>
        <v>Смесь сухая, крупнозернистая, цементная с наполнителем из полимерной фибры, ремонтная, безусадочная, сульфатостойкая, наружного применения, прочность на сжатие не менее 60 МПа, прочность на изгиб не менее 8 МПа, прочность сцепления с бетоном не менее 2,5 МПа, не менее W16, не менее F300, для конструкционного ремонта бетонных покрытий дорог, аэродромов, мостов, портов, гидротехнических сооружений, бетонных покрытий цехов, армированных, в том числе преднапряженных конструкций, омоноличивания стыков сборных железобетонных конструкций, защиты бетона от агрессивных сред, воздействия морской воды, масел, при глубине разрушений бетона от 20 до 40 мм (применительно)</v>
      </c>
      <c r="C131" s="43" t="str">
        <f>Source!H342</f>
        <v>т</v>
      </c>
      <c r="D131" s="44">
        <f>Source!I342</f>
        <v>1.47</v>
      </c>
      <c r="E131" s="42"/>
    </row>
    <row r="132" spans="1:5" ht="42.75" x14ac:dyDescent="0.2">
      <c r="A132" s="41" t="str">
        <f>Source!E343</f>
        <v>67</v>
      </c>
      <c r="B132" s="42" t="str">
        <f>Source!G343</f>
        <v>Улучшенная окраска колером масляным разбеленным стен по штукатурке (применительно огрунтовка и окраска в 2 слоя)</v>
      </c>
      <c r="C132" s="43" t="str">
        <f>Source!H343</f>
        <v>100 м2 окрашиваемой поверхности</v>
      </c>
      <c r="D132" s="44">
        <f>Source!I343</f>
        <v>0.27</v>
      </c>
      <c r="E132" s="42"/>
    </row>
    <row r="133" spans="1:5" ht="14.25" x14ac:dyDescent="0.2">
      <c r="A133" s="41" t="str">
        <f>Source!E344</f>
        <v>67,1</v>
      </c>
      <c r="B133" s="42" t="str">
        <f>Source!G344</f>
        <v>Шпатлевка масляно-клеевая универсальная</v>
      </c>
      <c r="C133" s="43" t="str">
        <f>Source!H344</f>
        <v>т</v>
      </c>
      <c r="D133" s="44">
        <f>Source!I344</f>
        <v>2.7378E-2</v>
      </c>
      <c r="E133" s="42"/>
    </row>
    <row r="134" spans="1:5" ht="14.25" x14ac:dyDescent="0.2">
      <c r="A134" s="41" t="str">
        <f>Source!E345</f>
        <v>67,2</v>
      </c>
      <c r="B134" s="42" t="str">
        <f>Source!G345</f>
        <v>Олифа для окраски комбинированная "Оксоль"</v>
      </c>
      <c r="C134" s="43" t="str">
        <f>Source!H345</f>
        <v>кг</v>
      </c>
      <c r="D134" s="44">
        <f>Source!I345</f>
        <v>6.9119999999999999</v>
      </c>
      <c r="E134" s="42"/>
    </row>
    <row r="135" spans="1:5" ht="28.5" x14ac:dyDescent="0.2">
      <c r="A135" s="41" t="str">
        <f>Source!E346</f>
        <v>67,3</v>
      </c>
      <c r="B135" s="42" t="str">
        <f>Source!G346</f>
        <v>Tikkurila Novasil / Тиккурила Beckers Akrylatfarg / Беккерс Акрилатфарг универсальная фасадная краска или аналог</v>
      </c>
      <c r="C135" s="43" t="str">
        <f>Source!H346</f>
        <v>т</v>
      </c>
      <c r="D135" s="44">
        <f>Source!I346</f>
        <v>3.1859999999999999E-2</v>
      </c>
      <c r="E135" s="42"/>
    </row>
    <row r="136" spans="1:5" ht="16.5" x14ac:dyDescent="0.25">
      <c r="A136" s="68" t="str">
        <f>CONCATENATE("Раздел: ", Source!G378)</f>
        <v>Раздел: Система автополива</v>
      </c>
      <c r="B136" s="68"/>
      <c r="C136" s="68"/>
      <c r="D136" s="68"/>
      <c r="E136" s="68"/>
    </row>
    <row r="137" spans="1:5" ht="57" x14ac:dyDescent="0.2">
      <c r="A137" s="41" t="str">
        <f>Source!E382</f>
        <v>68</v>
      </c>
      <c r="B137" s="42" t="str">
        <f>Source!G382</f>
        <v>Разработка грунта с погрузкой на автомобили-самосвалы экскаваторами с ковшом вместимостью 0,5 м3 группа грунтов 1-3 (Расчет объема длина 1700 м, ширина 0,5 м, глубина 0,5 м =425 куб.м; 170 куб.м учтено в разделе "Замена газона рулонного" Итого: 255 куб.м</v>
      </c>
      <c r="C137" s="43" t="str">
        <f>Source!H382</f>
        <v>100 м3 грунта</v>
      </c>
      <c r="D137" s="44">
        <f>Source!I382</f>
        <v>2.5499999999999998</v>
      </c>
      <c r="E137" s="42"/>
    </row>
    <row r="138" spans="1:5" ht="28.5" x14ac:dyDescent="0.2">
      <c r="A138" s="41" t="str">
        <f>Source!E383</f>
        <v>69</v>
      </c>
      <c r="B138" s="42" t="str">
        <f>Source!G383</f>
        <v>Устройство основания под трубопроводы щебеночного (10 см)</v>
      </c>
      <c r="C138" s="43" t="str">
        <f>Source!H383</f>
        <v>10 м3 основания</v>
      </c>
      <c r="D138" s="44">
        <f>Source!I383</f>
        <v>8.5</v>
      </c>
      <c r="E138" s="42"/>
    </row>
    <row r="139" spans="1:5" ht="28.5" x14ac:dyDescent="0.2">
      <c r="A139" s="41" t="str">
        <f>Source!E384</f>
        <v>69,1</v>
      </c>
      <c r="B139" s="42" t="str">
        <f>Source!G384</f>
        <v>Щебень из естественного камня для строительных работ, марка 600-400, фракция 5-10 мм</v>
      </c>
      <c r="C139" s="43" t="str">
        <f>Source!H384</f>
        <v>м3</v>
      </c>
      <c r="D139" s="44">
        <f>Source!I384</f>
        <v>106.25</v>
      </c>
      <c r="E139" s="42"/>
    </row>
    <row r="140" spans="1:5" ht="28.5" x14ac:dyDescent="0.2">
      <c r="A140" s="41" t="str">
        <f>Source!E385</f>
        <v>70</v>
      </c>
      <c r="B140" s="42" t="str">
        <f>Source!G385</f>
        <v>Устройство основания под трубопроводы песчаного (20 см)</v>
      </c>
      <c r="C140" s="43" t="str">
        <f>Source!H385</f>
        <v>10 м3 основания</v>
      </c>
      <c r="D140" s="44">
        <f>Source!I385</f>
        <v>17</v>
      </c>
      <c r="E140" s="42"/>
    </row>
    <row r="141" spans="1:5" ht="14.25" x14ac:dyDescent="0.2">
      <c r="A141" s="41" t="str">
        <f>Source!E386</f>
        <v>70,1</v>
      </c>
      <c r="B141" s="42" t="str">
        <f>Source!G386</f>
        <v>Песок для строительных работ, рядовой</v>
      </c>
      <c r="C141" s="43" t="str">
        <f>Source!H386</f>
        <v>м3</v>
      </c>
      <c r="D141" s="44">
        <f>Source!I386</f>
        <v>187</v>
      </c>
      <c r="E141" s="42"/>
    </row>
    <row r="142" spans="1:5" ht="99.75" x14ac:dyDescent="0.2">
      <c r="A142" s="41" t="str">
        <f>Source!E387</f>
        <v>71</v>
      </c>
      <c r="B142" s="42" t="str">
        <f>Source!G387</f>
        <v>Открытая прокладка трубопроводов из гибких полимерных армированных труб с теплоизоляцией из пенополиуретана, с диаметром напорной трубы до 50 мм Применительно: 1. Размотка и укладка полимерной трубы в траншею или открытый канал  2. Корректировка положения полимерной трубы по проектной оси  3. Обрезка трубы вручную для заведения трубы к месту подключения  4. Гидравлические испытания трубопровода</v>
      </c>
      <c r="C142" s="43" t="str">
        <f>Source!H387</f>
        <v>100 м</v>
      </c>
      <c r="D142" s="44">
        <f>Source!I387</f>
        <v>17</v>
      </c>
      <c r="E142" s="42"/>
    </row>
    <row r="143" spans="1:5" ht="42.75" x14ac:dyDescent="0.2">
      <c r="A143" s="41" t="str">
        <f>Source!E388</f>
        <v>72</v>
      </c>
      <c r="B143" s="42" t="str">
        <f>Source!G388</f>
        <v>Перевозка грунтов растительного слоя и торфов на расстояние до 46 км автосамосвалами грузоподъемностью до 10 т (Масса 255 куб.м*1,5 т=382,5 т)</v>
      </c>
      <c r="C143" s="43" t="str">
        <f>Source!H388</f>
        <v>т</v>
      </c>
      <c r="D143" s="44">
        <f>Source!I388</f>
        <v>382.5</v>
      </c>
      <c r="E143" s="42"/>
    </row>
    <row r="144" spans="1:5" ht="28.5" x14ac:dyDescent="0.2">
      <c r="A144" s="41" t="str">
        <f>Source!E389</f>
        <v>73</v>
      </c>
      <c r="B144" s="42" t="str">
        <f>Source!G389</f>
        <v>Отходы грунта при проведении открытых земляных работ практически неопасные</v>
      </c>
      <c r="C144" s="43" t="str">
        <f>Source!H389</f>
        <v>1 Т</v>
      </c>
      <c r="D144" s="44">
        <f>Source!I389</f>
        <v>382.5</v>
      </c>
      <c r="E144" s="42"/>
    </row>
    <row r="145" spans="1:5" ht="28.5" x14ac:dyDescent="0.2">
      <c r="A145" s="41" t="str">
        <f>Source!E390</f>
        <v>74</v>
      </c>
      <c r="B145" s="42" t="str">
        <f>Source!G390</f>
        <v>Устройство плинтусов деревянных (применительно пластиковый борт)</v>
      </c>
      <c r="C145" s="43" t="str">
        <f>Source!H390</f>
        <v>100 м плинтусов</v>
      </c>
      <c r="D145" s="44">
        <f>Source!I390</f>
        <v>0.45</v>
      </c>
      <c r="E145" s="42"/>
    </row>
    <row r="146" spans="1:5" ht="14.25" x14ac:dyDescent="0.2">
      <c r="A146" s="41" t="str">
        <f>Source!E391</f>
        <v>74,1</v>
      </c>
      <c r="B146" s="42" t="str">
        <f>Source!G391</f>
        <v>Гвозди строительные</v>
      </c>
      <c r="C146" s="43" t="str">
        <f>Source!H391</f>
        <v>т</v>
      </c>
      <c r="D146" s="44">
        <f>Source!I391</f>
        <v>-1.8900000000000001E-4</v>
      </c>
      <c r="E146" s="42"/>
    </row>
    <row r="147" spans="1:5" ht="14.25" x14ac:dyDescent="0.2">
      <c r="A147" s="41" t="str">
        <f>Source!E392</f>
        <v>74,2</v>
      </c>
      <c r="B147" s="42" t="str">
        <f>Source!G392</f>
        <v>Пластиковый борт -кайма для отсыпки</v>
      </c>
      <c r="C147" s="43" t="str">
        <f>Source!H392</f>
        <v>м</v>
      </c>
      <c r="D147" s="44">
        <f>Source!I392</f>
        <v>45.42</v>
      </c>
      <c r="E147" s="42"/>
    </row>
    <row r="148" spans="1:5" ht="57" x14ac:dyDescent="0.2">
      <c r="A148" s="41" t="str">
        <f>Source!E393</f>
        <v>75</v>
      </c>
      <c r="B148" s="42" t="str">
        <f>Source!G393</f>
        <v>Установка баков металлических для воды массой до 0,5 т Применительно: 1. Установка баков на готовое основание  2. Присоединение баков к трубопроводам  3. Установка и регулировка поплавковых клапанов  4. Гидравлическое испытание баков</v>
      </c>
      <c r="C148" s="43" t="str">
        <f>Source!H393</f>
        <v>1 бак</v>
      </c>
      <c r="D148" s="44">
        <f>Source!I393</f>
        <v>1</v>
      </c>
      <c r="E148" s="42"/>
    </row>
    <row r="149" spans="1:5" ht="14.25" x14ac:dyDescent="0.2">
      <c r="A149" s="41" t="str">
        <f>Source!E394</f>
        <v>76</v>
      </c>
      <c r="B149" s="42" t="str">
        <f>Source!G394</f>
        <v>Установка фильтров диаметром до 25 мм</v>
      </c>
      <c r="C149" s="43" t="str">
        <f>Source!H394</f>
        <v>1 фильтр</v>
      </c>
      <c r="D149" s="44">
        <f>Source!I394</f>
        <v>1</v>
      </c>
      <c r="E149" s="42"/>
    </row>
    <row r="150" spans="1:5" ht="28.5" x14ac:dyDescent="0.2">
      <c r="A150" s="41" t="str">
        <f>Source!E395</f>
        <v>77</v>
      </c>
      <c r="B150" s="42" t="str">
        <f>Source!G395</f>
        <v>Установка насосов центробежных с электродвигателем массой агрегата до 0,1 т (применительно насос и блок контроля)</v>
      </c>
      <c r="C150" s="43" t="str">
        <f>Source!H395</f>
        <v>1 насос</v>
      </c>
      <c r="D150" s="44">
        <f>Source!I395</f>
        <v>2</v>
      </c>
      <c r="E150" s="42"/>
    </row>
    <row r="151" spans="1:5" ht="28.5" x14ac:dyDescent="0.2">
      <c r="A151" s="41" t="str">
        <f>Source!E396</f>
        <v>78</v>
      </c>
      <c r="B151" s="42" t="str">
        <f>Source!G396</f>
        <v>Пульты и шкафы управления, пульт управления напольный, высота до 1200 мм, глубина и ширина по фронту до 700х600 мм (применительно)</v>
      </c>
      <c r="C151" s="43" t="str">
        <f>Source!H396</f>
        <v>1  ШТ.</v>
      </c>
      <c r="D151" s="44">
        <f>Source!I396</f>
        <v>1</v>
      </c>
      <c r="E151" s="42"/>
    </row>
    <row r="152" spans="1:5" ht="42.75" x14ac:dyDescent="0.2">
      <c r="A152" s="41" t="str">
        <f>Source!E397</f>
        <v>79</v>
      </c>
      <c r="B152" s="42" t="str">
        <f>Source!G397</f>
        <v>Разводка по устройствам и подключение жил кабелей или проводов внешней сети к блокам зажимов и к зажимам аппаратов и приборов, установленных на устройствах, кабели и провода сечение до 10 мм2</v>
      </c>
      <c r="C152" s="43" t="str">
        <f>Source!H397</f>
        <v>100 жил</v>
      </c>
      <c r="D152" s="44">
        <f>Source!I397</f>
        <v>0.1</v>
      </c>
      <c r="E152" s="42"/>
    </row>
    <row r="153" spans="1:5" ht="42.75" x14ac:dyDescent="0.2">
      <c r="A153" s="41" t="str">
        <f>Source!E398</f>
        <v>80</v>
      </c>
      <c r="B153" s="42" t="str">
        <f>Source!G398</f>
        <v>Выключатели установочные автоматические (автоматы) или неавтоматические, автомат одно-,двух-,трехполюсный, устанавливаемый на конструкции на стене или колонне на ток до 25 А</v>
      </c>
      <c r="C153" s="43" t="str">
        <f>Source!H398</f>
        <v>1  ШТ.</v>
      </c>
      <c r="D153" s="44">
        <f>Source!I398</f>
        <v>4</v>
      </c>
      <c r="E153" s="42"/>
    </row>
    <row r="154" spans="1:5" ht="14.25" x14ac:dyDescent="0.2">
      <c r="A154" s="41" t="str">
        <f>Source!E399</f>
        <v>81</v>
      </c>
      <c r="B154" s="42" t="str">
        <f>Source!G399</f>
        <v>DIN-рейка</v>
      </c>
      <c r="C154" s="43" t="str">
        <f>Source!H399</f>
        <v>100 м</v>
      </c>
      <c r="D154" s="44">
        <f>Source!I399</f>
        <v>0.01</v>
      </c>
      <c r="E154" s="42"/>
    </row>
    <row r="155" spans="1:5" ht="28.5" x14ac:dyDescent="0.2">
      <c r="A155" s="41" t="str">
        <f>Source!E400</f>
        <v>82</v>
      </c>
      <c r="B155" s="42" t="str">
        <f>Source!G400</f>
        <v>Трубы гофрированные поливинилхлоридные наружным диаметром 20 мм открыто по стенам и потолкам с установкой соединительных коробок</v>
      </c>
      <c r="C155" s="43" t="str">
        <f>Source!H400</f>
        <v>100 м</v>
      </c>
      <c r="D155" s="44">
        <f>Source!I400</f>
        <v>7</v>
      </c>
      <c r="E155" s="42"/>
    </row>
    <row r="156" spans="1:5" ht="42.75" x14ac:dyDescent="0.2">
      <c r="A156" s="41" t="str">
        <f>Source!E401</f>
        <v>83</v>
      </c>
      <c r="B156" s="42" t="str">
        <f>Source!G401</f>
        <v>Затягивание проводов и кабелей в проложенные трубы и металлические рукава, провод первый одножильный или многожильный в общей оплетке, суммарное сечение до 6 мм2</v>
      </c>
      <c r="C156" s="43" t="str">
        <f>Source!H401</f>
        <v>100 м</v>
      </c>
      <c r="D156" s="44">
        <f>Source!I401</f>
        <v>7</v>
      </c>
      <c r="E156" s="42"/>
    </row>
    <row r="157" spans="1:5" ht="28.5" x14ac:dyDescent="0.2">
      <c r="A157" s="41" t="str">
        <f>Source!E402</f>
        <v>84</v>
      </c>
      <c r="B157" s="42" t="str">
        <f>Source!G402</f>
        <v>Устройство фундаментных плит железобетонных плоских (для модульного объекта)</v>
      </c>
      <c r="C157" s="43" t="str">
        <f>Source!H402</f>
        <v>100 м3 в деле</v>
      </c>
      <c r="D157" s="44">
        <f>Source!I402</f>
        <v>0.04</v>
      </c>
      <c r="E157" s="42"/>
    </row>
    <row r="158" spans="1:5" ht="42.75" x14ac:dyDescent="0.2">
      <c r="A158" s="41" t="str">
        <f>Source!E403</f>
        <v>84,1</v>
      </c>
      <c r="B158" s="42" t="str">
        <f>Source!G403</f>
        <v>Арматурные заготовки (стержни, хомуты и т.п.), не собранные в каркасы или сетки, углеродистая сталь общего назначения и арматурная сталь гладкая, класс А-I, диаметр 36-50 мм</v>
      </c>
      <c r="C158" s="43" t="str">
        <f>Source!H403</f>
        <v>т</v>
      </c>
      <c r="D158" s="44">
        <f>Source!I403</f>
        <v>0.3</v>
      </c>
      <c r="E158" s="42"/>
    </row>
    <row r="159" spans="1:5" ht="28.5" x14ac:dyDescent="0.2">
      <c r="A159" s="41" t="str">
        <f>Source!E404</f>
        <v>84,2</v>
      </c>
      <c r="B159" s="42" t="str">
        <f>Source!G404</f>
        <v>Смеси бетонные, БСГ, тяжелого бетона на гранитном щебне, класс прочности В20 (М250); П3, фракция 5-20, F100, W2</v>
      </c>
      <c r="C159" s="43" t="str">
        <f>Source!H404</f>
        <v>м3</v>
      </c>
      <c r="D159" s="44">
        <f>Source!I404</f>
        <v>4</v>
      </c>
      <c r="E159" s="42"/>
    </row>
    <row r="160" spans="1:5" ht="16.5" x14ac:dyDescent="0.25">
      <c r="A160" s="68" t="str">
        <f>CONCATENATE("Подраздел: ", Source!G406)</f>
        <v>Подраздел: Оборудование для автополива</v>
      </c>
      <c r="B160" s="68"/>
      <c r="C160" s="68"/>
      <c r="D160" s="68"/>
      <c r="E160" s="68"/>
    </row>
    <row r="161" spans="1:5" ht="42.75" x14ac:dyDescent="0.2">
      <c r="A161" s="41" t="str">
        <f>Source!E410</f>
        <v>85</v>
      </c>
      <c r="B161" s="42" t="str">
        <f>Source!G410</f>
        <v>Оборудование для системы автополива (по КП от 3-х поставщиков, конъюнктурный анализ выбор наименьшей Н(М)ЦД) в соответствии со спецификацией проекта</v>
      </c>
      <c r="C161" s="43" t="str">
        <f>Source!H410</f>
        <v>шт.</v>
      </c>
      <c r="D161" s="44">
        <f>Source!I410</f>
        <v>1</v>
      </c>
      <c r="E161" s="42"/>
    </row>
    <row r="162" spans="1:5" ht="42.75" x14ac:dyDescent="0.2">
      <c r="A162" s="41" t="str">
        <f>Source!E411</f>
        <v>86</v>
      </c>
      <c r="B162" s="42" t="str">
        <f>Source!G411</f>
        <v>Модульная конструкция для бака и автоматики системы полива (4*2,5 м; утепленная сэндвич-панели) КП от 3-х поставщиков, конъюнктурный анализ, выбор наименьшей Н(М)ЦД</v>
      </c>
      <c r="C162" s="43" t="str">
        <f>Source!H411</f>
        <v>шт.</v>
      </c>
      <c r="D162" s="44">
        <f>Source!I411</f>
        <v>1</v>
      </c>
      <c r="E162" s="42"/>
    </row>
    <row r="163" spans="1:5" ht="16.5" x14ac:dyDescent="0.25">
      <c r="A163" s="68" t="str">
        <f>CONCATENATE("Раздел: ", Source!G473)</f>
        <v>Раздел: Ремонт водоема с обустройством и корректировкой береговой полосы</v>
      </c>
      <c r="B163" s="68"/>
      <c r="C163" s="68"/>
      <c r="D163" s="68"/>
      <c r="E163" s="68"/>
    </row>
    <row r="164" spans="1:5" ht="28.5" x14ac:dyDescent="0.2">
      <c r="A164" s="41" t="str">
        <f>Source!E477</f>
        <v>87</v>
      </c>
      <c r="B164" s="42" t="str">
        <f>Source!G477</f>
        <v>Слив воды из чаши фонтана, объем воды в чашах фонтана свыше 30 до 100 м3 (применительно)</v>
      </c>
      <c r="C164" s="43" t="str">
        <f>Source!H477</f>
        <v>1 м3</v>
      </c>
      <c r="D164" s="44">
        <f>Source!I477</f>
        <v>250</v>
      </c>
      <c r="E164" s="42"/>
    </row>
    <row r="165" spans="1:5" ht="28.5" x14ac:dyDescent="0.2">
      <c r="A165" s="41" t="str">
        <f>Source!E478</f>
        <v>88</v>
      </c>
      <c r="B165" s="42" t="str">
        <f>Source!G478</f>
        <v>Заполнение водой чаши фонтана, объем воды в чашах фонтана свыше 100 м3 (применительно)</v>
      </c>
      <c r="C165" s="43" t="str">
        <f>Source!H478</f>
        <v>1 м3</v>
      </c>
      <c r="D165" s="44">
        <f>Source!I478</f>
        <v>250</v>
      </c>
      <c r="E165" s="42"/>
    </row>
    <row r="166" spans="1:5" ht="14.25" x14ac:dyDescent="0.2">
      <c r="A166" s="41" t="str">
        <f>Source!E479</f>
        <v>88,1</v>
      </c>
      <c r="B166" s="42" t="str">
        <f>Source!G479</f>
        <v>Вода</v>
      </c>
      <c r="C166" s="43" t="str">
        <f>Source!H479</f>
        <v>м3</v>
      </c>
      <c r="D166" s="44">
        <f>Source!I479</f>
        <v>250</v>
      </c>
      <c r="E166" s="42"/>
    </row>
    <row r="167" spans="1:5" ht="42.75" x14ac:dyDescent="0.2">
      <c r="A167" s="41" t="str">
        <f>Source!E480</f>
        <v>89</v>
      </c>
      <c r="B167" s="42" t="str">
        <f>Source!G480</f>
        <v>Разборка кладки стен из бутового камня (Применительно каменная кладка берега 108,6 пог.м периметр, ширина 1,5 м, глубина 1,3 м=211,77куб.м; Кф. к ЗП=0,33 без сохраниения МР)</v>
      </c>
      <c r="C167" s="43" t="str">
        <f>Source!H480</f>
        <v>10 м3 кладки</v>
      </c>
      <c r="D167" s="44">
        <f>Source!I480</f>
        <v>21.177</v>
      </c>
      <c r="E167" s="42"/>
    </row>
    <row r="168" spans="1:5" ht="28.5" x14ac:dyDescent="0.2">
      <c r="A168" s="41" t="str">
        <f>Source!E481</f>
        <v>90</v>
      </c>
      <c r="B168" s="42" t="str">
        <f>Source!G481</f>
        <v>Разборка фундаментов бутовых (Применительно дно 180 кв.м *1 м= 180 куб.м)</v>
      </c>
      <c r="C168" s="43" t="str">
        <f>Source!H481</f>
        <v>1 м3</v>
      </c>
      <c r="D168" s="44">
        <f>Source!I481</f>
        <v>180</v>
      </c>
      <c r="E168" s="42"/>
    </row>
    <row r="169" spans="1:5" ht="71.25" x14ac:dyDescent="0.2">
      <c r="A169" s="41" t="str">
        <f>Source!E482</f>
        <v>91</v>
      </c>
      <c r="B169" s="42" t="str">
        <f>Source!G482</f>
        <v>Разработка грунта с погрузкой на автомобили-самосвалы экскаваторами с ковшом вместимостью 0,5 м3 группа грунтов 1-3 (применительно стенки: ширина 1,5 м*глубина 0,5м *пог.м 108,6 м =81,45 куб. м выемка грунта берег); дно: глубина 0,5м * 180 кв.м = 90 куб.м). Итого: 171,45 куб.м влажный грунт (вес 1,6-1,8 т/куб.м)</v>
      </c>
      <c r="C169" s="43" t="str">
        <f>Source!H482</f>
        <v>100 м3 грунта</v>
      </c>
      <c r="D169" s="44">
        <f>Source!I482</f>
        <v>1.7144999999999999</v>
      </c>
      <c r="E169" s="42"/>
    </row>
    <row r="170" spans="1:5" ht="28.5" x14ac:dyDescent="0.2">
      <c r="A170" s="41" t="str">
        <f>Source!E483</f>
        <v>92</v>
      </c>
      <c r="B170" s="42" t="str">
        <f>Source!G483</f>
        <v>Разработка грунта вручную в траншеях глубиной до 2 м без креплений с откосами группа грунтов 1-3</v>
      </c>
      <c r="C170" s="43" t="str">
        <f>Source!H483</f>
        <v>100 м3 грунта</v>
      </c>
      <c r="D170" s="44">
        <f>Source!I483</f>
        <v>1.7144999999999999</v>
      </c>
      <c r="E170" s="42"/>
    </row>
    <row r="171" spans="1:5" ht="71.25" x14ac:dyDescent="0.2">
      <c r="A171" s="41" t="str">
        <f>Source!E484</f>
        <v>93</v>
      </c>
      <c r="B171" s="42" t="str">
        <f>Source!G484</f>
        <v>Устройство прослойки из нетканого синтетического материала (НСМ) в земляном полотне сплошной Применительно: 1. Планировка земляного полотна  2. Планировка откосов  3. Раскладка рулонов НСМ  4. Закрепление полотен НСМ анкерами с последующей разборкой крепления  5. Склейка полотен НСМ</v>
      </c>
      <c r="C171" s="43" t="str">
        <f>Source!H484</f>
        <v>1000 м2 поверхности</v>
      </c>
      <c r="D171" s="44">
        <f>Source!I484</f>
        <v>0.34</v>
      </c>
      <c r="E171" s="42"/>
    </row>
    <row r="172" spans="1:5" ht="28.5" x14ac:dyDescent="0.2">
      <c r="A172" s="41" t="str">
        <f>Source!E485</f>
        <v>93,1</v>
      </c>
      <c r="B172" s="42" t="str">
        <f>Source!G485</f>
        <v>Полотно иглопробивное для дорожного строительства, ширина полотна 2,45 м</v>
      </c>
      <c r="C172" s="43" t="str">
        <f>Source!H485</f>
        <v>м2</v>
      </c>
      <c r="D172" s="44">
        <f>Source!I485</f>
        <v>340</v>
      </c>
      <c r="E172" s="42"/>
    </row>
    <row r="173" spans="1:5" ht="28.5" x14ac:dyDescent="0.2">
      <c r="A173" s="41" t="str">
        <f>Source!E486</f>
        <v>93,2</v>
      </c>
      <c r="B173" s="42" t="str">
        <f>Source!G486</f>
        <v>Мембрана для водоемов ЭПДМ ПондЛайнер, черная, в рулонах (толщина 1.02 мм) Carlisle</v>
      </c>
      <c r="C173" s="43" t="str">
        <f>Source!H486</f>
        <v>м2</v>
      </c>
      <c r="D173" s="44">
        <f>Source!I486</f>
        <v>340</v>
      </c>
      <c r="E173" s="42"/>
    </row>
    <row r="174" spans="1:5" ht="14.25" x14ac:dyDescent="0.2">
      <c r="A174" s="41" t="str">
        <f>Source!E487</f>
        <v>93,3</v>
      </c>
      <c r="B174" s="42" t="str">
        <f>Source!G487</f>
        <v>Лента для швов ЭПДМ, в рулонах (размер: 7.62см х 30.48м ) Carlisle</v>
      </c>
      <c r="C174" s="43" t="str">
        <f>Source!H487</f>
        <v>шт.</v>
      </c>
      <c r="D174" s="44">
        <f>Source!I487</f>
        <v>2</v>
      </c>
      <c r="E174" s="42"/>
    </row>
    <row r="175" spans="1:5" ht="14.25" x14ac:dyDescent="0.2">
      <c r="A175" s="41" t="str">
        <f>Source!E488</f>
        <v>93,4</v>
      </c>
      <c r="B175" s="42" t="str">
        <f>Source!G488</f>
        <v>Праймер ЭПДМ (в банках по 3.8 литра) Carlisle</v>
      </c>
      <c r="C175" s="43" t="str">
        <f>Source!H488</f>
        <v>шт.</v>
      </c>
      <c r="D175" s="44">
        <f>Source!I488</f>
        <v>4</v>
      </c>
      <c r="E175" s="42"/>
    </row>
    <row r="176" spans="1:5" ht="28.5" x14ac:dyDescent="0.2">
      <c r="A176" s="41" t="str">
        <f>Source!E489</f>
        <v>94</v>
      </c>
      <c r="B176" s="42" t="str">
        <f>Source!G489</f>
        <v>Устройство прослойки из нетканого синтетического материала (НСМ) в земляном полотне сплошной</v>
      </c>
      <c r="C176" s="43" t="str">
        <f>Source!H489</f>
        <v>1000 м2 поверхности</v>
      </c>
      <c r="D176" s="44">
        <f>Source!I489</f>
        <v>0.34</v>
      </c>
      <c r="E176" s="42"/>
    </row>
    <row r="177" spans="1:5" ht="28.5" x14ac:dyDescent="0.2">
      <c r="A177" s="41" t="str">
        <f>Source!E490</f>
        <v>94,1</v>
      </c>
      <c r="B177" s="42" t="str">
        <f>Source!G490</f>
        <v>Полотно дренажное, полиэтиленовое, профилированное, с фильтрующим текстилем (применительно полотно для водоема)</v>
      </c>
      <c r="C177" s="43" t="str">
        <f>Source!H490</f>
        <v>м2</v>
      </c>
      <c r="D177" s="44">
        <f>Source!I490</f>
        <v>340</v>
      </c>
      <c r="E177" s="42"/>
    </row>
    <row r="178" spans="1:5" ht="57" x14ac:dyDescent="0.2">
      <c r="A178" s="41" t="str">
        <f>Source!E491</f>
        <v>95</v>
      </c>
      <c r="B178" s="42" t="str">
        <f>Source!G491</f>
        <v>Стабилизация откосов геосинтетической сеткой. Применительно сетка для береговой линии: 1. Подноска сетки  2. Заготовка элементов крепления сетки  3. Раскладка геосинтетической сетки по откосам с креплением</v>
      </c>
      <c r="C178" s="43" t="str">
        <f>Source!H491</f>
        <v>100 м2</v>
      </c>
      <c r="D178" s="44">
        <f>Source!I491</f>
        <v>2.7</v>
      </c>
      <c r="E178" s="42"/>
    </row>
    <row r="179" spans="1:5" ht="14.25" x14ac:dyDescent="0.2">
      <c r="A179" s="41" t="str">
        <f>Source!E492</f>
        <v>95,1</v>
      </c>
      <c r="B179" s="42" t="str">
        <f>Source!G492</f>
        <v>Геомат противоэрозионный для укрепления склонов</v>
      </c>
      <c r="C179" s="43" t="str">
        <f>Source!H492</f>
        <v>м2</v>
      </c>
      <c r="D179" s="44">
        <f>Source!I492</f>
        <v>270</v>
      </c>
      <c r="E179" s="42"/>
    </row>
    <row r="180" spans="1:5" ht="71.25" x14ac:dyDescent="0.2">
      <c r="A180" s="41" t="str">
        <f>Source!E493</f>
        <v>96</v>
      </c>
      <c r="B180" s="42" t="str">
        <f>Source!G493</f>
        <v>Устройство в ложе водоема по береговой линии подстилающих слоев из щебня и цеолита слоями толщиной по 100 мм с применением средств малой механизации (Применительно пригружающий слой: 256 кв.м*0,3 м щебень=76,8 куб.м; 256 кв.м* 0,15 м =38,4 куб.м рваный гранит Итого: 115,2 куб.м</v>
      </c>
      <c r="C180" s="43" t="str">
        <f>Source!H493</f>
        <v>100 м3</v>
      </c>
      <c r="D180" s="44">
        <f>Source!I493</f>
        <v>1.1519999999999999</v>
      </c>
      <c r="E180" s="42"/>
    </row>
    <row r="181" spans="1:5" ht="28.5" x14ac:dyDescent="0.2">
      <c r="A181" s="41" t="str">
        <f>Source!E494</f>
        <v>96,1</v>
      </c>
      <c r="B181" s="42" t="str">
        <f>Source!G494</f>
        <v>Щебень из естественного камня для дорожных работ, марка 1200 - 800, фракция 20 - 40 мм</v>
      </c>
      <c r="C181" s="43" t="str">
        <f>Source!H494</f>
        <v>м3</v>
      </c>
      <c r="D181" s="44">
        <f>Source!I494</f>
        <v>38.4</v>
      </c>
      <c r="E181" s="42"/>
    </row>
    <row r="182" spans="1:5" ht="28.5" x14ac:dyDescent="0.2">
      <c r="A182" s="41" t="str">
        <f>Source!E495</f>
        <v>96,2</v>
      </c>
      <c r="B182" s="42" t="str">
        <f>Source!G495</f>
        <v>Щебень из естественного камня для дорожных работ, марка 1200 - 800, фракция 40-70 мм</v>
      </c>
      <c r="C182" s="43" t="str">
        <f>Source!H495</f>
        <v>м3</v>
      </c>
      <c r="D182" s="44">
        <f>Source!I495</f>
        <v>38.4</v>
      </c>
      <c r="E182" s="42"/>
    </row>
    <row r="183" spans="1:5" ht="14.25" x14ac:dyDescent="0.2">
      <c r="A183" s="41" t="str">
        <f>Source!E496</f>
        <v>96,3</v>
      </c>
      <c r="B183" s="42" t="str">
        <f>Source!G496</f>
        <v>Камень природный Гранит</v>
      </c>
      <c r="C183" s="43" t="str">
        <f>Source!H496</f>
        <v>м3</v>
      </c>
      <c r="D183" s="44">
        <f>Source!I496</f>
        <v>38.4</v>
      </c>
      <c r="E183" s="42"/>
    </row>
    <row r="184" spans="1:5" ht="42.75" x14ac:dyDescent="0.2">
      <c r="A184" s="41" t="str">
        <f>Source!E497</f>
        <v>97</v>
      </c>
      <c r="B184" s="42" t="str">
        <f>Source!G497</f>
        <v>Устройство гравийно-грунтовой отсыпки при берегоукрепительных работах (применительно подстилающие слои берега) 120 пог.м*1,5 м ширина*0,3 м глубина = 54 куб.м</v>
      </c>
      <c r="C184" s="43" t="str">
        <f>Source!H497</f>
        <v>1 м3</v>
      </c>
      <c r="D184" s="44">
        <f>Source!I497</f>
        <v>54</v>
      </c>
      <c r="E184" s="42"/>
    </row>
    <row r="185" spans="1:5" ht="28.5" x14ac:dyDescent="0.2">
      <c r="A185" s="41" t="str">
        <f>Source!E498</f>
        <v>97,1</v>
      </c>
      <c r="B185" s="42" t="str">
        <f>Source!G498</f>
        <v>Щебень из естественного камня для дорожных работ, марка 1200 - 800, фракция 40-70 мм</v>
      </c>
      <c r="C185" s="43" t="str">
        <f>Source!H498</f>
        <v>м3</v>
      </c>
      <c r="D185" s="44">
        <f>Source!I498</f>
        <v>70.2</v>
      </c>
      <c r="E185" s="42"/>
    </row>
    <row r="186" spans="1:5" ht="28.5" x14ac:dyDescent="0.2">
      <c r="A186" s="41" t="str">
        <f>Source!E499</f>
        <v>98</v>
      </c>
      <c r="B186" s="42" t="str">
        <f>Source!G499</f>
        <v>Устройство каменной наброски или призмы (применительно береговая линия камень "Казбек")</v>
      </c>
      <c r="C186" s="43" t="str">
        <f>Source!H499</f>
        <v>100 м3 камня в деле</v>
      </c>
      <c r="D186" s="44">
        <f>Source!I499</f>
        <v>0.36</v>
      </c>
      <c r="E186" s="42"/>
    </row>
    <row r="187" spans="1:5" ht="28.5" x14ac:dyDescent="0.2">
      <c r="A187" s="41" t="str">
        <f>Source!E500</f>
        <v>98,1</v>
      </c>
      <c r="B187" s="42" t="str">
        <f>Source!G500</f>
        <v>Валун гранитный "Казбек" КП от 3-х поставщиков (15 т*2,4 м.куб.=36 куб.м)</v>
      </c>
      <c r="C187" s="43" t="str">
        <f>Source!H500</f>
        <v>т</v>
      </c>
      <c r="D187" s="44">
        <f>Source!I500</f>
        <v>15.000000000000002</v>
      </c>
      <c r="E187" s="42"/>
    </row>
    <row r="188" spans="1:5" ht="28.5" x14ac:dyDescent="0.2">
      <c r="A188" s="41" t="str">
        <f>Source!E501</f>
        <v>99</v>
      </c>
      <c r="B188" s="42" t="str">
        <f>Source!G501</f>
        <v>Механизированная погрузка строительного мусора в автомобили-самосвалы</v>
      </c>
      <c r="C188" s="43" t="str">
        <f>Source!H501</f>
        <v>1 Т</v>
      </c>
      <c r="D188" s="44">
        <f>Source!I501</f>
        <v>959</v>
      </c>
      <c r="E188" s="42"/>
    </row>
    <row r="189" spans="1:5" ht="42.75" x14ac:dyDescent="0.2">
      <c r="A189" s="41" t="str">
        <f>Source!E502</f>
        <v>100</v>
      </c>
      <c r="B189" s="42" t="str">
        <f>Source!G502</f>
        <v>Перевозка строительного мусора на расстояние до 43 км автосамосвалами грузоподъемностью до 10 т (Масса мусора (211,77 куб.+180 куб.м)*2,4 т= 508,248 т+451,2 т=959,448 т</v>
      </c>
      <c r="C189" s="43" t="str">
        <f>Source!H502</f>
        <v>т</v>
      </c>
      <c r="D189" s="44">
        <f>Source!I502</f>
        <v>959</v>
      </c>
      <c r="E189" s="42"/>
    </row>
    <row r="190" spans="1:5" ht="42.75" x14ac:dyDescent="0.2">
      <c r="A190" s="41" t="str">
        <f>Source!E503</f>
        <v>101</v>
      </c>
      <c r="B190" s="42" t="str">
        <f>Source!G503</f>
        <v>Перевозка грунтов растительного слоя и торфов на расстояние до 46 км автосамосвалами грузоподъемностью до 10 т (масса мусора 171,45 куб.м влажный грунт, ил*1,6 т=274 куб.м)</v>
      </c>
      <c r="C190" s="43" t="str">
        <f>Source!H503</f>
        <v>т</v>
      </c>
      <c r="D190" s="44">
        <f>Source!I503</f>
        <v>274</v>
      </c>
      <c r="E190" s="42"/>
    </row>
    <row r="191" spans="1:5" ht="28.5" x14ac:dyDescent="0.2">
      <c r="A191" s="41" t="str">
        <f>Source!E504</f>
        <v>102</v>
      </c>
      <c r="B191" s="42" t="str">
        <f>Source!G504</f>
        <v>Отходы грунта при проведении открытых земляных работ практически неопасные</v>
      </c>
      <c r="C191" s="43" t="str">
        <f>Source!H504</f>
        <v>1 Т</v>
      </c>
      <c r="D191" s="44">
        <f>Source!I504</f>
        <v>274</v>
      </c>
      <c r="E191" s="42"/>
    </row>
    <row r="192" spans="1:5" ht="28.5" x14ac:dyDescent="0.2">
      <c r="A192" s="41" t="str">
        <f>Source!E505</f>
        <v>103</v>
      </c>
      <c r="B192" s="42" t="str">
        <f>Source!G505</f>
        <v>Отходы строительного щебня незагрязненные  практически неопасные (применительно)</v>
      </c>
      <c r="C192" s="43" t="str">
        <f>Source!H505</f>
        <v>1 Т</v>
      </c>
      <c r="D192" s="44">
        <f>Source!I505</f>
        <v>959.44</v>
      </c>
      <c r="E192" s="42"/>
    </row>
    <row r="193" spans="1:5" ht="16.5" x14ac:dyDescent="0.25">
      <c r="A193" s="68" t="str">
        <f>CONCATENATE("Раздел: ", Source!G537)</f>
        <v>Раздел: Водный каскад (с ремонтом свода)</v>
      </c>
      <c r="B193" s="68"/>
      <c r="C193" s="68"/>
      <c r="D193" s="68"/>
      <c r="E193" s="68"/>
    </row>
    <row r="194" spans="1:5" ht="28.5" x14ac:dyDescent="0.2">
      <c r="A194" s="41" t="str">
        <f>Source!E541</f>
        <v>104</v>
      </c>
      <c r="B194" s="42" t="str">
        <f>Source!G541</f>
        <v>Разборка кладки стен из бутового камня (Применительно разборка камня каскада)</v>
      </c>
      <c r="C194" s="43" t="str">
        <f>Source!H541</f>
        <v>10 м3 кладки</v>
      </c>
      <c r="D194" s="44">
        <f>Source!I541</f>
        <v>3.375</v>
      </c>
      <c r="E194" s="42"/>
    </row>
    <row r="195" spans="1:5" ht="28.5" x14ac:dyDescent="0.2">
      <c r="A195" s="41" t="str">
        <f>Source!E542</f>
        <v>105</v>
      </c>
      <c r="B195" s="42" t="str">
        <f>Source!G542</f>
        <v>Кладка из крупных известняковых блоков массой до 0,5 т (применительно восстановление и укрепление кладки каскада)</v>
      </c>
      <c r="C195" s="43" t="str">
        <f>Source!H542</f>
        <v>1 м3 кладки блоков</v>
      </c>
      <c r="D195" s="44">
        <f>Source!I542</f>
        <v>33.75</v>
      </c>
      <c r="E195" s="42"/>
    </row>
    <row r="196" spans="1:5" ht="14.25" x14ac:dyDescent="0.2">
      <c r="A196" s="41" t="str">
        <f>Source!E543</f>
        <v>105,1</v>
      </c>
      <c r="B196" s="42" t="str">
        <f>Source!G543</f>
        <v>Камень природный Валун (в ассортименте)</v>
      </c>
      <c r="C196" s="43" t="str">
        <f>Source!H543</f>
        <v>м3</v>
      </c>
      <c r="D196" s="44">
        <f>Source!I543</f>
        <v>33.75</v>
      </c>
      <c r="E196" s="42"/>
    </row>
    <row r="197" spans="1:5" ht="14.25" x14ac:dyDescent="0.2">
      <c r="A197" s="41" t="str">
        <f>Source!E544</f>
        <v>105,2</v>
      </c>
      <c r="B197" s="42" t="str">
        <f>Source!G544</f>
        <v>Растворы цементно-известковые, марка 75</v>
      </c>
      <c r="C197" s="43" t="str">
        <f>Source!H544</f>
        <v>м3</v>
      </c>
      <c r="D197" s="44">
        <f>Source!I544</f>
        <v>2.3624999999999998</v>
      </c>
      <c r="E197" s="42"/>
    </row>
    <row r="198" spans="1:5" ht="242.25" x14ac:dyDescent="0.2">
      <c r="A198" s="41" t="str">
        <f>Source!E545</f>
        <v>106</v>
      </c>
      <c r="B198" s="42" t="str">
        <f>Source!G545</f>
        <v>Структурное укрепление деформационных швов и трещин бетонных и железобетонных конструкций методом инъектирования с применением клея на основе эпоксидной смолы низкой вязкости, двухкомпонентной: подготовительные и заключительные работы для швов площадью сечения 30 см2 (Применительно укрепление свода каскада): 1. Вскрытие швов механизированным способом, очистка поверхности конструкций от грязи, пыли и других загрязнений с помощью щетки и кисти с одновременным удалением пыли в месте производства работ пылесосом  2. Заделка швов при помощи шпателя цементным раствором с его приготовлением на месте из сухой быстродействующей смеси  3. Устройство шпуров в стенах методом сверления для нагнетания смолы: разметка, сверление, обеспыливание  4. Установка металлических пакеров в шпуры вручную методом ввинчивания гаечным ключом  5. Демонтаж пакеров путем обламывания вручную при помощи молотка  6. Заделка шпуров с помощью шпателя цементным раствором, приготовленным из сухой быстродействующей смеси на месте производства работ (запечатывание шпуров ремонтным составом)</v>
      </c>
      <c r="C198" s="43" t="str">
        <f>Source!H545</f>
        <v>100 м</v>
      </c>
      <c r="D198" s="44">
        <f>Source!I545</f>
        <v>0.28000000000000003</v>
      </c>
      <c r="E198" s="42"/>
    </row>
    <row r="199" spans="1:5" ht="28.5" x14ac:dyDescent="0.2">
      <c r="A199" s="41" t="str">
        <f>Source!E546</f>
        <v>106,1</v>
      </c>
      <c r="B199" s="42" t="str">
        <f>Source!G546</f>
        <v>Инъектор линейный для  инъектирования полиуретановых составов в швы, трещины или стыки строительных конструкций, диаметр 12 мм</v>
      </c>
      <c r="C199" s="43" t="str">
        <f>Source!H546</f>
        <v>м</v>
      </c>
      <c r="D199" s="44">
        <f>Source!I546</f>
        <v>186.67599999999999</v>
      </c>
      <c r="E199" s="42"/>
    </row>
    <row r="200" spans="1:5" ht="114" x14ac:dyDescent="0.2">
      <c r="A200" s="41" t="str">
        <f>Source!E547</f>
        <v>106,2</v>
      </c>
      <c r="B200" s="42" t="str">
        <f>Source!G547</f>
        <v>Состав двухкомпонентный из сухой смеси на основе цементного вяжущего и песка и модифицирующей добавки на основе латекса и микрокремниевой суспензии, поверхностно-восстановительный, коррозионно-защитный, механизированного и ручного нанесения, прочность на сжатие 45 МПа, прочность при изгибе 8 МПа, плотность растворной смеси 2100 кг/м3, прочность сцепления с бетоном/металлом 1,0/0,5 МПа, W10, F50, ПК 4-7 для санации стальных трубопроводов и бетонных конструкций в системе питьевого водоснабжения</v>
      </c>
      <c r="C200" s="43" t="str">
        <f>Source!H547</f>
        <v>кг</v>
      </c>
      <c r="D200" s="44">
        <f>Source!I547</f>
        <v>95.76</v>
      </c>
      <c r="E200" s="42"/>
    </row>
    <row r="201" spans="1:5" ht="28.5" x14ac:dyDescent="0.2">
      <c r="A201" s="41" t="str">
        <f>Source!E548</f>
        <v>107</v>
      </c>
      <c r="B201" s="42" t="str">
        <f>Source!G548</f>
        <v>Механизированная погрузка строительного мусора в автомобили-самосвалы (Масса мусора 33,75 куб.м *2,4 т=81 т)</v>
      </c>
      <c r="C201" s="43" t="str">
        <f>Source!H548</f>
        <v>1 Т</v>
      </c>
      <c r="D201" s="44">
        <f>Source!I548</f>
        <v>81</v>
      </c>
      <c r="E201" s="42"/>
    </row>
    <row r="202" spans="1:5" ht="28.5" x14ac:dyDescent="0.2">
      <c r="A202" s="41" t="str">
        <f>Source!E549</f>
        <v>108</v>
      </c>
      <c r="B202" s="42" t="str">
        <f>Source!G549</f>
        <v>Перевозка строительного мусора на расстояние до 43 км автосамосвалами грузоподъемностью до 10 т</v>
      </c>
      <c r="C202" s="43" t="str">
        <f>Source!H549</f>
        <v>т</v>
      </c>
      <c r="D202" s="44">
        <f>Source!I549</f>
        <v>81</v>
      </c>
      <c r="E202" s="42"/>
    </row>
    <row r="203" spans="1:5" ht="14.25" x14ac:dyDescent="0.2">
      <c r="A203" s="41" t="str">
        <f>Source!E550</f>
        <v>109</v>
      </c>
      <c r="B203" s="42" t="str">
        <f>Source!G550</f>
        <v>Отходы строительного щебня незагрязненные  практически неопасные</v>
      </c>
      <c r="C203" s="43" t="str">
        <f>Source!H550</f>
        <v>1 Т</v>
      </c>
      <c r="D203" s="44">
        <f>Source!I550</f>
        <v>81</v>
      </c>
      <c r="E203" s="42"/>
    </row>
    <row r="204" spans="1:5" ht="16.5" x14ac:dyDescent="0.25">
      <c r="A204" s="68" t="str">
        <f>CONCATENATE("Раздел: ", Source!G582)</f>
        <v>Раздел: Посадка растений, дренажная система</v>
      </c>
      <c r="B204" s="68"/>
      <c r="C204" s="68"/>
      <c r="D204" s="68"/>
      <c r="E204" s="68"/>
    </row>
    <row r="205" spans="1:5" ht="16.5" x14ac:dyDescent="0.25">
      <c r="A205" s="68" t="str">
        <f>CONCATENATE("Подраздел: ", Source!G586)</f>
        <v>Подраздел: Дренажная система</v>
      </c>
      <c r="B205" s="68"/>
      <c r="C205" s="68"/>
      <c r="D205" s="68"/>
      <c r="E205" s="68"/>
    </row>
    <row r="206" spans="1:5" ht="28.5" x14ac:dyDescent="0.2">
      <c r="A206" s="41" t="str">
        <f>Source!E590</f>
        <v>110</v>
      </c>
      <c r="B206" s="42" t="str">
        <f>Source!G590</f>
        <v>Укладка полиэтиленовых дренажных труб диаметром 200 мм (Щебень фр. 10-20 учтен 18 куб.м)</v>
      </c>
      <c r="C206" s="43" t="str">
        <f>Source!H590</f>
        <v>100 м</v>
      </c>
      <c r="D206" s="44">
        <f>Source!I590</f>
        <v>2.9</v>
      </c>
      <c r="E206" s="42"/>
    </row>
    <row r="207" spans="1:5" ht="28.5" x14ac:dyDescent="0.2">
      <c r="A207" s="41" t="str">
        <f>Source!E591</f>
        <v>110,1</v>
      </c>
      <c r="B207" s="42" t="str">
        <f>Source!G591</f>
        <v>Дренажная труба жесткая гофрированная с частичной перфорацией SN 8 110 мм</v>
      </c>
      <c r="C207" s="43" t="str">
        <f>Source!H591</f>
        <v>м</v>
      </c>
      <c r="D207" s="44">
        <f>Source!I591</f>
        <v>290</v>
      </c>
      <c r="E207" s="42"/>
    </row>
    <row r="208" spans="1:5" ht="57" x14ac:dyDescent="0.2">
      <c r="A208" s="41" t="str">
        <f>Source!E592</f>
        <v>111</v>
      </c>
      <c r="B208" s="42" t="str">
        <f>Source!G592</f>
        <v>Устройство подстилающих и выравнивающих слоев оснований из песка (Применительно песок для фильтрации)</v>
      </c>
      <c r="C208" s="43" t="str">
        <f>Source!H592</f>
        <v>100 м3 материала основания (в плотном теле)</v>
      </c>
      <c r="D208" s="44">
        <f>Source!I592</f>
        <v>0.09</v>
      </c>
      <c r="E208" s="42"/>
    </row>
    <row r="209" spans="1:5" ht="14.25" x14ac:dyDescent="0.2">
      <c r="A209" s="41" t="str">
        <f>Source!E593</f>
        <v>111,1</v>
      </c>
      <c r="B209" s="42" t="str">
        <f>Source!G593</f>
        <v>Песок для строительных работ, рядовой</v>
      </c>
      <c r="C209" s="43" t="str">
        <f>Source!H593</f>
        <v>м3</v>
      </c>
      <c r="D209" s="44">
        <f>Source!I593</f>
        <v>9</v>
      </c>
      <c r="E209" s="42"/>
    </row>
    <row r="210" spans="1:5" ht="14.25" x14ac:dyDescent="0.2">
      <c r="A210" s="41" t="str">
        <f>Source!E594</f>
        <v>111,2</v>
      </c>
      <c r="B210" s="42" t="str">
        <f>Source!G594</f>
        <v>Автогрейдеры, мощность 99-147 кВт (130-200 л.с.)</v>
      </c>
      <c r="C210" s="43" t="str">
        <f>Source!H594</f>
        <v>маш.-ч.</v>
      </c>
      <c r="D210" s="44">
        <f>Source!I594</f>
        <v>-0.174375</v>
      </c>
      <c r="E210" s="42"/>
    </row>
    <row r="211" spans="1:5" ht="14.25" x14ac:dyDescent="0.2">
      <c r="A211" s="41" t="str">
        <f>Source!E595</f>
        <v>111,3</v>
      </c>
      <c r="B211" s="42" t="str">
        <f>Source!G595</f>
        <v>Катки дорожные самоходные на пневмоколесном ходу, масса до 16 т</v>
      </c>
      <c r="C211" s="43" t="str">
        <f>Source!H595</f>
        <v>маш.-ч.</v>
      </c>
      <c r="D211" s="44">
        <f>Source!I595</f>
        <v>-5.8499999999999996E-2</v>
      </c>
      <c r="E211" s="42"/>
    </row>
    <row r="212" spans="1:5" ht="14.25" x14ac:dyDescent="0.2">
      <c r="A212" s="41" t="str">
        <f>Source!E596</f>
        <v>111,4</v>
      </c>
      <c r="B212" s="42" t="str">
        <f>Source!G596</f>
        <v>Машины поливомоечные, емкость цистерны до 8 м3</v>
      </c>
      <c r="C212" s="43" t="str">
        <f>Source!H596</f>
        <v>маш.-ч.</v>
      </c>
      <c r="D212" s="44">
        <f>Source!I596</f>
        <v>-7.3124999999999996E-2</v>
      </c>
      <c r="E212" s="42"/>
    </row>
    <row r="213" spans="1:5" ht="14.25" x14ac:dyDescent="0.2">
      <c r="A213" s="41" t="str">
        <f>Source!E597</f>
        <v>111,5</v>
      </c>
      <c r="B213" s="42" t="str">
        <f>Source!G597</f>
        <v>Катки прицепные пневмоколесные, масса до 50 т</v>
      </c>
      <c r="C213" s="43" t="str">
        <f>Source!H597</f>
        <v>маш.-ч.</v>
      </c>
      <c r="D213" s="44">
        <f>Source!I597</f>
        <v>-0.18675</v>
      </c>
      <c r="E213" s="42"/>
    </row>
    <row r="214" spans="1:5" ht="57" x14ac:dyDescent="0.2">
      <c r="A214" s="41" t="str">
        <f>Source!E598</f>
        <v>112</v>
      </c>
      <c r="B214" s="42" t="str">
        <f>Source!G598</f>
        <v>Устройство подстилающих и выравнивающих слоев оснований из щебня (Применительно для дренажного слоя)</v>
      </c>
      <c r="C214" s="43" t="str">
        <f>Source!H598</f>
        <v>100 м3 материала основания (в плотном теле)</v>
      </c>
      <c r="D214" s="44">
        <f>Source!I598</f>
        <v>0.32</v>
      </c>
      <c r="E214" s="42"/>
    </row>
    <row r="215" spans="1:5" ht="28.5" x14ac:dyDescent="0.2">
      <c r="A215" s="41" t="str">
        <f>Source!E599</f>
        <v>112,1</v>
      </c>
      <c r="B215" s="42" t="str">
        <f>Source!G599</f>
        <v>Щебень из естественного камня для дорожных работ, марка 600 - 400, фракция 5-10 мм</v>
      </c>
      <c r="C215" s="43" t="str">
        <f>Source!H599</f>
        <v>м3</v>
      </c>
      <c r="D215" s="44">
        <f>Source!I599</f>
        <v>20</v>
      </c>
      <c r="E215" s="42"/>
    </row>
    <row r="216" spans="1:5" ht="28.5" x14ac:dyDescent="0.2">
      <c r="A216" s="41" t="str">
        <f>Source!E600</f>
        <v>112,2</v>
      </c>
      <c r="B216" s="42" t="str">
        <f>Source!G600</f>
        <v>Щебень из естественного камня для дорожных работ, марка 600 - 400, фракция 20-40 мм</v>
      </c>
      <c r="C216" s="43" t="str">
        <f>Source!H600</f>
        <v>м3</v>
      </c>
      <c r="D216" s="44">
        <f>Source!I600</f>
        <v>12</v>
      </c>
      <c r="E216" s="42"/>
    </row>
    <row r="217" spans="1:5" ht="14.25" x14ac:dyDescent="0.2">
      <c r="A217" s="41" t="str">
        <f>Source!E601</f>
        <v>112,3</v>
      </c>
      <c r="B217" s="42" t="str">
        <f>Source!G601</f>
        <v>Катки дорожные самоходные на пневмоколесном ходу, масса до 16 т</v>
      </c>
      <c r="C217" s="43" t="str">
        <f>Source!H601</f>
        <v>маш.-ч.</v>
      </c>
      <c r="D217" s="44">
        <f>Source!I601</f>
        <v>-0.20800000000000002</v>
      </c>
      <c r="E217" s="42"/>
    </row>
    <row r="218" spans="1:5" ht="14.25" x14ac:dyDescent="0.2">
      <c r="A218" s="41" t="str">
        <f>Source!E602</f>
        <v>112,4</v>
      </c>
      <c r="B218" s="42" t="str">
        <f>Source!G602</f>
        <v>Автогрейдеры, мощность 99-147 кВт (130-200 л.с.)</v>
      </c>
      <c r="C218" s="43" t="str">
        <f>Source!H602</f>
        <v>маш.-ч.</v>
      </c>
      <c r="D218" s="44">
        <f>Source!I602</f>
        <v>-0.71599999999999997</v>
      </c>
      <c r="E218" s="42"/>
    </row>
    <row r="219" spans="1:5" ht="14.25" x14ac:dyDescent="0.2">
      <c r="A219" s="41" t="str">
        <f>Source!E603</f>
        <v>112,5</v>
      </c>
      <c r="B219" s="42" t="str">
        <f>Source!G603</f>
        <v>Катки самоходные вибрационные, масса до 14 т</v>
      </c>
      <c r="C219" s="43" t="str">
        <f>Source!H603</f>
        <v>маш.-ч.</v>
      </c>
      <c r="D219" s="44">
        <f>Source!I603</f>
        <v>-5.84</v>
      </c>
      <c r="E219" s="42"/>
    </row>
    <row r="220" spans="1:5" ht="14.25" x14ac:dyDescent="0.2">
      <c r="A220" s="41" t="str">
        <f>Source!E604</f>
        <v>112,6</v>
      </c>
      <c r="B220" s="42" t="str">
        <f>Source!G604</f>
        <v>Бульдозеры гусеничные, мощность до 59 кВт (80 л.с.)</v>
      </c>
      <c r="C220" s="43" t="str">
        <f>Source!H604</f>
        <v>маш.-ч.</v>
      </c>
      <c r="D220" s="44">
        <f>Source!I604</f>
        <v>-0.94000000000000006</v>
      </c>
      <c r="E220" s="42"/>
    </row>
    <row r="221" spans="1:5" ht="14.25" x14ac:dyDescent="0.2">
      <c r="A221" s="41" t="str">
        <f>Source!E605</f>
        <v>112,7</v>
      </c>
      <c r="B221" s="42" t="str">
        <f>Source!G605</f>
        <v>Машины поливомоечные, емкость цистерны до 8 м3</v>
      </c>
      <c r="C221" s="43" t="str">
        <f>Source!H605</f>
        <v>маш.-ч.</v>
      </c>
      <c r="D221" s="44">
        <f>Source!I605</f>
        <v>-0.36399999999999999</v>
      </c>
      <c r="E221" s="42"/>
    </row>
    <row r="222" spans="1:5" ht="28.5" x14ac:dyDescent="0.2">
      <c r="A222" s="41" t="str">
        <f>Source!E606</f>
        <v>113</v>
      </c>
      <c r="B222" s="42" t="str">
        <f>Source!G606</f>
        <v>Установка круглых сборных колодцев из полимерных материалов высотой 1,5 м, диаметр 1000 мм</v>
      </c>
      <c r="C222" s="43" t="str">
        <f>Source!H606</f>
        <v>1  ШТ.</v>
      </c>
      <c r="D222" s="44">
        <f>Source!I606</f>
        <v>2</v>
      </c>
      <c r="E222" s="42"/>
    </row>
    <row r="223" spans="1:5" ht="42.75" x14ac:dyDescent="0.2">
      <c r="A223" s="41" t="str">
        <f>Source!E607</f>
        <v>113,1</v>
      </c>
      <c r="B223" s="42" t="str">
        <f>Source!G607</f>
        <v>Основание (кинета) сборного канализационного колодца, полипропиленовое, в сборе с дном, врезками (вход, выход), лотками, диаметр 800х250 мм (Применительно колодец и люк)</v>
      </c>
      <c r="C223" s="43" t="str">
        <f>Source!H607</f>
        <v>шт.</v>
      </c>
      <c r="D223" s="44">
        <f>Source!I607</f>
        <v>2</v>
      </c>
      <c r="E223" s="42"/>
    </row>
    <row r="224" spans="1:5" ht="28.5" x14ac:dyDescent="0.2">
      <c r="A224" s="41" t="str">
        <f>Source!E608</f>
        <v>113,2</v>
      </c>
      <c r="B224" s="42" t="str">
        <f>Source!G608</f>
        <v>Кольцо тела сборного канализационного колодца, полипропиленовое, с ребрами жесткости, лестницей, диаметр 800 мм, высота 500 мм</v>
      </c>
      <c r="C224" s="43" t="str">
        <f>Source!H608</f>
        <v>шт.</v>
      </c>
      <c r="D224" s="44">
        <f>Source!I608</f>
        <v>2</v>
      </c>
      <c r="E224" s="42"/>
    </row>
    <row r="225" spans="1:5" ht="28.5" x14ac:dyDescent="0.2">
      <c r="A225" s="41" t="str">
        <f>Source!E609</f>
        <v>113,3</v>
      </c>
      <c r="B225" s="42" t="str">
        <f>Source!G609</f>
        <v>Переход (конус) от тела к телескопу сборного канализационного колодца, полипропиленовый, с резиновым уплотнением, диаметр 800х630 мм</v>
      </c>
      <c r="C225" s="43" t="str">
        <f>Source!H609</f>
        <v>шт.</v>
      </c>
      <c r="D225" s="44">
        <f>Source!I609</f>
        <v>2</v>
      </c>
      <c r="E225" s="42"/>
    </row>
    <row r="226" spans="1:5" ht="16.5" x14ac:dyDescent="0.25">
      <c r="A226" s="68" t="str">
        <f>CONCATENATE("Подраздел: ", Source!G641)</f>
        <v>Подраздел: Оборудование системы фильтрации</v>
      </c>
      <c r="B226" s="68"/>
      <c r="C226" s="68"/>
      <c r="D226" s="68"/>
      <c r="E226" s="68"/>
    </row>
    <row r="227" spans="1:5" ht="14.25" x14ac:dyDescent="0.2">
      <c r="A227" s="41" t="str">
        <f>Source!E645</f>
        <v>114</v>
      </c>
      <c r="B227" s="42" t="str">
        <f>Source!G645</f>
        <v>Pondtech BIO SYSTEM 3 Проточный фильтр для пруда</v>
      </c>
      <c r="C227" s="43" t="str">
        <f>Source!H645</f>
        <v>шт.</v>
      </c>
      <c r="D227" s="44">
        <f>Source!I645</f>
        <v>1</v>
      </c>
      <c r="E227" s="42"/>
    </row>
    <row r="228" spans="1:5" ht="14.25" x14ac:dyDescent="0.2">
      <c r="A228" s="41" t="str">
        <f>Source!E646</f>
        <v>115</v>
      </c>
      <c r="B228" s="42" t="str">
        <f>Source!G646</f>
        <v>Насос Messner Eco-X2 10000 насос для пруда</v>
      </c>
      <c r="C228" s="43" t="str">
        <f>Source!H646</f>
        <v>шт.</v>
      </c>
      <c r="D228" s="44">
        <f>Source!I646</f>
        <v>1</v>
      </c>
      <c r="E228" s="42"/>
    </row>
    <row r="229" spans="1:5" ht="14.25" x14ac:dyDescent="0.2">
      <c r="A229" s="41" t="str">
        <f>Source!E647</f>
        <v>116</v>
      </c>
      <c r="B229" s="42" t="str">
        <f>Source!G647</f>
        <v>Скиммер для пруда ProfiSkim 100 OASE</v>
      </c>
      <c r="C229" s="43" t="str">
        <f>Source!H647</f>
        <v>шт.</v>
      </c>
      <c r="D229" s="44">
        <f>Source!I647</f>
        <v>2</v>
      </c>
      <c r="E229" s="42"/>
    </row>
    <row r="230" spans="1:5" ht="14.25" x14ac:dyDescent="0.2">
      <c r="A230" s="41" t="str">
        <f>Source!E648</f>
        <v>117</v>
      </c>
      <c r="B230" s="42" t="str">
        <f>Source!G648</f>
        <v>Шланг спиральный 38 мм (1 1/2")</v>
      </c>
      <c r="C230" s="43" t="str">
        <f>Source!H648</f>
        <v>м</v>
      </c>
      <c r="D230" s="44">
        <f>Source!I648</f>
        <v>30</v>
      </c>
      <c r="E230" s="42"/>
    </row>
    <row r="231" spans="1:5" ht="14.25" x14ac:dyDescent="0.2">
      <c r="A231" s="41" t="str">
        <f>Source!E649</f>
        <v>118</v>
      </c>
      <c r="B231" s="42" t="str">
        <f>Source!G649</f>
        <v>Шланг спиральный 63 мм (2 1/2")</v>
      </c>
      <c r="C231" s="43" t="str">
        <f>Source!H649</f>
        <v>м</v>
      </c>
      <c r="D231" s="44">
        <f>Source!I649</f>
        <v>30</v>
      </c>
      <c r="E231" s="42"/>
    </row>
    <row r="232" spans="1:5" ht="14.25" x14ac:dyDescent="0.2">
      <c r="A232" s="41" t="str">
        <f>Source!E650</f>
        <v>119</v>
      </c>
      <c r="B232" s="42" t="str">
        <f>Source!G650</f>
        <v>Распределитель потока CST-02F регулируемый PONDTECH</v>
      </c>
      <c r="C232" s="43" t="str">
        <f>Source!H650</f>
        <v>шт.</v>
      </c>
      <c r="D232" s="44">
        <f>Source!I650</f>
        <v>1</v>
      </c>
      <c r="E232" s="42"/>
    </row>
    <row r="233" spans="1:5" ht="14.25" x14ac:dyDescent="0.2">
      <c r="A233" s="41" t="str">
        <f>Source!E651</f>
        <v>120</v>
      </c>
      <c r="B233" s="42" t="str">
        <f>Source!G651</f>
        <v>Защитная сетка AquaMax Eco 2 " OASE</v>
      </c>
      <c r="C233" s="43" t="str">
        <f>Source!H651</f>
        <v>шт.</v>
      </c>
      <c r="D233" s="44">
        <f>Source!I651</f>
        <v>1</v>
      </c>
      <c r="E233" s="42"/>
    </row>
    <row r="234" spans="1:5" ht="14.25" x14ac:dyDescent="0.2">
      <c r="A234" s="41" t="str">
        <f>Source!E652</f>
        <v>121</v>
      </c>
      <c r="B234" s="42" t="str">
        <f>Source!G652</f>
        <v>Розетки для наружного монтажа IP 54</v>
      </c>
      <c r="C234" s="43" t="str">
        <f>Source!H652</f>
        <v>шт.</v>
      </c>
      <c r="D234" s="44">
        <f>Source!I652</f>
        <v>2</v>
      </c>
      <c r="E234" s="42"/>
    </row>
    <row r="235" spans="1:5" ht="28.5" x14ac:dyDescent="0.2">
      <c r="A235" s="41" t="str">
        <f>Source!E653</f>
        <v>122</v>
      </c>
      <c r="B235" s="42" t="str">
        <f>Source!G653</f>
        <v>Кабель силовой с жилами из алюминиевого сплава, марка АсВВГ-Пнг(А)-LS, напряжение 660 В, число жил и сечение 3х4 мм2</v>
      </c>
      <c r="C235" s="43" t="str">
        <f>Source!H653</f>
        <v>км</v>
      </c>
      <c r="D235" s="44">
        <f>Source!I653</f>
        <v>0.03</v>
      </c>
      <c r="E235" s="42"/>
    </row>
    <row r="236" spans="1:5" ht="28.5" x14ac:dyDescent="0.2">
      <c r="A236" s="41" t="str">
        <f>Source!E654</f>
        <v>123</v>
      </c>
      <c r="B236" s="42" t="str">
        <f>Source!G654</f>
        <v>Выключатель автоматический дифференциального тока, двухполюсный, тип DS202 АС-С, номинальный ток 6-25 А, дифференциальный ток 30 мА</v>
      </c>
      <c r="C236" s="43" t="str">
        <f>Source!H654</f>
        <v>шт.</v>
      </c>
      <c r="D236" s="44">
        <f>Source!I654</f>
        <v>1</v>
      </c>
      <c r="E236" s="42"/>
    </row>
    <row r="237" spans="1:5" ht="14.25" x14ac:dyDescent="0.2">
      <c r="A237" s="41" t="str">
        <f>Source!E655</f>
        <v>124</v>
      </c>
      <c r="B237" s="42" t="str">
        <f>Source!G655</f>
        <v>Средство для подготовки воды OptiLake</v>
      </c>
      <c r="C237" s="43" t="str">
        <f>Source!H655</f>
        <v>кг</v>
      </c>
      <c r="D237" s="44">
        <f>Source!I655</f>
        <v>25</v>
      </c>
      <c r="E237" s="42"/>
    </row>
    <row r="238" spans="1:5" ht="14.25" x14ac:dyDescent="0.2">
      <c r="A238" s="41" t="str">
        <f>Source!E656</f>
        <v>125</v>
      </c>
      <c r="B238" s="42" t="str">
        <f>Source!G656</f>
        <v>Biokick CWS 25 кг Стартовые бактерии</v>
      </c>
      <c r="C238" s="43" t="str">
        <f>Source!H656</f>
        <v>кг</v>
      </c>
      <c r="D238" s="44">
        <f>Source!I656</f>
        <v>10</v>
      </c>
      <c r="E238" s="42"/>
    </row>
    <row r="239" spans="1:5" ht="14.25" x14ac:dyDescent="0.2">
      <c r="A239" s="41" t="str">
        <f>Source!E657</f>
        <v>126</v>
      </c>
      <c r="B239" s="42" t="str">
        <f>Source!G657</f>
        <v>Розетки для наружного монтажа IP 54</v>
      </c>
      <c r="C239" s="43" t="str">
        <f>Source!H657</f>
        <v>шт.</v>
      </c>
      <c r="D239" s="44">
        <f>Source!I657</f>
        <v>2</v>
      </c>
      <c r="E239" s="42"/>
    </row>
    <row r="240" spans="1:5" ht="14.25" x14ac:dyDescent="0.2">
      <c r="A240" s="41" t="str">
        <f>Source!E658</f>
        <v>127</v>
      </c>
      <c r="B240" s="42" t="str">
        <f>Source!G658</f>
        <v>Расходные материалы, фитинги, обратный клапан, контроллер, муфты)</v>
      </c>
      <c r="C240" s="43" t="str">
        <f>Source!H658</f>
        <v>КОМПЛ</v>
      </c>
      <c r="D240" s="44">
        <f>Source!I658</f>
        <v>1</v>
      </c>
      <c r="E240" s="42"/>
    </row>
    <row r="241" spans="1:5" ht="16.5" x14ac:dyDescent="0.25">
      <c r="A241" s="68" t="str">
        <f>CONCATENATE("Подраздел: ", Source!G690)</f>
        <v>Подраздел: Водные и прибрежные растения (контейнерные)</v>
      </c>
      <c r="B241" s="68"/>
      <c r="C241" s="68"/>
      <c r="D241" s="68"/>
      <c r="E241" s="68"/>
    </row>
    <row r="242" spans="1:5" ht="42.75" x14ac:dyDescent="0.2">
      <c r="A242" s="41" t="str">
        <f>Source!E694</f>
        <v>128</v>
      </c>
      <c r="B242" s="42" t="str">
        <f>Source!G694</f>
        <v>Посадка деревьев и кустарников с комом земли, диаметром 0,3 м и высотой 0,3 м</v>
      </c>
      <c r="C242" s="43" t="str">
        <f>Source!H694</f>
        <v>10 деревьев или кустарников</v>
      </c>
      <c r="D242" s="44">
        <f>Source!I694</f>
        <v>30</v>
      </c>
      <c r="E242" s="42"/>
    </row>
    <row r="243" spans="1:5" ht="14.25" x14ac:dyDescent="0.2">
      <c r="A243" s="41" t="str">
        <f>Source!E695</f>
        <v>128,1</v>
      </c>
      <c r="B243" s="42" t="str">
        <f>Source!G695</f>
        <v>Камыш озерный 'Albescens'</v>
      </c>
      <c r="C243" s="43" t="str">
        <f>Source!H695</f>
        <v>шт.</v>
      </c>
      <c r="D243" s="44">
        <f>Source!I695</f>
        <v>150</v>
      </c>
      <c r="E243" s="42"/>
    </row>
    <row r="244" spans="1:5" ht="14.25" x14ac:dyDescent="0.2">
      <c r="A244" s="41" t="str">
        <f>Source!E696</f>
        <v>128,2</v>
      </c>
      <c r="B244" s="42" t="str">
        <f>Source!G696</f>
        <v>Ирис болотный</v>
      </c>
      <c r="C244" s="43" t="str">
        <f>Source!H696</f>
        <v>шт.</v>
      </c>
      <c r="D244" s="44">
        <f>Source!I696</f>
        <v>10</v>
      </c>
      <c r="E244" s="42"/>
    </row>
    <row r="245" spans="1:5" ht="14.25" x14ac:dyDescent="0.2">
      <c r="A245" s="41" t="str">
        <f>Source!E697</f>
        <v>128,3</v>
      </c>
      <c r="B245" s="42" t="str">
        <f>Source!G697</f>
        <v>Дербенник  иволнистый</v>
      </c>
      <c r="C245" s="43" t="str">
        <f>Source!H697</f>
        <v>шт.</v>
      </c>
      <c r="D245" s="44">
        <f>Source!I697</f>
        <v>50</v>
      </c>
      <c r="E245" s="42"/>
    </row>
    <row r="246" spans="1:5" ht="14.25" x14ac:dyDescent="0.2">
      <c r="A246" s="41" t="str">
        <f>Source!E698</f>
        <v>128,4</v>
      </c>
      <c r="B246" s="42" t="str">
        <f>Source!G698</f>
        <v>Цицания Ц12</v>
      </c>
      <c r="C246" s="43" t="str">
        <f>Source!H698</f>
        <v>шт.</v>
      </c>
      <c r="D246" s="44">
        <f>Source!I698</f>
        <v>50</v>
      </c>
      <c r="E246" s="42"/>
    </row>
    <row r="247" spans="1:5" ht="14.25" x14ac:dyDescent="0.2">
      <c r="A247" s="41" t="str">
        <f>Source!E699</f>
        <v>128,5</v>
      </c>
      <c r="B247" s="42" t="str">
        <f>Source!G699</f>
        <v>Осока береговая С5</v>
      </c>
      <c r="C247" s="43" t="str">
        <f>Source!H699</f>
        <v>шт.</v>
      </c>
      <c r="D247" s="44">
        <f>Source!I699</f>
        <v>20</v>
      </c>
      <c r="E247" s="42"/>
    </row>
    <row r="248" spans="1:5" ht="14.25" x14ac:dyDescent="0.2">
      <c r="A248" s="41" t="str">
        <f>Source!E700</f>
        <v>128,6</v>
      </c>
      <c r="B248" s="42" t="str">
        <f>Source!G700</f>
        <v>Рогоз узколистый</v>
      </c>
      <c r="C248" s="43" t="str">
        <f>Source!H700</f>
        <v>шт.</v>
      </c>
      <c r="D248" s="44">
        <f>Source!I700</f>
        <v>20</v>
      </c>
      <c r="E248" s="42"/>
    </row>
    <row r="249" spans="1:5" ht="16.5" x14ac:dyDescent="0.25">
      <c r="A249" s="68" t="str">
        <f>CONCATENATE("Раздел: ", Source!G762)</f>
        <v>Раздел: Замена газона (рулонный) 1669 кв.м (корыто глубиной 20 см)</v>
      </c>
      <c r="B249" s="68"/>
      <c r="C249" s="68"/>
      <c r="D249" s="68"/>
      <c r="E249" s="68"/>
    </row>
    <row r="250" spans="1:5" ht="14.25" x14ac:dyDescent="0.2">
      <c r="A250" s="41" t="str">
        <f>Source!E766</f>
        <v>129</v>
      </c>
      <c r="B250" s="42" t="str">
        <f>Source!G766</f>
        <v>Разбивка участка</v>
      </c>
      <c r="C250" s="43" t="str">
        <f>Source!H766</f>
        <v>100 м2</v>
      </c>
      <c r="D250" s="44">
        <f>Source!I766</f>
        <v>16.690000000000001</v>
      </c>
      <c r="E250" s="42"/>
    </row>
    <row r="251" spans="1:5" ht="28.5" x14ac:dyDescent="0.2">
      <c r="A251" s="41" t="str">
        <f>Source!E767</f>
        <v>130</v>
      </c>
      <c r="B251" s="42" t="str">
        <f>Source!G767</f>
        <v>Устройство корыта под газоны и цветники с планировкой дна в грунтах 1 и 2 группы</v>
      </c>
      <c r="C251" s="43" t="str">
        <f>Source!H767</f>
        <v>1 м3</v>
      </c>
      <c r="D251" s="44">
        <f>Source!I767</f>
        <v>333.8</v>
      </c>
      <c r="E251" s="42"/>
    </row>
    <row r="252" spans="1:5" ht="42.75" x14ac:dyDescent="0.2">
      <c r="A252" s="41" t="str">
        <f>Source!E768</f>
        <v>131</v>
      </c>
      <c r="B252" s="42" t="str">
        <f>Source!G768</f>
        <v>Подготовка почвы для устройства партерного и обыкновенного газонов с внесением растительной земли слоем 15 см механизированным способом</v>
      </c>
      <c r="C252" s="43" t="str">
        <f>Source!H768</f>
        <v>100 м2</v>
      </c>
      <c r="D252" s="44">
        <f>Source!I768</f>
        <v>16.690000000000001</v>
      </c>
      <c r="E252" s="42"/>
    </row>
    <row r="253" spans="1:5" ht="28.5" x14ac:dyDescent="0.2">
      <c r="A253" s="41" t="str">
        <f>Source!E769</f>
        <v>131,1</v>
      </c>
      <c r="B253" s="42" t="str">
        <f>Source!G769</f>
        <v>Грунт почвенный, готовый к применению, для посадки деревьев и кустарников, устройства газонов и цветников</v>
      </c>
      <c r="C253" s="43" t="str">
        <f>Source!H769</f>
        <v>м3</v>
      </c>
      <c r="D253" s="44">
        <f>Source!I769</f>
        <v>250.35</v>
      </c>
      <c r="E253" s="42"/>
    </row>
    <row r="254" spans="1:5" ht="28.5" x14ac:dyDescent="0.2">
      <c r="A254" s="41" t="str">
        <f>Source!E770</f>
        <v>132</v>
      </c>
      <c r="B254" s="42" t="str">
        <f>Source!G770</f>
        <v>Подготовка почвы для устройства партерного и обыкновенного газонов с внесением растительной земли слоем 15 см вручную</v>
      </c>
      <c r="C254" s="43" t="str">
        <f>Source!H770</f>
        <v>100 м2</v>
      </c>
      <c r="D254" s="44">
        <f>Source!I770</f>
        <v>16.690000000000001</v>
      </c>
      <c r="E254" s="42"/>
    </row>
    <row r="255" spans="1:5" ht="28.5" x14ac:dyDescent="0.2">
      <c r="A255" s="41" t="str">
        <f>Source!E771</f>
        <v>132,1</v>
      </c>
      <c r="B255" s="42" t="str">
        <f>Source!G771</f>
        <v>Грунт почвенный, готовый к применению, для посадки деревьев и кустарников, устройства газонов и цветников</v>
      </c>
      <c r="C255" s="43" t="str">
        <f>Source!H771</f>
        <v>м3</v>
      </c>
      <c r="D255" s="44">
        <f>Source!I771</f>
        <v>250.35</v>
      </c>
      <c r="E255" s="42"/>
    </row>
    <row r="256" spans="1:5" ht="28.5" x14ac:dyDescent="0.2">
      <c r="A256" s="41" t="str">
        <f>Source!E772</f>
        <v>133</v>
      </c>
      <c r="B256" s="42" t="str">
        <f>Source!G772</f>
        <v>Подготовка почвы для устройства партерного и обыкновенного газонов на каждые 5 см изменения толщины слоя добавлять или исключать</v>
      </c>
      <c r="C256" s="43" t="str">
        <f>Source!H772</f>
        <v>100 м2</v>
      </c>
      <c r="D256" s="44">
        <f>Source!I772</f>
        <v>16.690000000000001</v>
      </c>
      <c r="E256" s="42"/>
    </row>
    <row r="257" spans="1:5" ht="28.5" x14ac:dyDescent="0.2">
      <c r="A257" s="41" t="str">
        <f>Source!E773</f>
        <v>133,1</v>
      </c>
      <c r="B257" s="42" t="str">
        <f>Source!G773</f>
        <v>Грунт почвенный, готовый к применению, для посадки деревьев и кустарников, устройства газонов и цветников</v>
      </c>
      <c r="C257" s="43" t="str">
        <f>Source!H773</f>
        <v>м3</v>
      </c>
      <c r="D257" s="44">
        <f>Source!I773</f>
        <v>83.45</v>
      </c>
      <c r="E257" s="42"/>
    </row>
    <row r="258" spans="1:5" ht="28.5" x14ac:dyDescent="0.2">
      <c r="A258" s="41" t="str">
        <f>Source!E774</f>
        <v>134</v>
      </c>
      <c r="B258" s="42" t="str">
        <f>Source!G774</f>
        <v>Сплошная укладка готового газона в рулонах на горизонтальных поверхностях или откосах с уклоном на круче 1:2</v>
      </c>
      <c r="C258" s="43" t="str">
        <f>Source!H774</f>
        <v>100 м2</v>
      </c>
      <c r="D258" s="44">
        <f>Source!I774</f>
        <v>16.690000000000001</v>
      </c>
      <c r="E258" s="42"/>
    </row>
    <row r="259" spans="1:5" ht="14.25" x14ac:dyDescent="0.2">
      <c r="A259" s="41" t="str">
        <f>Source!E775</f>
        <v>135</v>
      </c>
      <c r="B259" s="42" t="str">
        <f>Source!G775</f>
        <v>Газон рулонный "Спортивный"</v>
      </c>
      <c r="C259" s="43" t="str">
        <f>Source!H775</f>
        <v>м2</v>
      </c>
      <c r="D259" s="44">
        <f>Source!I775</f>
        <v>1785</v>
      </c>
      <c r="E259" s="42"/>
    </row>
    <row r="260" spans="1:5" ht="28.5" x14ac:dyDescent="0.2">
      <c r="A260" s="41" t="str">
        <f>Source!E776</f>
        <v>136</v>
      </c>
      <c r="B260" s="42" t="str">
        <f>Source!G776</f>
        <v>Улучшение почвы газонов внесением в почву биоорганических удобрений (компостов)</v>
      </c>
      <c r="C260" s="43" t="str">
        <f>Source!H776</f>
        <v>100 м2</v>
      </c>
      <c r="D260" s="44">
        <f>Source!I776</f>
        <v>16.690000000000001</v>
      </c>
      <c r="E260" s="42"/>
    </row>
    <row r="261" spans="1:5" ht="14.25" x14ac:dyDescent="0.2">
      <c r="A261" s="41" t="str">
        <f>Source!E777</f>
        <v>136,1</v>
      </c>
      <c r="B261" s="42" t="str">
        <f>Source!G777</f>
        <v>Удобрения комплексные минеральные для газонов</v>
      </c>
      <c r="C261" s="43" t="str">
        <f>Source!H777</f>
        <v>кг</v>
      </c>
      <c r="D261" s="44">
        <f>Source!I777</f>
        <v>6676</v>
      </c>
      <c r="E261" s="42"/>
    </row>
    <row r="262" spans="1:5" ht="28.5" x14ac:dyDescent="0.2">
      <c r="A262" s="41" t="str">
        <f>Source!E778</f>
        <v>137</v>
      </c>
      <c r="B262" s="42" t="str">
        <f>Source!G778</f>
        <v>Перевозка грунтов растительного слоя и торфов на расстояние до 3 км автосамосвалами грузоподъемностью до 10 т</v>
      </c>
      <c r="C262" s="43" t="str">
        <f>Source!H778</f>
        <v>т</v>
      </c>
      <c r="D262" s="44">
        <f>Source!I778</f>
        <v>534</v>
      </c>
      <c r="E262" s="42"/>
    </row>
    <row r="263" spans="1:5" ht="28.5" x14ac:dyDescent="0.2">
      <c r="A263" s="41" t="str">
        <f>Source!E779</f>
        <v>138</v>
      </c>
      <c r="B263" s="42" t="str">
        <f>Source!G779</f>
        <v>Отходы грунта при проведении открытых земляных работ практически неопасные</v>
      </c>
      <c r="C263" s="43" t="str">
        <f>Source!H779</f>
        <v>1 Т</v>
      </c>
      <c r="D263" s="44">
        <f>Source!I779</f>
        <v>534</v>
      </c>
      <c r="E263" s="42"/>
    </row>
    <row r="264" spans="1:5" ht="16.5" x14ac:dyDescent="0.25">
      <c r="A264" s="68" t="str">
        <f>CONCATENATE("Раздел: ", Source!G811)</f>
        <v>Раздел: Посадка деревьев и кустарников</v>
      </c>
      <c r="B264" s="68"/>
      <c r="C264" s="68"/>
      <c r="D264" s="68"/>
      <c r="E264" s="68"/>
    </row>
    <row r="265" spans="1:5" ht="42.75" x14ac:dyDescent="0.2">
      <c r="A265" s="41" t="str">
        <f>Source!E815</f>
        <v>139</v>
      </c>
      <c r="B265" s="42" t="str">
        <f>Source!G815</f>
        <v>Подготовка нестандартных посадочных мест для деревьев и кустарников с комом земли вручную с добавлением растительной земли до 100%</v>
      </c>
      <c r="C265" s="43" t="str">
        <f>Source!H815</f>
        <v>10 м3 ям</v>
      </c>
      <c r="D265" s="44">
        <f>Source!I815</f>
        <v>3</v>
      </c>
      <c r="E265" s="42"/>
    </row>
    <row r="266" spans="1:5" ht="28.5" x14ac:dyDescent="0.2">
      <c r="A266" s="41" t="str">
        <f>Source!E816</f>
        <v>139,1</v>
      </c>
      <c r="B266" s="42" t="str">
        <f>Source!G816</f>
        <v>Грунт почвенный, готовый к применению, для посадки деревьев и кустарников, устройства газонов и цветников</v>
      </c>
      <c r="C266" s="43" t="str">
        <f>Source!H816</f>
        <v>м3</v>
      </c>
      <c r="D266" s="44">
        <f>Source!I816</f>
        <v>16.32</v>
      </c>
      <c r="E266" s="42"/>
    </row>
    <row r="267" spans="1:5" ht="42.75" x14ac:dyDescent="0.2">
      <c r="A267" s="41" t="str">
        <f>Source!E817</f>
        <v>140</v>
      </c>
      <c r="B267" s="42" t="str">
        <f>Source!G817</f>
        <v>Посадка деревьев и кустарников с комом земли, диаметром 0,8 м и высотой 0,6 м</v>
      </c>
      <c r="C267" s="43" t="str">
        <f>Source!H817</f>
        <v>10 деревьев или кустарников</v>
      </c>
      <c r="D267" s="44">
        <f>Source!I817</f>
        <v>4.9000000000000004</v>
      </c>
      <c r="E267" s="42"/>
    </row>
    <row r="268" spans="1:5" ht="42.75" x14ac:dyDescent="0.2">
      <c r="A268" s="41" t="str">
        <f>Source!E818</f>
        <v>141</v>
      </c>
      <c r="B268" s="42" t="str">
        <f>Source!G818</f>
        <v>Посадка деревьев и кустарников с комом земли, диаметром 0,5 м и высотой 0,4 м</v>
      </c>
      <c r="C268" s="43" t="str">
        <f>Source!H818</f>
        <v>10 деревьев или кустарников</v>
      </c>
      <c r="D268" s="44">
        <f>Source!I818</f>
        <v>3.3</v>
      </c>
      <c r="E268" s="42"/>
    </row>
    <row r="269" spans="1:5" ht="28.5" x14ac:dyDescent="0.2">
      <c r="A269" s="41" t="str">
        <f>Source!E819</f>
        <v>142</v>
      </c>
      <c r="B269" s="42" t="str">
        <f>Source!G819</f>
        <v>Внесение удобрений при посадке деревьев и кустарников органических для стандартных саженцев</v>
      </c>
      <c r="C269" s="43" t="str">
        <f>Source!H819</f>
        <v>10 м3 ям</v>
      </c>
      <c r="D269" s="44">
        <f>Source!I819</f>
        <v>3</v>
      </c>
      <c r="E269" s="42"/>
    </row>
    <row r="270" spans="1:5" ht="14.25" x14ac:dyDescent="0.2">
      <c r="A270" s="41" t="str">
        <f>Source!E820</f>
        <v>142,1</v>
      </c>
      <c r="B270" s="42" t="str">
        <f>Source!G820</f>
        <v>Удобрения органические (средняя стоимость)</v>
      </c>
      <c r="C270" s="43" t="str">
        <f>Source!H820</f>
        <v>кг</v>
      </c>
      <c r="D270" s="44">
        <f>Source!I820</f>
        <v>13.439999999999998</v>
      </c>
      <c r="E270" s="42"/>
    </row>
    <row r="271" spans="1:5" ht="14.25" x14ac:dyDescent="0.2">
      <c r="A271" s="41" t="str">
        <f>Source!E821</f>
        <v>142,2</v>
      </c>
      <c r="B271" s="42" t="str">
        <f>Source!G821</f>
        <v>Удобрения комплексные минеральные для газонов</v>
      </c>
      <c r="C271" s="43" t="str">
        <f>Source!H821</f>
        <v>кг</v>
      </c>
      <c r="D271" s="44">
        <f>Source!I821</f>
        <v>13.439999999999998</v>
      </c>
      <c r="E271" s="42"/>
    </row>
    <row r="272" spans="1:5" ht="14.25" x14ac:dyDescent="0.2">
      <c r="A272" s="41" t="str">
        <f>Source!E822</f>
        <v>143</v>
      </c>
      <c r="B272" s="42" t="str">
        <f>Source!G822</f>
        <v>Погрузка грунта вручную в автомобили-самосвалы с выгрузкой</v>
      </c>
      <c r="C272" s="43" t="str">
        <f>Source!H822</f>
        <v>100 м3 грунта</v>
      </c>
      <c r="D272" s="44">
        <f>Source!I822</f>
        <v>0.3</v>
      </c>
      <c r="E272" s="42"/>
    </row>
    <row r="273" spans="1:5" ht="28.5" x14ac:dyDescent="0.2">
      <c r="A273" s="41" t="str">
        <f>Source!E823</f>
        <v>144</v>
      </c>
      <c r="B273" s="42" t="str">
        <f>Source!G823</f>
        <v>Перевозка грунтов растительного слоя и торфов на расстояние до 46 км автосамосвалами грузоподъемностью до 10 т</v>
      </c>
      <c r="C273" s="43" t="str">
        <f>Source!H823</f>
        <v>т</v>
      </c>
      <c r="D273" s="44">
        <f>Source!I823</f>
        <v>0.45</v>
      </c>
      <c r="E273" s="42"/>
    </row>
    <row r="274" spans="1:5" ht="28.5" x14ac:dyDescent="0.2">
      <c r="A274" s="41" t="str">
        <f>Source!E824</f>
        <v>145</v>
      </c>
      <c r="B274" s="42" t="str">
        <f>Source!G824</f>
        <v>Отходы грунта при проведении открытых земляных работ практически неопасные</v>
      </c>
      <c r="C274" s="43" t="str">
        <f>Source!H824</f>
        <v>1 Т</v>
      </c>
      <c r="D274" s="44">
        <f>Source!I824</f>
        <v>0.45</v>
      </c>
      <c r="E274" s="42"/>
    </row>
    <row r="275" spans="1:5" ht="16.5" x14ac:dyDescent="0.25">
      <c r="A275" s="68" t="str">
        <f>CONCATENATE("Подраздел: ", Source!G826)</f>
        <v>Подраздел: Посадочные материалы</v>
      </c>
      <c r="B275" s="68"/>
      <c r="C275" s="68"/>
      <c r="D275" s="68"/>
      <c r="E275" s="68"/>
    </row>
    <row r="276" spans="1:5" ht="14.25" x14ac:dyDescent="0.2">
      <c r="A276" s="41" t="str">
        <f>Source!E830</f>
        <v>146</v>
      </c>
      <c r="B276" s="42" t="str">
        <f>Source!G830</f>
        <v>Пузыреплодник калинолистный Diabolo Н60-80h</v>
      </c>
      <c r="C276" s="43" t="str">
        <f>Source!H830</f>
        <v>шт.</v>
      </c>
      <c r="D276" s="44">
        <f>Source!I830</f>
        <v>5</v>
      </c>
      <c r="E276" s="42"/>
    </row>
    <row r="277" spans="1:5" ht="14.25" x14ac:dyDescent="0.2">
      <c r="A277" s="41" t="str">
        <f>Source!E831</f>
        <v>147</v>
      </c>
      <c r="B277" s="42" t="str">
        <f>Source!G831</f>
        <v>Пузыреплодник калинолистный Red Baron Н60-80h</v>
      </c>
      <c r="C277" s="43" t="str">
        <f>Source!H831</f>
        <v>шт.</v>
      </c>
      <c r="D277" s="44">
        <f>Source!I831</f>
        <v>5</v>
      </c>
      <c r="E277" s="42"/>
    </row>
    <row r="278" spans="1:5" ht="14.25" x14ac:dyDescent="0.2">
      <c r="A278" s="41" t="str">
        <f>Source!E832</f>
        <v>148</v>
      </c>
      <c r="B278" s="42" t="str">
        <f>Source!G832</f>
        <v>Дерен белый Elegantissima с3</v>
      </c>
      <c r="C278" s="43" t="str">
        <f>Source!H832</f>
        <v>шт.</v>
      </c>
      <c r="D278" s="44">
        <f>Source!I832</f>
        <v>5</v>
      </c>
      <c r="E278" s="42"/>
    </row>
    <row r="279" spans="1:5" ht="14.25" x14ac:dyDescent="0.2">
      <c r="A279" s="41" t="str">
        <f>Source!E833</f>
        <v>149</v>
      </c>
      <c r="B279" s="42" t="str">
        <f>Source!G833</f>
        <v>Гортензия метельчатая Grandiflora с3</v>
      </c>
      <c r="C279" s="43" t="str">
        <f>Source!H833</f>
        <v>шт.</v>
      </c>
      <c r="D279" s="44">
        <f>Source!I833</f>
        <v>5</v>
      </c>
      <c r="E279" s="42"/>
    </row>
    <row r="280" spans="1:5" ht="14.25" x14ac:dyDescent="0.2">
      <c r="A280" s="41" t="str">
        <f>Source!E834</f>
        <v>150</v>
      </c>
      <c r="B280" s="42" t="str">
        <f>Source!G834</f>
        <v>Сосна горная Pinus mugo  D60-80</v>
      </c>
      <c r="C280" s="43" t="str">
        <f>Source!H834</f>
        <v>шт.</v>
      </c>
      <c r="D280" s="44">
        <f>Source!I834</f>
        <v>2</v>
      </c>
      <c r="E280" s="42"/>
    </row>
    <row r="281" spans="1:5" ht="14.25" x14ac:dyDescent="0.2">
      <c r="A281" s="41" t="str">
        <f>Source!E835</f>
        <v>151</v>
      </c>
      <c r="B281" s="42" t="str">
        <f>Source!G835</f>
        <v>Можжевельник Пфитцериана Mint Julep, d80-100</v>
      </c>
      <c r="C281" s="43" t="str">
        <f>Source!H835</f>
        <v>шт.</v>
      </c>
      <c r="D281" s="44">
        <f>Source!I835</f>
        <v>4</v>
      </c>
      <c r="E281" s="42"/>
    </row>
    <row r="282" spans="1:5" ht="14.25" x14ac:dyDescent="0.2">
      <c r="A282" s="41" t="str">
        <f>Source!E836</f>
        <v>152</v>
      </c>
      <c r="B282" s="42" t="str">
        <f>Source!G836</f>
        <v>Кизильник блестящий (Блок живой изгороди)</v>
      </c>
      <c r="C282" s="43" t="str">
        <f>Source!H836</f>
        <v>шт.</v>
      </c>
      <c r="D282" s="44">
        <f>Source!I836</f>
        <v>28</v>
      </c>
      <c r="E282" s="42"/>
    </row>
    <row r="283" spans="1:5" ht="14.25" x14ac:dyDescent="0.2">
      <c r="A283" s="41" t="str">
        <f>Source!E837</f>
        <v>153</v>
      </c>
      <c r="B283" s="42" t="str">
        <f>Source!G837</f>
        <v>Липа мелколистная  (куб/шар)</v>
      </c>
      <c r="C283" s="43" t="str">
        <f>Source!H837</f>
        <v>шт.</v>
      </c>
      <c r="D283" s="44">
        <f>Source!I837</f>
        <v>10</v>
      </c>
      <c r="E283" s="42"/>
    </row>
    <row r="284" spans="1:5" ht="14.25" x14ac:dyDescent="0.2">
      <c r="A284" s="41" t="str">
        <f>Source!E838</f>
        <v>154</v>
      </c>
      <c r="B284" s="42" t="str">
        <f>Source!G838</f>
        <v>Спирея японская красная "Голдфлейм" (Goldflame) (контейнер p 7,5)</v>
      </c>
      <c r="C284" s="43" t="str">
        <f>Source!H838</f>
        <v>шт.</v>
      </c>
      <c r="D284" s="44">
        <f>Source!I838</f>
        <v>20</v>
      </c>
      <c r="E284" s="42"/>
    </row>
    <row r="285" spans="1:5" ht="28.5" x14ac:dyDescent="0.2">
      <c r="A285" s="41" t="str">
        <f>Source!E839</f>
        <v>155</v>
      </c>
      <c r="B285" s="42" t="str">
        <f>Source!G839</f>
        <v>Перевозка грунтов растительного слоя и торфов на расстояние до 46 км автосамосвалами грузоподъемностью до 10 т</v>
      </c>
      <c r="C285" s="43" t="str">
        <f>Source!H839</f>
        <v>т</v>
      </c>
      <c r="D285" s="44">
        <f>Source!I839</f>
        <v>45</v>
      </c>
      <c r="E285" s="42"/>
    </row>
    <row r="286" spans="1:5" ht="28.5" x14ac:dyDescent="0.2">
      <c r="A286" s="41" t="str">
        <f>Source!E840</f>
        <v>156</v>
      </c>
      <c r="B286" s="42" t="str">
        <f>Source!G840</f>
        <v>Отходы грунта при проведении открытых земляных работ практически неопасные</v>
      </c>
      <c r="C286" s="43" t="str">
        <f>Source!H840</f>
        <v>1 Т</v>
      </c>
      <c r="D286" s="44">
        <f>Source!I840</f>
        <v>45</v>
      </c>
      <c r="E286" s="42"/>
    </row>
    <row r="287" spans="1:5" ht="16.5" x14ac:dyDescent="0.25">
      <c r="A287" s="68" t="str">
        <f>CONCATENATE("Раздел: ", Source!G902)</f>
        <v>Раздел: Установка  ландшафтных светильников</v>
      </c>
      <c r="B287" s="68"/>
      <c r="C287" s="68"/>
      <c r="D287" s="68"/>
      <c r="E287" s="68"/>
    </row>
    <row r="288" spans="1:5" ht="28.5" x14ac:dyDescent="0.2">
      <c r="A288" s="41" t="str">
        <f>Source!E906</f>
        <v>157</v>
      </c>
      <c r="B288" s="42" t="str">
        <f>Source!G906</f>
        <v>Разработка грунта в отвал экскаваторами с ковшом вместимостью 0,5 м3 группа грунтов 1-3 (380 пог.м *0,5 глубина*0,3 ширина=57 куб.м)</v>
      </c>
      <c r="C288" s="43" t="str">
        <f>Source!H906</f>
        <v>100 м3 грунта</v>
      </c>
      <c r="D288" s="44">
        <f>Source!I906</f>
        <v>0.56999999999999995</v>
      </c>
      <c r="E288" s="42"/>
    </row>
    <row r="289" spans="1:5" ht="28.5" x14ac:dyDescent="0.2">
      <c r="A289" s="41" t="str">
        <f>Source!E907</f>
        <v>158</v>
      </c>
      <c r="B289" s="42" t="str">
        <f>Source!G907</f>
        <v>Разработка грунта вручную в траншеях глубиной до 2 м без креплений с откосами группа грунтов 1-3</v>
      </c>
      <c r="C289" s="43" t="str">
        <f>Source!H907</f>
        <v>100 м3 грунта</v>
      </c>
      <c r="D289" s="44">
        <f>Source!I907</f>
        <v>0.56999999999999995</v>
      </c>
      <c r="E289" s="42"/>
    </row>
    <row r="290" spans="1:5" ht="28.5" x14ac:dyDescent="0.2">
      <c r="A290" s="41" t="str">
        <f>Source!E908</f>
        <v>159</v>
      </c>
      <c r="B290" s="42" t="str">
        <f>Source!G908</f>
        <v>Устройство основания под трубопроводы песчаного (20 см+засыпка 10 см)</v>
      </c>
      <c r="C290" s="43" t="str">
        <f>Source!H908</f>
        <v>10 м3 основания</v>
      </c>
      <c r="D290" s="44">
        <f>Source!I908</f>
        <v>3.42</v>
      </c>
      <c r="E290" s="42"/>
    </row>
    <row r="291" spans="1:5" ht="14.25" x14ac:dyDescent="0.2">
      <c r="A291" s="41" t="str">
        <f>Source!E909</f>
        <v>159,1</v>
      </c>
      <c r="B291" s="42" t="str">
        <f>Source!G909</f>
        <v>Песок для строительных работ, рядовой</v>
      </c>
      <c r="C291" s="43" t="str">
        <f>Source!H909</f>
        <v>м3</v>
      </c>
      <c r="D291" s="44">
        <f>Source!I909</f>
        <v>37.619999999999997</v>
      </c>
      <c r="E291" s="42"/>
    </row>
    <row r="292" spans="1:5" ht="42.75" x14ac:dyDescent="0.2">
      <c r="A292" s="41" t="str">
        <f>Source!E910</f>
        <v>160</v>
      </c>
      <c r="B292" s="42" t="str">
        <f>Source!G910</f>
        <v>Устройство трубопроводов из полиэтиленовых труб до 2-х отверстий (Применительно прокладка металлорукава)</v>
      </c>
      <c r="C292" s="43" t="str">
        <f>Source!H910</f>
        <v>1 канало-километр трубопровода</v>
      </c>
      <c r="D292" s="44">
        <f>Source!I910</f>
        <v>0.38</v>
      </c>
      <c r="E292" s="42"/>
    </row>
    <row r="293" spans="1:5" ht="99.75" x14ac:dyDescent="0.2">
      <c r="A293" s="41" t="str">
        <f>Source!E911</f>
        <v>160,1</v>
      </c>
      <c r="B293" s="42" t="str">
        <f>Source!G911</f>
        <v>Трубы из полиэтилена гладкие, с двухслойной стенкой, внутренним слоем из первичного полиэтилена из натуральных композиций для повышения свариваемости, с наружным идентификационным слоем со светостабилизаторами, степень сопротивления удару нормальная, сопротивление сжатию 750 Н, диаметры (номинальный наружный/минимальный внутренний) 63/47 мм, для прокладки кабелей в земле без дополнительных мер защиты</v>
      </c>
      <c r="C293" s="43" t="str">
        <f>Source!H911</f>
        <v>м</v>
      </c>
      <c r="D293" s="44">
        <f>Source!I911</f>
        <v>380</v>
      </c>
      <c r="E293" s="42"/>
    </row>
    <row r="294" spans="1:5" ht="14.25" x14ac:dyDescent="0.2">
      <c r="A294" s="41" t="str">
        <f>Source!E912</f>
        <v>160,2</v>
      </c>
      <c r="B294" s="42" t="str">
        <f>Source!G912</f>
        <v>Металлорукав в ПВХ оболочке НГ 25 мм Промрукав</v>
      </c>
      <c r="C294" s="43" t="str">
        <f>Source!H912</f>
        <v>м</v>
      </c>
      <c r="D294" s="44">
        <f>Source!I912</f>
        <v>380</v>
      </c>
      <c r="E294" s="42"/>
    </row>
    <row r="295" spans="1:5" ht="28.5" x14ac:dyDescent="0.2">
      <c r="A295" s="41" t="str">
        <f>Source!E913</f>
        <v>161</v>
      </c>
      <c r="B295" s="42" t="str">
        <f>Source!G913</f>
        <v>Кабели до 35 кВ в проложенных трубах, блоках и коробах, кабель, масса 1 м, до 1 кг</v>
      </c>
      <c r="C295" s="43" t="str">
        <f>Source!H913</f>
        <v>100 М КАБЕЛЯ</v>
      </c>
      <c r="D295" s="44">
        <f>Source!I913</f>
        <v>3.8</v>
      </c>
      <c r="E295" s="42"/>
    </row>
    <row r="296" spans="1:5" ht="28.5" x14ac:dyDescent="0.2">
      <c r="A296" s="41" t="str">
        <f>Source!E914</f>
        <v>161,1</v>
      </c>
      <c r="B296" s="42" t="str">
        <f>Source!G914</f>
        <v>Кабели силовые с медными жилами, напряжение 1000 В, марка ВВГнг(А)-LS, число жил и сечение 3х6 мм2</v>
      </c>
      <c r="C296" s="43" t="str">
        <f>Source!H914</f>
        <v>км</v>
      </c>
      <c r="D296" s="44">
        <f>Source!I914</f>
        <v>0.38</v>
      </c>
      <c r="E296" s="42"/>
    </row>
    <row r="297" spans="1:5" ht="57" x14ac:dyDescent="0.2">
      <c r="A297" s="41" t="str">
        <f>Source!E915</f>
        <v>161,2</v>
      </c>
      <c r="B297" s="42" t="str">
        <f>Source!G915</f>
        <v>Коробка ответвительная пластиковая, на 7 отверстий, с 4 сальниками М25 (диапазон уплотнения 9-18,5 мм), заглушкой, винтовой клеммой 6 мм2, степень защиты IP65, открытой установки, размеры 110х110х67 мм (Применительно)</v>
      </c>
      <c r="C297" s="43" t="str">
        <f>Source!H915</f>
        <v>шт.</v>
      </c>
      <c r="D297" s="44">
        <f>Source!I915</f>
        <v>30</v>
      </c>
      <c r="E297" s="42"/>
    </row>
    <row r="298" spans="1:5" ht="28.5" x14ac:dyDescent="0.2">
      <c r="A298" s="41" t="str">
        <f>Source!E916</f>
        <v>162</v>
      </c>
      <c r="B298" s="42" t="str">
        <f>Source!G916</f>
        <v>Прокладка оптического кабеля в готовую траншею вручную (применительно сигнальная лента)</v>
      </c>
      <c r="C298" s="43" t="str">
        <f>Source!H916</f>
        <v>1 км кабеля</v>
      </c>
      <c r="D298" s="44">
        <f>Source!I916</f>
        <v>0.38</v>
      </c>
      <c r="E298" s="42"/>
    </row>
    <row r="299" spans="1:5" ht="14.25" x14ac:dyDescent="0.2">
      <c r="A299" s="41" t="str">
        <f>Source!E917</f>
        <v>163</v>
      </c>
      <c r="B299" s="42" t="str">
        <f>Source!G917</f>
        <v>Лента полиэтиленовая сигнальная, ширина 200 мм, толщина 50 мкм</v>
      </c>
      <c r="C299" s="43" t="str">
        <f>Source!H917</f>
        <v>м</v>
      </c>
      <c r="D299" s="44">
        <f>Source!I917</f>
        <v>250</v>
      </c>
      <c r="E299" s="42"/>
    </row>
    <row r="300" spans="1:5" ht="28.5" x14ac:dyDescent="0.2">
      <c r="A300" s="41" t="str">
        <f>Source!E918</f>
        <v>164</v>
      </c>
      <c r="B300" s="42" t="str">
        <f>Source!G918</f>
        <v>Засыпка траншей и котлованов бульдозерами мощностью 59 (80) кВт (л.с.) при перемещении грунта до 5 м группа грунтов 1-3 (20 см)</v>
      </c>
      <c r="C300" s="43" t="str">
        <f>Source!H918</f>
        <v>100 м3 грунта</v>
      </c>
      <c r="D300" s="44">
        <f>Source!I918</f>
        <v>0.22800000000000001</v>
      </c>
      <c r="E300" s="42"/>
    </row>
    <row r="301" spans="1:5" ht="14.25" x14ac:dyDescent="0.2">
      <c r="A301" s="41" t="str">
        <f>Source!E919</f>
        <v>165</v>
      </c>
      <c r="B301" s="42" t="str">
        <f>Source!G919</f>
        <v>Засыпка вручную траншей, пазух котлованов и ям группа грунтов 4</v>
      </c>
      <c r="C301" s="43" t="str">
        <f>Source!H919</f>
        <v>100 м3 грунта</v>
      </c>
      <c r="D301" s="44">
        <f>Source!I919</f>
        <v>0.22800000000000001</v>
      </c>
      <c r="E301" s="42"/>
    </row>
    <row r="302" spans="1:5" ht="42.75" x14ac:dyDescent="0.2">
      <c r="A302" s="41" t="str">
        <f>Source!E920</f>
        <v>166</v>
      </c>
      <c r="B302" s="42" t="str">
        <f>Source!G920</f>
        <v>Уплотнение грунта пневматическими трамбовками группа грунтов 1,2</v>
      </c>
      <c r="C302" s="43" t="str">
        <f>Source!H920</f>
        <v>100 м3 уплотненного грунта</v>
      </c>
      <c r="D302" s="44">
        <f>Source!I920</f>
        <v>0.114</v>
      </c>
      <c r="E302" s="42"/>
    </row>
    <row r="303" spans="1:5" ht="28.5" x14ac:dyDescent="0.2">
      <c r="A303" s="41" t="str">
        <f>Source!E921</f>
        <v>167</v>
      </c>
      <c r="B303" s="42" t="str">
        <f>Source!G921</f>
        <v>Устройство щебеночного основания под фундаменты (30*0,1)</v>
      </c>
      <c r="C303" s="43" t="str">
        <f>Source!H921</f>
        <v>1 м3 основания</v>
      </c>
      <c r="D303" s="44">
        <f>Source!I921</f>
        <v>3</v>
      </c>
      <c r="E303" s="42"/>
    </row>
    <row r="304" spans="1:5" ht="28.5" x14ac:dyDescent="0.2">
      <c r="A304" s="41" t="str">
        <f>Source!E922</f>
        <v>167,1</v>
      </c>
      <c r="B304" s="42" t="str">
        <f>Source!G922</f>
        <v>Щебень из естественного камня для строительных работ, марка 600-400, фракция 10-20 мм</v>
      </c>
      <c r="C304" s="43" t="str">
        <f>Source!H922</f>
        <v>м3</v>
      </c>
      <c r="D304" s="44">
        <f>Source!I922</f>
        <v>3.45</v>
      </c>
      <c r="E304" s="42"/>
    </row>
    <row r="305" spans="1:5" ht="85.5" x14ac:dyDescent="0.2">
      <c r="A305" s="41" t="str">
        <f>Source!E923</f>
        <v>168</v>
      </c>
      <c r="B305" s="42" t="str">
        <f>Source!G923</f>
        <v>Установка композитных фланцевых опор наружного освещения (применительно) Состав работ:1. Сборка фланцевого соединения композитной опоры вручную  2. Бурение скважины в грунте для установки опоры  3. Установка фланцевой опоры в скважину с выверкой проектного положения, засыпка скважины грунтом и его трамбовка вручную  4. Передвижение по фронту работ между опорами</v>
      </c>
      <c r="C305" s="43" t="str">
        <f>Source!H923</f>
        <v>1  ШТ.</v>
      </c>
      <c r="D305" s="44">
        <f>Source!I923</f>
        <v>30</v>
      </c>
      <c r="E305" s="42"/>
    </row>
    <row r="306" spans="1:5" ht="28.5" x14ac:dyDescent="0.2">
      <c r="A306" s="41" t="str">
        <f>Source!E924</f>
        <v>168,1</v>
      </c>
      <c r="B306" s="42" t="str">
        <f>Source!G924</f>
        <v>Элементы (детали) закладные фундаментов к опорам наружного освещения, тип ЗФ-16/4/К140-1,0-Б (Применительно)</v>
      </c>
      <c r="C306" s="43" t="str">
        <f>Source!H924</f>
        <v>шт.</v>
      </c>
      <c r="D306" s="44">
        <f>Source!I924</f>
        <v>30</v>
      </c>
      <c r="E306" s="42"/>
    </row>
    <row r="307" spans="1:5" ht="14.25" x14ac:dyDescent="0.2">
      <c r="A307" s="41" t="str">
        <f>Source!E925</f>
        <v>168,2</v>
      </c>
      <c r="B307" s="42" t="str">
        <f>Source!G925</f>
        <v>Светильник уличный LUTEC W2522S-800 или аналог</v>
      </c>
      <c r="C307" s="43" t="str">
        <f>Source!H925</f>
        <v>шт.</v>
      </c>
      <c r="D307" s="44">
        <f>Source!I925</f>
        <v>30</v>
      </c>
      <c r="E307" s="42"/>
    </row>
    <row r="308" spans="1:5" ht="28.5" x14ac:dyDescent="0.2">
      <c r="A308" s="41" t="str">
        <f>Source!E926</f>
        <v>169</v>
      </c>
      <c r="B308" s="42" t="str">
        <f>Source!G926</f>
        <v>Установка стоек металлического ограждения газонов из трубы, масса стоек до 5 кг (применительно установка ландшафтных светильников)</v>
      </c>
      <c r="C308" s="43" t="str">
        <f>Source!H926</f>
        <v>10 шт.</v>
      </c>
      <c r="D308" s="44">
        <f>Source!I926</f>
        <v>1.5</v>
      </c>
      <c r="E308" s="42"/>
    </row>
    <row r="309" spans="1:5" ht="14.25" x14ac:dyDescent="0.2">
      <c r="A309" s="41" t="str">
        <f>Source!E927</f>
        <v>169,1</v>
      </c>
      <c r="B309" s="42" t="str">
        <f>Source!G927</f>
        <v>Ландшафтный светодиодный светильник SLV Syna Led 227508</v>
      </c>
      <c r="C309" s="43" t="str">
        <f>Source!H927</f>
        <v>шт.</v>
      </c>
      <c r="D309" s="44">
        <f>Source!I927</f>
        <v>15</v>
      </c>
      <c r="E309" s="42"/>
    </row>
    <row r="310" spans="1:5" ht="28.5" x14ac:dyDescent="0.2">
      <c r="A310" s="41" t="str">
        <f>Source!E928</f>
        <v>170</v>
      </c>
      <c r="B310" s="42" t="str">
        <f>Source!G928</f>
        <v>Присоединение к зажимам жил проводов или кабелей, провод или кабель, сечение до 2,5 мм2 (применительно)</v>
      </c>
      <c r="C310" s="43" t="str">
        <f>Source!H928</f>
        <v>100 шт.</v>
      </c>
      <c r="D310" s="44">
        <f>Source!I928</f>
        <v>0.3</v>
      </c>
      <c r="E310" s="42"/>
    </row>
    <row r="311" spans="1:5" ht="14.25" x14ac:dyDescent="0.2">
      <c r="A311" s="41" t="str">
        <f>Source!E929</f>
        <v>171</v>
      </c>
      <c r="B311" s="42" t="str">
        <f>Source!G929</f>
        <v>Предохранители ПН-2 на номинальное напряжение 500 В, тип ПН-2-100</v>
      </c>
      <c r="C311" s="43" t="str">
        <f>Source!H929</f>
        <v>шт.</v>
      </c>
      <c r="D311" s="44">
        <f>Source!I929</f>
        <v>30</v>
      </c>
      <c r="E311" s="42"/>
    </row>
    <row r="312" spans="1:5" ht="42.75" x14ac:dyDescent="0.2">
      <c r="A312" s="41" t="str">
        <f>Source!E930</f>
        <v>172</v>
      </c>
      <c r="B312" s="42" t="str">
        <f>Source!G930</f>
        <v>Блоки управления и распределительные пункты (шкафы) высотой до 1700 мм, блок управления открытого исполнения высотой и шириной до 1000х800 мм, устанавливаемый на стене</v>
      </c>
      <c r="C312" s="43" t="str">
        <f>Source!H930</f>
        <v>1  ШТ.</v>
      </c>
      <c r="D312" s="44">
        <f>Source!I930</f>
        <v>1</v>
      </c>
      <c r="E312" s="42"/>
    </row>
    <row r="313" spans="1:5" ht="142.5" x14ac:dyDescent="0.2">
      <c r="A313" s="41" t="str">
        <f>Source!E931</f>
        <v>173</v>
      </c>
      <c r="B313" s="42" t="str">
        <f>Source!G931</f>
        <v>Шкаф управления освещением для автономного включения/отключения освещения по астрономическому расписанию с возможностью синхронизации по системам ГЛОНАСС/GPS и воспроизведения загруженных DMX-сценариев. В составе: контроллер автономного управления освещением, контроллер управления светодинамическими сценариями по протоколу DMX-512 (2 потока, 1024 адреса), универсальный электронный переключатель фаз, клеммная колодка, набор автоматов защиты и переключателей 3-х позиционных, диапазон рабочих температур от -40 до +70 °С (Применительно шкаф управления в комплекте)</v>
      </c>
      <c r="C313" s="43" t="str">
        <f>Source!H931</f>
        <v>КОМПЛЕКТ</v>
      </c>
      <c r="D313" s="44">
        <f>Source!I931</f>
        <v>1</v>
      </c>
      <c r="E313" s="42"/>
    </row>
    <row r="314" spans="1:5" ht="28.5" x14ac:dyDescent="0.2">
      <c r="A314" s="41" t="str">
        <f>Source!E932</f>
        <v>174</v>
      </c>
      <c r="B314" s="42" t="str">
        <f>Source!G932</f>
        <v>Проверка всего технологического комплекса в режимах работы и контроля, сдача в эксплуатацию</v>
      </c>
      <c r="C314" s="43" t="str">
        <f>Source!H932</f>
        <v>1 комплекс</v>
      </c>
      <c r="D314" s="44">
        <f>Source!I932</f>
        <v>1</v>
      </c>
      <c r="E314" s="42"/>
    </row>
    <row r="315" spans="1:5" ht="28.5" x14ac:dyDescent="0.2">
      <c r="A315" s="41" t="str">
        <f>Source!E933</f>
        <v>175</v>
      </c>
      <c r="B315" s="42" t="str">
        <f>Source!G933</f>
        <v>Перевозка грунтов растительного слоя и торфов на расстояние до 46 км автосамосвалами грузоподъемностью до 10 т (34,2*1,5=51,3 т)</v>
      </c>
      <c r="C315" s="43" t="str">
        <f>Source!H933</f>
        <v>т</v>
      </c>
      <c r="D315" s="44">
        <f>Source!I933</f>
        <v>51.3</v>
      </c>
      <c r="E315" s="42"/>
    </row>
    <row r="316" spans="1:5" ht="28.5" x14ac:dyDescent="0.2">
      <c r="A316" s="41" t="str">
        <f>Source!E934</f>
        <v>176</v>
      </c>
      <c r="B316" s="42" t="str">
        <f>Source!G934</f>
        <v>Отходы грунта при проведении открытых земляных работ практически неопасные</v>
      </c>
      <c r="C316" s="43" t="str">
        <f>Source!H934</f>
        <v>1 Т</v>
      </c>
      <c r="D316" s="44">
        <f>Source!I934</f>
        <v>51.3</v>
      </c>
      <c r="E316" s="42"/>
    </row>
    <row r="317" spans="1:5" ht="16.5" x14ac:dyDescent="0.25">
      <c r="A317" s="68" t="str">
        <f>CONCATENATE("Раздел: ", Source!G966)</f>
        <v>Раздел: Установка тематических топиартых фигур (входная группа)</v>
      </c>
      <c r="B317" s="68"/>
      <c r="C317" s="68"/>
      <c r="D317" s="68"/>
      <c r="E317" s="68"/>
    </row>
    <row r="318" spans="1:5" ht="28.5" x14ac:dyDescent="0.2">
      <c r="A318" s="41" t="str">
        <f>Source!E970</f>
        <v>177</v>
      </c>
      <c r="B318" s="42" t="str">
        <f>Source!G970</f>
        <v>Установка закладных деталей весом до 4 кг (применительно установка закладных деталей для МАФ)</v>
      </c>
      <c r="C318" s="43" t="str">
        <f>Source!H970</f>
        <v>1 Т</v>
      </c>
      <c r="D318" s="44">
        <f>Source!I970</f>
        <v>0.1</v>
      </c>
      <c r="E318" s="42"/>
    </row>
    <row r="319" spans="1:5" ht="28.5" x14ac:dyDescent="0.2">
      <c r="A319" s="41" t="str">
        <f>Source!E971</f>
        <v>177,1</v>
      </c>
      <c r="B319" s="42" t="str">
        <f>Source!G971</f>
        <v>Арматурные заготовки (стержни, хомуты и т.п.), не собранные в каркасы или сетки, закладные и накладные детали, без сварки</v>
      </c>
      <c r="C319" s="43" t="str">
        <f>Source!H971</f>
        <v>т</v>
      </c>
      <c r="D319" s="44">
        <f>Source!I971</f>
        <v>0.1</v>
      </c>
      <c r="E319" s="42"/>
    </row>
    <row r="320" spans="1:5" ht="28.5" x14ac:dyDescent="0.2">
      <c r="A320" s="41" t="str">
        <f>Source!E972</f>
        <v>178</v>
      </c>
      <c r="B320" s="42" t="str">
        <f>Source!G972</f>
        <v>Монтаж русских качелей на готовое основание (применительно установка МАФ)</v>
      </c>
      <c r="C320" s="43" t="str">
        <f>Source!H972</f>
        <v>1  ШТ.</v>
      </c>
      <c r="D320" s="44">
        <f>Source!I972</f>
        <v>2</v>
      </c>
      <c r="E320" s="42"/>
    </row>
    <row r="321" spans="1:5" ht="14.25" x14ac:dyDescent="0.2">
      <c r="A321" s="41" t="str">
        <f>Source!E973</f>
        <v>178,1</v>
      </c>
      <c r="B321" s="42" t="str">
        <f>Source!G973</f>
        <v>Установка тематических МАФ /топиарных фигур</v>
      </c>
      <c r="C321" s="43" t="str">
        <f>Source!H973</f>
        <v>шт.</v>
      </c>
      <c r="D321" s="44">
        <f>Source!I973</f>
        <v>2</v>
      </c>
      <c r="E321" s="42"/>
    </row>
    <row r="322" spans="1:5" ht="16.5" x14ac:dyDescent="0.25">
      <c r="A322" s="68" t="str">
        <f>CONCATENATE("Раздел: ", Source!G1005)</f>
        <v>Раздел: Замена опор освещения</v>
      </c>
      <c r="B322" s="68"/>
      <c r="C322" s="68"/>
      <c r="D322" s="68"/>
      <c r="E322" s="68"/>
    </row>
    <row r="323" spans="1:5" ht="16.5" x14ac:dyDescent="0.25">
      <c r="A323" s="69" t="str">
        <f>CONCATENATE("Подраздел: ", Source!G1009)</f>
        <v>Подраздел: Замена существующих опор и сетей до ШНО</v>
      </c>
      <c r="B323" s="69"/>
      <c r="C323" s="69"/>
      <c r="D323" s="69"/>
      <c r="E323" s="69"/>
    </row>
    <row r="324" spans="1:5" ht="28.5" x14ac:dyDescent="0.2">
      <c r="A324" s="41" t="str">
        <f>Source!E1013</f>
        <v>179</v>
      </c>
      <c r="B324" s="42" t="str">
        <f>Source!G1013</f>
        <v>Разработка грунта в отвал экскаваторами с ковшом вместимостью 0,5 м3 группа грунтов 1-3</v>
      </c>
      <c r="C324" s="43" t="str">
        <f>Source!H1013</f>
        <v>100 м3 грунта</v>
      </c>
      <c r="D324" s="44">
        <f>Source!I1013</f>
        <v>0.7</v>
      </c>
      <c r="E324" s="42"/>
    </row>
    <row r="325" spans="1:5" ht="28.5" x14ac:dyDescent="0.2">
      <c r="A325" s="41" t="str">
        <f>Source!E1014</f>
        <v>180</v>
      </c>
      <c r="B325" s="42" t="str">
        <f>Source!G1014</f>
        <v>Перевозка грунтов растительного слоя и торфов на расстояние до 46 км автосамосвалами грузоподъемностью до 20 т</v>
      </c>
      <c r="C325" s="43" t="str">
        <f>Source!H1014</f>
        <v>т</v>
      </c>
      <c r="D325" s="44">
        <f>Source!I1014</f>
        <v>105</v>
      </c>
      <c r="E325" s="42"/>
    </row>
    <row r="326" spans="1:5" ht="28.5" x14ac:dyDescent="0.2">
      <c r="A326" s="41" t="str">
        <f>Source!E1015</f>
        <v>181</v>
      </c>
      <c r="B326" s="42" t="str">
        <f>Source!G1015</f>
        <v>Отходы грунта при проведении открытых земляных работ практически неопасные</v>
      </c>
      <c r="C326" s="43" t="str">
        <f>Source!H1015</f>
        <v>1 Т</v>
      </c>
      <c r="D326" s="44">
        <f>Source!I1015</f>
        <v>105</v>
      </c>
      <c r="E326" s="42"/>
    </row>
    <row r="327" spans="1:5" ht="57" x14ac:dyDescent="0.2">
      <c r="A327" s="41" t="str">
        <f>Source!E1016</f>
        <v>182</v>
      </c>
      <c r="B327" s="42" t="str">
        <f>Source!G1016</f>
        <v>Устройство подстилающих и выравнивающих слоев оснований из песка</v>
      </c>
      <c r="C327" s="43" t="str">
        <f>Source!H1016</f>
        <v>100 м3 материала основания (в плотном теле)</v>
      </c>
      <c r="D327" s="44">
        <f>Source!I1016</f>
        <v>0.2</v>
      </c>
      <c r="E327" s="42"/>
    </row>
    <row r="328" spans="1:5" ht="14.25" x14ac:dyDescent="0.2">
      <c r="A328" s="41" t="str">
        <f>Source!E1017</f>
        <v>182,1</v>
      </c>
      <c r="B328" s="42" t="str">
        <f>Source!G1017</f>
        <v>Песок для строительных работ, рядовой</v>
      </c>
      <c r="C328" s="43" t="str">
        <f>Source!H1017</f>
        <v>м3</v>
      </c>
      <c r="D328" s="44">
        <f>Source!I1017</f>
        <v>2</v>
      </c>
      <c r="E328" s="42"/>
    </row>
    <row r="329" spans="1:5" ht="42.75" x14ac:dyDescent="0.2">
      <c r="A329" s="41" t="str">
        <f>Source!E1018</f>
        <v>183</v>
      </c>
      <c r="B329" s="42" t="str">
        <f>Source!G1018</f>
        <v>Устройство трубопроводов из полиэтиленовых труб до 2-х отверстий</v>
      </c>
      <c r="C329" s="43" t="str">
        <f>Source!H1018</f>
        <v>1 канало-километр трубопровода</v>
      </c>
      <c r="D329" s="44">
        <f>Source!I1018</f>
        <v>5.8000000000000003E-2</v>
      </c>
      <c r="E329" s="42"/>
    </row>
    <row r="330" spans="1:5" ht="99.75" x14ac:dyDescent="0.2">
      <c r="A330" s="41" t="str">
        <f>Source!E1019</f>
        <v>183,1</v>
      </c>
      <c r="B330" s="42" t="str">
        <f>Source!G1019</f>
        <v>Трубы полимерные гофрированные, жесткие, двухслойные с гладким внутренним слоем, сопротивление сжатию 750 Н, степень сопротивления удару нормальная, диапазон температур от -40 до 60°С, (кратковременно до 95°С), распространяющие горение, кольцевая жесткость SN8, для прокладки кабелей и электрических проводов в земле без дополнительных мер защиты, диаметры (номинальный/минимальный внутренний) 110/94 мм</v>
      </c>
      <c r="C330" s="43" t="str">
        <f>Source!H1019</f>
        <v>м</v>
      </c>
      <c r="D330" s="44">
        <f>Source!I1019</f>
        <v>58</v>
      </c>
      <c r="E330" s="42"/>
    </row>
    <row r="331" spans="1:5" ht="14.25" x14ac:dyDescent="0.2">
      <c r="A331" s="41" t="str">
        <f>Source!E1020</f>
        <v>183,2</v>
      </c>
      <c r="B331" s="42" t="str">
        <f>Source!G1020</f>
        <v>Лента полиэтиленовая сигнальная, ширина 200 мм, толщина 50 мкм</v>
      </c>
      <c r="C331" s="43" t="str">
        <f>Source!H1020</f>
        <v>м</v>
      </c>
      <c r="D331" s="44">
        <f>Source!I1020</f>
        <v>58</v>
      </c>
      <c r="E331" s="42"/>
    </row>
    <row r="332" spans="1:5" ht="14.25" x14ac:dyDescent="0.2">
      <c r="A332" s="41" t="str">
        <f>Source!E1021</f>
        <v>184</v>
      </c>
      <c r="B332" s="42" t="str">
        <f>Source!G1021</f>
        <v>Уплотнитель кабельного прохода термоусаживаемый</v>
      </c>
      <c r="C332" s="43" t="str">
        <f>Source!H1021</f>
        <v>100 компл.</v>
      </c>
      <c r="D332" s="44">
        <f>Source!I1021</f>
        <v>0.04</v>
      </c>
      <c r="E332" s="42"/>
    </row>
    <row r="333" spans="1:5" ht="14.25" x14ac:dyDescent="0.2">
      <c r="A333" s="41" t="str">
        <f>Source!E1022</f>
        <v>184,1</v>
      </c>
      <c r="B333" s="42" t="str">
        <f>Source!G1022</f>
        <v>Уплотнители кабельных проходов, тип УКПТ</v>
      </c>
      <c r="C333" s="43" t="str">
        <f>Source!H1022</f>
        <v>КОМПЛЕКТ</v>
      </c>
      <c r="D333" s="44">
        <f>Source!I1022</f>
        <v>4</v>
      </c>
      <c r="E333" s="42"/>
    </row>
    <row r="334" spans="1:5" ht="28.5" x14ac:dyDescent="0.2">
      <c r="A334" s="41" t="str">
        <f>Source!E1023</f>
        <v>185</v>
      </c>
      <c r="B334" s="42" t="str">
        <f>Source!G1023</f>
        <v>Кабели до 35 кВ в проложенных трубах, блоках и коробах, кабель, масса 1 м, до 2 кг</v>
      </c>
      <c r="C334" s="43" t="str">
        <f>Source!H1023</f>
        <v>100 М КАБЕЛЯ</v>
      </c>
      <c r="D334" s="44">
        <f>Source!I1023</f>
        <v>2</v>
      </c>
      <c r="E334" s="42"/>
    </row>
    <row r="335" spans="1:5" ht="28.5" x14ac:dyDescent="0.2">
      <c r="A335" s="41" t="str">
        <f>Source!E1024</f>
        <v>185,1</v>
      </c>
      <c r="B335" s="42" t="str">
        <f>Source!G1024</f>
        <v>Кабели силовые с медными жилами, напряжение 1000 В, марка ВБШв, число жил и сечение 4х25 мм2</v>
      </c>
      <c r="C335" s="43" t="str">
        <f>Source!H1024</f>
        <v>км</v>
      </c>
      <c r="D335" s="44">
        <f>Source!I1024</f>
        <v>0.25</v>
      </c>
      <c r="E335" s="42"/>
    </row>
    <row r="336" spans="1:5" ht="28.5" x14ac:dyDescent="0.2">
      <c r="A336" s="41" t="str">
        <f>Source!E1025</f>
        <v>186</v>
      </c>
      <c r="B336" s="42" t="str">
        <f>Source!G1025</f>
        <v>Бурение ям бурильно-крановыми машинами на тракторе глубина ям до 2 м группа грунтов 1-2</v>
      </c>
      <c r="C336" s="43" t="str">
        <f>Source!H1025</f>
        <v>100 ям</v>
      </c>
      <c r="D336" s="44">
        <f>Source!I1025</f>
        <v>0.04</v>
      </c>
      <c r="E336" s="42"/>
    </row>
    <row r="337" spans="1:5" ht="28.5" x14ac:dyDescent="0.2">
      <c r="A337" s="41" t="str">
        <f>Source!E1026</f>
        <v>187</v>
      </c>
      <c r="B337" s="42" t="str">
        <f>Source!G1026</f>
        <v>Устройство щебеночного основания под фундаменты</v>
      </c>
      <c r="C337" s="43" t="str">
        <f>Source!H1026</f>
        <v>1 м3 основания</v>
      </c>
      <c r="D337" s="44">
        <f>Source!I1026</f>
        <v>0.16</v>
      </c>
      <c r="E337" s="42"/>
    </row>
    <row r="338" spans="1:5" ht="28.5" x14ac:dyDescent="0.2">
      <c r="A338" s="41" t="str">
        <f>Source!E1027</f>
        <v>187,1</v>
      </c>
      <c r="B338" s="42" t="str">
        <f>Source!G1027</f>
        <v>Щебень из естественного камня для строительных работ, марка 600-400, фракция 10-20 мм</v>
      </c>
      <c r="C338" s="43" t="str">
        <f>Source!H1027</f>
        <v>м3</v>
      </c>
      <c r="D338" s="44">
        <f>Source!I1027</f>
        <v>0.184</v>
      </c>
      <c r="E338" s="42"/>
    </row>
    <row r="339" spans="1:5" ht="14.25" x14ac:dyDescent="0.2">
      <c r="A339" s="41" t="str">
        <f>Source!E1028</f>
        <v>188</v>
      </c>
      <c r="B339" s="42" t="str">
        <f>Source!G1028</f>
        <v>Установка закладных деталей весом более 20 кг</v>
      </c>
      <c r="C339" s="43" t="str">
        <f>Source!H1028</f>
        <v>1 Т</v>
      </c>
      <c r="D339" s="44">
        <f>Source!I1028</f>
        <v>0.33600000000000002</v>
      </c>
      <c r="E339" s="42"/>
    </row>
    <row r="340" spans="1:5" ht="28.5" x14ac:dyDescent="0.2">
      <c r="A340" s="41" t="str">
        <f>Source!E1029</f>
        <v>188,1</v>
      </c>
      <c r="B340" s="42" t="str">
        <f>Source!G1029</f>
        <v>Закладные детали фундаментов изготовлены из  стальных труб различного диаметра</v>
      </c>
      <c r="C340" s="43" t="str">
        <f>Source!H1029</f>
        <v>шт.</v>
      </c>
      <c r="D340" s="44">
        <f>Source!I1029</f>
        <v>3.9999999999999996</v>
      </c>
      <c r="E340" s="42"/>
    </row>
    <row r="341" spans="1:5" ht="28.5" x14ac:dyDescent="0.2">
      <c r="A341" s="41" t="str">
        <f>Source!E1030</f>
        <v>189</v>
      </c>
      <c r="B341" s="42" t="str">
        <f>Source!G1030</f>
        <v>Устройство монолитных бетонных фундаментов заглубленных на одной отметке с опорой</v>
      </c>
      <c r="C341" s="43" t="str">
        <f>Source!H1030</f>
        <v>1 м3</v>
      </c>
      <c r="D341" s="44">
        <f>Source!I1030</f>
        <v>0.96</v>
      </c>
      <c r="E341" s="42"/>
    </row>
    <row r="342" spans="1:5" ht="28.5" x14ac:dyDescent="0.2">
      <c r="A342" s="41" t="str">
        <f>Source!E1031</f>
        <v>189,1</v>
      </c>
      <c r="B342" s="42" t="str">
        <f>Source!G1031</f>
        <v>Смеси бетонные, БСГ, тяжелого бетона на известняковом щебне, класс прочности В15 (М200); П4, фракция 5-20, F100, W4, c С3</v>
      </c>
      <c r="C342" s="43" t="str">
        <f>Source!H1031</f>
        <v>м3</v>
      </c>
      <c r="D342" s="44">
        <f>Source!I1031</f>
        <v>0.97919999999999996</v>
      </c>
      <c r="E342" s="42"/>
    </row>
    <row r="343" spans="1:5" ht="28.5" x14ac:dyDescent="0.2">
      <c r="A343" s="41" t="str">
        <f>Source!E1032</f>
        <v>190</v>
      </c>
      <c r="B343" s="42" t="str">
        <f>Source!G1032</f>
        <v>Установка металлических фланцевых консольных опор наружного освещения (демонтаж)</v>
      </c>
      <c r="C343" s="43" t="str">
        <f>Source!H1032</f>
        <v>1  ШТ.</v>
      </c>
      <c r="D343" s="44">
        <f>Source!I1032</f>
        <v>4</v>
      </c>
      <c r="E343" s="42"/>
    </row>
    <row r="344" spans="1:5" ht="28.5" x14ac:dyDescent="0.2">
      <c r="A344" s="41" t="str">
        <f>Source!E1033</f>
        <v>191</v>
      </c>
      <c r="B344" s="42" t="str">
        <f>Source!G1033</f>
        <v>Установка металлических фланцевых консольных опор наружного освещения</v>
      </c>
      <c r="C344" s="43" t="str">
        <f>Source!H1033</f>
        <v>1  ШТ.</v>
      </c>
      <c r="D344" s="44">
        <f>Source!I1033</f>
        <v>4</v>
      </c>
      <c r="E344" s="42"/>
    </row>
    <row r="345" spans="1:5" ht="14.25" x14ac:dyDescent="0.2">
      <c r="A345" s="41" t="str">
        <f>Source!E1034</f>
        <v>191,1</v>
      </c>
      <c r="B345" s="42" t="str">
        <f>Source!G1034</f>
        <v>Опоры наружного освещения складные 12-14 м, металлические</v>
      </c>
      <c r="C345" s="43" t="str">
        <f>Source!H1034</f>
        <v>шт.</v>
      </c>
      <c r="D345" s="44">
        <f>Source!I1034</f>
        <v>4</v>
      </c>
      <c r="E345" s="42"/>
    </row>
    <row r="346" spans="1:5" ht="28.5" x14ac:dyDescent="0.2">
      <c r="A346" s="41" t="str">
        <f>Source!E1035</f>
        <v>192</v>
      </c>
      <c r="B346" s="42" t="str">
        <f>Source!G1035</f>
        <v>Кронштейны специальные на опорах для светильников, сварные металлические, 2 рожка</v>
      </c>
      <c r="C346" s="43" t="str">
        <f>Source!H1035</f>
        <v>1  ШТ.</v>
      </c>
      <c r="D346" s="44">
        <f>Source!I1035</f>
        <v>4</v>
      </c>
      <c r="E346" s="42"/>
    </row>
    <row r="347" spans="1:5" ht="71.25" x14ac:dyDescent="0.2">
      <c r="A347" s="41" t="str">
        <f>Source!E1036</f>
        <v>192,1</v>
      </c>
      <c r="B347" s="42" t="str">
        <f>Source!G1036</f>
        <v>Кронштейн типа 6500ММК, универсальный. Комплект поставки: основание - 1 шт., Т-образный держатель - 4 шт., крепежные болты М6 - 2 шт., шайбы пружинные М6 - 2 шт., крепежные винты М4 -3 шт., шестигранные гайки М4 -3 шт., шайба М4 - 6 шт., пружинная шайба М4 - 3 шт</v>
      </c>
      <c r="C347" s="43" t="str">
        <f>Source!H1036</f>
        <v>шт.</v>
      </c>
      <c r="D347" s="44">
        <f>Source!I1036</f>
        <v>4</v>
      </c>
      <c r="E347" s="42"/>
    </row>
    <row r="348" spans="1:5" ht="28.5" x14ac:dyDescent="0.2">
      <c r="A348" s="41" t="str">
        <f>Source!E1037</f>
        <v>193</v>
      </c>
      <c r="B348" s="42" t="str">
        <f>Source!G1037</f>
        <v>Светильники светодиодные, устанавливаемые вне здания, с установкой комплекта клеммников внутри опоры через ревизионный лючок</v>
      </c>
      <c r="C348" s="43" t="str">
        <f>Source!H1037</f>
        <v>1  ШТ.</v>
      </c>
      <c r="D348" s="44">
        <f>Source!I1037</f>
        <v>8</v>
      </c>
      <c r="E348" s="42"/>
    </row>
    <row r="349" spans="1:5" ht="71.25" x14ac:dyDescent="0.2">
      <c r="A349" s="41" t="str">
        <f>Source!E1038</f>
        <v>193,1</v>
      </c>
      <c r="B349" s="42" t="str">
        <f>Source!G1038</f>
        <v>Шина соединительная медная, 3-фазная, количество подключений до 54, тип подключения штырьевое с шагом 18 мм, номинальный ток 100 А, номинальный кратковременно выдерживаемый ток 15 кА, номинальное импульсное напряжение 4 кВ, номинальное напряжение 230/400 В, рабочая температура от -45 до +40°С, размеры 1000х17,4х37,5 мм</v>
      </c>
      <c r="C349" s="43" t="str">
        <f>Source!H1038</f>
        <v>шт.</v>
      </c>
      <c r="D349" s="44">
        <f>Source!I1038</f>
        <v>8</v>
      </c>
      <c r="E349" s="42"/>
    </row>
    <row r="350" spans="1:5" ht="28.5" x14ac:dyDescent="0.2">
      <c r="A350" s="41" t="str">
        <f>Source!E1039</f>
        <v>193,2</v>
      </c>
      <c r="B350" s="42" t="str">
        <f>Source!G1039</f>
        <v>Предохранитель банановый на клемме на 10А (20871-00-00). Габаритные размеры 87x25x68 мм</v>
      </c>
      <c r="C350" s="43" t="str">
        <f>Source!H1039</f>
        <v>шт.</v>
      </c>
      <c r="D350" s="44">
        <f>Source!I1039</f>
        <v>8</v>
      </c>
      <c r="E350" s="42"/>
    </row>
    <row r="351" spans="1:5" ht="42.75" x14ac:dyDescent="0.2">
      <c r="A351" s="41" t="str">
        <f>Source!E1040</f>
        <v>193,3</v>
      </c>
      <c r="B351" s="42" t="str">
        <f>Source!G1040</f>
        <v>Муфты концевые термоусаживаемые внутренней установки для силовых кабелей на напряжение 1 кВ, без наконечников, тип 3КВТП-1-50, сечение жил 25-50 мм2 (применительно)</v>
      </c>
      <c r="C351" s="43" t="str">
        <f>Source!H1040</f>
        <v>КОМПЛЕКТ</v>
      </c>
      <c r="D351" s="44">
        <f>Source!I1040</f>
        <v>8</v>
      </c>
      <c r="E351" s="42"/>
    </row>
    <row r="352" spans="1:5" ht="14.25" x14ac:dyDescent="0.2">
      <c r="A352" s="41" t="str">
        <f>Source!E1041</f>
        <v>193,4</v>
      </c>
      <c r="B352" s="42" t="str">
        <f>Source!G1041</f>
        <v>Светильник светодиодный (прожектор)</v>
      </c>
      <c r="C352" s="43" t="str">
        <f>Source!H1041</f>
        <v>шт.</v>
      </c>
      <c r="D352" s="44">
        <f>Source!I1041</f>
        <v>8</v>
      </c>
      <c r="E352" s="42"/>
    </row>
    <row r="353" spans="1:5" ht="14.25" x14ac:dyDescent="0.2">
      <c r="A353" s="41" t="str">
        <f>Source!E1042</f>
        <v>194</v>
      </c>
      <c r="B353" s="42" t="str">
        <f>Source!G1042</f>
        <v>Установки наружного освещения</v>
      </c>
      <c r="C353" s="43" t="str">
        <f>Source!H1042</f>
        <v>1 ОПОРА</v>
      </c>
      <c r="D353" s="44">
        <f>Source!I1042</f>
        <v>4</v>
      </c>
      <c r="E353" s="42"/>
    </row>
    <row r="354" spans="1:5" ht="28.5" x14ac:dyDescent="0.2">
      <c r="A354" s="41" t="str">
        <f>Source!E1043</f>
        <v>195</v>
      </c>
      <c r="B354" s="42" t="str">
        <f>Source!G1043</f>
        <v>Проверка всего технологического комплекса в режимах работы и контроля, сдача в эксплуатацию</v>
      </c>
      <c r="C354" s="43" t="str">
        <f>Source!H1043</f>
        <v>1 комплекс</v>
      </c>
      <c r="D354" s="44">
        <f>Source!I1043</f>
        <v>1</v>
      </c>
      <c r="E354" s="42"/>
    </row>
    <row r="355" spans="1:5" ht="28.5" x14ac:dyDescent="0.2">
      <c r="A355" s="41" t="str">
        <f>Source!E1044</f>
        <v>196</v>
      </c>
      <c r="B355" s="42" t="str">
        <f>Source!G1044</f>
        <v>Перевозка грунтов растительного слоя и торфов на расстояние до 46 км автосамосвалами грузоподъемностью до 10 т</v>
      </c>
      <c r="C355" s="43" t="str">
        <f>Source!H1044</f>
        <v>т</v>
      </c>
      <c r="D355" s="44">
        <f>Source!I1044</f>
        <v>24.9</v>
      </c>
      <c r="E355" s="42"/>
    </row>
    <row r="356" spans="1:5" ht="28.5" x14ac:dyDescent="0.2">
      <c r="A356" s="37" t="str">
        <f>Source!E1045</f>
        <v>197</v>
      </c>
      <c r="B356" s="38" t="str">
        <f>Source!G1045</f>
        <v>Перевозка грунтов растительного слоя и торфов на расстояние до 46 км автосамосвалами грузоподъемностью до 10 т</v>
      </c>
      <c r="C356" s="39" t="str">
        <f>Source!H1045</f>
        <v>т</v>
      </c>
      <c r="D356" s="40">
        <f>Source!I1045</f>
        <v>24.9</v>
      </c>
      <c r="E356" s="38"/>
    </row>
    <row r="359" spans="1:5" ht="15" x14ac:dyDescent="0.25">
      <c r="A359" s="28" t="s">
        <v>1713</v>
      </c>
      <c r="B359" s="28"/>
      <c r="C359" s="28" t="s">
        <v>1714</v>
      </c>
      <c r="D359" s="28"/>
      <c r="E359" s="28"/>
    </row>
  </sheetData>
  <mergeCells count="27">
    <mergeCell ref="A20:E20"/>
    <mergeCell ref="C5:D5"/>
    <mergeCell ref="C7:D7"/>
    <mergeCell ref="A11:D11"/>
    <mergeCell ref="A12:D12"/>
    <mergeCell ref="A19:E19"/>
    <mergeCell ref="A205:E205"/>
    <mergeCell ref="A56:E56"/>
    <mergeCell ref="A76:E76"/>
    <mergeCell ref="A89:E89"/>
    <mergeCell ref="A105:E105"/>
    <mergeCell ref="A120:E120"/>
    <mergeCell ref="A127:E127"/>
    <mergeCell ref="A136:E136"/>
    <mergeCell ref="A160:E160"/>
    <mergeCell ref="A163:E163"/>
    <mergeCell ref="A193:E193"/>
    <mergeCell ref="A204:E204"/>
    <mergeCell ref="A317:E317"/>
    <mergeCell ref="A322:E322"/>
    <mergeCell ref="A323:E323"/>
    <mergeCell ref="A226:E226"/>
    <mergeCell ref="A241:E241"/>
    <mergeCell ref="A249:E249"/>
    <mergeCell ref="A264:E264"/>
    <mergeCell ref="A275:E275"/>
    <mergeCell ref="A287:E287"/>
  </mergeCells>
  <pageMargins left="0.4" right="0.2" top="0.2" bottom="0.4" header="0.2" footer="0.2"/>
  <pageSetup paperSize="9" scale="77" fitToHeight="0" orientation="portrait" r:id="rId1"/>
  <headerFooter>
    <oddHeader>&amp;L&amp;8</oddHeader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K1182"/>
  <sheetViews>
    <sheetView workbookViewId="0">
      <selection activeCell="A1178" sqref="A1178:AN1178"/>
    </sheetView>
  </sheetViews>
  <sheetFormatPr defaultColWidth="9.140625" defaultRowHeight="12.75" x14ac:dyDescent="0.2"/>
  <cols>
    <col min="1" max="256" width="9.140625" customWidth="1"/>
  </cols>
  <sheetData>
    <row r="1" spans="1:133" x14ac:dyDescent="0.2">
      <c r="A1">
        <v>0</v>
      </c>
      <c r="B1" t="s">
        <v>0</v>
      </c>
      <c r="D1" t="s">
        <v>1</v>
      </c>
      <c r="F1">
        <v>0</v>
      </c>
      <c r="G1">
        <v>0</v>
      </c>
      <c r="H1">
        <v>0</v>
      </c>
      <c r="I1" t="s">
        <v>2</v>
      </c>
      <c r="J1" t="s">
        <v>3</v>
      </c>
      <c r="K1">
        <v>1</v>
      </c>
      <c r="L1">
        <v>66157</v>
      </c>
      <c r="M1">
        <v>10</v>
      </c>
      <c r="N1">
        <v>11</v>
      </c>
      <c r="O1">
        <v>3</v>
      </c>
      <c r="P1">
        <v>0</v>
      </c>
      <c r="Q1">
        <v>3</v>
      </c>
    </row>
    <row r="12" spans="1:133" x14ac:dyDescent="0.2">
      <c r="A12" s="1">
        <v>1</v>
      </c>
      <c r="B12" s="1">
        <v>1177</v>
      </c>
      <c r="C12" s="1">
        <v>0</v>
      </c>
      <c r="D12" s="1">
        <f>ROW(A1137)</f>
        <v>1137</v>
      </c>
      <c r="E12" s="1">
        <v>0</v>
      </c>
      <c r="F12" s="1" t="s">
        <v>4</v>
      </c>
      <c r="G12" s="1" t="s">
        <v>5</v>
      </c>
      <c r="H12" s="1" t="s">
        <v>3</v>
      </c>
      <c r="I12" s="1">
        <v>0</v>
      </c>
      <c r="J12" s="1" t="s">
        <v>3</v>
      </c>
      <c r="K12" s="1">
        <v>0</v>
      </c>
      <c r="L12" s="1">
        <v>0</v>
      </c>
      <c r="M12" s="1">
        <v>2</v>
      </c>
      <c r="N12" s="1"/>
      <c r="O12" s="1">
        <v>0</v>
      </c>
      <c r="P12" s="1">
        <v>0</v>
      </c>
      <c r="Q12" s="1">
        <v>0</v>
      </c>
      <c r="R12" s="1">
        <v>157</v>
      </c>
      <c r="S12" s="1"/>
      <c r="T12" s="1">
        <v>1</v>
      </c>
      <c r="U12" s="1" t="s">
        <v>3</v>
      </c>
      <c r="V12" s="1">
        <v>0</v>
      </c>
      <c r="W12" s="1" t="s">
        <v>3</v>
      </c>
      <c r="X12" s="1" t="s">
        <v>3</v>
      </c>
      <c r="Y12" s="1" t="s">
        <v>3</v>
      </c>
      <c r="Z12" s="1" t="s">
        <v>3</v>
      </c>
      <c r="AA12" s="1" t="s">
        <v>3</v>
      </c>
      <c r="AB12" s="1" t="s">
        <v>3</v>
      </c>
      <c r="AC12" s="1" t="s">
        <v>3</v>
      </c>
      <c r="AD12" s="1" t="s">
        <v>3</v>
      </c>
      <c r="AE12" s="1" t="s">
        <v>3</v>
      </c>
      <c r="AF12" s="1" t="s">
        <v>3</v>
      </c>
      <c r="AG12" s="1" t="s">
        <v>3</v>
      </c>
      <c r="AH12" s="1" t="s">
        <v>3</v>
      </c>
      <c r="AI12" s="1" t="s">
        <v>3</v>
      </c>
      <c r="AJ12" s="1" t="s">
        <v>3</v>
      </c>
      <c r="AK12" s="1"/>
      <c r="AL12" s="1" t="s">
        <v>3</v>
      </c>
      <c r="AM12" s="1" t="s">
        <v>3</v>
      </c>
      <c r="AN12" s="1" t="s">
        <v>3</v>
      </c>
      <c r="AO12" s="1"/>
      <c r="AP12" s="1" t="s">
        <v>3</v>
      </c>
      <c r="AQ12" s="1" t="s">
        <v>3</v>
      </c>
      <c r="AR12" s="1" t="s">
        <v>3</v>
      </c>
      <c r="AS12" s="1"/>
      <c r="AT12" s="1"/>
      <c r="AU12" s="1"/>
      <c r="AV12" s="1"/>
      <c r="AW12" s="1"/>
      <c r="AX12" s="1" t="s">
        <v>3</v>
      </c>
      <c r="AY12" s="1" t="s">
        <v>3</v>
      </c>
      <c r="AZ12" s="1" t="s">
        <v>3</v>
      </c>
      <c r="BA12" s="1"/>
      <c r="BB12" s="1">
        <v>0</v>
      </c>
      <c r="BC12" s="1"/>
      <c r="BD12" s="1"/>
      <c r="BE12" s="1"/>
      <c r="BF12" s="1"/>
      <c r="BG12" s="1"/>
      <c r="BH12" s="1" t="s">
        <v>6</v>
      </c>
      <c r="BI12" s="1" t="s">
        <v>7</v>
      </c>
      <c r="BJ12" s="1">
        <v>1</v>
      </c>
      <c r="BK12" s="1">
        <v>1</v>
      </c>
      <c r="BL12" s="1">
        <v>0</v>
      </c>
      <c r="BM12" s="1">
        <v>0</v>
      </c>
      <c r="BN12" s="1">
        <v>1</v>
      </c>
      <c r="BO12" s="1">
        <v>0</v>
      </c>
      <c r="BP12" s="1">
        <v>6</v>
      </c>
      <c r="BQ12" s="1">
        <v>2</v>
      </c>
      <c r="BR12" s="1">
        <v>1</v>
      </c>
      <c r="BS12" s="1">
        <v>1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 t="s">
        <v>8</v>
      </c>
      <c r="BZ12" s="1" t="s">
        <v>9</v>
      </c>
      <c r="CA12" s="1" t="s">
        <v>10</v>
      </c>
      <c r="CB12" s="1" t="s">
        <v>10</v>
      </c>
      <c r="CC12" s="1" t="s">
        <v>10</v>
      </c>
      <c r="CD12" s="1" t="s">
        <v>10</v>
      </c>
      <c r="CE12" s="1" t="s">
        <v>11</v>
      </c>
      <c r="CF12" s="1">
        <v>0</v>
      </c>
      <c r="CG12" s="1">
        <v>0</v>
      </c>
      <c r="CH12" s="1">
        <v>83886080</v>
      </c>
      <c r="CI12" s="1" t="s">
        <v>3</v>
      </c>
      <c r="CJ12" s="1" t="s">
        <v>3</v>
      </c>
      <c r="CK12" s="1">
        <v>61</v>
      </c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>
        <v>0</v>
      </c>
    </row>
    <row r="15" spans="1:133" x14ac:dyDescent="0.2">
      <c r="A15" s="1">
        <v>15</v>
      </c>
      <c r="B15" s="1">
        <v>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</row>
    <row r="18" spans="1:245" x14ac:dyDescent="0.2">
      <c r="A18" s="2">
        <v>52</v>
      </c>
      <c r="B18" s="2">
        <f t="shared" ref="B18:G18" si="0">B1137</f>
        <v>1177</v>
      </c>
      <c r="C18" s="2">
        <f t="shared" si="0"/>
        <v>1</v>
      </c>
      <c r="D18" s="2">
        <f t="shared" si="0"/>
        <v>12</v>
      </c>
      <c r="E18" s="2">
        <f t="shared" si="0"/>
        <v>0</v>
      </c>
      <c r="F18" s="2" t="str">
        <f t="shared" si="0"/>
        <v>Новый объект</v>
      </c>
      <c r="G18" s="2" t="str">
        <f t="shared" si="0"/>
        <v>Ремонт гольфполя Химки-2</v>
      </c>
      <c r="H18" s="2"/>
      <c r="I18" s="2"/>
      <c r="J18" s="2"/>
      <c r="K18" s="2"/>
      <c r="L18" s="2"/>
      <c r="M18" s="2"/>
      <c r="N18" s="2"/>
      <c r="O18" s="2">
        <f t="shared" ref="O18:AT18" si="1">O1137</f>
        <v>26222910.100000001</v>
      </c>
      <c r="P18" s="2">
        <f t="shared" si="1"/>
        <v>19673623.34</v>
      </c>
      <c r="Q18" s="2">
        <f t="shared" si="1"/>
        <v>3133352.63</v>
      </c>
      <c r="R18" s="2">
        <f t="shared" si="1"/>
        <v>450372.98</v>
      </c>
      <c r="S18" s="2">
        <f t="shared" si="1"/>
        <v>3415934.13</v>
      </c>
      <c r="T18" s="2">
        <f t="shared" si="1"/>
        <v>0</v>
      </c>
      <c r="U18" s="2">
        <f t="shared" si="1"/>
        <v>12181.96579255</v>
      </c>
      <c r="V18" s="2">
        <f t="shared" si="1"/>
        <v>0</v>
      </c>
      <c r="W18" s="2">
        <f t="shared" si="1"/>
        <v>0</v>
      </c>
      <c r="X18" s="2">
        <f t="shared" si="1"/>
        <v>2800638.96</v>
      </c>
      <c r="Y18" s="2">
        <f t="shared" si="1"/>
        <v>1424615.33</v>
      </c>
      <c r="Z18" s="2">
        <f t="shared" si="1"/>
        <v>0</v>
      </c>
      <c r="AA18" s="2">
        <f t="shared" si="1"/>
        <v>0</v>
      </c>
      <c r="AB18" s="2">
        <f t="shared" si="1"/>
        <v>0</v>
      </c>
      <c r="AC18" s="2">
        <f t="shared" si="1"/>
        <v>0</v>
      </c>
      <c r="AD18" s="2">
        <f t="shared" si="1"/>
        <v>0</v>
      </c>
      <c r="AE18" s="2">
        <f t="shared" si="1"/>
        <v>0</v>
      </c>
      <c r="AF18" s="2">
        <f t="shared" si="1"/>
        <v>0</v>
      </c>
      <c r="AG18" s="2">
        <f t="shared" si="1"/>
        <v>0</v>
      </c>
      <c r="AH18" s="2">
        <f t="shared" si="1"/>
        <v>0</v>
      </c>
      <c r="AI18" s="2">
        <f t="shared" si="1"/>
        <v>0</v>
      </c>
      <c r="AJ18" s="2">
        <f t="shared" si="1"/>
        <v>0</v>
      </c>
      <c r="AK18" s="2">
        <f t="shared" si="1"/>
        <v>0</v>
      </c>
      <c r="AL18" s="2">
        <f t="shared" si="1"/>
        <v>0</v>
      </c>
      <c r="AM18" s="2">
        <f t="shared" si="1"/>
        <v>0</v>
      </c>
      <c r="AN18" s="2">
        <f t="shared" si="1"/>
        <v>0</v>
      </c>
      <c r="AO18" s="2">
        <f t="shared" si="1"/>
        <v>0</v>
      </c>
      <c r="AP18" s="2">
        <f t="shared" si="1"/>
        <v>170267.15</v>
      </c>
      <c r="AQ18" s="2">
        <f t="shared" si="1"/>
        <v>0</v>
      </c>
      <c r="AR18" s="2">
        <f t="shared" si="1"/>
        <v>31155250.010000002</v>
      </c>
      <c r="AS18" s="2">
        <f t="shared" si="1"/>
        <v>27612134.350000001</v>
      </c>
      <c r="AT18" s="2">
        <f t="shared" si="1"/>
        <v>1020197.21</v>
      </c>
      <c r="AU18" s="2">
        <f t="shared" ref="AU18:BZ18" si="2">AU1137</f>
        <v>2352651.2999999998</v>
      </c>
      <c r="AV18" s="2">
        <f t="shared" si="2"/>
        <v>19673623.34</v>
      </c>
      <c r="AW18" s="2">
        <f t="shared" si="2"/>
        <v>19503356.190000001</v>
      </c>
      <c r="AX18" s="2">
        <f t="shared" si="2"/>
        <v>0</v>
      </c>
      <c r="AY18" s="2">
        <f t="shared" si="2"/>
        <v>19503356.190000001</v>
      </c>
      <c r="AZ18" s="2">
        <f t="shared" si="2"/>
        <v>170267.15</v>
      </c>
      <c r="BA18" s="2">
        <f t="shared" si="2"/>
        <v>0</v>
      </c>
      <c r="BB18" s="2">
        <f t="shared" si="2"/>
        <v>0</v>
      </c>
      <c r="BC18" s="2">
        <f t="shared" si="2"/>
        <v>0</v>
      </c>
      <c r="BD18" s="2">
        <f t="shared" si="2"/>
        <v>0</v>
      </c>
      <c r="BE18" s="2">
        <f t="shared" si="2"/>
        <v>0</v>
      </c>
      <c r="BF18" s="2">
        <f t="shared" si="2"/>
        <v>0</v>
      </c>
      <c r="BG18" s="2">
        <f t="shared" si="2"/>
        <v>0</v>
      </c>
      <c r="BH18" s="2">
        <f t="shared" si="2"/>
        <v>0</v>
      </c>
      <c r="BI18" s="2">
        <f t="shared" si="2"/>
        <v>0</v>
      </c>
      <c r="BJ18" s="2">
        <f t="shared" si="2"/>
        <v>0</v>
      </c>
      <c r="BK18" s="2">
        <f t="shared" si="2"/>
        <v>0</v>
      </c>
      <c r="BL18" s="2">
        <f t="shared" si="2"/>
        <v>0</v>
      </c>
      <c r="BM18" s="2">
        <f t="shared" si="2"/>
        <v>0</v>
      </c>
      <c r="BN18" s="2">
        <f t="shared" si="2"/>
        <v>0</v>
      </c>
      <c r="BO18" s="2">
        <f t="shared" si="2"/>
        <v>0</v>
      </c>
      <c r="BP18" s="2">
        <f t="shared" si="2"/>
        <v>0</v>
      </c>
      <c r="BQ18" s="2">
        <f t="shared" si="2"/>
        <v>0</v>
      </c>
      <c r="BR18" s="2">
        <f t="shared" si="2"/>
        <v>0</v>
      </c>
      <c r="BS18" s="2">
        <f t="shared" si="2"/>
        <v>0</v>
      </c>
      <c r="BT18" s="2">
        <f t="shared" si="2"/>
        <v>0</v>
      </c>
      <c r="BU18" s="2">
        <f t="shared" si="2"/>
        <v>0</v>
      </c>
      <c r="BV18" s="2">
        <f t="shared" si="2"/>
        <v>0</v>
      </c>
      <c r="BW18" s="2">
        <f t="shared" si="2"/>
        <v>0</v>
      </c>
      <c r="BX18" s="2">
        <f t="shared" si="2"/>
        <v>0</v>
      </c>
      <c r="BY18" s="2">
        <f t="shared" si="2"/>
        <v>0</v>
      </c>
      <c r="BZ18" s="2">
        <f t="shared" si="2"/>
        <v>0</v>
      </c>
      <c r="CA18" s="2">
        <f t="shared" ref="CA18:DF18" si="3">CA1137</f>
        <v>0</v>
      </c>
      <c r="CB18" s="2">
        <f t="shared" si="3"/>
        <v>0</v>
      </c>
      <c r="CC18" s="2">
        <f t="shared" si="3"/>
        <v>0</v>
      </c>
      <c r="CD18" s="2">
        <f t="shared" si="3"/>
        <v>0</v>
      </c>
      <c r="CE18" s="2">
        <f t="shared" si="3"/>
        <v>0</v>
      </c>
      <c r="CF18" s="2">
        <f t="shared" si="3"/>
        <v>0</v>
      </c>
      <c r="CG18" s="2">
        <f t="shared" si="3"/>
        <v>0</v>
      </c>
      <c r="CH18" s="2">
        <f t="shared" si="3"/>
        <v>0</v>
      </c>
      <c r="CI18" s="2">
        <f t="shared" si="3"/>
        <v>0</v>
      </c>
      <c r="CJ18" s="2">
        <f t="shared" si="3"/>
        <v>0</v>
      </c>
      <c r="CK18" s="2">
        <f t="shared" si="3"/>
        <v>0</v>
      </c>
      <c r="CL18" s="2">
        <f t="shared" si="3"/>
        <v>0</v>
      </c>
      <c r="CM18" s="2">
        <f t="shared" si="3"/>
        <v>0</v>
      </c>
      <c r="CN18" s="2">
        <f t="shared" si="3"/>
        <v>0</v>
      </c>
      <c r="CO18" s="2">
        <f t="shared" si="3"/>
        <v>0</v>
      </c>
      <c r="CP18" s="2">
        <f t="shared" si="3"/>
        <v>0</v>
      </c>
      <c r="CQ18" s="2">
        <f t="shared" si="3"/>
        <v>0</v>
      </c>
      <c r="CR18" s="2">
        <f t="shared" si="3"/>
        <v>0</v>
      </c>
      <c r="CS18" s="2">
        <f t="shared" si="3"/>
        <v>0</v>
      </c>
      <c r="CT18" s="2">
        <f t="shared" si="3"/>
        <v>0</v>
      </c>
      <c r="CU18" s="2">
        <f t="shared" si="3"/>
        <v>0</v>
      </c>
      <c r="CV18" s="2">
        <f t="shared" si="3"/>
        <v>0</v>
      </c>
      <c r="CW18" s="2">
        <f t="shared" si="3"/>
        <v>0</v>
      </c>
      <c r="CX18" s="2">
        <f t="shared" si="3"/>
        <v>0</v>
      </c>
      <c r="CY18" s="2">
        <f t="shared" si="3"/>
        <v>0</v>
      </c>
      <c r="CZ18" s="2">
        <f t="shared" si="3"/>
        <v>0</v>
      </c>
      <c r="DA18" s="2">
        <f t="shared" si="3"/>
        <v>0</v>
      </c>
      <c r="DB18" s="2">
        <f t="shared" si="3"/>
        <v>0</v>
      </c>
      <c r="DC18" s="2">
        <f t="shared" si="3"/>
        <v>0</v>
      </c>
      <c r="DD18" s="2">
        <f t="shared" si="3"/>
        <v>0</v>
      </c>
      <c r="DE18" s="2">
        <f t="shared" si="3"/>
        <v>0</v>
      </c>
      <c r="DF18" s="2">
        <f t="shared" si="3"/>
        <v>0</v>
      </c>
      <c r="DG18" s="3">
        <f t="shared" ref="DG18:EL18" si="4">DG1137</f>
        <v>0</v>
      </c>
      <c r="DH18" s="3">
        <f t="shared" si="4"/>
        <v>0</v>
      </c>
      <c r="DI18" s="3">
        <f t="shared" si="4"/>
        <v>0</v>
      </c>
      <c r="DJ18" s="3">
        <f t="shared" si="4"/>
        <v>0</v>
      </c>
      <c r="DK18" s="3">
        <f t="shared" si="4"/>
        <v>0</v>
      </c>
      <c r="DL18" s="3">
        <f t="shared" si="4"/>
        <v>0</v>
      </c>
      <c r="DM18" s="3">
        <f t="shared" si="4"/>
        <v>0</v>
      </c>
      <c r="DN18" s="3">
        <f t="shared" si="4"/>
        <v>0</v>
      </c>
      <c r="DO18" s="3">
        <f t="shared" si="4"/>
        <v>0</v>
      </c>
      <c r="DP18" s="3">
        <f t="shared" si="4"/>
        <v>0</v>
      </c>
      <c r="DQ18" s="3">
        <f t="shared" si="4"/>
        <v>0</v>
      </c>
      <c r="DR18" s="3">
        <f t="shared" si="4"/>
        <v>0</v>
      </c>
      <c r="DS18" s="3">
        <f t="shared" si="4"/>
        <v>0</v>
      </c>
      <c r="DT18" s="3">
        <f t="shared" si="4"/>
        <v>0</v>
      </c>
      <c r="DU18" s="3">
        <f t="shared" si="4"/>
        <v>0</v>
      </c>
      <c r="DV18" s="3">
        <f t="shared" si="4"/>
        <v>0</v>
      </c>
      <c r="DW18" s="3">
        <f t="shared" si="4"/>
        <v>0</v>
      </c>
      <c r="DX18" s="3">
        <f t="shared" si="4"/>
        <v>0</v>
      </c>
      <c r="DY18" s="3">
        <f t="shared" si="4"/>
        <v>0</v>
      </c>
      <c r="DZ18" s="3">
        <f t="shared" si="4"/>
        <v>0</v>
      </c>
      <c r="EA18" s="3">
        <f t="shared" si="4"/>
        <v>0</v>
      </c>
      <c r="EB18" s="3">
        <f t="shared" si="4"/>
        <v>0</v>
      </c>
      <c r="EC18" s="3">
        <f t="shared" si="4"/>
        <v>0</v>
      </c>
      <c r="ED18" s="3">
        <f t="shared" si="4"/>
        <v>0</v>
      </c>
      <c r="EE18" s="3">
        <f t="shared" si="4"/>
        <v>0</v>
      </c>
      <c r="EF18" s="3">
        <f t="shared" si="4"/>
        <v>0</v>
      </c>
      <c r="EG18" s="3">
        <f t="shared" si="4"/>
        <v>0</v>
      </c>
      <c r="EH18" s="3">
        <f t="shared" si="4"/>
        <v>0</v>
      </c>
      <c r="EI18" s="3">
        <f t="shared" si="4"/>
        <v>0</v>
      </c>
      <c r="EJ18" s="3">
        <f t="shared" si="4"/>
        <v>0</v>
      </c>
      <c r="EK18" s="3">
        <f t="shared" si="4"/>
        <v>0</v>
      </c>
      <c r="EL18" s="3">
        <f t="shared" si="4"/>
        <v>0</v>
      </c>
      <c r="EM18" s="3">
        <f t="shared" ref="EM18:FR18" si="5">EM1137</f>
        <v>0</v>
      </c>
      <c r="EN18" s="3">
        <f t="shared" si="5"/>
        <v>0</v>
      </c>
      <c r="EO18" s="3">
        <f t="shared" si="5"/>
        <v>0</v>
      </c>
      <c r="EP18" s="3">
        <f t="shared" si="5"/>
        <v>0</v>
      </c>
      <c r="EQ18" s="3">
        <f t="shared" si="5"/>
        <v>0</v>
      </c>
      <c r="ER18" s="3">
        <f t="shared" si="5"/>
        <v>0</v>
      </c>
      <c r="ES18" s="3">
        <f t="shared" si="5"/>
        <v>0</v>
      </c>
      <c r="ET18" s="3">
        <f t="shared" si="5"/>
        <v>0</v>
      </c>
      <c r="EU18" s="3">
        <f t="shared" si="5"/>
        <v>0</v>
      </c>
      <c r="EV18" s="3">
        <f t="shared" si="5"/>
        <v>0</v>
      </c>
      <c r="EW18" s="3">
        <f t="shared" si="5"/>
        <v>0</v>
      </c>
      <c r="EX18" s="3">
        <f t="shared" si="5"/>
        <v>0</v>
      </c>
      <c r="EY18" s="3">
        <f t="shared" si="5"/>
        <v>0</v>
      </c>
      <c r="EZ18" s="3">
        <f t="shared" si="5"/>
        <v>0</v>
      </c>
      <c r="FA18" s="3">
        <f t="shared" si="5"/>
        <v>0</v>
      </c>
      <c r="FB18" s="3">
        <f t="shared" si="5"/>
        <v>0</v>
      </c>
      <c r="FC18" s="3">
        <f t="shared" si="5"/>
        <v>0</v>
      </c>
      <c r="FD18" s="3">
        <f t="shared" si="5"/>
        <v>0</v>
      </c>
      <c r="FE18" s="3">
        <f t="shared" si="5"/>
        <v>0</v>
      </c>
      <c r="FF18" s="3">
        <f t="shared" si="5"/>
        <v>0</v>
      </c>
      <c r="FG18" s="3">
        <f t="shared" si="5"/>
        <v>0</v>
      </c>
      <c r="FH18" s="3">
        <f t="shared" si="5"/>
        <v>0</v>
      </c>
      <c r="FI18" s="3">
        <f t="shared" si="5"/>
        <v>0</v>
      </c>
      <c r="FJ18" s="3">
        <f t="shared" si="5"/>
        <v>0</v>
      </c>
      <c r="FK18" s="3">
        <f t="shared" si="5"/>
        <v>0</v>
      </c>
      <c r="FL18" s="3">
        <f t="shared" si="5"/>
        <v>0</v>
      </c>
      <c r="FM18" s="3">
        <f t="shared" si="5"/>
        <v>0</v>
      </c>
      <c r="FN18" s="3">
        <f t="shared" si="5"/>
        <v>0</v>
      </c>
      <c r="FO18" s="3">
        <f t="shared" si="5"/>
        <v>0</v>
      </c>
      <c r="FP18" s="3">
        <f t="shared" si="5"/>
        <v>0</v>
      </c>
      <c r="FQ18" s="3">
        <f t="shared" si="5"/>
        <v>0</v>
      </c>
      <c r="FR18" s="3">
        <f t="shared" si="5"/>
        <v>0</v>
      </c>
      <c r="FS18" s="3">
        <f t="shared" ref="FS18:GX18" si="6">FS1137</f>
        <v>0</v>
      </c>
      <c r="FT18" s="3">
        <f t="shared" si="6"/>
        <v>0</v>
      </c>
      <c r="FU18" s="3">
        <f t="shared" si="6"/>
        <v>0</v>
      </c>
      <c r="FV18" s="3">
        <f t="shared" si="6"/>
        <v>0</v>
      </c>
      <c r="FW18" s="3">
        <f t="shared" si="6"/>
        <v>0</v>
      </c>
      <c r="FX18" s="3">
        <f t="shared" si="6"/>
        <v>0</v>
      </c>
      <c r="FY18" s="3">
        <f t="shared" si="6"/>
        <v>0</v>
      </c>
      <c r="FZ18" s="3">
        <f t="shared" si="6"/>
        <v>0</v>
      </c>
      <c r="GA18" s="3">
        <f t="shared" si="6"/>
        <v>0</v>
      </c>
      <c r="GB18" s="3">
        <f t="shared" si="6"/>
        <v>0</v>
      </c>
      <c r="GC18" s="3">
        <f t="shared" si="6"/>
        <v>0</v>
      </c>
      <c r="GD18" s="3">
        <f t="shared" si="6"/>
        <v>0</v>
      </c>
      <c r="GE18" s="3">
        <f t="shared" si="6"/>
        <v>0</v>
      </c>
      <c r="GF18" s="3">
        <f t="shared" si="6"/>
        <v>0</v>
      </c>
      <c r="GG18" s="3">
        <f t="shared" si="6"/>
        <v>0</v>
      </c>
      <c r="GH18" s="3">
        <f t="shared" si="6"/>
        <v>0</v>
      </c>
      <c r="GI18" s="3">
        <f t="shared" si="6"/>
        <v>0</v>
      </c>
      <c r="GJ18" s="3">
        <f t="shared" si="6"/>
        <v>0</v>
      </c>
      <c r="GK18" s="3">
        <f t="shared" si="6"/>
        <v>0</v>
      </c>
      <c r="GL18" s="3">
        <f t="shared" si="6"/>
        <v>0</v>
      </c>
      <c r="GM18" s="3">
        <f t="shared" si="6"/>
        <v>0</v>
      </c>
      <c r="GN18" s="3">
        <f t="shared" si="6"/>
        <v>0</v>
      </c>
      <c r="GO18" s="3">
        <f t="shared" si="6"/>
        <v>0</v>
      </c>
      <c r="GP18" s="3">
        <f t="shared" si="6"/>
        <v>0</v>
      </c>
      <c r="GQ18" s="3">
        <f t="shared" si="6"/>
        <v>0</v>
      </c>
      <c r="GR18" s="3">
        <f t="shared" si="6"/>
        <v>0</v>
      </c>
      <c r="GS18" s="3">
        <f t="shared" si="6"/>
        <v>0</v>
      </c>
      <c r="GT18" s="3">
        <f t="shared" si="6"/>
        <v>0</v>
      </c>
      <c r="GU18" s="3">
        <f t="shared" si="6"/>
        <v>0</v>
      </c>
      <c r="GV18" s="3">
        <f t="shared" si="6"/>
        <v>0</v>
      </c>
      <c r="GW18" s="3">
        <f t="shared" si="6"/>
        <v>0</v>
      </c>
      <c r="GX18" s="3">
        <f t="shared" si="6"/>
        <v>0</v>
      </c>
    </row>
    <row r="20" spans="1:245" x14ac:dyDescent="0.2">
      <c r="A20" s="1">
        <v>3</v>
      </c>
      <c r="B20" s="1">
        <v>1</v>
      </c>
      <c r="C20" s="1"/>
      <c r="D20" s="1">
        <f>ROW(A1107)</f>
        <v>1107</v>
      </c>
      <c r="E20" s="1"/>
      <c r="F20" s="1" t="s">
        <v>12</v>
      </c>
      <c r="G20" s="1" t="s">
        <v>12</v>
      </c>
      <c r="H20" s="1" t="s">
        <v>3</v>
      </c>
      <c r="I20" s="1">
        <v>0</v>
      </c>
      <c r="J20" s="1" t="s">
        <v>3</v>
      </c>
      <c r="K20" s="1">
        <v>0</v>
      </c>
      <c r="L20" s="1" t="s">
        <v>3</v>
      </c>
      <c r="M20" s="1" t="s">
        <v>3</v>
      </c>
      <c r="N20" s="1"/>
      <c r="O20" s="1"/>
      <c r="P20" s="1"/>
      <c r="Q20" s="1"/>
      <c r="R20" s="1"/>
      <c r="S20" s="1">
        <v>0</v>
      </c>
      <c r="T20" s="1"/>
      <c r="U20" s="1" t="s">
        <v>3</v>
      </c>
      <c r="V20" s="1">
        <v>0</v>
      </c>
      <c r="W20" s="1"/>
      <c r="X20" s="1"/>
      <c r="Y20" s="1"/>
      <c r="Z20" s="1"/>
      <c r="AA20" s="1"/>
      <c r="AB20" s="1" t="s">
        <v>3</v>
      </c>
      <c r="AC20" s="1" t="s">
        <v>3</v>
      </c>
      <c r="AD20" s="1" t="s">
        <v>3</v>
      </c>
      <c r="AE20" s="1" t="s">
        <v>3</v>
      </c>
      <c r="AF20" s="1" t="s">
        <v>3</v>
      </c>
      <c r="AG20" s="1" t="s">
        <v>3</v>
      </c>
      <c r="AH20" s="1"/>
      <c r="AI20" s="1"/>
      <c r="AJ20" s="1"/>
      <c r="AK20" s="1"/>
      <c r="AL20" s="1"/>
      <c r="AM20" s="1"/>
      <c r="AN20" s="1"/>
      <c r="AO20" s="1"/>
      <c r="AP20" s="1" t="s">
        <v>3</v>
      </c>
      <c r="AQ20" s="1" t="s">
        <v>3</v>
      </c>
      <c r="AR20" s="1" t="s">
        <v>3</v>
      </c>
      <c r="AS20" s="1"/>
      <c r="AT20" s="1"/>
      <c r="AU20" s="1"/>
      <c r="AV20" s="1"/>
      <c r="AW20" s="1"/>
      <c r="AX20" s="1"/>
      <c r="AY20" s="1"/>
      <c r="AZ20" s="1" t="s">
        <v>3</v>
      </c>
      <c r="BA20" s="1"/>
      <c r="BB20" s="1" t="s">
        <v>3</v>
      </c>
      <c r="BC20" s="1" t="s">
        <v>3</v>
      </c>
      <c r="BD20" s="1" t="s">
        <v>3</v>
      </c>
      <c r="BE20" s="1" t="s">
        <v>3</v>
      </c>
      <c r="BF20" s="1" t="s">
        <v>3</v>
      </c>
      <c r="BG20" s="1" t="s">
        <v>3</v>
      </c>
      <c r="BH20" s="1" t="s">
        <v>3</v>
      </c>
      <c r="BI20" s="1" t="s">
        <v>3</v>
      </c>
      <c r="BJ20" s="1" t="s">
        <v>3</v>
      </c>
      <c r="BK20" s="1" t="s">
        <v>3</v>
      </c>
      <c r="BL20" s="1" t="s">
        <v>3</v>
      </c>
      <c r="BM20" s="1" t="s">
        <v>3</v>
      </c>
      <c r="BN20" s="1" t="s">
        <v>3</v>
      </c>
      <c r="BO20" s="1" t="s">
        <v>3</v>
      </c>
      <c r="BP20" s="1" t="s">
        <v>3</v>
      </c>
      <c r="BQ20" s="1"/>
      <c r="BR20" s="1"/>
      <c r="BS20" s="1"/>
      <c r="BT20" s="1"/>
      <c r="BU20" s="1"/>
      <c r="BV20" s="1"/>
      <c r="BW20" s="1"/>
      <c r="BX20" s="1">
        <v>0</v>
      </c>
      <c r="BY20" s="1"/>
      <c r="BZ20" s="1"/>
      <c r="CA20" s="1"/>
      <c r="CB20" s="1"/>
      <c r="CC20" s="1"/>
      <c r="CD20" s="1"/>
      <c r="CE20" s="1"/>
      <c r="CF20" s="1">
        <v>0</v>
      </c>
      <c r="CG20" s="1">
        <v>0</v>
      </c>
      <c r="CH20" s="1"/>
      <c r="CI20" s="1" t="s">
        <v>3</v>
      </c>
      <c r="CJ20" s="1" t="s">
        <v>3</v>
      </c>
      <c r="CK20" t="s">
        <v>3</v>
      </c>
      <c r="CL20" t="s">
        <v>3</v>
      </c>
      <c r="CM20" t="s">
        <v>3</v>
      </c>
      <c r="CN20" t="s">
        <v>3</v>
      </c>
      <c r="CO20" t="s">
        <v>3</v>
      </c>
      <c r="CP20" t="s">
        <v>3</v>
      </c>
      <c r="CQ20" t="s">
        <v>3</v>
      </c>
    </row>
    <row r="22" spans="1:245" x14ac:dyDescent="0.2">
      <c r="A22" s="2">
        <v>52</v>
      </c>
      <c r="B22" s="2">
        <f t="shared" ref="B22:G22" si="7">B1107</f>
        <v>1</v>
      </c>
      <c r="C22" s="2">
        <f t="shared" si="7"/>
        <v>3</v>
      </c>
      <c r="D22" s="2">
        <f t="shared" si="7"/>
        <v>20</v>
      </c>
      <c r="E22" s="2">
        <f t="shared" si="7"/>
        <v>0</v>
      </c>
      <c r="F22" s="2" t="str">
        <f t="shared" si="7"/>
        <v>Новая локальная смета</v>
      </c>
      <c r="G22" s="2" t="str">
        <f t="shared" si="7"/>
        <v>Новая локальная смета</v>
      </c>
      <c r="H22" s="2"/>
      <c r="I22" s="2"/>
      <c r="J22" s="2"/>
      <c r="K22" s="2"/>
      <c r="L22" s="2"/>
      <c r="M22" s="2"/>
      <c r="N22" s="2"/>
      <c r="O22" s="2">
        <f t="shared" ref="O22:AT22" si="8">O1107</f>
        <v>26222910.100000001</v>
      </c>
      <c r="P22" s="2">
        <f t="shared" si="8"/>
        <v>19673623.34</v>
      </c>
      <c r="Q22" s="2">
        <f t="shared" si="8"/>
        <v>3133352.63</v>
      </c>
      <c r="R22" s="2">
        <f t="shared" si="8"/>
        <v>450372.98</v>
      </c>
      <c r="S22" s="2">
        <f t="shared" si="8"/>
        <v>3415934.13</v>
      </c>
      <c r="T22" s="2">
        <f t="shared" si="8"/>
        <v>0</v>
      </c>
      <c r="U22" s="2">
        <f t="shared" si="8"/>
        <v>12181.96579255</v>
      </c>
      <c r="V22" s="2">
        <f t="shared" si="8"/>
        <v>0</v>
      </c>
      <c r="W22" s="2">
        <f t="shared" si="8"/>
        <v>0</v>
      </c>
      <c r="X22" s="2">
        <f t="shared" si="8"/>
        <v>2800638.96</v>
      </c>
      <c r="Y22" s="2">
        <f t="shared" si="8"/>
        <v>1424615.33</v>
      </c>
      <c r="Z22" s="2">
        <f t="shared" si="8"/>
        <v>0</v>
      </c>
      <c r="AA22" s="2">
        <f t="shared" si="8"/>
        <v>0</v>
      </c>
      <c r="AB22" s="2">
        <f t="shared" si="8"/>
        <v>0</v>
      </c>
      <c r="AC22" s="2">
        <f t="shared" si="8"/>
        <v>0</v>
      </c>
      <c r="AD22" s="2">
        <f t="shared" si="8"/>
        <v>0</v>
      </c>
      <c r="AE22" s="2">
        <f t="shared" si="8"/>
        <v>0</v>
      </c>
      <c r="AF22" s="2">
        <f t="shared" si="8"/>
        <v>0</v>
      </c>
      <c r="AG22" s="2">
        <f t="shared" si="8"/>
        <v>0</v>
      </c>
      <c r="AH22" s="2">
        <f t="shared" si="8"/>
        <v>0</v>
      </c>
      <c r="AI22" s="2">
        <f t="shared" si="8"/>
        <v>0</v>
      </c>
      <c r="AJ22" s="2">
        <f t="shared" si="8"/>
        <v>0</v>
      </c>
      <c r="AK22" s="2">
        <f t="shared" si="8"/>
        <v>0</v>
      </c>
      <c r="AL22" s="2">
        <f t="shared" si="8"/>
        <v>0</v>
      </c>
      <c r="AM22" s="2">
        <f t="shared" si="8"/>
        <v>0</v>
      </c>
      <c r="AN22" s="2">
        <f t="shared" si="8"/>
        <v>0</v>
      </c>
      <c r="AO22" s="2">
        <f t="shared" si="8"/>
        <v>0</v>
      </c>
      <c r="AP22" s="2">
        <f t="shared" si="8"/>
        <v>170267.15</v>
      </c>
      <c r="AQ22" s="2">
        <f t="shared" si="8"/>
        <v>0</v>
      </c>
      <c r="AR22" s="2">
        <f t="shared" si="8"/>
        <v>31155250.010000002</v>
      </c>
      <c r="AS22" s="2">
        <f t="shared" si="8"/>
        <v>27612134.350000001</v>
      </c>
      <c r="AT22" s="2">
        <f t="shared" si="8"/>
        <v>1020197.21</v>
      </c>
      <c r="AU22" s="2">
        <f t="shared" ref="AU22:BZ22" si="9">AU1107</f>
        <v>2352651.2999999998</v>
      </c>
      <c r="AV22" s="2">
        <f t="shared" si="9"/>
        <v>19673623.34</v>
      </c>
      <c r="AW22" s="2">
        <f t="shared" si="9"/>
        <v>19503356.190000001</v>
      </c>
      <c r="AX22" s="2">
        <f t="shared" si="9"/>
        <v>0</v>
      </c>
      <c r="AY22" s="2">
        <f t="shared" si="9"/>
        <v>19503356.190000001</v>
      </c>
      <c r="AZ22" s="2">
        <f t="shared" si="9"/>
        <v>170267.15</v>
      </c>
      <c r="BA22" s="2">
        <f t="shared" si="9"/>
        <v>0</v>
      </c>
      <c r="BB22" s="2">
        <f t="shared" si="9"/>
        <v>0</v>
      </c>
      <c r="BC22" s="2">
        <f t="shared" si="9"/>
        <v>0</v>
      </c>
      <c r="BD22" s="2">
        <f t="shared" si="9"/>
        <v>0</v>
      </c>
      <c r="BE22" s="2">
        <f t="shared" si="9"/>
        <v>0</v>
      </c>
      <c r="BF22" s="2">
        <f t="shared" si="9"/>
        <v>0</v>
      </c>
      <c r="BG22" s="2">
        <f t="shared" si="9"/>
        <v>0</v>
      </c>
      <c r="BH22" s="2">
        <f t="shared" si="9"/>
        <v>0</v>
      </c>
      <c r="BI22" s="2">
        <f t="shared" si="9"/>
        <v>0</v>
      </c>
      <c r="BJ22" s="2">
        <f t="shared" si="9"/>
        <v>0</v>
      </c>
      <c r="BK22" s="2">
        <f t="shared" si="9"/>
        <v>0</v>
      </c>
      <c r="BL22" s="2">
        <f t="shared" si="9"/>
        <v>0</v>
      </c>
      <c r="BM22" s="2">
        <f t="shared" si="9"/>
        <v>0</v>
      </c>
      <c r="BN22" s="2">
        <f t="shared" si="9"/>
        <v>0</v>
      </c>
      <c r="BO22" s="2">
        <f t="shared" si="9"/>
        <v>0</v>
      </c>
      <c r="BP22" s="2">
        <f t="shared" si="9"/>
        <v>0</v>
      </c>
      <c r="BQ22" s="2">
        <f t="shared" si="9"/>
        <v>0</v>
      </c>
      <c r="BR22" s="2">
        <f t="shared" si="9"/>
        <v>0</v>
      </c>
      <c r="BS22" s="2">
        <f t="shared" si="9"/>
        <v>0</v>
      </c>
      <c r="BT22" s="2">
        <f t="shared" si="9"/>
        <v>0</v>
      </c>
      <c r="BU22" s="2">
        <f t="shared" si="9"/>
        <v>0</v>
      </c>
      <c r="BV22" s="2">
        <f t="shared" si="9"/>
        <v>0</v>
      </c>
      <c r="BW22" s="2">
        <f t="shared" si="9"/>
        <v>0</v>
      </c>
      <c r="BX22" s="2">
        <f t="shared" si="9"/>
        <v>0</v>
      </c>
      <c r="BY22" s="2">
        <f t="shared" si="9"/>
        <v>0</v>
      </c>
      <c r="BZ22" s="2">
        <f t="shared" si="9"/>
        <v>0</v>
      </c>
      <c r="CA22" s="2">
        <f t="shared" ref="CA22:DF22" si="10">CA1107</f>
        <v>0</v>
      </c>
      <c r="CB22" s="2">
        <f t="shared" si="10"/>
        <v>0</v>
      </c>
      <c r="CC22" s="2">
        <f t="shared" si="10"/>
        <v>0</v>
      </c>
      <c r="CD22" s="2">
        <f t="shared" si="10"/>
        <v>0</v>
      </c>
      <c r="CE22" s="2">
        <f t="shared" si="10"/>
        <v>0</v>
      </c>
      <c r="CF22" s="2">
        <f t="shared" si="10"/>
        <v>0</v>
      </c>
      <c r="CG22" s="2">
        <f t="shared" si="10"/>
        <v>0</v>
      </c>
      <c r="CH22" s="2">
        <f t="shared" si="10"/>
        <v>0</v>
      </c>
      <c r="CI22" s="2">
        <f t="shared" si="10"/>
        <v>0</v>
      </c>
      <c r="CJ22" s="2">
        <f t="shared" si="10"/>
        <v>0</v>
      </c>
      <c r="CK22" s="2">
        <f t="shared" si="10"/>
        <v>0</v>
      </c>
      <c r="CL22" s="2">
        <f t="shared" si="10"/>
        <v>0</v>
      </c>
      <c r="CM22" s="2">
        <f t="shared" si="10"/>
        <v>0</v>
      </c>
      <c r="CN22" s="2">
        <f t="shared" si="10"/>
        <v>0</v>
      </c>
      <c r="CO22" s="2">
        <f t="shared" si="10"/>
        <v>0</v>
      </c>
      <c r="CP22" s="2">
        <f t="shared" si="10"/>
        <v>0</v>
      </c>
      <c r="CQ22" s="2">
        <f t="shared" si="10"/>
        <v>0</v>
      </c>
      <c r="CR22" s="2">
        <f t="shared" si="10"/>
        <v>0</v>
      </c>
      <c r="CS22" s="2">
        <f t="shared" si="10"/>
        <v>0</v>
      </c>
      <c r="CT22" s="2">
        <f t="shared" si="10"/>
        <v>0</v>
      </c>
      <c r="CU22" s="2">
        <f t="shared" si="10"/>
        <v>0</v>
      </c>
      <c r="CV22" s="2">
        <f t="shared" si="10"/>
        <v>0</v>
      </c>
      <c r="CW22" s="2">
        <f t="shared" si="10"/>
        <v>0</v>
      </c>
      <c r="CX22" s="2">
        <f t="shared" si="10"/>
        <v>0</v>
      </c>
      <c r="CY22" s="2">
        <f t="shared" si="10"/>
        <v>0</v>
      </c>
      <c r="CZ22" s="2">
        <f t="shared" si="10"/>
        <v>0</v>
      </c>
      <c r="DA22" s="2">
        <f t="shared" si="10"/>
        <v>0</v>
      </c>
      <c r="DB22" s="2">
        <f t="shared" si="10"/>
        <v>0</v>
      </c>
      <c r="DC22" s="2">
        <f t="shared" si="10"/>
        <v>0</v>
      </c>
      <c r="DD22" s="2">
        <f t="shared" si="10"/>
        <v>0</v>
      </c>
      <c r="DE22" s="2">
        <f t="shared" si="10"/>
        <v>0</v>
      </c>
      <c r="DF22" s="2">
        <f t="shared" si="10"/>
        <v>0</v>
      </c>
      <c r="DG22" s="3">
        <f t="shared" ref="DG22:EL22" si="11">DG1107</f>
        <v>0</v>
      </c>
      <c r="DH22" s="3">
        <f t="shared" si="11"/>
        <v>0</v>
      </c>
      <c r="DI22" s="3">
        <f t="shared" si="11"/>
        <v>0</v>
      </c>
      <c r="DJ22" s="3">
        <f t="shared" si="11"/>
        <v>0</v>
      </c>
      <c r="DK22" s="3">
        <f t="shared" si="11"/>
        <v>0</v>
      </c>
      <c r="DL22" s="3">
        <f t="shared" si="11"/>
        <v>0</v>
      </c>
      <c r="DM22" s="3">
        <f t="shared" si="11"/>
        <v>0</v>
      </c>
      <c r="DN22" s="3">
        <f t="shared" si="11"/>
        <v>0</v>
      </c>
      <c r="DO22" s="3">
        <f t="shared" si="11"/>
        <v>0</v>
      </c>
      <c r="DP22" s="3">
        <f t="shared" si="11"/>
        <v>0</v>
      </c>
      <c r="DQ22" s="3">
        <f t="shared" si="11"/>
        <v>0</v>
      </c>
      <c r="DR22" s="3">
        <f t="shared" si="11"/>
        <v>0</v>
      </c>
      <c r="DS22" s="3">
        <f t="shared" si="11"/>
        <v>0</v>
      </c>
      <c r="DT22" s="3">
        <f t="shared" si="11"/>
        <v>0</v>
      </c>
      <c r="DU22" s="3">
        <f t="shared" si="11"/>
        <v>0</v>
      </c>
      <c r="DV22" s="3">
        <f t="shared" si="11"/>
        <v>0</v>
      </c>
      <c r="DW22" s="3">
        <f t="shared" si="11"/>
        <v>0</v>
      </c>
      <c r="DX22" s="3">
        <f t="shared" si="11"/>
        <v>0</v>
      </c>
      <c r="DY22" s="3">
        <f t="shared" si="11"/>
        <v>0</v>
      </c>
      <c r="DZ22" s="3">
        <f t="shared" si="11"/>
        <v>0</v>
      </c>
      <c r="EA22" s="3">
        <f t="shared" si="11"/>
        <v>0</v>
      </c>
      <c r="EB22" s="3">
        <f t="shared" si="11"/>
        <v>0</v>
      </c>
      <c r="EC22" s="3">
        <f t="shared" si="11"/>
        <v>0</v>
      </c>
      <c r="ED22" s="3">
        <f t="shared" si="11"/>
        <v>0</v>
      </c>
      <c r="EE22" s="3">
        <f t="shared" si="11"/>
        <v>0</v>
      </c>
      <c r="EF22" s="3">
        <f t="shared" si="11"/>
        <v>0</v>
      </c>
      <c r="EG22" s="3">
        <f t="shared" si="11"/>
        <v>0</v>
      </c>
      <c r="EH22" s="3">
        <f t="shared" si="11"/>
        <v>0</v>
      </c>
      <c r="EI22" s="3">
        <f t="shared" si="11"/>
        <v>0</v>
      </c>
      <c r="EJ22" s="3">
        <f t="shared" si="11"/>
        <v>0</v>
      </c>
      <c r="EK22" s="3">
        <f t="shared" si="11"/>
        <v>0</v>
      </c>
      <c r="EL22" s="3">
        <f t="shared" si="11"/>
        <v>0</v>
      </c>
      <c r="EM22" s="3">
        <f t="shared" ref="EM22:FR22" si="12">EM1107</f>
        <v>0</v>
      </c>
      <c r="EN22" s="3">
        <f t="shared" si="12"/>
        <v>0</v>
      </c>
      <c r="EO22" s="3">
        <f t="shared" si="12"/>
        <v>0</v>
      </c>
      <c r="EP22" s="3">
        <f t="shared" si="12"/>
        <v>0</v>
      </c>
      <c r="EQ22" s="3">
        <f t="shared" si="12"/>
        <v>0</v>
      </c>
      <c r="ER22" s="3">
        <f t="shared" si="12"/>
        <v>0</v>
      </c>
      <c r="ES22" s="3">
        <f t="shared" si="12"/>
        <v>0</v>
      </c>
      <c r="ET22" s="3">
        <f t="shared" si="12"/>
        <v>0</v>
      </c>
      <c r="EU22" s="3">
        <f t="shared" si="12"/>
        <v>0</v>
      </c>
      <c r="EV22" s="3">
        <f t="shared" si="12"/>
        <v>0</v>
      </c>
      <c r="EW22" s="3">
        <f t="shared" si="12"/>
        <v>0</v>
      </c>
      <c r="EX22" s="3">
        <f t="shared" si="12"/>
        <v>0</v>
      </c>
      <c r="EY22" s="3">
        <f t="shared" si="12"/>
        <v>0</v>
      </c>
      <c r="EZ22" s="3">
        <f t="shared" si="12"/>
        <v>0</v>
      </c>
      <c r="FA22" s="3">
        <f t="shared" si="12"/>
        <v>0</v>
      </c>
      <c r="FB22" s="3">
        <f t="shared" si="12"/>
        <v>0</v>
      </c>
      <c r="FC22" s="3">
        <f t="shared" si="12"/>
        <v>0</v>
      </c>
      <c r="FD22" s="3">
        <f t="shared" si="12"/>
        <v>0</v>
      </c>
      <c r="FE22" s="3">
        <f t="shared" si="12"/>
        <v>0</v>
      </c>
      <c r="FF22" s="3">
        <f t="shared" si="12"/>
        <v>0</v>
      </c>
      <c r="FG22" s="3">
        <f t="shared" si="12"/>
        <v>0</v>
      </c>
      <c r="FH22" s="3">
        <f t="shared" si="12"/>
        <v>0</v>
      </c>
      <c r="FI22" s="3">
        <f t="shared" si="12"/>
        <v>0</v>
      </c>
      <c r="FJ22" s="3">
        <f t="shared" si="12"/>
        <v>0</v>
      </c>
      <c r="FK22" s="3">
        <f t="shared" si="12"/>
        <v>0</v>
      </c>
      <c r="FL22" s="3">
        <f t="shared" si="12"/>
        <v>0</v>
      </c>
      <c r="FM22" s="3">
        <f t="shared" si="12"/>
        <v>0</v>
      </c>
      <c r="FN22" s="3">
        <f t="shared" si="12"/>
        <v>0</v>
      </c>
      <c r="FO22" s="3">
        <f t="shared" si="12"/>
        <v>0</v>
      </c>
      <c r="FP22" s="3">
        <f t="shared" si="12"/>
        <v>0</v>
      </c>
      <c r="FQ22" s="3">
        <f t="shared" si="12"/>
        <v>0</v>
      </c>
      <c r="FR22" s="3">
        <f t="shared" si="12"/>
        <v>0</v>
      </c>
      <c r="FS22" s="3">
        <f t="shared" ref="FS22:GX22" si="13">FS1107</f>
        <v>0</v>
      </c>
      <c r="FT22" s="3">
        <f t="shared" si="13"/>
        <v>0</v>
      </c>
      <c r="FU22" s="3">
        <f t="shared" si="13"/>
        <v>0</v>
      </c>
      <c r="FV22" s="3">
        <f t="shared" si="13"/>
        <v>0</v>
      </c>
      <c r="FW22" s="3">
        <f t="shared" si="13"/>
        <v>0</v>
      </c>
      <c r="FX22" s="3">
        <f t="shared" si="13"/>
        <v>0</v>
      </c>
      <c r="FY22" s="3">
        <f t="shared" si="13"/>
        <v>0</v>
      </c>
      <c r="FZ22" s="3">
        <f t="shared" si="13"/>
        <v>0</v>
      </c>
      <c r="GA22" s="3">
        <f t="shared" si="13"/>
        <v>0</v>
      </c>
      <c r="GB22" s="3">
        <f t="shared" si="13"/>
        <v>0</v>
      </c>
      <c r="GC22" s="3">
        <f t="shared" si="13"/>
        <v>0</v>
      </c>
      <c r="GD22" s="3">
        <f t="shared" si="13"/>
        <v>0</v>
      </c>
      <c r="GE22" s="3">
        <f t="shared" si="13"/>
        <v>0</v>
      </c>
      <c r="GF22" s="3">
        <f t="shared" si="13"/>
        <v>0</v>
      </c>
      <c r="GG22" s="3">
        <f t="shared" si="13"/>
        <v>0</v>
      </c>
      <c r="GH22" s="3">
        <f t="shared" si="13"/>
        <v>0</v>
      </c>
      <c r="GI22" s="3">
        <f t="shared" si="13"/>
        <v>0</v>
      </c>
      <c r="GJ22" s="3">
        <f t="shared" si="13"/>
        <v>0</v>
      </c>
      <c r="GK22" s="3">
        <f t="shared" si="13"/>
        <v>0</v>
      </c>
      <c r="GL22" s="3">
        <f t="shared" si="13"/>
        <v>0</v>
      </c>
      <c r="GM22" s="3">
        <f t="shared" si="13"/>
        <v>0</v>
      </c>
      <c r="GN22" s="3">
        <f t="shared" si="13"/>
        <v>0</v>
      </c>
      <c r="GO22" s="3">
        <f t="shared" si="13"/>
        <v>0</v>
      </c>
      <c r="GP22" s="3">
        <f t="shared" si="13"/>
        <v>0</v>
      </c>
      <c r="GQ22" s="3">
        <f t="shared" si="13"/>
        <v>0</v>
      </c>
      <c r="GR22" s="3">
        <f t="shared" si="13"/>
        <v>0</v>
      </c>
      <c r="GS22" s="3">
        <f t="shared" si="13"/>
        <v>0</v>
      </c>
      <c r="GT22" s="3">
        <f t="shared" si="13"/>
        <v>0</v>
      </c>
      <c r="GU22" s="3">
        <f t="shared" si="13"/>
        <v>0</v>
      </c>
      <c r="GV22" s="3">
        <f t="shared" si="13"/>
        <v>0</v>
      </c>
      <c r="GW22" s="3">
        <f t="shared" si="13"/>
        <v>0</v>
      </c>
      <c r="GX22" s="3">
        <f t="shared" si="13"/>
        <v>0</v>
      </c>
    </row>
    <row r="24" spans="1:245" x14ac:dyDescent="0.2">
      <c r="A24" s="1">
        <v>4</v>
      </c>
      <c r="B24" s="1">
        <v>1</v>
      </c>
      <c r="C24" s="1"/>
      <c r="D24" s="1">
        <f>ROW(A64)</f>
        <v>64</v>
      </c>
      <c r="E24" s="1"/>
      <c r="F24" s="1" t="s">
        <v>13</v>
      </c>
      <c r="G24" s="1" t="s">
        <v>14</v>
      </c>
      <c r="H24" s="1" t="s">
        <v>3</v>
      </c>
      <c r="I24" s="1">
        <v>0</v>
      </c>
      <c r="J24" s="1"/>
      <c r="K24" s="1">
        <v>0</v>
      </c>
      <c r="L24" s="1"/>
      <c r="M24" s="1" t="s">
        <v>3</v>
      </c>
      <c r="N24" s="1"/>
      <c r="O24" s="1"/>
      <c r="P24" s="1"/>
      <c r="Q24" s="1"/>
      <c r="R24" s="1"/>
      <c r="S24" s="1">
        <v>0</v>
      </c>
      <c r="T24" s="1"/>
      <c r="U24" s="1" t="s">
        <v>3</v>
      </c>
      <c r="V24" s="1">
        <v>0</v>
      </c>
      <c r="W24" s="1"/>
      <c r="X24" s="1"/>
      <c r="Y24" s="1"/>
      <c r="Z24" s="1"/>
      <c r="AA24" s="1"/>
      <c r="AB24" s="1" t="s">
        <v>3</v>
      </c>
      <c r="AC24" s="1" t="s">
        <v>3</v>
      </c>
      <c r="AD24" s="1" t="s">
        <v>3</v>
      </c>
      <c r="AE24" s="1" t="s">
        <v>3</v>
      </c>
      <c r="AF24" s="1" t="s">
        <v>3</v>
      </c>
      <c r="AG24" s="1" t="s">
        <v>3</v>
      </c>
      <c r="AH24" s="1"/>
      <c r="AI24" s="1"/>
      <c r="AJ24" s="1"/>
      <c r="AK24" s="1"/>
      <c r="AL24" s="1"/>
      <c r="AM24" s="1"/>
      <c r="AN24" s="1"/>
      <c r="AO24" s="1"/>
      <c r="AP24" s="1" t="s">
        <v>3</v>
      </c>
      <c r="AQ24" s="1" t="s">
        <v>3</v>
      </c>
      <c r="AR24" s="1" t="s">
        <v>3</v>
      </c>
      <c r="AS24" s="1"/>
      <c r="AT24" s="1"/>
      <c r="AU24" s="1"/>
      <c r="AV24" s="1"/>
      <c r="AW24" s="1"/>
      <c r="AX24" s="1"/>
      <c r="AY24" s="1"/>
      <c r="AZ24" s="1" t="s">
        <v>3</v>
      </c>
      <c r="BA24" s="1"/>
      <c r="BB24" s="1" t="s">
        <v>3</v>
      </c>
      <c r="BC24" s="1" t="s">
        <v>3</v>
      </c>
      <c r="BD24" s="1" t="s">
        <v>3</v>
      </c>
      <c r="BE24" s="1" t="s">
        <v>3</v>
      </c>
      <c r="BF24" s="1" t="s">
        <v>3</v>
      </c>
      <c r="BG24" s="1" t="s">
        <v>3</v>
      </c>
      <c r="BH24" s="1" t="s">
        <v>3</v>
      </c>
      <c r="BI24" s="1" t="s">
        <v>3</v>
      </c>
      <c r="BJ24" s="1" t="s">
        <v>3</v>
      </c>
      <c r="BK24" s="1" t="s">
        <v>3</v>
      </c>
      <c r="BL24" s="1" t="s">
        <v>3</v>
      </c>
      <c r="BM24" s="1" t="s">
        <v>3</v>
      </c>
      <c r="BN24" s="1" t="s">
        <v>3</v>
      </c>
      <c r="BO24" s="1" t="s">
        <v>3</v>
      </c>
      <c r="BP24" s="1" t="s">
        <v>3</v>
      </c>
      <c r="BQ24" s="1"/>
      <c r="BR24" s="1"/>
      <c r="BS24" s="1"/>
      <c r="BT24" s="1"/>
      <c r="BU24" s="1"/>
      <c r="BV24" s="1"/>
      <c r="BW24" s="1"/>
      <c r="BX24" s="1">
        <v>0</v>
      </c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>
        <v>0</v>
      </c>
    </row>
    <row r="26" spans="1:245" x14ac:dyDescent="0.2">
      <c r="A26" s="2">
        <v>52</v>
      </c>
      <c r="B26" s="2">
        <f t="shared" ref="B26:G26" si="14">B64</f>
        <v>1</v>
      </c>
      <c r="C26" s="2">
        <f t="shared" si="14"/>
        <v>4</v>
      </c>
      <c r="D26" s="2">
        <f t="shared" si="14"/>
        <v>24</v>
      </c>
      <c r="E26" s="2">
        <f t="shared" si="14"/>
        <v>0</v>
      </c>
      <c r="F26" s="2" t="str">
        <f t="shared" si="14"/>
        <v>Новый раздел</v>
      </c>
      <c r="G26" s="2" t="str">
        <f t="shared" si="14"/>
        <v>Покрытие "Искусственная трава" 13 мм, на площади 787 кв.м</v>
      </c>
      <c r="H26" s="2"/>
      <c r="I26" s="2"/>
      <c r="J26" s="2"/>
      <c r="K26" s="2"/>
      <c r="L26" s="2"/>
      <c r="M26" s="2"/>
      <c r="N26" s="2"/>
      <c r="O26" s="2">
        <f t="shared" ref="O26:AT26" si="15">O64</f>
        <v>6580420.5599999996</v>
      </c>
      <c r="P26" s="2">
        <f t="shared" si="15"/>
        <v>5711040.4800000004</v>
      </c>
      <c r="Q26" s="2">
        <f t="shared" si="15"/>
        <v>571420.18999999994</v>
      </c>
      <c r="R26" s="2">
        <f t="shared" si="15"/>
        <v>60460.19</v>
      </c>
      <c r="S26" s="2">
        <f t="shared" si="15"/>
        <v>297959.89</v>
      </c>
      <c r="T26" s="2">
        <f t="shared" si="15"/>
        <v>0</v>
      </c>
      <c r="U26" s="2">
        <f t="shared" si="15"/>
        <v>1038.7370309999999</v>
      </c>
      <c r="V26" s="2">
        <f t="shared" si="15"/>
        <v>0</v>
      </c>
      <c r="W26" s="2">
        <f t="shared" si="15"/>
        <v>0</v>
      </c>
      <c r="X26" s="2">
        <f t="shared" si="15"/>
        <v>250816.85</v>
      </c>
      <c r="Y26" s="2">
        <f t="shared" si="15"/>
        <v>122207.38</v>
      </c>
      <c r="Z26" s="2">
        <f t="shared" si="15"/>
        <v>0</v>
      </c>
      <c r="AA26" s="2">
        <f t="shared" si="15"/>
        <v>0</v>
      </c>
      <c r="AB26" s="2">
        <f t="shared" si="15"/>
        <v>6580420.5599999996</v>
      </c>
      <c r="AC26" s="2">
        <f t="shared" si="15"/>
        <v>5711040.4800000004</v>
      </c>
      <c r="AD26" s="2">
        <f t="shared" si="15"/>
        <v>571420.18999999994</v>
      </c>
      <c r="AE26" s="2">
        <f t="shared" si="15"/>
        <v>60460.19</v>
      </c>
      <c r="AF26" s="2">
        <f t="shared" si="15"/>
        <v>297959.89</v>
      </c>
      <c r="AG26" s="2">
        <f t="shared" si="15"/>
        <v>0</v>
      </c>
      <c r="AH26" s="2">
        <f t="shared" si="15"/>
        <v>1038.7370309999999</v>
      </c>
      <c r="AI26" s="2">
        <f t="shared" si="15"/>
        <v>0</v>
      </c>
      <c r="AJ26" s="2">
        <f t="shared" si="15"/>
        <v>0</v>
      </c>
      <c r="AK26" s="2">
        <f t="shared" si="15"/>
        <v>250816.85</v>
      </c>
      <c r="AL26" s="2">
        <f t="shared" si="15"/>
        <v>122207.38</v>
      </c>
      <c r="AM26" s="2">
        <f t="shared" si="15"/>
        <v>0</v>
      </c>
      <c r="AN26" s="2">
        <f t="shared" si="15"/>
        <v>0</v>
      </c>
      <c r="AO26" s="2">
        <f t="shared" si="15"/>
        <v>0</v>
      </c>
      <c r="AP26" s="2">
        <f t="shared" si="15"/>
        <v>0</v>
      </c>
      <c r="AQ26" s="2">
        <f t="shared" si="15"/>
        <v>0</v>
      </c>
      <c r="AR26" s="2">
        <f t="shared" si="15"/>
        <v>7048367.2800000003</v>
      </c>
      <c r="AS26" s="2">
        <f t="shared" si="15"/>
        <v>6680967.8300000001</v>
      </c>
      <c r="AT26" s="2">
        <f t="shared" si="15"/>
        <v>0</v>
      </c>
      <c r="AU26" s="2">
        <f t="shared" ref="AU26:BZ26" si="16">AU64</f>
        <v>367399.45</v>
      </c>
      <c r="AV26" s="2">
        <f t="shared" si="16"/>
        <v>5711040.4800000004</v>
      </c>
      <c r="AW26" s="2">
        <f t="shared" si="16"/>
        <v>5711040.4800000004</v>
      </c>
      <c r="AX26" s="2">
        <f t="shared" si="16"/>
        <v>0</v>
      </c>
      <c r="AY26" s="2">
        <f t="shared" si="16"/>
        <v>5711040.4800000004</v>
      </c>
      <c r="AZ26" s="2">
        <f t="shared" si="16"/>
        <v>0</v>
      </c>
      <c r="BA26" s="2">
        <f t="shared" si="16"/>
        <v>0</v>
      </c>
      <c r="BB26" s="2">
        <f t="shared" si="16"/>
        <v>0</v>
      </c>
      <c r="BC26" s="2">
        <f t="shared" si="16"/>
        <v>0</v>
      </c>
      <c r="BD26" s="2">
        <f t="shared" si="16"/>
        <v>0</v>
      </c>
      <c r="BE26" s="2">
        <f t="shared" si="16"/>
        <v>0</v>
      </c>
      <c r="BF26" s="2">
        <f t="shared" si="16"/>
        <v>0</v>
      </c>
      <c r="BG26" s="2">
        <f t="shared" si="16"/>
        <v>0</v>
      </c>
      <c r="BH26" s="2">
        <f t="shared" si="16"/>
        <v>0</v>
      </c>
      <c r="BI26" s="2">
        <f t="shared" si="16"/>
        <v>0</v>
      </c>
      <c r="BJ26" s="2">
        <f t="shared" si="16"/>
        <v>0</v>
      </c>
      <c r="BK26" s="2">
        <f t="shared" si="16"/>
        <v>0</v>
      </c>
      <c r="BL26" s="2">
        <f t="shared" si="16"/>
        <v>0</v>
      </c>
      <c r="BM26" s="2">
        <f t="shared" si="16"/>
        <v>0</v>
      </c>
      <c r="BN26" s="2">
        <f t="shared" si="16"/>
        <v>0</v>
      </c>
      <c r="BO26" s="2">
        <f t="shared" si="16"/>
        <v>0</v>
      </c>
      <c r="BP26" s="2">
        <f t="shared" si="16"/>
        <v>0</v>
      </c>
      <c r="BQ26" s="2">
        <f t="shared" si="16"/>
        <v>0</v>
      </c>
      <c r="BR26" s="2">
        <f t="shared" si="16"/>
        <v>0</v>
      </c>
      <c r="BS26" s="2">
        <f t="shared" si="16"/>
        <v>0</v>
      </c>
      <c r="BT26" s="2">
        <f t="shared" si="16"/>
        <v>0</v>
      </c>
      <c r="BU26" s="2">
        <f t="shared" si="16"/>
        <v>0</v>
      </c>
      <c r="BV26" s="2">
        <f t="shared" si="16"/>
        <v>0</v>
      </c>
      <c r="BW26" s="2">
        <f t="shared" si="16"/>
        <v>0</v>
      </c>
      <c r="BX26" s="2">
        <f t="shared" si="16"/>
        <v>0</v>
      </c>
      <c r="BY26" s="2">
        <f t="shared" si="16"/>
        <v>0</v>
      </c>
      <c r="BZ26" s="2">
        <f t="shared" si="16"/>
        <v>0</v>
      </c>
      <c r="CA26" s="2">
        <f t="shared" ref="CA26:DF26" si="17">CA64</f>
        <v>7048367.2800000003</v>
      </c>
      <c r="CB26" s="2">
        <f t="shared" si="17"/>
        <v>6680967.8300000001</v>
      </c>
      <c r="CC26" s="2">
        <f t="shared" si="17"/>
        <v>0</v>
      </c>
      <c r="CD26" s="2">
        <f t="shared" si="17"/>
        <v>367399.45</v>
      </c>
      <c r="CE26" s="2">
        <f t="shared" si="17"/>
        <v>5711040.4800000004</v>
      </c>
      <c r="CF26" s="2">
        <f t="shared" si="17"/>
        <v>5711040.4800000004</v>
      </c>
      <c r="CG26" s="2">
        <f t="shared" si="17"/>
        <v>0</v>
      </c>
      <c r="CH26" s="2">
        <f t="shared" si="17"/>
        <v>5711040.4800000004</v>
      </c>
      <c r="CI26" s="2">
        <f t="shared" si="17"/>
        <v>0</v>
      </c>
      <c r="CJ26" s="2">
        <f t="shared" si="17"/>
        <v>0</v>
      </c>
      <c r="CK26" s="2">
        <f t="shared" si="17"/>
        <v>0</v>
      </c>
      <c r="CL26" s="2">
        <f t="shared" si="17"/>
        <v>0</v>
      </c>
      <c r="CM26" s="2">
        <f t="shared" si="17"/>
        <v>0</v>
      </c>
      <c r="CN26" s="2">
        <f t="shared" si="17"/>
        <v>0</v>
      </c>
      <c r="CO26" s="2">
        <f t="shared" si="17"/>
        <v>0</v>
      </c>
      <c r="CP26" s="2">
        <f t="shared" si="17"/>
        <v>0</v>
      </c>
      <c r="CQ26" s="2">
        <f t="shared" si="17"/>
        <v>0</v>
      </c>
      <c r="CR26" s="2">
        <f t="shared" si="17"/>
        <v>0</v>
      </c>
      <c r="CS26" s="2">
        <f t="shared" si="17"/>
        <v>0</v>
      </c>
      <c r="CT26" s="2">
        <f t="shared" si="17"/>
        <v>0</v>
      </c>
      <c r="CU26" s="2">
        <f t="shared" si="17"/>
        <v>0</v>
      </c>
      <c r="CV26" s="2">
        <f t="shared" si="17"/>
        <v>0</v>
      </c>
      <c r="CW26" s="2">
        <f t="shared" si="17"/>
        <v>0</v>
      </c>
      <c r="CX26" s="2">
        <f t="shared" si="17"/>
        <v>0</v>
      </c>
      <c r="CY26" s="2">
        <f t="shared" si="17"/>
        <v>0</v>
      </c>
      <c r="CZ26" s="2">
        <f t="shared" si="17"/>
        <v>0</v>
      </c>
      <c r="DA26" s="2">
        <f t="shared" si="17"/>
        <v>0</v>
      </c>
      <c r="DB26" s="2">
        <f t="shared" si="17"/>
        <v>0</v>
      </c>
      <c r="DC26" s="2">
        <f t="shared" si="17"/>
        <v>0</v>
      </c>
      <c r="DD26" s="2">
        <f t="shared" si="17"/>
        <v>0</v>
      </c>
      <c r="DE26" s="2">
        <f t="shared" si="17"/>
        <v>0</v>
      </c>
      <c r="DF26" s="2">
        <f t="shared" si="17"/>
        <v>0</v>
      </c>
      <c r="DG26" s="3">
        <f t="shared" ref="DG26:EL26" si="18">DG64</f>
        <v>0</v>
      </c>
      <c r="DH26" s="3">
        <f t="shared" si="18"/>
        <v>0</v>
      </c>
      <c r="DI26" s="3">
        <f t="shared" si="18"/>
        <v>0</v>
      </c>
      <c r="DJ26" s="3">
        <f t="shared" si="18"/>
        <v>0</v>
      </c>
      <c r="DK26" s="3">
        <f t="shared" si="18"/>
        <v>0</v>
      </c>
      <c r="DL26" s="3">
        <f t="shared" si="18"/>
        <v>0</v>
      </c>
      <c r="DM26" s="3">
        <f t="shared" si="18"/>
        <v>0</v>
      </c>
      <c r="DN26" s="3">
        <f t="shared" si="18"/>
        <v>0</v>
      </c>
      <c r="DO26" s="3">
        <f t="shared" si="18"/>
        <v>0</v>
      </c>
      <c r="DP26" s="3">
        <f t="shared" si="18"/>
        <v>0</v>
      </c>
      <c r="DQ26" s="3">
        <f t="shared" si="18"/>
        <v>0</v>
      </c>
      <c r="DR26" s="3">
        <f t="shared" si="18"/>
        <v>0</v>
      </c>
      <c r="DS26" s="3">
        <f t="shared" si="18"/>
        <v>0</v>
      </c>
      <c r="DT26" s="3">
        <f t="shared" si="18"/>
        <v>0</v>
      </c>
      <c r="DU26" s="3">
        <f t="shared" si="18"/>
        <v>0</v>
      </c>
      <c r="DV26" s="3">
        <f t="shared" si="18"/>
        <v>0</v>
      </c>
      <c r="DW26" s="3">
        <f t="shared" si="18"/>
        <v>0</v>
      </c>
      <c r="DX26" s="3">
        <f t="shared" si="18"/>
        <v>0</v>
      </c>
      <c r="DY26" s="3">
        <f t="shared" si="18"/>
        <v>0</v>
      </c>
      <c r="DZ26" s="3">
        <f t="shared" si="18"/>
        <v>0</v>
      </c>
      <c r="EA26" s="3">
        <f t="shared" si="18"/>
        <v>0</v>
      </c>
      <c r="EB26" s="3">
        <f t="shared" si="18"/>
        <v>0</v>
      </c>
      <c r="EC26" s="3">
        <f t="shared" si="18"/>
        <v>0</v>
      </c>
      <c r="ED26" s="3">
        <f t="shared" si="18"/>
        <v>0</v>
      </c>
      <c r="EE26" s="3">
        <f t="shared" si="18"/>
        <v>0</v>
      </c>
      <c r="EF26" s="3">
        <f t="shared" si="18"/>
        <v>0</v>
      </c>
      <c r="EG26" s="3">
        <f t="shared" si="18"/>
        <v>0</v>
      </c>
      <c r="EH26" s="3">
        <f t="shared" si="18"/>
        <v>0</v>
      </c>
      <c r="EI26" s="3">
        <f t="shared" si="18"/>
        <v>0</v>
      </c>
      <c r="EJ26" s="3">
        <f t="shared" si="18"/>
        <v>0</v>
      </c>
      <c r="EK26" s="3">
        <f t="shared" si="18"/>
        <v>0</v>
      </c>
      <c r="EL26" s="3">
        <f t="shared" si="18"/>
        <v>0</v>
      </c>
      <c r="EM26" s="3">
        <f t="shared" ref="EM26:FR26" si="19">EM64</f>
        <v>0</v>
      </c>
      <c r="EN26" s="3">
        <f t="shared" si="19"/>
        <v>0</v>
      </c>
      <c r="EO26" s="3">
        <f t="shared" si="19"/>
        <v>0</v>
      </c>
      <c r="EP26" s="3">
        <f t="shared" si="19"/>
        <v>0</v>
      </c>
      <c r="EQ26" s="3">
        <f t="shared" si="19"/>
        <v>0</v>
      </c>
      <c r="ER26" s="3">
        <f t="shared" si="19"/>
        <v>0</v>
      </c>
      <c r="ES26" s="3">
        <f t="shared" si="19"/>
        <v>0</v>
      </c>
      <c r="ET26" s="3">
        <f t="shared" si="19"/>
        <v>0</v>
      </c>
      <c r="EU26" s="3">
        <f t="shared" si="19"/>
        <v>0</v>
      </c>
      <c r="EV26" s="3">
        <f t="shared" si="19"/>
        <v>0</v>
      </c>
      <c r="EW26" s="3">
        <f t="shared" si="19"/>
        <v>0</v>
      </c>
      <c r="EX26" s="3">
        <f t="shared" si="19"/>
        <v>0</v>
      </c>
      <c r="EY26" s="3">
        <f t="shared" si="19"/>
        <v>0</v>
      </c>
      <c r="EZ26" s="3">
        <f t="shared" si="19"/>
        <v>0</v>
      </c>
      <c r="FA26" s="3">
        <f t="shared" si="19"/>
        <v>0</v>
      </c>
      <c r="FB26" s="3">
        <f t="shared" si="19"/>
        <v>0</v>
      </c>
      <c r="FC26" s="3">
        <f t="shared" si="19"/>
        <v>0</v>
      </c>
      <c r="FD26" s="3">
        <f t="shared" si="19"/>
        <v>0</v>
      </c>
      <c r="FE26" s="3">
        <f t="shared" si="19"/>
        <v>0</v>
      </c>
      <c r="FF26" s="3">
        <f t="shared" si="19"/>
        <v>0</v>
      </c>
      <c r="FG26" s="3">
        <f t="shared" si="19"/>
        <v>0</v>
      </c>
      <c r="FH26" s="3">
        <f t="shared" si="19"/>
        <v>0</v>
      </c>
      <c r="FI26" s="3">
        <f t="shared" si="19"/>
        <v>0</v>
      </c>
      <c r="FJ26" s="3">
        <f t="shared" si="19"/>
        <v>0</v>
      </c>
      <c r="FK26" s="3">
        <f t="shared" si="19"/>
        <v>0</v>
      </c>
      <c r="FL26" s="3">
        <f t="shared" si="19"/>
        <v>0</v>
      </c>
      <c r="FM26" s="3">
        <f t="shared" si="19"/>
        <v>0</v>
      </c>
      <c r="FN26" s="3">
        <f t="shared" si="19"/>
        <v>0</v>
      </c>
      <c r="FO26" s="3">
        <f t="shared" si="19"/>
        <v>0</v>
      </c>
      <c r="FP26" s="3">
        <f t="shared" si="19"/>
        <v>0</v>
      </c>
      <c r="FQ26" s="3">
        <f t="shared" si="19"/>
        <v>0</v>
      </c>
      <c r="FR26" s="3">
        <f t="shared" si="19"/>
        <v>0</v>
      </c>
      <c r="FS26" s="3">
        <f t="shared" ref="FS26:GX26" si="20">FS64</f>
        <v>0</v>
      </c>
      <c r="FT26" s="3">
        <f t="shared" si="20"/>
        <v>0</v>
      </c>
      <c r="FU26" s="3">
        <f t="shared" si="20"/>
        <v>0</v>
      </c>
      <c r="FV26" s="3">
        <f t="shared" si="20"/>
        <v>0</v>
      </c>
      <c r="FW26" s="3">
        <f t="shared" si="20"/>
        <v>0</v>
      </c>
      <c r="FX26" s="3">
        <f t="shared" si="20"/>
        <v>0</v>
      </c>
      <c r="FY26" s="3">
        <f t="shared" si="20"/>
        <v>0</v>
      </c>
      <c r="FZ26" s="3">
        <f t="shared" si="20"/>
        <v>0</v>
      </c>
      <c r="GA26" s="3">
        <f t="shared" si="20"/>
        <v>0</v>
      </c>
      <c r="GB26" s="3">
        <f t="shared" si="20"/>
        <v>0</v>
      </c>
      <c r="GC26" s="3">
        <f t="shared" si="20"/>
        <v>0</v>
      </c>
      <c r="GD26" s="3">
        <f t="shared" si="20"/>
        <v>0</v>
      </c>
      <c r="GE26" s="3">
        <f t="shared" si="20"/>
        <v>0</v>
      </c>
      <c r="GF26" s="3">
        <f t="shared" si="20"/>
        <v>0</v>
      </c>
      <c r="GG26" s="3">
        <f t="shared" si="20"/>
        <v>0</v>
      </c>
      <c r="GH26" s="3">
        <f t="shared" si="20"/>
        <v>0</v>
      </c>
      <c r="GI26" s="3">
        <f t="shared" si="20"/>
        <v>0</v>
      </c>
      <c r="GJ26" s="3">
        <f t="shared" si="20"/>
        <v>0</v>
      </c>
      <c r="GK26" s="3">
        <f t="shared" si="20"/>
        <v>0</v>
      </c>
      <c r="GL26" s="3">
        <f t="shared" si="20"/>
        <v>0</v>
      </c>
      <c r="GM26" s="3">
        <f t="shared" si="20"/>
        <v>0</v>
      </c>
      <c r="GN26" s="3">
        <f t="shared" si="20"/>
        <v>0</v>
      </c>
      <c r="GO26" s="3">
        <f t="shared" si="20"/>
        <v>0</v>
      </c>
      <c r="GP26" s="3">
        <f t="shared" si="20"/>
        <v>0</v>
      </c>
      <c r="GQ26" s="3">
        <f t="shared" si="20"/>
        <v>0</v>
      </c>
      <c r="GR26" s="3">
        <f t="shared" si="20"/>
        <v>0</v>
      </c>
      <c r="GS26" s="3">
        <f t="shared" si="20"/>
        <v>0</v>
      </c>
      <c r="GT26" s="3">
        <f t="shared" si="20"/>
        <v>0</v>
      </c>
      <c r="GU26" s="3">
        <f t="shared" si="20"/>
        <v>0</v>
      </c>
      <c r="GV26" s="3">
        <f t="shared" si="20"/>
        <v>0</v>
      </c>
      <c r="GW26" s="3">
        <f t="shared" si="20"/>
        <v>0</v>
      </c>
      <c r="GX26" s="3">
        <f t="shared" si="20"/>
        <v>0</v>
      </c>
    </row>
    <row r="28" spans="1:245" x14ac:dyDescent="0.2">
      <c r="A28">
        <v>17</v>
      </c>
      <c r="B28">
        <v>1</v>
      </c>
      <c r="C28">
        <f>ROW(SmtRes!A1)</f>
        <v>1</v>
      </c>
      <c r="D28">
        <f>ROW(EtalonRes!A1)</f>
        <v>1</v>
      </c>
      <c r="E28" t="s">
        <v>15</v>
      </c>
      <c r="F28" t="s">
        <v>16</v>
      </c>
      <c r="G28" t="s">
        <v>17</v>
      </c>
      <c r="H28" t="s">
        <v>18</v>
      </c>
      <c r="I28">
        <f>ROUND(787/100,9)</f>
        <v>7.87</v>
      </c>
      <c r="J28">
        <v>0</v>
      </c>
      <c r="K28">
        <f>ROUND(787/100,9)</f>
        <v>7.87</v>
      </c>
      <c r="O28">
        <f t="shared" ref="O28:O62" si="21">ROUND(CP28,2)</f>
        <v>19807.84</v>
      </c>
      <c r="P28">
        <f t="shared" ref="P28:P62" si="22">ROUND((ROUND((AC28*AW28*I28),2)*BC28),2)</f>
        <v>0</v>
      </c>
      <c r="Q28">
        <f>(ROUND((ROUND((((ET28*1.25))*AV28*I28),2)*BB28),2)+ROUND((ROUND(((AE28-((EU28*1.25)))*AV28*I28),2)*BS28),2))</f>
        <v>0</v>
      </c>
      <c r="R28">
        <f t="shared" ref="R28:R62" si="23">ROUND((ROUND((AE28*AV28*I28),2)*BS28),2)</f>
        <v>0</v>
      </c>
      <c r="S28">
        <f t="shared" ref="S28:S62" si="24">ROUND((ROUND((AF28*AV28*I28),2)*BA28),2)</f>
        <v>19807.84</v>
      </c>
      <c r="T28">
        <f t="shared" ref="T28:T62" si="25">ROUND(CU28*I28,2)</f>
        <v>0</v>
      </c>
      <c r="U28">
        <f t="shared" ref="U28:U62" si="26">CV28*I28</f>
        <v>67.064205000000001</v>
      </c>
      <c r="V28">
        <f t="shared" ref="V28:V62" si="27">CW28*I28</f>
        <v>0</v>
      </c>
      <c r="W28">
        <f t="shared" ref="W28:W62" si="28">ROUND(CX28*I28,2)</f>
        <v>0</v>
      </c>
      <c r="X28">
        <f t="shared" ref="X28:X62" si="29">ROUND(CY28,2)</f>
        <v>17827.060000000001</v>
      </c>
      <c r="Y28">
        <f t="shared" ref="Y28:Y62" si="30">ROUND(CZ28,2)</f>
        <v>8121.21</v>
      </c>
      <c r="AA28">
        <v>42938047</v>
      </c>
      <c r="AB28">
        <f t="shared" ref="AB28:AB62" si="31">ROUND((AC28+AD28+AF28),6)</f>
        <v>98.9345</v>
      </c>
      <c r="AC28">
        <f>ROUND((ES28),6)</f>
        <v>0</v>
      </c>
      <c r="AD28">
        <f>ROUND(((((ET28*1.25))-((EU28*1.25)))+AE28),6)</f>
        <v>0</v>
      </c>
      <c r="AE28">
        <f>ROUND(((EU28*1.25)),6)</f>
        <v>0</v>
      </c>
      <c r="AF28">
        <f>ROUND(((EV28*1.15)),6)</f>
        <v>98.9345</v>
      </c>
      <c r="AG28">
        <f t="shared" ref="AG28:AG62" si="32">ROUND((AP28),6)</f>
        <v>0</v>
      </c>
      <c r="AH28">
        <f>((EW28*1.15))</f>
        <v>8.5214999999999996</v>
      </c>
      <c r="AI28">
        <f>((EX28*1.25))</f>
        <v>0</v>
      </c>
      <c r="AJ28">
        <f t="shared" ref="AJ28:AJ62" si="33">(AS28)</f>
        <v>0</v>
      </c>
      <c r="AK28">
        <v>86.03</v>
      </c>
      <c r="AL28">
        <v>0</v>
      </c>
      <c r="AM28">
        <v>0</v>
      </c>
      <c r="AN28">
        <v>0</v>
      </c>
      <c r="AO28">
        <v>86.03</v>
      </c>
      <c r="AP28">
        <v>0</v>
      </c>
      <c r="AQ28">
        <v>7.41</v>
      </c>
      <c r="AR28">
        <v>0</v>
      </c>
      <c r="AS28">
        <v>0</v>
      </c>
      <c r="AT28">
        <v>90</v>
      </c>
      <c r="AU28">
        <v>41</v>
      </c>
      <c r="AV28">
        <v>1</v>
      </c>
      <c r="AW28">
        <v>1</v>
      </c>
      <c r="AZ28">
        <v>1</v>
      </c>
      <c r="BA28">
        <v>25.44</v>
      </c>
      <c r="BB28">
        <v>1</v>
      </c>
      <c r="BC28">
        <v>1</v>
      </c>
      <c r="BD28" t="s">
        <v>3</v>
      </c>
      <c r="BE28" t="s">
        <v>3</v>
      </c>
      <c r="BF28" t="s">
        <v>3</v>
      </c>
      <c r="BG28" t="s">
        <v>3</v>
      </c>
      <c r="BH28">
        <v>0</v>
      </c>
      <c r="BI28">
        <v>1</v>
      </c>
      <c r="BJ28" t="s">
        <v>19</v>
      </c>
      <c r="BM28">
        <v>292</v>
      </c>
      <c r="BN28">
        <v>0</v>
      </c>
      <c r="BO28" t="s">
        <v>16</v>
      </c>
      <c r="BP28">
        <v>1</v>
      </c>
      <c r="BQ28">
        <v>30</v>
      </c>
      <c r="BR28">
        <v>0</v>
      </c>
      <c r="BS28">
        <v>25.44</v>
      </c>
      <c r="BT28">
        <v>1</v>
      </c>
      <c r="BU28">
        <v>1</v>
      </c>
      <c r="BV28">
        <v>1</v>
      </c>
      <c r="BW28">
        <v>1</v>
      </c>
      <c r="BX28">
        <v>1</v>
      </c>
      <c r="BY28" t="s">
        <v>3</v>
      </c>
      <c r="BZ28">
        <v>90</v>
      </c>
      <c r="CA28">
        <v>41</v>
      </c>
      <c r="CB28" t="s">
        <v>3</v>
      </c>
      <c r="CE28">
        <v>30</v>
      </c>
      <c r="CF28">
        <v>0</v>
      </c>
      <c r="CG28">
        <v>0</v>
      </c>
      <c r="CM28">
        <v>0</v>
      </c>
      <c r="CN28" t="s">
        <v>1581</v>
      </c>
      <c r="CO28">
        <v>0</v>
      </c>
      <c r="CP28">
        <f t="shared" ref="CP28:CP62" si="34">(P28+Q28+S28)</f>
        <v>19807.84</v>
      </c>
      <c r="CQ28">
        <f t="shared" ref="CQ28:CQ62" si="35">ROUND((ROUND((AC28*AW28*1),2)*BC28),2)</f>
        <v>0</v>
      </c>
      <c r="CR28">
        <f>(ROUND((ROUND((((ET28*1.25))*AV28*1),2)*BB28),2)+ROUND((ROUND(((AE28-((EU28*1.25)))*AV28*1),2)*BS28),2))</f>
        <v>0</v>
      </c>
      <c r="CS28">
        <f t="shared" ref="CS28:CS62" si="36">ROUND((ROUND((AE28*AV28*1),2)*BS28),2)</f>
        <v>0</v>
      </c>
      <c r="CT28">
        <f t="shared" ref="CT28:CT62" si="37">ROUND((ROUND((AF28*AV28*1),2)*BA28),2)</f>
        <v>2516.7800000000002</v>
      </c>
      <c r="CU28">
        <f t="shared" ref="CU28:CU62" si="38">AG28</f>
        <v>0</v>
      </c>
      <c r="CV28">
        <f t="shared" ref="CV28:CV62" si="39">(AH28*AV28)</f>
        <v>8.5214999999999996</v>
      </c>
      <c r="CW28">
        <f t="shared" ref="CW28:CW62" si="40">AI28</f>
        <v>0</v>
      </c>
      <c r="CX28">
        <f t="shared" ref="CX28:CX62" si="41">AJ28</f>
        <v>0</v>
      </c>
      <c r="CY28">
        <f t="shared" ref="CY28:CY62" si="42">S28*(BZ28/100)</f>
        <v>17827.056</v>
      </c>
      <c r="CZ28">
        <f t="shared" ref="CZ28:CZ62" si="43">S28*(CA28/100)</f>
        <v>8121.2143999999998</v>
      </c>
      <c r="DC28" t="s">
        <v>3</v>
      </c>
      <c r="DD28" t="s">
        <v>3</v>
      </c>
      <c r="DE28" t="s">
        <v>20</v>
      </c>
      <c r="DF28" t="s">
        <v>20</v>
      </c>
      <c r="DG28" t="s">
        <v>21</v>
      </c>
      <c r="DH28" t="s">
        <v>3</v>
      </c>
      <c r="DI28" t="s">
        <v>21</v>
      </c>
      <c r="DJ28" t="s">
        <v>20</v>
      </c>
      <c r="DK28" t="s">
        <v>3</v>
      </c>
      <c r="DL28" t="s">
        <v>3</v>
      </c>
      <c r="DM28" t="s">
        <v>3</v>
      </c>
      <c r="DN28">
        <v>156</v>
      </c>
      <c r="DO28">
        <v>84</v>
      </c>
      <c r="DP28">
        <v>1</v>
      </c>
      <c r="DQ28">
        <v>1</v>
      </c>
      <c r="DU28">
        <v>1005</v>
      </c>
      <c r="DV28" t="s">
        <v>18</v>
      </c>
      <c r="DW28" t="s">
        <v>18</v>
      </c>
      <c r="DX28">
        <v>100</v>
      </c>
      <c r="DZ28" t="s">
        <v>3</v>
      </c>
      <c r="EA28" t="s">
        <v>3</v>
      </c>
      <c r="EB28" t="s">
        <v>3</v>
      </c>
      <c r="EC28" t="s">
        <v>3</v>
      </c>
      <c r="EE28">
        <v>43088370</v>
      </c>
      <c r="EF28">
        <v>30</v>
      </c>
      <c r="EG28" t="s">
        <v>22</v>
      </c>
      <c r="EH28">
        <v>0</v>
      </c>
      <c r="EI28" t="s">
        <v>3</v>
      </c>
      <c r="EJ28">
        <v>1</v>
      </c>
      <c r="EK28">
        <v>292</v>
      </c>
      <c r="EL28" t="s">
        <v>23</v>
      </c>
      <c r="EM28" t="s">
        <v>24</v>
      </c>
      <c r="EO28" t="s">
        <v>25</v>
      </c>
      <c r="EQ28">
        <v>0</v>
      </c>
      <c r="ER28">
        <v>86.03</v>
      </c>
      <c r="ES28">
        <v>0</v>
      </c>
      <c r="ET28">
        <v>0</v>
      </c>
      <c r="EU28">
        <v>0</v>
      </c>
      <c r="EV28">
        <v>86.03</v>
      </c>
      <c r="EW28">
        <v>7.41</v>
      </c>
      <c r="EX28">
        <v>0</v>
      </c>
      <c r="EY28">
        <v>0</v>
      </c>
      <c r="FQ28">
        <v>0</v>
      </c>
      <c r="FR28">
        <f t="shared" ref="FR28:FR62" si="44">ROUND(IF(AND(BH28=3,BI28=3),P28,0),2)</f>
        <v>0</v>
      </c>
      <c r="FS28">
        <v>0</v>
      </c>
      <c r="FX28">
        <v>156</v>
      </c>
      <c r="FY28">
        <v>84</v>
      </c>
      <c r="GA28" t="s">
        <v>3</v>
      </c>
      <c r="GD28">
        <v>0</v>
      </c>
      <c r="GF28">
        <v>-1775387576</v>
      </c>
      <c r="GG28">
        <v>2</v>
      </c>
      <c r="GH28">
        <v>1</v>
      </c>
      <c r="GI28">
        <v>2</v>
      </c>
      <c r="GJ28">
        <v>0</v>
      </c>
      <c r="GK28">
        <f>ROUND(R28*(R12)/100,2)</f>
        <v>0</v>
      </c>
      <c r="GL28">
        <f t="shared" ref="GL28:GL62" si="45">ROUND(IF(AND(BH28=3,BI28=3,FS28&lt;&gt;0),P28,0),2)</f>
        <v>0</v>
      </c>
      <c r="GM28">
        <f t="shared" ref="GM28:GM62" si="46">ROUND(O28+X28+Y28+GK28,2)+GX28</f>
        <v>45756.11</v>
      </c>
      <c r="GN28">
        <f t="shared" ref="GN28:GN62" si="47">IF(OR(BI28=0,BI28=1),ROUND(O28+X28+Y28+GK28,2),0)</f>
        <v>45756.11</v>
      </c>
      <c r="GO28">
        <f t="shared" ref="GO28:GO62" si="48">IF(BI28=2,ROUND(O28+X28+Y28+GK28,2),0)</f>
        <v>0</v>
      </c>
      <c r="GP28">
        <f t="shared" ref="GP28:GP62" si="49">IF(BI28=4,ROUND(O28+X28+Y28+GK28,2)+GX28,0)</f>
        <v>0</v>
      </c>
      <c r="GR28">
        <v>0</v>
      </c>
      <c r="GS28">
        <v>3</v>
      </c>
      <c r="GT28">
        <v>0</v>
      </c>
      <c r="GU28" t="s">
        <v>3</v>
      </c>
      <c r="GV28">
        <f t="shared" ref="GV28:GV62" si="50">ROUND((GT28),6)</f>
        <v>0</v>
      </c>
      <c r="GW28">
        <v>1</v>
      </c>
      <c r="GX28">
        <f t="shared" ref="GX28:GX62" si="51">ROUND(HC28*I28,2)</f>
        <v>0</v>
      </c>
      <c r="HA28">
        <v>0</v>
      </c>
      <c r="HB28">
        <v>0</v>
      </c>
      <c r="HC28">
        <f t="shared" ref="HC28:HC62" si="52">GV28*GW28</f>
        <v>0</v>
      </c>
      <c r="HE28" t="s">
        <v>3</v>
      </c>
      <c r="HF28" t="s">
        <v>3</v>
      </c>
      <c r="HM28" t="s">
        <v>3</v>
      </c>
      <c r="IK28">
        <v>0</v>
      </c>
    </row>
    <row r="29" spans="1:245" x14ac:dyDescent="0.2">
      <c r="A29">
        <v>17</v>
      </c>
      <c r="B29">
        <v>1</v>
      </c>
      <c r="C29">
        <f>ROW(SmtRes!A7)</f>
        <v>7</v>
      </c>
      <c r="D29">
        <f>ROW(EtalonRes!A8)</f>
        <v>8</v>
      </c>
      <c r="E29" t="s">
        <v>26</v>
      </c>
      <c r="F29" t="s">
        <v>27</v>
      </c>
      <c r="G29" t="s">
        <v>28</v>
      </c>
      <c r="H29" t="s">
        <v>18</v>
      </c>
      <c r="I29">
        <f>ROUND(787/100,9)</f>
        <v>7.87</v>
      </c>
      <c r="J29">
        <v>0</v>
      </c>
      <c r="K29">
        <f>ROUND(787/100,9)</f>
        <v>7.87</v>
      </c>
      <c r="O29">
        <f t="shared" si="21"/>
        <v>15157.93</v>
      </c>
      <c r="P29">
        <f t="shared" si="22"/>
        <v>0</v>
      </c>
      <c r="Q29">
        <f>(ROUND((ROUND((((ET29*0.8))*AV29*I29),2)*BB29),2)+ROUND((ROUND(((AE29-((EU29*0.8)))*AV29*I29),2)*BS29),2))</f>
        <v>90.84</v>
      </c>
      <c r="R29">
        <f t="shared" si="23"/>
        <v>51.13</v>
      </c>
      <c r="S29">
        <f t="shared" si="24"/>
        <v>15067.09</v>
      </c>
      <c r="T29">
        <f t="shared" si="25"/>
        <v>0</v>
      </c>
      <c r="U29">
        <f t="shared" si="26"/>
        <v>51.18648000000001</v>
      </c>
      <c r="V29">
        <f t="shared" si="27"/>
        <v>0</v>
      </c>
      <c r="W29">
        <f t="shared" si="28"/>
        <v>0</v>
      </c>
      <c r="X29">
        <f t="shared" si="29"/>
        <v>13560.38</v>
      </c>
      <c r="Y29">
        <f t="shared" si="30"/>
        <v>6177.51</v>
      </c>
      <c r="AA29">
        <v>42938047</v>
      </c>
      <c r="AB29">
        <f t="shared" si="31"/>
        <v>76.52</v>
      </c>
      <c r="AC29">
        <f>ROUND(((ES29*0)),6)</f>
        <v>0</v>
      </c>
      <c r="AD29">
        <f>ROUND(((((ET29*0.8))-((EU29*0.8)))+AE29),6)</f>
        <v>1.264</v>
      </c>
      <c r="AE29">
        <f>ROUND(((EU29*0.8)),6)</f>
        <v>0.25600000000000001</v>
      </c>
      <c r="AF29">
        <f>ROUND(((EV29*0.8)),6)</f>
        <v>75.256</v>
      </c>
      <c r="AG29">
        <f t="shared" si="32"/>
        <v>0</v>
      </c>
      <c r="AH29">
        <f>((EW29*0.8))</f>
        <v>6.5040000000000013</v>
      </c>
      <c r="AI29">
        <f>((EX29*0.8))</f>
        <v>0</v>
      </c>
      <c r="AJ29">
        <f t="shared" si="33"/>
        <v>0</v>
      </c>
      <c r="AK29">
        <v>680.57</v>
      </c>
      <c r="AL29">
        <v>584.91999999999996</v>
      </c>
      <c r="AM29">
        <v>1.58</v>
      </c>
      <c r="AN29">
        <v>0.32</v>
      </c>
      <c r="AO29">
        <v>94.07</v>
      </c>
      <c r="AP29">
        <v>0</v>
      </c>
      <c r="AQ29">
        <v>8.1300000000000008</v>
      </c>
      <c r="AR29">
        <v>0</v>
      </c>
      <c r="AS29">
        <v>0</v>
      </c>
      <c r="AT29">
        <v>90</v>
      </c>
      <c r="AU29">
        <v>41</v>
      </c>
      <c r="AV29">
        <v>1</v>
      </c>
      <c r="AW29">
        <v>1</v>
      </c>
      <c r="AZ29">
        <v>1</v>
      </c>
      <c r="BA29">
        <v>25.44</v>
      </c>
      <c r="BB29">
        <v>9.1300000000000008</v>
      </c>
      <c r="BC29">
        <v>4.09</v>
      </c>
      <c r="BD29" t="s">
        <v>3</v>
      </c>
      <c r="BE29" t="s">
        <v>3</v>
      </c>
      <c r="BF29" t="s">
        <v>3</v>
      </c>
      <c r="BG29" t="s">
        <v>3</v>
      </c>
      <c r="BH29">
        <v>0</v>
      </c>
      <c r="BI29">
        <v>1</v>
      </c>
      <c r="BJ29" t="s">
        <v>29</v>
      </c>
      <c r="BM29">
        <v>1526</v>
      </c>
      <c r="BN29">
        <v>0</v>
      </c>
      <c r="BO29" t="s">
        <v>27</v>
      </c>
      <c r="BP29">
        <v>1</v>
      </c>
      <c r="BQ29">
        <v>30</v>
      </c>
      <c r="BR29">
        <v>0</v>
      </c>
      <c r="BS29">
        <v>25.44</v>
      </c>
      <c r="BT29">
        <v>1</v>
      </c>
      <c r="BU29">
        <v>1</v>
      </c>
      <c r="BV29">
        <v>1</v>
      </c>
      <c r="BW29">
        <v>1</v>
      </c>
      <c r="BX29">
        <v>1</v>
      </c>
      <c r="BY29" t="s">
        <v>3</v>
      </c>
      <c r="BZ29">
        <v>90</v>
      </c>
      <c r="CA29">
        <v>41</v>
      </c>
      <c r="CB29" t="s">
        <v>3</v>
      </c>
      <c r="CE29">
        <v>30</v>
      </c>
      <c r="CF29">
        <v>0</v>
      </c>
      <c r="CG29">
        <v>0</v>
      </c>
      <c r="CM29">
        <v>0</v>
      </c>
      <c r="CN29" t="s">
        <v>1582</v>
      </c>
      <c r="CO29">
        <v>0</v>
      </c>
      <c r="CP29">
        <f t="shared" si="34"/>
        <v>15157.93</v>
      </c>
      <c r="CQ29">
        <f t="shared" si="35"/>
        <v>0</v>
      </c>
      <c r="CR29">
        <f>(ROUND((ROUND((((ET29*0.8))*AV29*1),2)*BB29),2)+ROUND((ROUND(((AE29-((EU29*0.8)))*AV29*1),2)*BS29),2))</f>
        <v>11.5</v>
      </c>
      <c r="CS29">
        <f t="shared" si="36"/>
        <v>6.61</v>
      </c>
      <c r="CT29">
        <f t="shared" si="37"/>
        <v>1914.61</v>
      </c>
      <c r="CU29">
        <f t="shared" si="38"/>
        <v>0</v>
      </c>
      <c r="CV29">
        <f t="shared" si="39"/>
        <v>6.5040000000000013</v>
      </c>
      <c r="CW29">
        <f t="shared" si="40"/>
        <v>0</v>
      </c>
      <c r="CX29">
        <f t="shared" si="41"/>
        <v>0</v>
      </c>
      <c r="CY29">
        <f t="shared" si="42"/>
        <v>13560.381000000001</v>
      </c>
      <c r="CZ29">
        <f t="shared" si="43"/>
        <v>6177.5068999999994</v>
      </c>
      <c r="DC29" t="s">
        <v>3</v>
      </c>
      <c r="DD29" t="s">
        <v>30</v>
      </c>
      <c r="DE29" t="s">
        <v>31</v>
      </c>
      <c r="DF29" t="s">
        <v>31</v>
      </c>
      <c r="DG29" t="s">
        <v>31</v>
      </c>
      <c r="DH29" t="s">
        <v>3</v>
      </c>
      <c r="DI29" t="s">
        <v>31</v>
      </c>
      <c r="DJ29" t="s">
        <v>31</v>
      </c>
      <c r="DK29" t="s">
        <v>3</v>
      </c>
      <c r="DL29" t="s">
        <v>3</v>
      </c>
      <c r="DM29" t="s">
        <v>3</v>
      </c>
      <c r="DN29">
        <v>156</v>
      </c>
      <c r="DO29">
        <v>84</v>
      </c>
      <c r="DP29">
        <v>1</v>
      </c>
      <c r="DQ29">
        <v>1</v>
      </c>
      <c r="DU29">
        <v>1005</v>
      </c>
      <c r="DV29" t="s">
        <v>18</v>
      </c>
      <c r="DW29" t="s">
        <v>18</v>
      </c>
      <c r="DX29">
        <v>100</v>
      </c>
      <c r="DZ29" t="s">
        <v>3</v>
      </c>
      <c r="EA29" t="s">
        <v>3</v>
      </c>
      <c r="EB29" t="s">
        <v>3</v>
      </c>
      <c r="EC29" t="s">
        <v>3</v>
      </c>
      <c r="EE29">
        <v>43089604</v>
      </c>
      <c r="EF29">
        <v>30</v>
      </c>
      <c r="EG29" t="s">
        <v>22</v>
      </c>
      <c r="EH29">
        <v>0</v>
      </c>
      <c r="EI29" t="s">
        <v>3</v>
      </c>
      <c r="EJ29">
        <v>1</v>
      </c>
      <c r="EK29">
        <v>1526</v>
      </c>
      <c r="EL29" t="s">
        <v>32</v>
      </c>
      <c r="EM29" t="s">
        <v>33</v>
      </c>
      <c r="EO29" t="s">
        <v>34</v>
      </c>
      <c r="EQ29">
        <v>0</v>
      </c>
      <c r="ER29">
        <v>680.57</v>
      </c>
      <c r="ES29">
        <v>584.91999999999996</v>
      </c>
      <c r="ET29">
        <v>1.58</v>
      </c>
      <c r="EU29">
        <v>0.32</v>
      </c>
      <c r="EV29">
        <v>94.07</v>
      </c>
      <c r="EW29">
        <v>8.1300000000000008</v>
      </c>
      <c r="EX29">
        <v>0</v>
      </c>
      <c r="EY29">
        <v>0</v>
      </c>
      <c r="FQ29">
        <v>0</v>
      </c>
      <c r="FR29">
        <f t="shared" si="44"/>
        <v>0</v>
      </c>
      <c r="FS29">
        <v>0</v>
      </c>
      <c r="FX29">
        <v>156</v>
      </c>
      <c r="FY29">
        <v>84</v>
      </c>
      <c r="GA29" t="s">
        <v>3</v>
      </c>
      <c r="GD29">
        <v>0</v>
      </c>
      <c r="GF29">
        <v>-763232771</v>
      </c>
      <c r="GG29">
        <v>2</v>
      </c>
      <c r="GH29">
        <v>1</v>
      </c>
      <c r="GI29">
        <v>2</v>
      </c>
      <c r="GJ29">
        <v>0</v>
      </c>
      <c r="GK29">
        <f>ROUND(R29*(R12)/100,2)</f>
        <v>80.27</v>
      </c>
      <c r="GL29">
        <f t="shared" si="45"/>
        <v>0</v>
      </c>
      <c r="GM29">
        <f t="shared" si="46"/>
        <v>34976.089999999997</v>
      </c>
      <c r="GN29">
        <f t="shared" si="47"/>
        <v>34976.089999999997</v>
      </c>
      <c r="GO29">
        <f t="shared" si="48"/>
        <v>0</v>
      </c>
      <c r="GP29">
        <f t="shared" si="49"/>
        <v>0</v>
      </c>
      <c r="GR29">
        <v>0</v>
      </c>
      <c r="GS29">
        <v>3</v>
      </c>
      <c r="GT29">
        <v>0</v>
      </c>
      <c r="GU29" t="s">
        <v>3</v>
      </c>
      <c r="GV29">
        <f t="shared" si="50"/>
        <v>0</v>
      </c>
      <c r="GW29">
        <v>1</v>
      </c>
      <c r="GX29">
        <f t="shared" si="51"/>
        <v>0</v>
      </c>
      <c r="HA29">
        <v>0</v>
      </c>
      <c r="HB29">
        <v>0</v>
      </c>
      <c r="HC29">
        <f t="shared" si="52"/>
        <v>0</v>
      </c>
      <c r="HE29" t="s">
        <v>3</v>
      </c>
      <c r="HF29" t="s">
        <v>3</v>
      </c>
      <c r="HM29" t="s">
        <v>3</v>
      </c>
      <c r="IK29">
        <v>0</v>
      </c>
    </row>
    <row r="30" spans="1:245" x14ac:dyDescent="0.2">
      <c r="A30">
        <v>17</v>
      </c>
      <c r="B30">
        <v>1</v>
      </c>
      <c r="C30">
        <f>ROW(SmtRes!A11)</f>
        <v>11</v>
      </c>
      <c r="D30">
        <f>ROW(EtalonRes!A12)</f>
        <v>12</v>
      </c>
      <c r="E30" t="s">
        <v>35</v>
      </c>
      <c r="F30" t="s">
        <v>36</v>
      </c>
      <c r="G30" t="s">
        <v>37</v>
      </c>
      <c r="H30" t="s">
        <v>38</v>
      </c>
      <c r="I30">
        <f>ROUND(157.4/100,9)</f>
        <v>1.5740000000000001</v>
      </c>
      <c r="J30">
        <v>0</v>
      </c>
      <c r="K30">
        <f>ROUND(157.4/100,9)</f>
        <v>1.5740000000000001</v>
      </c>
      <c r="O30">
        <f t="shared" si="21"/>
        <v>53482.89</v>
      </c>
      <c r="P30">
        <f t="shared" si="22"/>
        <v>0</v>
      </c>
      <c r="Q30">
        <f>(ROUND((ROUND(((ET30)*AV30*I30),2)*BB30),2)+ROUND((ROUND(((AE30-(EU30))*AV30*I30),2)*BS30),2))</f>
        <v>28468.76</v>
      </c>
      <c r="R30">
        <f t="shared" si="23"/>
        <v>7586.97</v>
      </c>
      <c r="S30">
        <f t="shared" si="24"/>
        <v>25014.13</v>
      </c>
      <c r="T30">
        <f t="shared" si="25"/>
        <v>0</v>
      </c>
      <c r="U30">
        <f t="shared" si="26"/>
        <v>77.912999999999997</v>
      </c>
      <c r="V30">
        <f t="shared" si="27"/>
        <v>0</v>
      </c>
      <c r="W30">
        <f t="shared" si="28"/>
        <v>0</v>
      </c>
      <c r="X30">
        <f t="shared" si="29"/>
        <v>17009.61</v>
      </c>
      <c r="Y30">
        <f t="shared" si="30"/>
        <v>10255.790000000001</v>
      </c>
      <c r="AA30">
        <v>42938047</v>
      </c>
      <c r="AB30">
        <f t="shared" si="31"/>
        <v>2830.41</v>
      </c>
      <c r="AC30">
        <f t="shared" ref="AC30:AC62" si="53">ROUND((ES30),6)</f>
        <v>0</v>
      </c>
      <c r="AD30">
        <f>ROUND((((ET30)-(EU30))+AE30),6)</f>
        <v>2205.7199999999998</v>
      </c>
      <c r="AE30">
        <f>ROUND((EU30),6)</f>
        <v>189.47</v>
      </c>
      <c r="AF30">
        <f>ROUND((EV30),6)</f>
        <v>624.69000000000005</v>
      </c>
      <c r="AG30">
        <f t="shared" si="32"/>
        <v>0</v>
      </c>
      <c r="AH30">
        <f>(EW30)</f>
        <v>49.5</v>
      </c>
      <c r="AI30">
        <f>(EX30)</f>
        <v>0</v>
      </c>
      <c r="AJ30">
        <f t="shared" si="33"/>
        <v>0</v>
      </c>
      <c r="AK30">
        <v>2830.41</v>
      </c>
      <c r="AL30">
        <v>0</v>
      </c>
      <c r="AM30">
        <v>2205.7199999999998</v>
      </c>
      <c r="AN30">
        <v>189.47</v>
      </c>
      <c r="AO30">
        <v>624.69000000000005</v>
      </c>
      <c r="AP30">
        <v>0</v>
      </c>
      <c r="AQ30">
        <v>49.5</v>
      </c>
      <c r="AR30">
        <v>0</v>
      </c>
      <c r="AS30">
        <v>0</v>
      </c>
      <c r="AT30">
        <v>68</v>
      </c>
      <c r="AU30">
        <v>41</v>
      </c>
      <c r="AV30">
        <v>1</v>
      </c>
      <c r="AW30">
        <v>1</v>
      </c>
      <c r="AZ30">
        <v>1</v>
      </c>
      <c r="BA30">
        <v>25.44</v>
      </c>
      <c r="BB30">
        <v>8.1999999999999993</v>
      </c>
      <c r="BC30">
        <v>1</v>
      </c>
      <c r="BD30" t="s">
        <v>3</v>
      </c>
      <c r="BE30" t="s">
        <v>3</v>
      </c>
      <c r="BF30" t="s">
        <v>3</v>
      </c>
      <c r="BG30" t="s">
        <v>3</v>
      </c>
      <c r="BH30">
        <v>0</v>
      </c>
      <c r="BI30">
        <v>1</v>
      </c>
      <c r="BJ30" t="s">
        <v>39</v>
      </c>
      <c r="BM30">
        <v>674</v>
      </c>
      <c r="BN30">
        <v>0</v>
      </c>
      <c r="BO30" t="s">
        <v>36</v>
      </c>
      <c r="BP30">
        <v>1</v>
      </c>
      <c r="BQ30">
        <v>60</v>
      </c>
      <c r="BR30">
        <v>0</v>
      </c>
      <c r="BS30">
        <v>25.44</v>
      </c>
      <c r="BT30">
        <v>1</v>
      </c>
      <c r="BU30">
        <v>1</v>
      </c>
      <c r="BV30">
        <v>1</v>
      </c>
      <c r="BW30">
        <v>1</v>
      </c>
      <c r="BX30">
        <v>1</v>
      </c>
      <c r="BY30" t="s">
        <v>3</v>
      </c>
      <c r="BZ30">
        <v>68</v>
      </c>
      <c r="CA30">
        <v>41</v>
      </c>
      <c r="CB30" t="s">
        <v>3</v>
      </c>
      <c r="CE30">
        <v>30</v>
      </c>
      <c r="CF30">
        <v>0</v>
      </c>
      <c r="CG30">
        <v>0</v>
      </c>
      <c r="CM30">
        <v>0</v>
      </c>
      <c r="CN30" t="s">
        <v>3</v>
      </c>
      <c r="CO30">
        <v>0</v>
      </c>
      <c r="CP30">
        <f t="shared" si="34"/>
        <v>53482.89</v>
      </c>
      <c r="CQ30">
        <f t="shared" si="35"/>
        <v>0</v>
      </c>
      <c r="CR30">
        <f>(ROUND((ROUND(((ET30)*AV30*1),2)*BB30),2)+ROUND((ROUND(((AE30-(EU30))*AV30*1),2)*BS30),2))</f>
        <v>18086.900000000001</v>
      </c>
      <c r="CS30">
        <f t="shared" si="36"/>
        <v>4820.12</v>
      </c>
      <c r="CT30">
        <f t="shared" si="37"/>
        <v>15892.11</v>
      </c>
      <c r="CU30">
        <f t="shared" si="38"/>
        <v>0</v>
      </c>
      <c r="CV30">
        <f t="shared" si="39"/>
        <v>49.5</v>
      </c>
      <c r="CW30">
        <f t="shared" si="40"/>
        <v>0</v>
      </c>
      <c r="CX30">
        <f t="shared" si="41"/>
        <v>0</v>
      </c>
      <c r="CY30">
        <f t="shared" si="42"/>
        <v>17009.608400000001</v>
      </c>
      <c r="CZ30">
        <f t="shared" si="43"/>
        <v>10255.793299999999</v>
      </c>
      <c r="DC30" t="s">
        <v>3</v>
      </c>
      <c r="DD30" t="s">
        <v>3</v>
      </c>
      <c r="DE30" t="s">
        <v>3</v>
      </c>
      <c r="DF30" t="s">
        <v>3</v>
      </c>
      <c r="DG30" t="s">
        <v>3</v>
      </c>
      <c r="DH30" t="s">
        <v>3</v>
      </c>
      <c r="DI30" t="s">
        <v>3</v>
      </c>
      <c r="DJ30" t="s">
        <v>3</v>
      </c>
      <c r="DK30" t="s">
        <v>3</v>
      </c>
      <c r="DL30" t="s">
        <v>3</v>
      </c>
      <c r="DM30" t="s">
        <v>3</v>
      </c>
      <c r="DN30">
        <v>80</v>
      </c>
      <c r="DO30">
        <v>55</v>
      </c>
      <c r="DP30">
        <v>1</v>
      </c>
      <c r="DQ30">
        <v>1</v>
      </c>
      <c r="DU30">
        <v>1007</v>
      </c>
      <c r="DV30" t="s">
        <v>38</v>
      </c>
      <c r="DW30" t="s">
        <v>38</v>
      </c>
      <c r="DX30">
        <v>100</v>
      </c>
      <c r="DZ30" t="s">
        <v>3</v>
      </c>
      <c r="EA30" t="s">
        <v>3</v>
      </c>
      <c r="EB30" t="s">
        <v>3</v>
      </c>
      <c r="EC30" t="s">
        <v>3</v>
      </c>
      <c r="EE30">
        <v>43088752</v>
      </c>
      <c r="EF30">
        <v>60</v>
      </c>
      <c r="EG30" t="s">
        <v>40</v>
      </c>
      <c r="EH30">
        <v>0</v>
      </c>
      <c r="EI30" t="s">
        <v>3</v>
      </c>
      <c r="EJ30">
        <v>1</v>
      </c>
      <c r="EK30">
        <v>674</v>
      </c>
      <c r="EL30" t="s">
        <v>41</v>
      </c>
      <c r="EM30" t="s">
        <v>42</v>
      </c>
      <c r="EO30" t="s">
        <v>3</v>
      </c>
      <c r="EQ30">
        <v>0</v>
      </c>
      <c r="ER30">
        <v>2830.41</v>
      </c>
      <c r="ES30">
        <v>0</v>
      </c>
      <c r="ET30">
        <v>2205.7199999999998</v>
      </c>
      <c r="EU30">
        <v>189.47</v>
      </c>
      <c r="EV30">
        <v>624.69000000000005</v>
      </c>
      <c r="EW30">
        <v>49.5</v>
      </c>
      <c r="EX30">
        <v>0</v>
      </c>
      <c r="EY30">
        <v>0</v>
      </c>
      <c r="FQ30">
        <v>0</v>
      </c>
      <c r="FR30">
        <f t="shared" si="44"/>
        <v>0</v>
      </c>
      <c r="FS30">
        <v>0</v>
      </c>
      <c r="FX30">
        <v>80</v>
      </c>
      <c r="FY30">
        <v>55</v>
      </c>
      <c r="GA30" t="s">
        <v>3</v>
      </c>
      <c r="GD30">
        <v>0</v>
      </c>
      <c r="GF30">
        <v>-218904464</v>
      </c>
      <c r="GG30">
        <v>2</v>
      </c>
      <c r="GH30">
        <v>1</v>
      </c>
      <c r="GI30">
        <v>2</v>
      </c>
      <c r="GJ30">
        <v>0</v>
      </c>
      <c r="GK30">
        <f>ROUND(R30*(R12)/100,2)</f>
        <v>11911.54</v>
      </c>
      <c r="GL30">
        <f t="shared" si="45"/>
        <v>0</v>
      </c>
      <c r="GM30">
        <f t="shared" si="46"/>
        <v>92659.83</v>
      </c>
      <c r="GN30">
        <f t="shared" si="47"/>
        <v>92659.83</v>
      </c>
      <c r="GO30">
        <f t="shared" si="48"/>
        <v>0</v>
      </c>
      <c r="GP30">
        <f t="shared" si="49"/>
        <v>0</v>
      </c>
      <c r="GR30">
        <v>0</v>
      </c>
      <c r="GS30">
        <v>3</v>
      </c>
      <c r="GT30">
        <v>0</v>
      </c>
      <c r="GU30" t="s">
        <v>3</v>
      </c>
      <c r="GV30">
        <f t="shared" si="50"/>
        <v>0</v>
      </c>
      <c r="GW30">
        <v>1</v>
      </c>
      <c r="GX30">
        <f t="shared" si="51"/>
        <v>0</v>
      </c>
      <c r="HA30">
        <v>0</v>
      </c>
      <c r="HB30">
        <v>0</v>
      </c>
      <c r="HC30">
        <f t="shared" si="52"/>
        <v>0</v>
      </c>
      <c r="HE30" t="s">
        <v>3</v>
      </c>
      <c r="HF30" t="s">
        <v>3</v>
      </c>
      <c r="HM30" t="s">
        <v>3</v>
      </c>
      <c r="IK30">
        <v>0</v>
      </c>
    </row>
    <row r="31" spans="1:245" x14ac:dyDescent="0.2">
      <c r="A31">
        <v>17</v>
      </c>
      <c r="B31">
        <v>1</v>
      </c>
      <c r="C31">
        <f>ROW(SmtRes!A12)</f>
        <v>12</v>
      </c>
      <c r="D31">
        <f>ROW(EtalonRes!A13)</f>
        <v>13</v>
      </c>
      <c r="E31" t="s">
        <v>43</v>
      </c>
      <c r="F31" t="s">
        <v>44</v>
      </c>
      <c r="G31" t="s">
        <v>45</v>
      </c>
      <c r="H31" t="s">
        <v>18</v>
      </c>
      <c r="I31">
        <f>ROUND(787/100,9)</f>
        <v>7.87</v>
      </c>
      <c r="J31">
        <v>0</v>
      </c>
      <c r="K31">
        <f>ROUND(787/100,9)</f>
        <v>7.87</v>
      </c>
      <c r="O31">
        <f t="shared" si="21"/>
        <v>6000.28</v>
      </c>
      <c r="P31">
        <f t="shared" si="22"/>
        <v>0</v>
      </c>
      <c r="Q31">
        <f>(ROUND((ROUND((((ET31*1.25))*AV31*I31),2)*BB31),2)+ROUND((ROUND(((AE31-((EU31*1.25)))*AV31*I31),2)*BS31),2))</f>
        <v>0</v>
      </c>
      <c r="R31">
        <f t="shared" si="23"/>
        <v>0</v>
      </c>
      <c r="S31">
        <f t="shared" si="24"/>
        <v>6000.28</v>
      </c>
      <c r="T31">
        <f t="shared" si="25"/>
        <v>0</v>
      </c>
      <c r="U31">
        <f t="shared" si="26"/>
        <v>23.078774999999997</v>
      </c>
      <c r="V31">
        <f t="shared" si="27"/>
        <v>0</v>
      </c>
      <c r="W31">
        <f t="shared" si="28"/>
        <v>0</v>
      </c>
      <c r="X31">
        <f t="shared" si="29"/>
        <v>5400.25</v>
      </c>
      <c r="Y31">
        <f t="shared" si="30"/>
        <v>2460.11</v>
      </c>
      <c r="AA31">
        <v>42938047</v>
      </c>
      <c r="AB31">
        <f t="shared" si="31"/>
        <v>29.969000000000001</v>
      </c>
      <c r="AC31">
        <f t="shared" si="53"/>
        <v>0</v>
      </c>
      <c r="AD31">
        <f>ROUND(((((ET31*1.25))-((EU31*1.25)))+AE31),6)</f>
        <v>0</v>
      </c>
      <c r="AE31">
        <f>ROUND(((EU31*1.25)),6)</f>
        <v>0</v>
      </c>
      <c r="AF31">
        <f>ROUND((((EV31*0.25)*1.15)),6)</f>
        <v>29.969000000000001</v>
      </c>
      <c r="AG31">
        <f t="shared" si="32"/>
        <v>0</v>
      </c>
      <c r="AH31">
        <f>(((EW31*0.25)*1.15))</f>
        <v>2.9324999999999997</v>
      </c>
      <c r="AI31">
        <f>((EX31*1.25))</f>
        <v>0</v>
      </c>
      <c r="AJ31">
        <f t="shared" si="33"/>
        <v>0</v>
      </c>
      <c r="AK31">
        <v>104.24</v>
      </c>
      <c r="AL31">
        <v>0</v>
      </c>
      <c r="AM31">
        <v>0</v>
      </c>
      <c r="AN31">
        <v>0</v>
      </c>
      <c r="AO31">
        <v>104.24</v>
      </c>
      <c r="AP31">
        <v>0</v>
      </c>
      <c r="AQ31">
        <v>10.199999999999999</v>
      </c>
      <c r="AR31">
        <v>0</v>
      </c>
      <c r="AS31">
        <v>0</v>
      </c>
      <c r="AT31">
        <v>90</v>
      </c>
      <c r="AU31">
        <v>41</v>
      </c>
      <c r="AV31">
        <v>1</v>
      </c>
      <c r="AW31">
        <v>1</v>
      </c>
      <c r="AZ31">
        <v>1</v>
      </c>
      <c r="BA31">
        <v>25.44</v>
      </c>
      <c r="BB31">
        <v>1</v>
      </c>
      <c r="BC31">
        <v>1</v>
      </c>
      <c r="BD31" t="s">
        <v>3</v>
      </c>
      <c r="BE31" t="s">
        <v>3</v>
      </c>
      <c r="BF31" t="s">
        <v>3</v>
      </c>
      <c r="BG31" t="s">
        <v>3</v>
      </c>
      <c r="BH31">
        <v>0</v>
      </c>
      <c r="BI31">
        <v>1</v>
      </c>
      <c r="BJ31" t="s">
        <v>46</v>
      </c>
      <c r="BM31">
        <v>292</v>
      </c>
      <c r="BN31">
        <v>0</v>
      </c>
      <c r="BO31" t="s">
        <v>44</v>
      </c>
      <c r="BP31">
        <v>1</v>
      </c>
      <c r="BQ31">
        <v>30</v>
      </c>
      <c r="BR31">
        <v>0</v>
      </c>
      <c r="BS31">
        <v>25.44</v>
      </c>
      <c r="BT31">
        <v>1</v>
      </c>
      <c r="BU31">
        <v>1</v>
      </c>
      <c r="BV31">
        <v>1</v>
      </c>
      <c r="BW31">
        <v>1</v>
      </c>
      <c r="BX31">
        <v>1</v>
      </c>
      <c r="BY31" t="s">
        <v>3</v>
      </c>
      <c r="BZ31">
        <v>90</v>
      </c>
      <c r="CA31">
        <v>41</v>
      </c>
      <c r="CB31" t="s">
        <v>3</v>
      </c>
      <c r="CE31">
        <v>30</v>
      </c>
      <c r="CF31">
        <v>0</v>
      </c>
      <c r="CG31">
        <v>0</v>
      </c>
      <c r="CM31">
        <v>0</v>
      </c>
      <c r="CN31" t="s">
        <v>1583</v>
      </c>
      <c r="CO31">
        <v>0</v>
      </c>
      <c r="CP31">
        <f t="shared" si="34"/>
        <v>6000.28</v>
      </c>
      <c r="CQ31">
        <f t="shared" si="35"/>
        <v>0</v>
      </c>
      <c r="CR31">
        <f>(ROUND((ROUND((((ET31*1.25))*AV31*1),2)*BB31),2)+ROUND((ROUND(((AE31-((EU31*1.25)))*AV31*1),2)*BS31),2))</f>
        <v>0</v>
      </c>
      <c r="CS31">
        <f t="shared" si="36"/>
        <v>0</v>
      </c>
      <c r="CT31">
        <f t="shared" si="37"/>
        <v>762.44</v>
      </c>
      <c r="CU31">
        <f t="shared" si="38"/>
        <v>0</v>
      </c>
      <c r="CV31">
        <f t="shared" si="39"/>
        <v>2.9324999999999997</v>
      </c>
      <c r="CW31">
        <f t="shared" si="40"/>
        <v>0</v>
      </c>
      <c r="CX31">
        <f t="shared" si="41"/>
        <v>0</v>
      </c>
      <c r="CY31">
        <f t="shared" si="42"/>
        <v>5400.2519999999995</v>
      </c>
      <c r="CZ31">
        <f t="shared" si="43"/>
        <v>2460.1147999999998</v>
      </c>
      <c r="DC31" t="s">
        <v>3</v>
      </c>
      <c r="DD31" t="s">
        <v>3</v>
      </c>
      <c r="DE31" t="s">
        <v>47</v>
      </c>
      <c r="DF31" t="s">
        <v>47</v>
      </c>
      <c r="DG31" t="s">
        <v>48</v>
      </c>
      <c r="DH31" t="s">
        <v>3</v>
      </c>
      <c r="DI31" t="s">
        <v>48</v>
      </c>
      <c r="DJ31" t="s">
        <v>47</v>
      </c>
      <c r="DK31" t="s">
        <v>3</v>
      </c>
      <c r="DL31" t="s">
        <v>3</v>
      </c>
      <c r="DM31" t="s">
        <v>3</v>
      </c>
      <c r="DN31">
        <v>156</v>
      </c>
      <c r="DO31">
        <v>84</v>
      </c>
      <c r="DP31">
        <v>1</v>
      </c>
      <c r="DQ31">
        <v>1</v>
      </c>
      <c r="DU31">
        <v>1005</v>
      </c>
      <c r="DV31" t="s">
        <v>18</v>
      </c>
      <c r="DW31" t="s">
        <v>18</v>
      </c>
      <c r="DX31">
        <v>100</v>
      </c>
      <c r="DZ31" t="s">
        <v>3</v>
      </c>
      <c r="EA31" t="s">
        <v>3</v>
      </c>
      <c r="EB31" t="s">
        <v>3</v>
      </c>
      <c r="EC31" t="s">
        <v>3</v>
      </c>
      <c r="EE31">
        <v>43088370</v>
      </c>
      <c r="EF31">
        <v>30</v>
      </c>
      <c r="EG31" t="s">
        <v>22</v>
      </c>
      <c r="EH31">
        <v>0</v>
      </c>
      <c r="EI31" t="s">
        <v>3</v>
      </c>
      <c r="EJ31">
        <v>1</v>
      </c>
      <c r="EK31">
        <v>292</v>
      </c>
      <c r="EL31" t="s">
        <v>23</v>
      </c>
      <c r="EM31" t="s">
        <v>24</v>
      </c>
      <c r="EO31" t="s">
        <v>49</v>
      </c>
      <c r="EQ31">
        <v>0</v>
      </c>
      <c r="ER31">
        <v>104.24</v>
      </c>
      <c r="ES31">
        <v>0</v>
      </c>
      <c r="ET31">
        <v>0</v>
      </c>
      <c r="EU31">
        <v>0</v>
      </c>
      <c r="EV31">
        <v>104.24</v>
      </c>
      <c r="EW31">
        <v>10.199999999999999</v>
      </c>
      <c r="EX31">
        <v>0</v>
      </c>
      <c r="EY31">
        <v>0</v>
      </c>
      <c r="FQ31">
        <v>0</v>
      </c>
      <c r="FR31">
        <f t="shared" si="44"/>
        <v>0</v>
      </c>
      <c r="FS31">
        <v>0</v>
      </c>
      <c r="FX31">
        <v>156</v>
      </c>
      <c r="FY31">
        <v>84</v>
      </c>
      <c r="GA31" t="s">
        <v>3</v>
      </c>
      <c r="GD31">
        <v>0</v>
      </c>
      <c r="GF31">
        <v>583618684</v>
      </c>
      <c r="GG31">
        <v>2</v>
      </c>
      <c r="GH31">
        <v>1</v>
      </c>
      <c r="GI31">
        <v>2</v>
      </c>
      <c r="GJ31">
        <v>0</v>
      </c>
      <c r="GK31">
        <f>ROUND(R31*(R12)/100,2)</f>
        <v>0</v>
      </c>
      <c r="GL31">
        <f t="shared" si="45"/>
        <v>0</v>
      </c>
      <c r="GM31">
        <f t="shared" si="46"/>
        <v>13860.64</v>
      </c>
      <c r="GN31">
        <f t="shared" si="47"/>
        <v>13860.64</v>
      </c>
      <c r="GO31">
        <f t="shared" si="48"/>
        <v>0</v>
      </c>
      <c r="GP31">
        <f t="shared" si="49"/>
        <v>0</v>
      </c>
      <c r="GR31">
        <v>0</v>
      </c>
      <c r="GS31">
        <v>3</v>
      </c>
      <c r="GT31">
        <v>0</v>
      </c>
      <c r="GU31" t="s">
        <v>3</v>
      </c>
      <c r="GV31">
        <f t="shared" si="50"/>
        <v>0</v>
      </c>
      <c r="GW31">
        <v>1</v>
      </c>
      <c r="GX31">
        <f t="shared" si="51"/>
        <v>0</v>
      </c>
      <c r="HA31">
        <v>0</v>
      </c>
      <c r="HB31">
        <v>0</v>
      </c>
      <c r="HC31">
        <f t="shared" si="52"/>
        <v>0</v>
      </c>
      <c r="HE31" t="s">
        <v>3</v>
      </c>
      <c r="HF31" t="s">
        <v>3</v>
      </c>
      <c r="HM31" t="s">
        <v>3</v>
      </c>
      <c r="IK31">
        <v>0</v>
      </c>
    </row>
    <row r="32" spans="1:245" x14ac:dyDescent="0.2">
      <c r="A32">
        <v>17</v>
      </c>
      <c r="B32">
        <v>1</v>
      </c>
      <c r="C32">
        <f>ROW(SmtRes!A13)</f>
        <v>13</v>
      </c>
      <c r="D32">
        <f>ROW(EtalonRes!A14)</f>
        <v>14</v>
      </c>
      <c r="E32" t="s">
        <v>50</v>
      </c>
      <c r="F32" t="s">
        <v>51</v>
      </c>
      <c r="G32" t="s">
        <v>52</v>
      </c>
      <c r="H32" t="s">
        <v>53</v>
      </c>
      <c r="I32">
        <f>ROUND(787/100,9)</f>
        <v>7.87</v>
      </c>
      <c r="J32">
        <v>0</v>
      </c>
      <c r="K32">
        <f>ROUND(787/100,9)</f>
        <v>7.87</v>
      </c>
      <c r="O32">
        <f t="shared" si="21"/>
        <v>4153.09</v>
      </c>
      <c r="P32">
        <f t="shared" si="22"/>
        <v>0</v>
      </c>
      <c r="Q32">
        <f>(ROUND((ROUND(((((ET32*0.75)*1.25))*AV32*I32),2)*BB32),2)+ROUND((ROUND(((AE32-(((EU32*0.75)*1.25)))*AV32*I32),2)*BS32),2))</f>
        <v>4153.09</v>
      </c>
      <c r="R32">
        <f t="shared" si="23"/>
        <v>2195.98</v>
      </c>
      <c r="S32">
        <f t="shared" si="24"/>
        <v>0</v>
      </c>
      <c r="T32">
        <f t="shared" si="25"/>
        <v>0</v>
      </c>
      <c r="U32">
        <f t="shared" si="26"/>
        <v>0</v>
      </c>
      <c r="V32">
        <f t="shared" si="27"/>
        <v>0</v>
      </c>
      <c r="W32">
        <f t="shared" si="28"/>
        <v>0</v>
      </c>
      <c r="X32">
        <f t="shared" si="29"/>
        <v>0</v>
      </c>
      <c r="Y32">
        <f t="shared" si="30"/>
        <v>0</v>
      </c>
      <c r="AA32">
        <v>42938047</v>
      </c>
      <c r="AB32">
        <f t="shared" si="31"/>
        <v>56.259374999999999</v>
      </c>
      <c r="AC32">
        <f t="shared" si="53"/>
        <v>0</v>
      </c>
      <c r="AD32">
        <f>ROUND((((((ET32*0.75)*1.25))-(((EU32*0.75)*1.25)))+AE32),6)</f>
        <v>56.259374999999999</v>
      </c>
      <c r="AE32">
        <f>ROUND((((EU32*0.75)*1.25)),6)</f>
        <v>10.96875</v>
      </c>
      <c r="AF32">
        <f>ROUND((((EV32*0.75)*1.15)),6)</f>
        <v>0</v>
      </c>
      <c r="AG32">
        <f t="shared" si="32"/>
        <v>0</v>
      </c>
      <c r="AH32">
        <f>(((EW32*0.75)*1.15))</f>
        <v>0</v>
      </c>
      <c r="AI32">
        <f>(((EX32*0.75)*1.25))</f>
        <v>0</v>
      </c>
      <c r="AJ32">
        <f t="shared" si="33"/>
        <v>0</v>
      </c>
      <c r="AK32">
        <v>60.01</v>
      </c>
      <c r="AL32">
        <v>0</v>
      </c>
      <c r="AM32">
        <v>60.01</v>
      </c>
      <c r="AN32">
        <v>11.7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92</v>
      </c>
      <c r="AU32">
        <v>50</v>
      </c>
      <c r="AV32">
        <v>1</v>
      </c>
      <c r="AW32">
        <v>1</v>
      </c>
      <c r="AZ32">
        <v>1</v>
      </c>
      <c r="BA32">
        <v>25.44</v>
      </c>
      <c r="BB32">
        <v>9.3800000000000008</v>
      </c>
      <c r="BC32">
        <v>1</v>
      </c>
      <c r="BD32" t="s">
        <v>3</v>
      </c>
      <c r="BE32" t="s">
        <v>3</v>
      </c>
      <c r="BF32" t="s">
        <v>3</v>
      </c>
      <c r="BG32" t="s">
        <v>3</v>
      </c>
      <c r="BH32">
        <v>0</v>
      </c>
      <c r="BI32">
        <v>1</v>
      </c>
      <c r="BJ32" t="s">
        <v>54</v>
      </c>
      <c r="BM32">
        <v>1708</v>
      </c>
      <c r="BN32">
        <v>0</v>
      </c>
      <c r="BO32" t="s">
        <v>51</v>
      </c>
      <c r="BP32">
        <v>1</v>
      </c>
      <c r="BQ32">
        <v>30</v>
      </c>
      <c r="BR32">
        <v>0</v>
      </c>
      <c r="BS32">
        <v>25.44</v>
      </c>
      <c r="BT32">
        <v>1</v>
      </c>
      <c r="BU32">
        <v>1</v>
      </c>
      <c r="BV32">
        <v>1</v>
      </c>
      <c r="BW32">
        <v>1</v>
      </c>
      <c r="BX32">
        <v>1</v>
      </c>
      <c r="BY32" t="s">
        <v>3</v>
      </c>
      <c r="BZ32">
        <v>92</v>
      </c>
      <c r="CA32">
        <v>50</v>
      </c>
      <c r="CB32" t="s">
        <v>3</v>
      </c>
      <c r="CE32">
        <v>30</v>
      </c>
      <c r="CF32">
        <v>0</v>
      </c>
      <c r="CG32">
        <v>0</v>
      </c>
      <c r="CM32">
        <v>0</v>
      </c>
      <c r="CN32" t="s">
        <v>1584</v>
      </c>
      <c r="CO32">
        <v>0</v>
      </c>
      <c r="CP32">
        <f t="shared" si="34"/>
        <v>4153.09</v>
      </c>
      <c r="CQ32">
        <f t="shared" si="35"/>
        <v>0</v>
      </c>
      <c r="CR32">
        <f>(ROUND((ROUND(((((ET32*0.75)*1.25))*AV32*1),2)*BB32),2)+ROUND((ROUND(((AE32-(((EU32*0.75)*1.25)))*AV32*1),2)*BS32),2))</f>
        <v>527.72</v>
      </c>
      <c r="CS32">
        <f t="shared" si="36"/>
        <v>279.08</v>
      </c>
      <c r="CT32">
        <f t="shared" si="37"/>
        <v>0</v>
      </c>
      <c r="CU32">
        <f t="shared" si="38"/>
        <v>0</v>
      </c>
      <c r="CV32">
        <f t="shared" si="39"/>
        <v>0</v>
      </c>
      <c r="CW32">
        <f t="shared" si="40"/>
        <v>0</v>
      </c>
      <c r="CX32">
        <f t="shared" si="41"/>
        <v>0</v>
      </c>
      <c r="CY32">
        <f t="shared" si="42"/>
        <v>0</v>
      </c>
      <c r="CZ32">
        <f t="shared" si="43"/>
        <v>0</v>
      </c>
      <c r="DC32" t="s">
        <v>3</v>
      </c>
      <c r="DD32" t="s">
        <v>3</v>
      </c>
      <c r="DE32" t="s">
        <v>55</v>
      </c>
      <c r="DF32" t="s">
        <v>55</v>
      </c>
      <c r="DG32" t="s">
        <v>56</v>
      </c>
      <c r="DH32" t="s">
        <v>3</v>
      </c>
      <c r="DI32" t="s">
        <v>56</v>
      </c>
      <c r="DJ32" t="s">
        <v>55</v>
      </c>
      <c r="DK32" t="s">
        <v>3</v>
      </c>
      <c r="DL32" t="s">
        <v>3</v>
      </c>
      <c r="DM32" t="s">
        <v>3</v>
      </c>
      <c r="DN32">
        <v>98</v>
      </c>
      <c r="DO32">
        <v>77</v>
      </c>
      <c r="DP32">
        <v>1</v>
      </c>
      <c r="DQ32">
        <v>1</v>
      </c>
      <c r="DU32">
        <v>1013</v>
      </c>
      <c r="DV32" t="s">
        <v>53</v>
      </c>
      <c r="DW32" t="s">
        <v>53</v>
      </c>
      <c r="DX32">
        <v>1</v>
      </c>
      <c r="DZ32" t="s">
        <v>3</v>
      </c>
      <c r="EA32" t="s">
        <v>3</v>
      </c>
      <c r="EB32" t="s">
        <v>3</v>
      </c>
      <c r="EC32" t="s">
        <v>3</v>
      </c>
      <c r="EE32">
        <v>43089786</v>
      </c>
      <c r="EF32">
        <v>30</v>
      </c>
      <c r="EG32" t="s">
        <v>22</v>
      </c>
      <c r="EH32">
        <v>0</v>
      </c>
      <c r="EI32" t="s">
        <v>3</v>
      </c>
      <c r="EJ32">
        <v>1</v>
      </c>
      <c r="EK32">
        <v>1708</v>
      </c>
      <c r="EL32" t="s">
        <v>57</v>
      </c>
      <c r="EM32" t="s">
        <v>58</v>
      </c>
      <c r="EO32" t="s">
        <v>59</v>
      </c>
      <c r="EQ32">
        <v>0</v>
      </c>
      <c r="ER32">
        <v>60.01</v>
      </c>
      <c r="ES32">
        <v>0</v>
      </c>
      <c r="ET32">
        <v>60.01</v>
      </c>
      <c r="EU32">
        <v>11.7</v>
      </c>
      <c r="EV32">
        <v>0</v>
      </c>
      <c r="EW32">
        <v>0</v>
      </c>
      <c r="EX32">
        <v>0</v>
      </c>
      <c r="EY32">
        <v>0</v>
      </c>
      <c r="FQ32">
        <v>0</v>
      </c>
      <c r="FR32">
        <f t="shared" si="44"/>
        <v>0</v>
      </c>
      <c r="FS32">
        <v>0</v>
      </c>
      <c r="FX32">
        <v>98</v>
      </c>
      <c r="FY32">
        <v>77</v>
      </c>
      <c r="GA32" t="s">
        <v>3</v>
      </c>
      <c r="GD32">
        <v>0</v>
      </c>
      <c r="GF32">
        <v>441925941</v>
      </c>
      <c r="GG32">
        <v>2</v>
      </c>
      <c r="GH32">
        <v>1</v>
      </c>
      <c r="GI32">
        <v>2</v>
      </c>
      <c r="GJ32">
        <v>0</v>
      </c>
      <c r="GK32">
        <f>ROUND(R32*(R12)/100,2)</f>
        <v>3447.69</v>
      </c>
      <c r="GL32">
        <f t="shared" si="45"/>
        <v>0</v>
      </c>
      <c r="GM32">
        <f t="shared" si="46"/>
        <v>7600.78</v>
      </c>
      <c r="GN32">
        <f t="shared" si="47"/>
        <v>7600.78</v>
      </c>
      <c r="GO32">
        <f t="shared" si="48"/>
        <v>0</v>
      </c>
      <c r="GP32">
        <f t="shared" si="49"/>
        <v>0</v>
      </c>
      <c r="GR32">
        <v>0</v>
      </c>
      <c r="GS32">
        <v>3</v>
      </c>
      <c r="GT32">
        <v>0</v>
      </c>
      <c r="GU32" t="s">
        <v>3</v>
      </c>
      <c r="GV32">
        <f t="shared" si="50"/>
        <v>0</v>
      </c>
      <c r="GW32">
        <v>1</v>
      </c>
      <c r="GX32">
        <f t="shared" si="51"/>
        <v>0</v>
      </c>
      <c r="HA32">
        <v>0</v>
      </c>
      <c r="HB32">
        <v>0</v>
      </c>
      <c r="HC32">
        <f t="shared" si="52"/>
        <v>0</v>
      </c>
      <c r="HE32" t="s">
        <v>3</v>
      </c>
      <c r="HF32" t="s">
        <v>3</v>
      </c>
      <c r="HM32" t="s">
        <v>3</v>
      </c>
      <c r="IK32">
        <v>0</v>
      </c>
    </row>
    <row r="33" spans="1:245" x14ac:dyDescent="0.2">
      <c r="A33">
        <v>17</v>
      </c>
      <c r="B33">
        <v>1</v>
      </c>
      <c r="C33">
        <f>ROW(SmtRes!A14)</f>
        <v>14</v>
      </c>
      <c r="D33">
        <f>ROW(EtalonRes!A15)</f>
        <v>15</v>
      </c>
      <c r="E33" t="s">
        <v>60</v>
      </c>
      <c r="F33" t="s">
        <v>61</v>
      </c>
      <c r="G33" t="s">
        <v>62</v>
      </c>
      <c r="H33" t="s">
        <v>63</v>
      </c>
      <c r="I33">
        <f>ROUND(157.4/100,9)</f>
        <v>1.5740000000000001</v>
      </c>
      <c r="J33">
        <v>0</v>
      </c>
      <c r="K33">
        <f>ROUND(157.4/100,9)</f>
        <v>1.5740000000000001</v>
      </c>
      <c r="O33">
        <f t="shared" si="21"/>
        <v>23515.21</v>
      </c>
      <c r="P33">
        <f t="shared" si="22"/>
        <v>0</v>
      </c>
      <c r="Q33">
        <f>(ROUND((ROUND((((ET33*1.25))*AV33*I33),2)*BB33),2)+ROUND((ROUND(((AE33-((EU33*1.25)))*AV33*I33),2)*BS33),2))</f>
        <v>0</v>
      </c>
      <c r="R33">
        <f t="shared" si="23"/>
        <v>0</v>
      </c>
      <c r="S33">
        <f t="shared" si="24"/>
        <v>23515.21</v>
      </c>
      <c r="T33">
        <f t="shared" si="25"/>
        <v>0</v>
      </c>
      <c r="U33">
        <f t="shared" si="26"/>
        <v>87.201567499999982</v>
      </c>
      <c r="V33">
        <f t="shared" si="27"/>
        <v>0</v>
      </c>
      <c r="W33">
        <f t="shared" si="28"/>
        <v>0</v>
      </c>
      <c r="X33">
        <f t="shared" si="29"/>
        <v>17166.099999999999</v>
      </c>
      <c r="Y33">
        <f t="shared" si="30"/>
        <v>9641.24</v>
      </c>
      <c r="AA33">
        <v>42938047</v>
      </c>
      <c r="AB33">
        <f t="shared" si="31"/>
        <v>587.25324999999998</v>
      </c>
      <c r="AC33">
        <f t="shared" si="53"/>
        <v>0</v>
      </c>
      <c r="AD33">
        <f>ROUND(((((ET33*1.25))-((EU33*1.25)))+AE33),6)</f>
        <v>0</v>
      </c>
      <c r="AE33">
        <f>ROUND(((EU33*1.25)),6)</f>
        <v>0</v>
      </c>
      <c r="AF33">
        <f>ROUND((((EV33*0.25)*1.15)),6)</f>
        <v>587.25324999999998</v>
      </c>
      <c r="AG33">
        <f t="shared" si="32"/>
        <v>0</v>
      </c>
      <c r="AH33">
        <f>(((EW33*0.25)*1.15))</f>
        <v>55.40124999999999</v>
      </c>
      <c r="AI33">
        <f>((EX33*1.25))</f>
        <v>0</v>
      </c>
      <c r="AJ33">
        <f t="shared" si="33"/>
        <v>0</v>
      </c>
      <c r="AK33">
        <v>2042.62</v>
      </c>
      <c r="AL33">
        <v>0</v>
      </c>
      <c r="AM33">
        <v>0</v>
      </c>
      <c r="AN33">
        <v>0</v>
      </c>
      <c r="AO33">
        <v>2042.62</v>
      </c>
      <c r="AP33">
        <v>0</v>
      </c>
      <c r="AQ33">
        <v>192.7</v>
      </c>
      <c r="AR33">
        <v>0</v>
      </c>
      <c r="AS33">
        <v>0</v>
      </c>
      <c r="AT33">
        <v>73</v>
      </c>
      <c r="AU33">
        <v>41</v>
      </c>
      <c r="AV33">
        <v>1</v>
      </c>
      <c r="AW33">
        <v>1</v>
      </c>
      <c r="AZ33">
        <v>1</v>
      </c>
      <c r="BA33">
        <v>25.44</v>
      </c>
      <c r="BB33">
        <v>1</v>
      </c>
      <c r="BC33">
        <v>1</v>
      </c>
      <c r="BD33" t="s">
        <v>3</v>
      </c>
      <c r="BE33" t="s">
        <v>3</v>
      </c>
      <c r="BF33" t="s">
        <v>3</v>
      </c>
      <c r="BG33" t="s">
        <v>3</v>
      </c>
      <c r="BH33">
        <v>0</v>
      </c>
      <c r="BI33">
        <v>1</v>
      </c>
      <c r="BJ33" t="s">
        <v>64</v>
      </c>
      <c r="BM33">
        <v>16</v>
      </c>
      <c r="BN33">
        <v>0</v>
      </c>
      <c r="BO33" t="s">
        <v>61</v>
      </c>
      <c r="BP33">
        <v>1</v>
      </c>
      <c r="BQ33">
        <v>30</v>
      </c>
      <c r="BR33">
        <v>0</v>
      </c>
      <c r="BS33">
        <v>25.44</v>
      </c>
      <c r="BT33">
        <v>1</v>
      </c>
      <c r="BU33">
        <v>1</v>
      </c>
      <c r="BV33">
        <v>1</v>
      </c>
      <c r="BW33">
        <v>1</v>
      </c>
      <c r="BX33">
        <v>1</v>
      </c>
      <c r="BY33" t="s">
        <v>3</v>
      </c>
      <c r="BZ33">
        <v>73</v>
      </c>
      <c r="CA33">
        <v>41</v>
      </c>
      <c r="CB33" t="s">
        <v>3</v>
      </c>
      <c r="CE33">
        <v>30</v>
      </c>
      <c r="CF33">
        <v>0</v>
      </c>
      <c r="CG33">
        <v>0</v>
      </c>
      <c r="CM33">
        <v>0</v>
      </c>
      <c r="CN33" t="s">
        <v>1584</v>
      </c>
      <c r="CO33">
        <v>0</v>
      </c>
      <c r="CP33">
        <f t="shared" si="34"/>
        <v>23515.21</v>
      </c>
      <c r="CQ33">
        <f t="shared" si="35"/>
        <v>0</v>
      </c>
      <c r="CR33">
        <f>(ROUND((ROUND((((ET33*1.25))*AV33*1),2)*BB33),2)+ROUND((ROUND(((AE33-((EU33*1.25)))*AV33*1),2)*BS33),2))</f>
        <v>0</v>
      </c>
      <c r="CS33">
        <f t="shared" si="36"/>
        <v>0</v>
      </c>
      <c r="CT33">
        <f t="shared" si="37"/>
        <v>14939.64</v>
      </c>
      <c r="CU33">
        <f t="shared" si="38"/>
        <v>0</v>
      </c>
      <c r="CV33">
        <f t="shared" si="39"/>
        <v>55.40124999999999</v>
      </c>
      <c r="CW33">
        <f t="shared" si="40"/>
        <v>0</v>
      </c>
      <c r="CX33">
        <f t="shared" si="41"/>
        <v>0</v>
      </c>
      <c r="CY33">
        <f t="shared" si="42"/>
        <v>17166.103299999999</v>
      </c>
      <c r="CZ33">
        <f t="shared" si="43"/>
        <v>9641.2360999999983</v>
      </c>
      <c r="DC33" t="s">
        <v>3</v>
      </c>
      <c r="DD33" t="s">
        <v>3</v>
      </c>
      <c r="DE33" t="s">
        <v>20</v>
      </c>
      <c r="DF33" t="s">
        <v>20</v>
      </c>
      <c r="DG33" t="s">
        <v>65</v>
      </c>
      <c r="DH33" t="s">
        <v>3</v>
      </c>
      <c r="DI33" t="s">
        <v>65</v>
      </c>
      <c r="DJ33" t="s">
        <v>20</v>
      </c>
      <c r="DK33" t="s">
        <v>3</v>
      </c>
      <c r="DL33" t="s">
        <v>3</v>
      </c>
      <c r="DM33" t="s">
        <v>3</v>
      </c>
      <c r="DN33">
        <v>91</v>
      </c>
      <c r="DO33">
        <v>67</v>
      </c>
      <c r="DP33">
        <v>1</v>
      </c>
      <c r="DQ33">
        <v>1</v>
      </c>
      <c r="DU33">
        <v>1013</v>
      </c>
      <c r="DV33" t="s">
        <v>63</v>
      </c>
      <c r="DW33" t="s">
        <v>63</v>
      </c>
      <c r="DX33">
        <v>1</v>
      </c>
      <c r="DZ33" t="s">
        <v>3</v>
      </c>
      <c r="EA33" t="s">
        <v>3</v>
      </c>
      <c r="EB33" t="s">
        <v>3</v>
      </c>
      <c r="EC33" t="s">
        <v>3</v>
      </c>
      <c r="EE33">
        <v>43090095</v>
      </c>
      <c r="EF33">
        <v>30</v>
      </c>
      <c r="EG33" t="s">
        <v>22</v>
      </c>
      <c r="EH33">
        <v>0</v>
      </c>
      <c r="EI33" t="s">
        <v>3</v>
      </c>
      <c r="EJ33">
        <v>1</v>
      </c>
      <c r="EK33">
        <v>16</v>
      </c>
      <c r="EL33" t="s">
        <v>66</v>
      </c>
      <c r="EM33" t="s">
        <v>67</v>
      </c>
      <c r="EO33" t="s">
        <v>59</v>
      </c>
      <c r="EQ33">
        <v>0</v>
      </c>
      <c r="ER33">
        <v>2042.62</v>
      </c>
      <c r="ES33">
        <v>0</v>
      </c>
      <c r="ET33">
        <v>0</v>
      </c>
      <c r="EU33">
        <v>0</v>
      </c>
      <c r="EV33">
        <v>2042.62</v>
      </c>
      <c r="EW33">
        <v>192.7</v>
      </c>
      <c r="EX33">
        <v>0</v>
      </c>
      <c r="EY33">
        <v>0</v>
      </c>
      <c r="FQ33">
        <v>0</v>
      </c>
      <c r="FR33">
        <f t="shared" si="44"/>
        <v>0</v>
      </c>
      <c r="FS33">
        <v>0</v>
      </c>
      <c r="FX33">
        <v>91</v>
      </c>
      <c r="FY33">
        <v>67</v>
      </c>
      <c r="GA33" t="s">
        <v>3</v>
      </c>
      <c r="GD33">
        <v>0</v>
      </c>
      <c r="GF33">
        <v>343186986</v>
      </c>
      <c r="GG33">
        <v>2</v>
      </c>
      <c r="GH33">
        <v>1</v>
      </c>
      <c r="GI33">
        <v>2</v>
      </c>
      <c r="GJ33">
        <v>0</v>
      </c>
      <c r="GK33">
        <f>ROUND(R33*(R12)/100,2)</f>
        <v>0</v>
      </c>
      <c r="GL33">
        <f t="shared" si="45"/>
        <v>0</v>
      </c>
      <c r="GM33">
        <f t="shared" si="46"/>
        <v>50322.55</v>
      </c>
      <c r="GN33">
        <f t="shared" si="47"/>
        <v>50322.55</v>
      </c>
      <c r="GO33">
        <f t="shared" si="48"/>
        <v>0</v>
      </c>
      <c r="GP33">
        <f t="shared" si="49"/>
        <v>0</v>
      </c>
      <c r="GR33">
        <v>0</v>
      </c>
      <c r="GS33">
        <v>3</v>
      </c>
      <c r="GT33">
        <v>0</v>
      </c>
      <c r="GU33" t="s">
        <v>3</v>
      </c>
      <c r="GV33">
        <f t="shared" si="50"/>
        <v>0</v>
      </c>
      <c r="GW33">
        <v>1</v>
      </c>
      <c r="GX33">
        <f t="shared" si="51"/>
        <v>0</v>
      </c>
      <c r="HA33">
        <v>0</v>
      </c>
      <c r="HB33">
        <v>0</v>
      </c>
      <c r="HC33">
        <f t="shared" si="52"/>
        <v>0</v>
      </c>
      <c r="HE33" t="s">
        <v>3</v>
      </c>
      <c r="HF33" t="s">
        <v>3</v>
      </c>
      <c r="HM33" t="s">
        <v>3</v>
      </c>
      <c r="IK33">
        <v>0</v>
      </c>
    </row>
    <row r="34" spans="1:245" x14ac:dyDescent="0.2">
      <c r="A34">
        <v>17</v>
      </c>
      <c r="B34">
        <v>1</v>
      </c>
      <c r="C34">
        <f>ROW(SmtRes!A17)</f>
        <v>17</v>
      </c>
      <c r="D34">
        <f>ROW(EtalonRes!A18)</f>
        <v>18</v>
      </c>
      <c r="E34" t="s">
        <v>68</v>
      </c>
      <c r="F34" t="s">
        <v>69</v>
      </c>
      <c r="G34" t="s">
        <v>70</v>
      </c>
      <c r="H34" t="s">
        <v>63</v>
      </c>
      <c r="I34">
        <f>ROUND(157.4/100,9)</f>
        <v>1.5740000000000001</v>
      </c>
      <c r="J34">
        <v>0</v>
      </c>
      <c r="K34">
        <f>ROUND(157.4/100,9)</f>
        <v>1.5740000000000001</v>
      </c>
      <c r="O34">
        <f t="shared" si="21"/>
        <v>12104.49</v>
      </c>
      <c r="P34">
        <f t="shared" si="22"/>
        <v>0</v>
      </c>
      <c r="Q34">
        <f>(ROUND((ROUND(((((ET34*0.75)*1.25))*AV34*I34),2)*BB34),2)+ROUND((ROUND(((AE34-(((EU34*0.75)*1.25)))*AV34*I34),2)*BS34),2))</f>
        <v>11617.57</v>
      </c>
      <c r="R34">
        <f t="shared" si="23"/>
        <v>3283.54</v>
      </c>
      <c r="S34">
        <f t="shared" si="24"/>
        <v>486.92</v>
      </c>
      <c r="T34">
        <f t="shared" si="25"/>
        <v>0</v>
      </c>
      <c r="U34">
        <f t="shared" si="26"/>
        <v>1.8734534999999999</v>
      </c>
      <c r="V34">
        <f t="shared" si="27"/>
        <v>0</v>
      </c>
      <c r="W34">
        <f t="shared" si="28"/>
        <v>0</v>
      </c>
      <c r="X34">
        <f t="shared" si="29"/>
        <v>447.97</v>
      </c>
      <c r="Y34">
        <f t="shared" si="30"/>
        <v>243.46</v>
      </c>
      <c r="AA34">
        <v>42938047</v>
      </c>
      <c r="AB34">
        <f t="shared" si="31"/>
        <v>838.68937500000004</v>
      </c>
      <c r="AC34">
        <f t="shared" si="53"/>
        <v>0</v>
      </c>
      <c r="AD34">
        <f>ROUND((((((ET34*0.75)*1.25))-(((EU34*0.75)*1.25)))+AE34),6)</f>
        <v>826.52812500000005</v>
      </c>
      <c r="AE34">
        <f>ROUND((((EU34*0.75)*1.25)),6)</f>
        <v>82.003124999999997</v>
      </c>
      <c r="AF34">
        <f>ROUND((((EV34*0.75)*1.15)),6)</f>
        <v>12.161250000000001</v>
      </c>
      <c r="AG34">
        <f t="shared" si="32"/>
        <v>0</v>
      </c>
      <c r="AH34">
        <f>(((EW34*0.75)*1.15))</f>
        <v>1.1902499999999998</v>
      </c>
      <c r="AI34">
        <f>(((EX34*0.75)*1.25))</f>
        <v>0</v>
      </c>
      <c r="AJ34">
        <f t="shared" si="33"/>
        <v>0</v>
      </c>
      <c r="AK34">
        <v>895.73</v>
      </c>
      <c r="AL34">
        <v>0</v>
      </c>
      <c r="AM34">
        <v>881.63</v>
      </c>
      <c r="AN34">
        <v>87.47</v>
      </c>
      <c r="AO34">
        <v>14.1</v>
      </c>
      <c r="AP34">
        <v>0</v>
      </c>
      <c r="AQ34">
        <v>1.38</v>
      </c>
      <c r="AR34">
        <v>0</v>
      </c>
      <c r="AS34">
        <v>0</v>
      </c>
      <c r="AT34">
        <v>92</v>
      </c>
      <c r="AU34">
        <v>50</v>
      </c>
      <c r="AV34">
        <v>1</v>
      </c>
      <c r="AW34">
        <v>1</v>
      </c>
      <c r="AZ34">
        <v>1</v>
      </c>
      <c r="BA34">
        <v>25.44</v>
      </c>
      <c r="BB34">
        <v>8.93</v>
      </c>
      <c r="BC34">
        <v>1</v>
      </c>
      <c r="BD34" t="s">
        <v>3</v>
      </c>
      <c r="BE34" t="s">
        <v>3</v>
      </c>
      <c r="BF34" t="s">
        <v>3</v>
      </c>
      <c r="BG34" t="s">
        <v>3</v>
      </c>
      <c r="BH34">
        <v>0</v>
      </c>
      <c r="BI34">
        <v>1</v>
      </c>
      <c r="BJ34" t="s">
        <v>71</v>
      </c>
      <c r="BM34">
        <v>2</v>
      </c>
      <c r="BN34">
        <v>0</v>
      </c>
      <c r="BO34" t="s">
        <v>69</v>
      </c>
      <c r="BP34">
        <v>1</v>
      </c>
      <c r="BQ34">
        <v>30</v>
      </c>
      <c r="BR34">
        <v>0</v>
      </c>
      <c r="BS34">
        <v>25.44</v>
      </c>
      <c r="BT34">
        <v>1</v>
      </c>
      <c r="BU34">
        <v>1</v>
      </c>
      <c r="BV34">
        <v>1</v>
      </c>
      <c r="BW34">
        <v>1</v>
      </c>
      <c r="BX34">
        <v>1</v>
      </c>
      <c r="BY34" t="s">
        <v>3</v>
      </c>
      <c r="BZ34">
        <v>92</v>
      </c>
      <c r="CA34">
        <v>50</v>
      </c>
      <c r="CB34" t="s">
        <v>3</v>
      </c>
      <c r="CE34">
        <v>30</v>
      </c>
      <c r="CF34">
        <v>0</v>
      </c>
      <c r="CG34">
        <v>0</v>
      </c>
      <c r="CM34">
        <v>0</v>
      </c>
      <c r="CN34" t="s">
        <v>1584</v>
      </c>
      <c r="CO34">
        <v>0</v>
      </c>
      <c r="CP34">
        <f t="shared" si="34"/>
        <v>12104.49</v>
      </c>
      <c r="CQ34">
        <f t="shared" si="35"/>
        <v>0</v>
      </c>
      <c r="CR34">
        <f>(ROUND((ROUND(((((ET34*0.75)*1.25))*AV34*1),2)*BB34),2)+ROUND((ROUND(((AE34-(((EU34*0.75)*1.25)))*AV34*1),2)*BS34),2))</f>
        <v>7380.91</v>
      </c>
      <c r="CS34">
        <f t="shared" si="36"/>
        <v>2086.08</v>
      </c>
      <c r="CT34">
        <f t="shared" si="37"/>
        <v>309.35000000000002</v>
      </c>
      <c r="CU34">
        <f t="shared" si="38"/>
        <v>0</v>
      </c>
      <c r="CV34">
        <f t="shared" si="39"/>
        <v>1.1902499999999998</v>
      </c>
      <c r="CW34">
        <f t="shared" si="40"/>
        <v>0</v>
      </c>
      <c r="CX34">
        <f t="shared" si="41"/>
        <v>0</v>
      </c>
      <c r="CY34">
        <f t="shared" si="42"/>
        <v>447.96640000000002</v>
      </c>
      <c r="CZ34">
        <f t="shared" si="43"/>
        <v>243.46</v>
      </c>
      <c r="DC34" t="s">
        <v>3</v>
      </c>
      <c r="DD34" t="s">
        <v>3</v>
      </c>
      <c r="DE34" t="s">
        <v>55</v>
      </c>
      <c r="DF34" t="s">
        <v>55</v>
      </c>
      <c r="DG34" t="s">
        <v>56</v>
      </c>
      <c r="DH34" t="s">
        <v>3</v>
      </c>
      <c r="DI34" t="s">
        <v>56</v>
      </c>
      <c r="DJ34" t="s">
        <v>55</v>
      </c>
      <c r="DK34" t="s">
        <v>3</v>
      </c>
      <c r="DL34" t="s">
        <v>3</v>
      </c>
      <c r="DM34" t="s">
        <v>3</v>
      </c>
      <c r="DN34">
        <v>98</v>
      </c>
      <c r="DO34">
        <v>77</v>
      </c>
      <c r="DP34">
        <v>1</v>
      </c>
      <c r="DQ34">
        <v>1</v>
      </c>
      <c r="DU34">
        <v>1013</v>
      </c>
      <c r="DV34" t="s">
        <v>63</v>
      </c>
      <c r="DW34" t="s">
        <v>63</v>
      </c>
      <c r="DX34">
        <v>1</v>
      </c>
      <c r="DZ34" t="s">
        <v>3</v>
      </c>
      <c r="EA34" t="s">
        <v>3</v>
      </c>
      <c r="EB34" t="s">
        <v>3</v>
      </c>
      <c r="EC34" t="s">
        <v>3</v>
      </c>
      <c r="EE34">
        <v>43090081</v>
      </c>
      <c r="EF34">
        <v>30</v>
      </c>
      <c r="EG34" t="s">
        <v>22</v>
      </c>
      <c r="EH34">
        <v>0</v>
      </c>
      <c r="EI34" t="s">
        <v>3</v>
      </c>
      <c r="EJ34">
        <v>1</v>
      </c>
      <c r="EK34">
        <v>2</v>
      </c>
      <c r="EL34" t="s">
        <v>72</v>
      </c>
      <c r="EM34" t="s">
        <v>73</v>
      </c>
      <c r="EO34" t="s">
        <v>59</v>
      </c>
      <c r="EQ34">
        <v>0</v>
      </c>
      <c r="ER34">
        <v>895.73</v>
      </c>
      <c r="ES34">
        <v>0</v>
      </c>
      <c r="ET34">
        <v>881.63</v>
      </c>
      <c r="EU34">
        <v>87.47</v>
      </c>
      <c r="EV34">
        <v>14.1</v>
      </c>
      <c r="EW34">
        <v>1.38</v>
      </c>
      <c r="EX34">
        <v>0</v>
      </c>
      <c r="EY34">
        <v>0</v>
      </c>
      <c r="FQ34">
        <v>0</v>
      </c>
      <c r="FR34">
        <f t="shared" si="44"/>
        <v>0</v>
      </c>
      <c r="FS34">
        <v>0</v>
      </c>
      <c r="FX34">
        <v>98</v>
      </c>
      <c r="FY34">
        <v>77</v>
      </c>
      <c r="GA34" t="s">
        <v>3</v>
      </c>
      <c r="GD34">
        <v>0</v>
      </c>
      <c r="GF34">
        <v>-1192952175</v>
      </c>
      <c r="GG34">
        <v>2</v>
      </c>
      <c r="GH34">
        <v>1</v>
      </c>
      <c r="GI34">
        <v>2</v>
      </c>
      <c r="GJ34">
        <v>0</v>
      </c>
      <c r="GK34">
        <f>ROUND(R34*(R12)/100,2)</f>
        <v>5155.16</v>
      </c>
      <c r="GL34">
        <f t="shared" si="45"/>
        <v>0</v>
      </c>
      <c r="GM34">
        <f t="shared" si="46"/>
        <v>17951.080000000002</v>
      </c>
      <c r="GN34">
        <f t="shared" si="47"/>
        <v>17951.080000000002</v>
      </c>
      <c r="GO34">
        <f t="shared" si="48"/>
        <v>0</v>
      </c>
      <c r="GP34">
        <f t="shared" si="49"/>
        <v>0</v>
      </c>
      <c r="GR34">
        <v>0</v>
      </c>
      <c r="GS34">
        <v>3</v>
      </c>
      <c r="GT34">
        <v>0</v>
      </c>
      <c r="GU34" t="s">
        <v>3</v>
      </c>
      <c r="GV34">
        <f t="shared" si="50"/>
        <v>0</v>
      </c>
      <c r="GW34">
        <v>1</v>
      </c>
      <c r="GX34">
        <f t="shared" si="51"/>
        <v>0</v>
      </c>
      <c r="HA34">
        <v>0</v>
      </c>
      <c r="HB34">
        <v>0</v>
      </c>
      <c r="HC34">
        <f t="shared" si="52"/>
        <v>0</v>
      </c>
      <c r="HE34" t="s">
        <v>3</v>
      </c>
      <c r="HF34" t="s">
        <v>3</v>
      </c>
      <c r="HM34" t="s">
        <v>3</v>
      </c>
      <c r="IK34">
        <v>0</v>
      </c>
    </row>
    <row r="35" spans="1:245" x14ac:dyDescent="0.2">
      <c r="A35">
        <v>17</v>
      </c>
      <c r="B35">
        <v>1</v>
      </c>
      <c r="C35">
        <f>ROW(SmtRes!A26)</f>
        <v>26</v>
      </c>
      <c r="D35">
        <f>ROW(EtalonRes!A27)</f>
        <v>27</v>
      </c>
      <c r="E35" t="s">
        <v>74</v>
      </c>
      <c r="F35" t="s">
        <v>75</v>
      </c>
      <c r="G35" t="s">
        <v>76</v>
      </c>
      <c r="H35" t="s">
        <v>77</v>
      </c>
      <c r="I35">
        <f>ROUND(157.4/100,9)</f>
        <v>1.5740000000000001</v>
      </c>
      <c r="J35">
        <v>0</v>
      </c>
      <c r="K35">
        <f>ROUND(157.4/100,9)</f>
        <v>1.5740000000000001</v>
      </c>
      <c r="O35">
        <f t="shared" si="21"/>
        <v>102663.41</v>
      </c>
      <c r="P35">
        <f t="shared" si="22"/>
        <v>400.41</v>
      </c>
      <c r="Q35">
        <f>(ROUND((ROUND((((ET35*1.25))*AV35*I35),2)*BB35),2)+ROUND((ROUND(((AE35-((EU35*1.25)))*AV35*I35),2)*BS35),2))</f>
        <v>91799.27</v>
      </c>
      <c r="R35">
        <f t="shared" si="23"/>
        <v>23285.23</v>
      </c>
      <c r="S35">
        <f t="shared" si="24"/>
        <v>10463.73</v>
      </c>
      <c r="T35">
        <f t="shared" si="25"/>
        <v>0</v>
      </c>
      <c r="U35">
        <f t="shared" si="26"/>
        <v>39.09816</v>
      </c>
      <c r="V35">
        <f t="shared" si="27"/>
        <v>0</v>
      </c>
      <c r="W35">
        <f t="shared" si="28"/>
        <v>0</v>
      </c>
      <c r="X35">
        <f t="shared" si="29"/>
        <v>11719.38</v>
      </c>
      <c r="Y35">
        <f t="shared" si="30"/>
        <v>4290.13</v>
      </c>
      <c r="AA35">
        <v>42938047</v>
      </c>
      <c r="AB35">
        <f t="shared" si="31"/>
        <v>6991.4795000000004</v>
      </c>
      <c r="AC35">
        <f t="shared" si="53"/>
        <v>49.49</v>
      </c>
      <c r="AD35">
        <f>ROUND(((((ET35*1.25))-((EU35*1.25)))+AE35),6)</f>
        <v>6680.6750000000002</v>
      </c>
      <c r="AE35">
        <f>ROUND(((EU35*1.25)),6)</f>
        <v>581.51250000000005</v>
      </c>
      <c r="AF35">
        <f>ROUND(((EV35*1.15)),6)</f>
        <v>261.31450000000001</v>
      </c>
      <c r="AG35">
        <f t="shared" si="32"/>
        <v>0</v>
      </c>
      <c r="AH35">
        <f>((EW35*1.15))</f>
        <v>24.84</v>
      </c>
      <c r="AI35">
        <f>((EX35*1.25))</f>
        <v>0</v>
      </c>
      <c r="AJ35">
        <f t="shared" si="33"/>
        <v>0</v>
      </c>
      <c r="AK35">
        <v>5621.26</v>
      </c>
      <c r="AL35">
        <v>49.49</v>
      </c>
      <c r="AM35">
        <v>5344.54</v>
      </c>
      <c r="AN35">
        <v>465.21</v>
      </c>
      <c r="AO35">
        <v>227.23</v>
      </c>
      <c r="AP35">
        <v>0</v>
      </c>
      <c r="AQ35">
        <v>21.6</v>
      </c>
      <c r="AR35">
        <v>0</v>
      </c>
      <c r="AS35">
        <v>0</v>
      </c>
      <c r="AT35">
        <v>112</v>
      </c>
      <c r="AU35">
        <v>41</v>
      </c>
      <c r="AV35">
        <v>1</v>
      </c>
      <c r="AW35">
        <v>1</v>
      </c>
      <c r="AZ35">
        <v>1</v>
      </c>
      <c r="BA35">
        <v>25.44</v>
      </c>
      <c r="BB35">
        <v>8.73</v>
      </c>
      <c r="BC35">
        <v>5.14</v>
      </c>
      <c r="BD35" t="s">
        <v>3</v>
      </c>
      <c r="BE35" t="s">
        <v>3</v>
      </c>
      <c r="BF35" t="s">
        <v>3</v>
      </c>
      <c r="BG35" t="s">
        <v>3</v>
      </c>
      <c r="BH35">
        <v>0</v>
      </c>
      <c r="BI35">
        <v>1</v>
      </c>
      <c r="BJ35" t="s">
        <v>78</v>
      </c>
      <c r="BM35">
        <v>146</v>
      </c>
      <c r="BN35">
        <v>0</v>
      </c>
      <c r="BO35" t="s">
        <v>75</v>
      </c>
      <c r="BP35">
        <v>1</v>
      </c>
      <c r="BQ35">
        <v>30</v>
      </c>
      <c r="BR35">
        <v>0</v>
      </c>
      <c r="BS35">
        <v>25.44</v>
      </c>
      <c r="BT35">
        <v>1</v>
      </c>
      <c r="BU35">
        <v>1</v>
      </c>
      <c r="BV35">
        <v>1</v>
      </c>
      <c r="BW35">
        <v>1</v>
      </c>
      <c r="BX35">
        <v>1</v>
      </c>
      <c r="BY35" t="s">
        <v>3</v>
      </c>
      <c r="BZ35">
        <v>112</v>
      </c>
      <c r="CA35">
        <v>41</v>
      </c>
      <c r="CB35" t="s">
        <v>3</v>
      </c>
      <c r="CE35">
        <v>30</v>
      </c>
      <c r="CF35">
        <v>0</v>
      </c>
      <c r="CG35">
        <v>0</v>
      </c>
      <c r="CM35">
        <v>0</v>
      </c>
      <c r="CN35" t="s">
        <v>1584</v>
      </c>
      <c r="CO35">
        <v>0</v>
      </c>
      <c r="CP35">
        <f t="shared" si="34"/>
        <v>102663.41</v>
      </c>
      <c r="CQ35">
        <f t="shared" si="35"/>
        <v>254.38</v>
      </c>
      <c r="CR35">
        <f>(ROUND((ROUND((((ET35*1.25))*AV35*1),2)*BB35),2)+ROUND((ROUND(((AE35-((EU35*1.25)))*AV35*1),2)*BS35),2))</f>
        <v>58322.34</v>
      </c>
      <c r="CS35">
        <f t="shared" si="36"/>
        <v>14793.61</v>
      </c>
      <c r="CT35">
        <f t="shared" si="37"/>
        <v>6647.73</v>
      </c>
      <c r="CU35">
        <f t="shared" si="38"/>
        <v>0</v>
      </c>
      <c r="CV35">
        <f t="shared" si="39"/>
        <v>24.84</v>
      </c>
      <c r="CW35">
        <f t="shared" si="40"/>
        <v>0</v>
      </c>
      <c r="CX35">
        <f t="shared" si="41"/>
        <v>0</v>
      </c>
      <c r="CY35">
        <f t="shared" si="42"/>
        <v>11719.3776</v>
      </c>
      <c r="CZ35">
        <f t="shared" si="43"/>
        <v>4290.1292999999996</v>
      </c>
      <c r="DC35" t="s">
        <v>3</v>
      </c>
      <c r="DD35" t="s">
        <v>3</v>
      </c>
      <c r="DE35" t="s">
        <v>20</v>
      </c>
      <c r="DF35" t="s">
        <v>20</v>
      </c>
      <c r="DG35" t="s">
        <v>21</v>
      </c>
      <c r="DH35" t="s">
        <v>3</v>
      </c>
      <c r="DI35" t="s">
        <v>21</v>
      </c>
      <c r="DJ35" t="s">
        <v>20</v>
      </c>
      <c r="DK35" t="s">
        <v>3</v>
      </c>
      <c r="DL35" t="s">
        <v>3</v>
      </c>
      <c r="DM35" t="s">
        <v>3</v>
      </c>
      <c r="DN35">
        <v>140</v>
      </c>
      <c r="DO35">
        <v>79</v>
      </c>
      <c r="DP35">
        <v>1</v>
      </c>
      <c r="DQ35">
        <v>1</v>
      </c>
      <c r="DU35">
        <v>1013</v>
      </c>
      <c r="DV35" t="s">
        <v>77</v>
      </c>
      <c r="DW35" t="s">
        <v>77</v>
      </c>
      <c r="DX35">
        <v>1</v>
      </c>
      <c r="DZ35" t="s">
        <v>3</v>
      </c>
      <c r="EA35" t="s">
        <v>3</v>
      </c>
      <c r="EB35" t="s">
        <v>3</v>
      </c>
      <c r="EC35" t="s">
        <v>3</v>
      </c>
      <c r="EE35">
        <v>43088224</v>
      </c>
      <c r="EF35">
        <v>30</v>
      </c>
      <c r="EG35" t="s">
        <v>22</v>
      </c>
      <c r="EH35">
        <v>0</v>
      </c>
      <c r="EI35" t="s">
        <v>3</v>
      </c>
      <c r="EJ35">
        <v>1</v>
      </c>
      <c r="EK35">
        <v>146</v>
      </c>
      <c r="EL35" t="s">
        <v>79</v>
      </c>
      <c r="EM35" t="s">
        <v>80</v>
      </c>
      <c r="EO35" t="s">
        <v>59</v>
      </c>
      <c r="EQ35">
        <v>0</v>
      </c>
      <c r="ER35">
        <v>5621.26</v>
      </c>
      <c r="ES35">
        <v>49.49</v>
      </c>
      <c r="ET35">
        <v>5344.54</v>
      </c>
      <c r="EU35">
        <v>465.21</v>
      </c>
      <c r="EV35">
        <v>227.23</v>
      </c>
      <c r="EW35">
        <v>21.6</v>
      </c>
      <c r="EX35">
        <v>0</v>
      </c>
      <c r="EY35">
        <v>0</v>
      </c>
      <c r="FQ35">
        <v>0</v>
      </c>
      <c r="FR35">
        <f t="shared" si="44"/>
        <v>0</v>
      </c>
      <c r="FS35">
        <v>0</v>
      </c>
      <c r="FX35">
        <v>140</v>
      </c>
      <c r="FY35">
        <v>79</v>
      </c>
      <c r="GA35" t="s">
        <v>3</v>
      </c>
      <c r="GD35">
        <v>0</v>
      </c>
      <c r="GF35">
        <v>-1958434936</v>
      </c>
      <c r="GG35">
        <v>2</v>
      </c>
      <c r="GH35">
        <v>1</v>
      </c>
      <c r="GI35">
        <v>2</v>
      </c>
      <c r="GJ35">
        <v>0</v>
      </c>
      <c r="GK35">
        <f>ROUND(R35*(R12)/100,2)</f>
        <v>36557.81</v>
      </c>
      <c r="GL35">
        <f t="shared" si="45"/>
        <v>0</v>
      </c>
      <c r="GM35">
        <f t="shared" si="46"/>
        <v>155230.73000000001</v>
      </c>
      <c r="GN35">
        <f t="shared" si="47"/>
        <v>155230.73000000001</v>
      </c>
      <c r="GO35">
        <f t="shared" si="48"/>
        <v>0</v>
      </c>
      <c r="GP35">
        <f t="shared" si="49"/>
        <v>0</v>
      </c>
      <c r="GR35">
        <v>0</v>
      </c>
      <c r="GS35">
        <v>3</v>
      </c>
      <c r="GT35">
        <v>0</v>
      </c>
      <c r="GU35" t="s">
        <v>3</v>
      </c>
      <c r="GV35">
        <f t="shared" si="50"/>
        <v>0</v>
      </c>
      <c r="GW35">
        <v>1</v>
      </c>
      <c r="GX35">
        <f t="shared" si="51"/>
        <v>0</v>
      </c>
      <c r="HA35">
        <v>0</v>
      </c>
      <c r="HB35">
        <v>0</v>
      </c>
      <c r="HC35">
        <f t="shared" si="52"/>
        <v>0</v>
      </c>
      <c r="HE35" t="s">
        <v>3</v>
      </c>
      <c r="HF35" t="s">
        <v>3</v>
      </c>
      <c r="HM35" t="s">
        <v>3</v>
      </c>
      <c r="IK35">
        <v>0</v>
      </c>
    </row>
    <row r="36" spans="1:245" x14ac:dyDescent="0.2">
      <c r="A36">
        <v>18</v>
      </c>
      <c r="B36">
        <v>1</v>
      </c>
      <c r="C36">
        <v>26</v>
      </c>
      <c r="E36" t="s">
        <v>81</v>
      </c>
      <c r="F36" t="s">
        <v>82</v>
      </c>
      <c r="G36" t="s">
        <v>83</v>
      </c>
      <c r="H36" t="s">
        <v>84</v>
      </c>
      <c r="I36">
        <f>I35*J36</f>
        <v>157.4</v>
      </c>
      <c r="J36">
        <v>100</v>
      </c>
      <c r="K36">
        <v>100</v>
      </c>
      <c r="O36">
        <f t="shared" si="21"/>
        <v>360856.5</v>
      </c>
      <c r="P36">
        <f t="shared" si="22"/>
        <v>360856.5</v>
      </c>
      <c r="Q36">
        <f>(ROUND((ROUND(((ET36)*AV36*I36),2)*BB36),2)+ROUND((ROUND(((AE36-(EU36))*AV36*I36),2)*BS36),2))</f>
        <v>0</v>
      </c>
      <c r="R36">
        <f t="shared" si="23"/>
        <v>0</v>
      </c>
      <c r="S36">
        <f t="shared" si="24"/>
        <v>0</v>
      </c>
      <c r="T36">
        <f t="shared" si="25"/>
        <v>0</v>
      </c>
      <c r="U36">
        <f t="shared" si="26"/>
        <v>0</v>
      </c>
      <c r="V36">
        <f t="shared" si="27"/>
        <v>0</v>
      </c>
      <c r="W36">
        <f t="shared" si="28"/>
        <v>0</v>
      </c>
      <c r="X36">
        <f t="shared" si="29"/>
        <v>0</v>
      </c>
      <c r="Y36">
        <f t="shared" si="30"/>
        <v>0</v>
      </c>
      <c r="AA36">
        <v>42938047</v>
      </c>
      <c r="AB36">
        <f t="shared" si="31"/>
        <v>158.22</v>
      </c>
      <c r="AC36">
        <f t="shared" si="53"/>
        <v>158.22</v>
      </c>
      <c r="AD36">
        <f>ROUND((((ET36)-(EU36))+AE36),6)</f>
        <v>0</v>
      </c>
      <c r="AE36">
        <f>ROUND((EU36),6)</f>
        <v>0</v>
      </c>
      <c r="AF36">
        <f>ROUND((EV36),6)</f>
        <v>0</v>
      </c>
      <c r="AG36">
        <f t="shared" si="32"/>
        <v>0</v>
      </c>
      <c r="AH36">
        <f>(EW36)</f>
        <v>0</v>
      </c>
      <c r="AI36">
        <f>(EX36)</f>
        <v>0</v>
      </c>
      <c r="AJ36">
        <f t="shared" si="33"/>
        <v>0</v>
      </c>
      <c r="AK36">
        <v>158.22</v>
      </c>
      <c r="AL36">
        <v>158.22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1</v>
      </c>
      <c r="AW36">
        <v>1</v>
      </c>
      <c r="AZ36">
        <v>1</v>
      </c>
      <c r="BA36">
        <v>1</v>
      </c>
      <c r="BB36">
        <v>1</v>
      </c>
      <c r="BC36">
        <v>14.49</v>
      </c>
      <c r="BD36" t="s">
        <v>3</v>
      </c>
      <c r="BE36" t="s">
        <v>3</v>
      </c>
      <c r="BF36" t="s">
        <v>3</v>
      </c>
      <c r="BG36" t="s">
        <v>3</v>
      </c>
      <c r="BH36">
        <v>3</v>
      </c>
      <c r="BI36">
        <v>1</v>
      </c>
      <c r="BJ36" t="s">
        <v>85</v>
      </c>
      <c r="BM36">
        <v>146</v>
      </c>
      <c r="BN36">
        <v>0</v>
      </c>
      <c r="BO36" t="s">
        <v>82</v>
      </c>
      <c r="BP36">
        <v>1</v>
      </c>
      <c r="BQ36">
        <v>30</v>
      </c>
      <c r="BR36">
        <v>0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 t="s">
        <v>3</v>
      </c>
      <c r="BZ36">
        <v>0</v>
      </c>
      <c r="CA36">
        <v>0</v>
      </c>
      <c r="CB36" t="s">
        <v>3</v>
      </c>
      <c r="CE36">
        <v>30</v>
      </c>
      <c r="CF36">
        <v>0</v>
      </c>
      <c r="CG36">
        <v>0</v>
      </c>
      <c r="CM36">
        <v>0</v>
      </c>
      <c r="CN36" t="s">
        <v>3</v>
      </c>
      <c r="CO36">
        <v>0</v>
      </c>
      <c r="CP36">
        <f t="shared" si="34"/>
        <v>360856.5</v>
      </c>
      <c r="CQ36">
        <f t="shared" si="35"/>
        <v>2292.61</v>
      </c>
      <c r="CR36">
        <f>(ROUND((ROUND(((ET36)*AV36*1),2)*BB36),2)+ROUND((ROUND(((AE36-(EU36))*AV36*1),2)*BS36),2))</f>
        <v>0</v>
      </c>
      <c r="CS36">
        <f t="shared" si="36"/>
        <v>0</v>
      </c>
      <c r="CT36">
        <f t="shared" si="37"/>
        <v>0</v>
      </c>
      <c r="CU36">
        <f t="shared" si="38"/>
        <v>0</v>
      </c>
      <c r="CV36">
        <f t="shared" si="39"/>
        <v>0</v>
      </c>
      <c r="CW36">
        <f t="shared" si="40"/>
        <v>0</v>
      </c>
      <c r="CX36">
        <f t="shared" si="41"/>
        <v>0</v>
      </c>
      <c r="CY36">
        <f t="shared" si="42"/>
        <v>0</v>
      </c>
      <c r="CZ36">
        <f t="shared" si="43"/>
        <v>0</v>
      </c>
      <c r="DC36" t="s">
        <v>3</v>
      </c>
      <c r="DD36" t="s">
        <v>3</v>
      </c>
      <c r="DE36" t="s">
        <v>3</v>
      </c>
      <c r="DF36" t="s">
        <v>3</v>
      </c>
      <c r="DG36" t="s">
        <v>3</v>
      </c>
      <c r="DH36" t="s">
        <v>3</v>
      </c>
      <c r="DI36" t="s">
        <v>3</v>
      </c>
      <c r="DJ36" t="s">
        <v>3</v>
      </c>
      <c r="DK36" t="s">
        <v>3</v>
      </c>
      <c r="DL36" t="s">
        <v>3</v>
      </c>
      <c r="DM36" t="s">
        <v>3</v>
      </c>
      <c r="DN36">
        <v>140</v>
      </c>
      <c r="DO36">
        <v>79</v>
      </c>
      <c r="DP36">
        <v>1</v>
      </c>
      <c r="DQ36">
        <v>1</v>
      </c>
      <c r="DU36">
        <v>1007</v>
      </c>
      <c r="DV36" t="s">
        <v>84</v>
      </c>
      <c r="DW36" t="s">
        <v>84</v>
      </c>
      <c r="DX36">
        <v>1</v>
      </c>
      <c r="DZ36" t="s">
        <v>3</v>
      </c>
      <c r="EA36" t="s">
        <v>3</v>
      </c>
      <c r="EB36" t="s">
        <v>3</v>
      </c>
      <c r="EC36" t="s">
        <v>3</v>
      </c>
      <c r="EE36">
        <v>43088224</v>
      </c>
      <c r="EF36">
        <v>30</v>
      </c>
      <c r="EG36" t="s">
        <v>22</v>
      </c>
      <c r="EH36">
        <v>0</v>
      </c>
      <c r="EI36" t="s">
        <v>3</v>
      </c>
      <c r="EJ36">
        <v>1</v>
      </c>
      <c r="EK36">
        <v>146</v>
      </c>
      <c r="EL36" t="s">
        <v>79</v>
      </c>
      <c r="EM36" t="s">
        <v>80</v>
      </c>
      <c r="EO36" t="s">
        <v>3</v>
      </c>
      <c r="EQ36">
        <v>0</v>
      </c>
      <c r="ER36">
        <v>158.22</v>
      </c>
      <c r="ES36">
        <v>158.22</v>
      </c>
      <c r="ET36">
        <v>0</v>
      </c>
      <c r="EU36">
        <v>0</v>
      </c>
      <c r="EV36">
        <v>0</v>
      </c>
      <c r="EW36">
        <v>0</v>
      </c>
      <c r="EX36">
        <v>0</v>
      </c>
      <c r="FQ36">
        <v>0</v>
      </c>
      <c r="FR36">
        <f t="shared" si="44"/>
        <v>0</v>
      </c>
      <c r="FS36">
        <v>0</v>
      </c>
      <c r="FX36">
        <v>140</v>
      </c>
      <c r="FY36">
        <v>79</v>
      </c>
      <c r="GA36" t="s">
        <v>3</v>
      </c>
      <c r="GD36">
        <v>0</v>
      </c>
      <c r="GF36">
        <v>2094184890</v>
      </c>
      <c r="GG36">
        <v>2</v>
      </c>
      <c r="GH36">
        <v>1</v>
      </c>
      <c r="GI36">
        <v>2</v>
      </c>
      <c r="GJ36">
        <v>0</v>
      </c>
      <c r="GK36">
        <f>ROUND(R36*(R12)/100,2)</f>
        <v>0</v>
      </c>
      <c r="GL36">
        <f t="shared" si="45"/>
        <v>0</v>
      </c>
      <c r="GM36">
        <f t="shared" si="46"/>
        <v>360856.5</v>
      </c>
      <c r="GN36">
        <f t="shared" si="47"/>
        <v>360856.5</v>
      </c>
      <c r="GO36">
        <f t="shared" si="48"/>
        <v>0</v>
      </c>
      <c r="GP36">
        <f t="shared" si="49"/>
        <v>0</v>
      </c>
      <c r="GR36">
        <v>0</v>
      </c>
      <c r="GS36">
        <v>3</v>
      </c>
      <c r="GT36">
        <v>0</v>
      </c>
      <c r="GU36" t="s">
        <v>3</v>
      </c>
      <c r="GV36">
        <f t="shared" si="50"/>
        <v>0</v>
      </c>
      <c r="GW36">
        <v>1</v>
      </c>
      <c r="GX36">
        <f t="shared" si="51"/>
        <v>0</v>
      </c>
      <c r="HA36">
        <v>0</v>
      </c>
      <c r="HB36">
        <v>0</v>
      </c>
      <c r="HC36">
        <f t="shared" si="52"/>
        <v>0</v>
      </c>
      <c r="HE36" t="s">
        <v>3</v>
      </c>
      <c r="HF36" t="s">
        <v>3</v>
      </c>
      <c r="HM36" t="s">
        <v>3</v>
      </c>
      <c r="IK36">
        <v>0</v>
      </c>
    </row>
    <row r="37" spans="1:245" x14ac:dyDescent="0.2">
      <c r="A37">
        <v>17</v>
      </c>
      <c r="B37">
        <v>1</v>
      </c>
      <c r="C37">
        <f>ROW(SmtRes!A34)</f>
        <v>34</v>
      </c>
      <c r="D37">
        <f>ROW(EtalonRes!A35)</f>
        <v>35</v>
      </c>
      <c r="E37" t="s">
        <v>86</v>
      </c>
      <c r="F37" t="s">
        <v>87</v>
      </c>
      <c r="G37" t="s">
        <v>88</v>
      </c>
      <c r="H37" t="s">
        <v>77</v>
      </c>
      <c r="I37">
        <f>ROUND(157.4/100,9)</f>
        <v>1.5740000000000001</v>
      </c>
      <c r="J37">
        <v>0</v>
      </c>
      <c r="K37">
        <f>ROUND(157.4/100,9)</f>
        <v>1.5740000000000001</v>
      </c>
      <c r="O37">
        <f t="shared" si="21"/>
        <v>21586.080000000002</v>
      </c>
      <c r="P37">
        <f t="shared" si="22"/>
        <v>285.99</v>
      </c>
      <c r="Q37">
        <f>(ROUND((ROUND((((ET37*1.25))*AV37*I37),2)*BB37),2)+ROUND((ROUND(((AE37-((EU37*1.25)))*AV37*I37),2)*BS37),2))</f>
        <v>14324.19</v>
      </c>
      <c r="R37">
        <f t="shared" si="23"/>
        <v>5305.26</v>
      </c>
      <c r="S37">
        <f t="shared" si="24"/>
        <v>6975.9</v>
      </c>
      <c r="T37">
        <f t="shared" si="25"/>
        <v>0</v>
      </c>
      <c r="U37">
        <f t="shared" si="26"/>
        <v>26.065439999999999</v>
      </c>
      <c r="V37">
        <f t="shared" si="27"/>
        <v>0</v>
      </c>
      <c r="W37">
        <f t="shared" si="28"/>
        <v>0</v>
      </c>
      <c r="X37">
        <f t="shared" si="29"/>
        <v>7813.01</v>
      </c>
      <c r="Y37">
        <f t="shared" si="30"/>
        <v>2860.12</v>
      </c>
      <c r="AA37">
        <v>42938047</v>
      </c>
      <c r="AB37">
        <f t="shared" si="31"/>
        <v>1141.0385000000001</v>
      </c>
      <c r="AC37">
        <f t="shared" si="53"/>
        <v>35.35</v>
      </c>
      <c r="AD37">
        <f>ROUND(((((ET37*1.25))-((EU37*1.25)))+AE37),6)</f>
        <v>931.47500000000002</v>
      </c>
      <c r="AE37">
        <f>ROUND(((EU37*1.25)),6)</f>
        <v>132.48750000000001</v>
      </c>
      <c r="AF37">
        <f>ROUND(((EV37*1.15)),6)</f>
        <v>174.21350000000001</v>
      </c>
      <c r="AG37">
        <f t="shared" si="32"/>
        <v>0</v>
      </c>
      <c r="AH37">
        <f>((EW37*1.15))</f>
        <v>16.559999999999999</v>
      </c>
      <c r="AI37">
        <f>((EX37*1.25))</f>
        <v>0</v>
      </c>
      <c r="AJ37">
        <f t="shared" si="33"/>
        <v>0</v>
      </c>
      <c r="AK37">
        <v>932.02</v>
      </c>
      <c r="AL37">
        <v>35.35</v>
      </c>
      <c r="AM37">
        <v>745.18</v>
      </c>
      <c r="AN37">
        <v>105.99</v>
      </c>
      <c r="AO37">
        <v>151.49</v>
      </c>
      <c r="AP37">
        <v>0</v>
      </c>
      <c r="AQ37">
        <v>14.4</v>
      </c>
      <c r="AR37">
        <v>0</v>
      </c>
      <c r="AS37">
        <v>0</v>
      </c>
      <c r="AT37">
        <v>112</v>
      </c>
      <c r="AU37">
        <v>41</v>
      </c>
      <c r="AV37">
        <v>1</v>
      </c>
      <c r="AW37">
        <v>1</v>
      </c>
      <c r="AZ37">
        <v>1</v>
      </c>
      <c r="BA37">
        <v>25.44</v>
      </c>
      <c r="BB37">
        <v>9.77</v>
      </c>
      <c r="BC37">
        <v>5.14</v>
      </c>
      <c r="BD37" t="s">
        <v>3</v>
      </c>
      <c r="BE37" t="s">
        <v>3</v>
      </c>
      <c r="BF37" t="s">
        <v>3</v>
      </c>
      <c r="BG37" t="s">
        <v>3</v>
      </c>
      <c r="BH37">
        <v>0</v>
      </c>
      <c r="BI37">
        <v>1</v>
      </c>
      <c r="BJ37" t="s">
        <v>89</v>
      </c>
      <c r="BM37">
        <v>146</v>
      </c>
      <c r="BN37">
        <v>0</v>
      </c>
      <c r="BO37" t="s">
        <v>87</v>
      </c>
      <c r="BP37">
        <v>1</v>
      </c>
      <c r="BQ37">
        <v>30</v>
      </c>
      <c r="BR37">
        <v>0</v>
      </c>
      <c r="BS37">
        <v>25.44</v>
      </c>
      <c r="BT37">
        <v>1</v>
      </c>
      <c r="BU37">
        <v>1</v>
      </c>
      <c r="BV37">
        <v>1</v>
      </c>
      <c r="BW37">
        <v>1</v>
      </c>
      <c r="BX37">
        <v>1</v>
      </c>
      <c r="BY37" t="s">
        <v>3</v>
      </c>
      <c r="BZ37">
        <v>112</v>
      </c>
      <c r="CA37">
        <v>41</v>
      </c>
      <c r="CB37" t="s">
        <v>3</v>
      </c>
      <c r="CE37">
        <v>30</v>
      </c>
      <c r="CF37">
        <v>0</v>
      </c>
      <c r="CG37">
        <v>0</v>
      </c>
      <c r="CM37">
        <v>0</v>
      </c>
      <c r="CN37" t="s">
        <v>1584</v>
      </c>
      <c r="CO37">
        <v>0</v>
      </c>
      <c r="CP37">
        <f t="shared" si="34"/>
        <v>21586.080000000002</v>
      </c>
      <c r="CQ37">
        <f t="shared" si="35"/>
        <v>181.7</v>
      </c>
      <c r="CR37">
        <f>(ROUND((ROUND((((ET37*1.25))*AV37*1),2)*BB37),2)+ROUND((ROUND(((AE37-((EU37*1.25)))*AV37*1),2)*BS37),2))</f>
        <v>9100.56</v>
      </c>
      <c r="CS37">
        <f t="shared" si="36"/>
        <v>3370.55</v>
      </c>
      <c r="CT37">
        <f t="shared" si="37"/>
        <v>4431.8999999999996</v>
      </c>
      <c r="CU37">
        <f t="shared" si="38"/>
        <v>0</v>
      </c>
      <c r="CV37">
        <f t="shared" si="39"/>
        <v>16.559999999999999</v>
      </c>
      <c r="CW37">
        <f t="shared" si="40"/>
        <v>0</v>
      </c>
      <c r="CX37">
        <f t="shared" si="41"/>
        <v>0</v>
      </c>
      <c r="CY37">
        <f t="shared" si="42"/>
        <v>7813.0080000000007</v>
      </c>
      <c r="CZ37">
        <f t="shared" si="43"/>
        <v>2860.1189999999997</v>
      </c>
      <c r="DC37" t="s">
        <v>3</v>
      </c>
      <c r="DD37" t="s">
        <v>3</v>
      </c>
      <c r="DE37" t="s">
        <v>20</v>
      </c>
      <c r="DF37" t="s">
        <v>20</v>
      </c>
      <c r="DG37" t="s">
        <v>21</v>
      </c>
      <c r="DH37" t="s">
        <v>3</v>
      </c>
      <c r="DI37" t="s">
        <v>21</v>
      </c>
      <c r="DJ37" t="s">
        <v>20</v>
      </c>
      <c r="DK37" t="s">
        <v>3</v>
      </c>
      <c r="DL37" t="s">
        <v>3</v>
      </c>
      <c r="DM37" t="s">
        <v>3</v>
      </c>
      <c r="DN37">
        <v>140</v>
      </c>
      <c r="DO37">
        <v>79</v>
      </c>
      <c r="DP37">
        <v>1</v>
      </c>
      <c r="DQ37">
        <v>1</v>
      </c>
      <c r="DU37">
        <v>1013</v>
      </c>
      <c r="DV37" t="s">
        <v>77</v>
      </c>
      <c r="DW37" t="s">
        <v>77</v>
      </c>
      <c r="DX37">
        <v>1</v>
      </c>
      <c r="DZ37" t="s">
        <v>3</v>
      </c>
      <c r="EA37" t="s">
        <v>3</v>
      </c>
      <c r="EB37" t="s">
        <v>3</v>
      </c>
      <c r="EC37" t="s">
        <v>3</v>
      </c>
      <c r="EE37">
        <v>43088224</v>
      </c>
      <c r="EF37">
        <v>30</v>
      </c>
      <c r="EG37" t="s">
        <v>22</v>
      </c>
      <c r="EH37">
        <v>0</v>
      </c>
      <c r="EI37" t="s">
        <v>3</v>
      </c>
      <c r="EJ37">
        <v>1</v>
      </c>
      <c r="EK37">
        <v>146</v>
      </c>
      <c r="EL37" t="s">
        <v>79</v>
      </c>
      <c r="EM37" t="s">
        <v>80</v>
      </c>
      <c r="EO37" t="s">
        <v>59</v>
      </c>
      <c r="EQ37">
        <v>0</v>
      </c>
      <c r="ER37">
        <v>932.02</v>
      </c>
      <c r="ES37">
        <v>35.35</v>
      </c>
      <c r="ET37">
        <v>745.18</v>
      </c>
      <c r="EU37">
        <v>105.99</v>
      </c>
      <c r="EV37">
        <v>151.49</v>
      </c>
      <c r="EW37">
        <v>14.4</v>
      </c>
      <c r="EX37">
        <v>0</v>
      </c>
      <c r="EY37">
        <v>0</v>
      </c>
      <c r="FQ37">
        <v>0</v>
      </c>
      <c r="FR37">
        <f t="shared" si="44"/>
        <v>0</v>
      </c>
      <c r="FS37">
        <v>0</v>
      </c>
      <c r="FX37">
        <v>140</v>
      </c>
      <c r="FY37">
        <v>79</v>
      </c>
      <c r="GA37" t="s">
        <v>3</v>
      </c>
      <c r="GD37">
        <v>0</v>
      </c>
      <c r="GF37">
        <v>1486975691</v>
      </c>
      <c r="GG37">
        <v>2</v>
      </c>
      <c r="GH37">
        <v>1</v>
      </c>
      <c r="GI37">
        <v>2</v>
      </c>
      <c r="GJ37">
        <v>0</v>
      </c>
      <c r="GK37">
        <f>ROUND(R37*(R12)/100,2)</f>
        <v>8329.26</v>
      </c>
      <c r="GL37">
        <f t="shared" si="45"/>
        <v>0</v>
      </c>
      <c r="GM37">
        <f t="shared" si="46"/>
        <v>40588.47</v>
      </c>
      <c r="GN37">
        <f t="shared" si="47"/>
        <v>40588.47</v>
      </c>
      <c r="GO37">
        <f t="shared" si="48"/>
        <v>0</v>
      </c>
      <c r="GP37">
        <f t="shared" si="49"/>
        <v>0</v>
      </c>
      <c r="GR37">
        <v>0</v>
      </c>
      <c r="GS37">
        <v>3</v>
      </c>
      <c r="GT37">
        <v>0</v>
      </c>
      <c r="GU37" t="s">
        <v>3</v>
      </c>
      <c r="GV37">
        <f t="shared" si="50"/>
        <v>0</v>
      </c>
      <c r="GW37">
        <v>1</v>
      </c>
      <c r="GX37">
        <f t="shared" si="51"/>
        <v>0</v>
      </c>
      <c r="HA37">
        <v>0</v>
      </c>
      <c r="HB37">
        <v>0</v>
      </c>
      <c r="HC37">
        <f t="shared" si="52"/>
        <v>0</v>
      </c>
      <c r="HE37" t="s">
        <v>3</v>
      </c>
      <c r="HF37" t="s">
        <v>3</v>
      </c>
      <c r="HM37" t="s">
        <v>3</v>
      </c>
      <c r="IK37">
        <v>0</v>
      </c>
    </row>
    <row r="38" spans="1:245" x14ac:dyDescent="0.2">
      <c r="A38">
        <v>18</v>
      </c>
      <c r="B38">
        <v>1</v>
      </c>
      <c r="C38">
        <v>34</v>
      </c>
      <c r="E38" t="s">
        <v>90</v>
      </c>
      <c r="F38" t="s">
        <v>91</v>
      </c>
      <c r="G38" t="s">
        <v>92</v>
      </c>
      <c r="H38" t="s">
        <v>84</v>
      </c>
      <c r="I38">
        <f>I37*J38</f>
        <v>157.4</v>
      </c>
      <c r="J38">
        <v>100</v>
      </c>
      <c r="K38">
        <v>100</v>
      </c>
      <c r="O38">
        <f t="shared" si="21"/>
        <v>91055.12</v>
      </c>
      <c r="P38">
        <f t="shared" si="22"/>
        <v>91055.12</v>
      </c>
      <c r="Q38">
        <f>(ROUND((ROUND(((ET38)*AV38*I38),2)*BB38),2)+ROUND((ROUND(((AE38-(EU38))*AV38*I38),2)*BS38),2))</f>
        <v>0</v>
      </c>
      <c r="R38">
        <f t="shared" si="23"/>
        <v>0</v>
      </c>
      <c r="S38">
        <f t="shared" si="24"/>
        <v>0</v>
      </c>
      <c r="T38">
        <f t="shared" si="25"/>
        <v>0</v>
      </c>
      <c r="U38">
        <f t="shared" si="26"/>
        <v>0</v>
      </c>
      <c r="V38">
        <f t="shared" si="27"/>
        <v>0</v>
      </c>
      <c r="W38">
        <f t="shared" si="28"/>
        <v>0</v>
      </c>
      <c r="X38">
        <f t="shared" si="29"/>
        <v>0</v>
      </c>
      <c r="Y38">
        <f t="shared" si="30"/>
        <v>0</v>
      </c>
      <c r="AA38">
        <v>42938047</v>
      </c>
      <c r="AB38">
        <f t="shared" si="31"/>
        <v>104.99</v>
      </c>
      <c r="AC38">
        <f t="shared" si="53"/>
        <v>104.99</v>
      </c>
      <c r="AD38">
        <f>ROUND((((ET38)-(EU38))+AE38),6)</f>
        <v>0</v>
      </c>
      <c r="AE38">
        <f>ROUND((EU38),6)</f>
        <v>0</v>
      </c>
      <c r="AF38">
        <f>ROUND((EV38),6)</f>
        <v>0</v>
      </c>
      <c r="AG38">
        <f t="shared" si="32"/>
        <v>0</v>
      </c>
      <c r="AH38">
        <f>(EW38)</f>
        <v>0</v>
      </c>
      <c r="AI38">
        <f>(EX38)</f>
        <v>0</v>
      </c>
      <c r="AJ38">
        <f t="shared" si="33"/>
        <v>0</v>
      </c>
      <c r="AK38">
        <v>104.99</v>
      </c>
      <c r="AL38">
        <v>104.99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1</v>
      </c>
      <c r="AW38">
        <v>1</v>
      </c>
      <c r="AZ38">
        <v>1</v>
      </c>
      <c r="BA38">
        <v>1</v>
      </c>
      <c r="BB38">
        <v>1</v>
      </c>
      <c r="BC38">
        <v>5.51</v>
      </c>
      <c r="BD38" t="s">
        <v>3</v>
      </c>
      <c r="BE38" t="s">
        <v>3</v>
      </c>
      <c r="BF38" t="s">
        <v>3</v>
      </c>
      <c r="BG38" t="s">
        <v>3</v>
      </c>
      <c r="BH38">
        <v>3</v>
      </c>
      <c r="BI38">
        <v>1</v>
      </c>
      <c r="BJ38" t="s">
        <v>93</v>
      </c>
      <c r="BM38">
        <v>146</v>
      </c>
      <c r="BN38">
        <v>0</v>
      </c>
      <c r="BO38" t="s">
        <v>91</v>
      </c>
      <c r="BP38">
        <v>1</v>
      </c>
      <c r="BQ38">
        <v>30</v>
      </c>
      <c r="BR38">
        <v>0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 t="s">
        <v>3</v>
      </c>
      <c r="BZ38">
        <v>0</v>
      </c>
      <c r="CA38">
        <v>0</v>
      </c>
      <c r="CB38" t="s">
        <v>3</v>
      </c>
      <c r="CE38">
        <v>30</v>
      </c>
      <c r="CF38">
        <v>0</v>
      </c>
      <c r="CG38">
        <v>0</v>
      </c>
      <c r="CM38">
        <v>0</v>
      </c>
      <c r="CN38" t="s">
        <v>3</v>
      </c>
      <c r="CO38">
        <v>0</v>
      </c>
      <c r="CP38">
        <f t="shared" si="34"/>
        <v>91055.12</v>
      </c>
      <c r="CQ38">
        <f t="shared" si="35"/>
        <v>578.49</v>
      </c>
      <c r="CR38">
        <f>(ROUND((ROUND(((ET38)*AV38*1),2)*BB38),2)+ROUND((ROUND(((AE38-(EU38))*AV38*1),2)*BS38),2))</f>
        <v>0</v>
      </c>
      <c r="CS38">
        <f t="shared" si="36"/>
        <v>0</v>
      </c>
      <c r="CT38">
        <f t="shared" si="37"/>
        <v>0</v>
      </c>
      <c r="CU38">
        <f t="shared" si="38"/>
        <v>0</v>
      </c>
      <c r="CV38">
        <f t="shared" si="39"/>
        <v>0</v>
      </c>
      <c r="CW38">
        <f t="shared" si="40"/>
        <v>0</v>
      </c>
      <c r="CX38">
        <f t="shared" si="41"/>
        <v>0</v>
      </c>
      <c r="CY38">
        <f t="shared" si="42"/>
        <v>0</v>
      </c>
      <c r="CZ38">
        <f t="shared" si="43"/>
        <v>0</v>
      </c>
      <c r="DC38" t="s">
        <v>3</v>
      </c>
      <c r="DD38" t="s">
        <v>3</v>
      </c>
      <c r="DE38" t="s">
        <v>3</v>
      </c>
      <c r="DF38" t="s">
        <v>3</v>
      </c>
      <c r="DG38" t="s">
        <v>3</v>
      </c>
      <c r="DH38" t="s">
        <v>3</v>
      </c>
      <c r="DI38" t="s">
        <v>3</v>
      </c>
      <c r="DJ38" t="s">
        <v>3</v>
      </c>
      <c r="DK38" t="s">
        <v>3</v>
      </c>
      <c r="DL38" t="s">
        <v>3</v>
      </c>
      <c r="DM38" t="s">
        <v>3</v>
      </c>
      <c r="DN38">
        <v>140</v>
      </c>
      <c r="DO38">
        <v>79</v>
      </c>
      <c r="DP38">
        <v>1</v>
      </c>
      <c r="DQ38">
        <v>1</v>
      </c>
      <c r="DU38">
        <v>1007</v>
      </c>
      <c r="DV38" t="s">
        <v>84</v>
      </c>
      <c r="DW38" t="s">
        <v>84</v>
      </c>
      <c r="DX38">
        <v>1</v>
      </c>
      <c r="DZ38" t="s">
        <v>3</v>
      </c>
      <c r="EA38" t="s">
        <v>3</v>
      </c>
      <c r="EB38" t="s">
        <v>3</v>
      </c>
      <c r="EC38" t="s">
        <v>3</v>
      </c>
      <c r="EE38">
        <v>43088224</v>
      </c>
      <c r="EF38">
        <v>30</v>
      </c>
      <c r="EG38" t="s">
        <v>22</v>
      </c>
      <c r="EH38">
        <v>0</v>
      </c>
      <c r="EI38" t="s">
        <v>3</v>
      </c>
      <c r="EJ38">
        <v>1</v>
      </c>
      <c r="EK38">
        <v>146</v>
      </c>
      <c r="EL38" t="s">
        <v>79</v>
      </c>
      <c r="EM38" t="s">
        <v>80</v>
      </c>
      <c r="EO38" t="s">
        <v>3</v>
      </c>
      <c r="EQ38">
        <v>0</v>
      </c>
      <c r="ER38">
        <v>104.99</v>
      </c>
      <c r="ES38">
        <v>104.99</v>
      </c>
      <c r="ET38">
        <v>0</v>
      </c>
      <c r="EU38">
        <v>0</v>
      </c>
      <c r="EV38">
        <v>0</v>
      </c>
      <c r="EW38">
        <v>0</v>
      </c>
      <c r="EX38">
        <v>0</v>
      </c>
      <c r="FQ38">
        <v>0</v>
      </c>
      <c r="FR38">
        <f t="shared" si="44"/>
        <v>0</v>
      </c>
      <c r="FS38">
        <v>0</v>
      </c>
      <c r="FX38">
        <v>140</v>
      </c>
      <c r="FY38">
        <v>79</v>
      </c>
      <c r="GA38" t="s">
        <v>3</v>
      </c>
      <c r="GD38">
        <v>0</v>
      </c>
      <c r="GF38">
        <v>2069056849</v>
      </c>
      <c r="GG38">
        <v>2</v>
      </c>
      <c r="GH38">
        <v>1</v>
      </c>
      <c r="GI38">
        <v>2</v>
      </c>
      <c r="GJ38">
        <v>0</v>
      </c>
      <c r="GK38">
        <f>ROUND(R38*(R12)/100,2)</f>
        <v>0</v>
      </c>
      <c r="GL38">
        <f t="shared" si="45"/>
        <v>0</v>
      </c>
      <c r="GM38">
        <f t="shared" si="46"/>
        <v>91055.12</v>
      </c>
      <c r="GN38">
        <f t="shared" si="47"/>
        <v>91055.12</v>
      </c>
      <c r="GO38">
        <f t="shared" si="48"/>
        <v>0</v>
      </c>
      <c r="GP38">
        <f t="shared" si="49"/>
        <v>0</v>
      </c>
      <c r="GR38">
        <v>0</v>
      </c>
      <c r="GS38">
        <v>3</v>
      </c>
      <c r="GT38">
        <v>0</v>
      </c>
      <c r="GU38" t="s">
        <v>3</v>
      </c>
      <c r="GV38">
        <f t="shared" si="50"/>
        <v>0</v>
      </c>
      <c r="GW38">
        <v>1</v>
      </c>
      <c r="GX38">
        <f t="shared" si="51"/>
        <v>0</v>
      </c>
      <c r="HA38">
        <v>0</v>
      </c>
      <c r="HB38">
        <v>0</v>
      </c>
      <c r="HC38">
        <f t="shared" si="52"/>
        <v>0</v>
      </c>
      <c r="HE38" t="s">
        <v>3</v>
      </c>
      <c r="HF38" t="s">
        <v>3</v>
      </c>
      <c r="HM38" t="s">
        <v>3</v>
      </c>
      <c r="IK38">
        <v>0</v>
      </c>
    </row>
    <row r="39" spans="1:245" x14ac:dyDescent="0.2">
      <c r="A39">
        <v>17</v>
      </c>
      <c r="B39">
        <v>1</v>
      </c>
      <c r="C39">
        <f>ROW(SmtRes!A50)</f>
        <v>50</v>
      </c>
      <c r="D39">
        <f>ROW(EtalonRes!A51)</f>
        <v>51</v>
      </c>
      <c r="E39" t="s">
        <v>94</v>
      </c>
      <c r="F39" t="s">
        <v>95</v>
      </c>
      <c r="G39" t="s">
        <v>96</v>
      </c>
      <c r="H39" t="s">
        <v>97</v>
      </c>
      <c r="I39">
        <f>ROUND(118/100,9)</f>
        <v>1.18</v>
      </c>
      <c r="J39">
        <v>0</v>
      </c>
      <c r="K39">
        <f>ROUND(118/100,9)</f>
        <v>1.18</v>
      </c>
      <c r="O39">
        <f t="shared" si="21"/>
        <v>108306.56</v>
      </c>
      <c r="P39">
        <f t="shared" si="22"/>
        <v>25245.48</v>
      </c>
      <c r="Q39">
        <f>(ROUND((ROUND((((ET39*1.25))*AV39*I39),2)*BB39),2)+ROUND((ROUND(((AE39-((EU39*1.25)))*AV39*I39),2)*BS39),2))</f>
        <v>13974.69</v>
      </c>
      <c r="R39">
        <f t="shared" si="23"/>
        <v>1619.51</v>
      </c>
      <c r="S39">
        <f t="shared" si="24"/>
        <v>69086.39</v>
      </c>
      <c r="T39">
        <f t="shared" si="25"/>
        <v>0</v>
      </c>
      <c r="U39">
        <f t="shared" si="26"/>
        <v>242.90299999999999</v>
      </c>
      <c r="V39">
        <f t="shared" si="27"/>
        <v>0</v>
      </c>
      <c r="W39">
        <f t="shared" si="28"/>
        <v>0</v>
      </c>
      <c r="X39">
        <f t="shared" si="29"/>
        <v>46978.75</v>
      </c>
      <c r="Y39">
        <f t="shared" si="30"/>
        <v>28325.42</v>
      </c>
      <c r="AA39">
        <v>42938047</v>
      </c>
      <c r="AB39">
        <f t="shared" si="31"/>
        <v>5415.2455</v>
      </c>
      <c r="AC39">
        <f t="shared" si="53"/>
        <v>1800.88</v>
      </c>
      <c r="AD39">
        <f>ROUND(((((ET39*1.25))-((EU39*1.25)))+AE39),6)</f>
        <v>1312.9625000000001</v>
      </c>
      <c r="AE39">
        <f>ROUND(((EU39*1.25)),6)</f>
        <v>53.95</v>
      </c>
      <c r="AF39">
        <f>ROUND(((EV39*1.15)),6)</f>
        <v>2301.4029999999998</v>
      </c>
      <c r="AG39">
        <f t="shared" si="32"/>
        <v>0</v>
      </c>
      <c r="AH39">
        <f>((EW39*1.15))</f>
        <v>205.85</v>
      </c>
      <c r="AI39">
        <f>((EX39*1.25))</f>
        <v>0</v>
      </c>
      <c r="AJ39">
        <f t="shared" si="33"/>
        <v>0</v>
      </c>
      <c r="AK39">
        <v>4852.47</v>
      </c>
      <c r="AL39">
        <v>1800.88</v>
      </c>
      <c r="AM39">
        <v>1050.3699999999999</v>
      </c>
      <c r="AN39">
        <v>43.16</v>
      </c>
      <c r="AO39">
        <v>2001.22</v>
      </c>
      <c r="AP39">
        <v>0</v>
      </c>
      <c r="AQ39">
        <v>179</v>
      </c>
      <c r="AR39">
        <v>0</v>
      </c>
      <c r="AS39">
        <v>0</v>
      </c>
      <c r="AT39">
        <v>68</v>
      </c>
      <c r="AU39">
        <v>41</v>
      </c>
      <c r="AV39">
        <v>1</v>
      </c>
      <c r="AW39">
        <v>1</v>
      </c>
      <c r="AZ39">
        <v>1</v>
      </c>
      <c r="BA39">
        <v>25.44</v>
      </c>
      <c r="BB39">
        <v>9.02</v>
      </c>
      <c r="BC39">
        <v>11.88</v>
      </c>
      <c r="BD39" t="s">
        <v>3</v>
      </c>
      <c r="BE39" t="s">
        <v>3</v>
      </c>
      <c r="BF39" t="s">
        <v>3</v>
      </c>
      <c r="BG39" t="s">
        <v>3</v>
      </c>
      <c r="BH39">
        <v>0</v>
      </c>
      <c r="BI39">
        <v>1</v>
      </c>
      <c r="BJ39" t="s">
        <v>98</v>
      </c>
      <c r="BM39">
        <v>47</v>
      </c>
      <c r="BN39">
        <v>0</v>
      </c>
      <c r="BO39" t="s">
        <v>95</v>
      </c>
      <c r="BP39">
        <v>1</v>
      </c>
      <c r="BQ39">
        <v>30</v>
      </c>
      <c r="BR39">
        <v>0</v>
      </c>
      <c r="BS39">
        <v>25.44</v>
      </c>
      <c r="BT39">
        <v>1</v>
      </c>
      <c r="BU39">
        <v>1</v>
      </c>
      <c r="BV39">
        <v>1</v>
      </c>
      <c r="BW39">
        <v>1</v>
      </c>
      <c r="BX39">
        <v>1</v>
      </c>
      <c r="BY39" t="s">
        <v>3</v>
      </c>
      <c r="BZ39">
        <v>68</v>
      </c>
      <c r="CA39">
        <v>41</v>
      </c>
      <c r="CB39" t="s">
        <v>3</v>
      </c>
      <c r="CE39">
        <v>30</v>
      </c>
      <c r="CF39">
        <v>0</v>
      </c>
      <c r="CG39">
        <v>0</v>
      </c>
      <c r="CM39">
        <v>0</v>
      </c>
      <c r="CN39" t="s">
        <v>1584</v>
      </c>
      <c r="CO39">
        <v>0</v>
      </c>
      <c r="CP39">
        <f t="shared" si="34"/>
        <v>108306.56</v>
      </c>
      <c r="CQ39">
        <f t="shared" si="35"/>
        <v>21394.45</v>
      </c>
      <c r="CR39">
        <f>(ROUND((ROUND((((ET39*1.25))*AV39*1),2)*BB39),2)+ROUND((ROUND(((AE39-((EU39*1.25)))*AV39*1),2)*BS39),2))</f>
        <v>11842.9</v>
      </c>
      <c r="CS39">
        <f t="shared" si="36"/>
        <v>1372.49</v>
      </c>
      <c r="CT39">
        <f t="shared" si="37"/>
        <v>58547.62</v>
      </c>
      <c r="CU39">
        <f t="shared" si="38"/>
        <v>0</v>
      </c>
      <c r="CV39">
        <f t="shared" si="39"/>
        <v>205.85</v>
      </c>
      <c r="CW39">
        <f t="shared" si="40"/>
        <v>0</v>
      </c>
      <c r="CX39">
        <f t="shared" si="41"/>
        <v>0</v>
      </c>
      <c r="CY39">
        <f t="shared" si="42"/>
        <v>46978.745200000005</v>
      </c>
      <c r="CZ39">
        <f t="shared" si="43"/>
        <v>28325.419899999997</v>
      </c>
      <c r="DC39" t="s">
        <v>3</v>
      </c>
      <c r="DD39" t="s">
        <v>3</v>
      </c>
      <c r="DE39" t="s">
        <v>20</v>
      </c>
      <c r="DF39" t="s">
        <v>20</v>
      </c>
      <c r="DG39" t="s">
        <v>21</v>
      </c>
      <c r="DH39" t="s">
        <v>3</v>
      </c>
      <c r="DI39" t="s">
        <v>21</v>
      </c>
      <c r="DJ39" t="s">
        <v>20</v>
      </c>
      <c r="DK39" t="s">
        <v>3</v>
      </c>
      <c r="DL39" t="s">
        <v>3</v>
      </c>
      <c r="DM39" t="s">
        <v>3</v>
      </c>
      <c r="DN39">
        <v>85</v>
      </c>
      <c r="DO39">
        <v>70</v>
      </c>
      <c r="DP39">
        <v>1</v>
      </c>
      <c r="DQ39">
        <v>1</v>
      </c>
      <c r="DU39">
        <v>1013</v>
      </c>
      <c r="DV39" t="s">
        <v>97</v>
      </c>
      <c r="DW39" t="s">
        <v>97</v>
      </c>
      <c r="DX39">
        <v>1</v>
      </c>
      <c r="DZ39" t="s">
        <v>3</v>
      </c>
      <c r="EA39" t="s">
        <v>3</v>
      </c>
      <c r="EB39" t="s">
        <v>3</v>
      </c>
      <c r="EC39" t="s">
        <v>3</v>
      </c>
      <c r="EE39">
        <v>43088125</v>
      </c>
      <c r="EF39">
        <v>30</v>
      </c>
      <c r="EG39" t="s">
        <v>22</v>
      </c>
      <c r="EH39">
        <v>0</v>
      </c>
      <c r="EI39" t="s">
        <v>3</v>
      </c>
      <c r="EJ39">
        <v>1</v>
      </c>
      <c r="EK39">
        <v>47</v>
      </c>
      <c r="EL39" t="s">
        <v>99</v>
      </c>
      <c r="EM39" t="s">
        <v>100</v>
      </c>
      <c r="EO39" t="s">
        <v>59</v>
      </c>
      <c r="EQ39">
        <v>0</v>
      </c>
      <c r="ER39">
        <v>4852.47</v>
      </c>
      <c r="ES39">
        <v>1800.88</v>
      </c>
      <c r="ET39">
        <v>1050.3699999999999</v>
      </c>
      <c r="EU39">
        <v>43.16</v>
      </c>
      <c r="EV39">
        <v>2001.22</v>
      </c>
      <c r="EW39">
        <v>179</v>
      </c>
      <c r="EX39">
        <v>0</v>
      </c>
      <c r="EY39">
        <v>0</v>
      </c>
      <c r="FQ39">
        <v>0</v>
      </c>
      <c r="FR39">
        <f t="shared" si="44"/>
        <v>0</v>
      </c>
      <c r="FS39">
        <v>0</v>
      </c>
      <c r="FX39">
        <v>85</v>
      </c>
      <c r="FY39">
        <v>70</v>
      </c>
      <c r="GA39" t="s">
        <v>3</v>
      </c>
      <c r="GD39">
        <v>0</v>
      </c>
      <c r="GF39">
        <v>555489886</v>
      </c>
      <c r="GG39">
        <v>2</v>
      </c>
      <c r="GH39">
        <v>1</v>
      </c>
      <c r="GI39">
        <v>2</v>
      </c>
      <c r="GJ39">
        <v>0</v>
      </c>
      <c r="GK39">
        <f>ROUND(R39*(R12)/100,2)</f>
        <v>2542.63</v>
      </c>
      <c r="GL39">
        <f t="shared" si="45"/>
        <v>0</v>
      </c>
      <c r="GM39">
        <f t="shared" si="46"/>
        <v>186153.36</v>
      </c>
      <c r="GN39">
        <f t="shared" si="47"/>
        <v>186153.36</v>
      </c>
      <c r="GO39">
        <f t="shared" si="48"/>
        <v>0</v>
      </c>
      <c r="GP39">
        <f t="shared" si="49"/>
        <v>0</v>
      </c>
      <c r="GR39">
        <v>0</v>
      </c>
      <c r="GS39">
        <v>3</v>
      </c>
      <c r="GT39">
        <v>0</v>
      </c>
      <c r="GU39" t="s">
        <v>3</v>
      </c>
      <c r="GV39">
        <f t="shared" si="50"/>
        <v>0</v>
      </c>
      <c r="GW39">
        <v>1</v>
      </c>
      <c r="GX39">
        <f t="shared" si="51"/>
        <v>0</v>
      </c>
      <c r="HA39">
        <v>0</v>
      </c>
      <c r="HB39">
        <v>0</v>
      </c>
      <c r="HC39">
        <f t="shared" si="52"/>
        <v>0</v>
      </c>
      <c r="HE39" t="s">
        <v>3</v>
      </c>
      <c r="HF39" t="s">
        <v>3</v>
      </c>
      <c r="HM39" t="s">
        <v>3</v>
      </c>
      <c r="IK39">
        <v>0</v>
      </c>
    </row>
    <row r="40" spans="1:245" x14ac:dyDescent="0.2">
      <c r="A40">
        <v>18</v>
      </c>
      <c r="B40">
        <v>1</v>
      </c>
      <c r="C40">
        <v>49</v>
      </c>
      <c r="E40" t="s">
        <v>101</v>
      </c>
      <c r="F40" t="s">
        <v>102</v>
      </c>
      <c r="G40" t="s">
        <v>103</v>
      </c>
      <c r="H40" t="s">
        <v>104</v>
      </c>
      <c r="I40">
        <f>I39*J40</f>
        <v>9.1044999999999998</v>
      </c>
      <c r="J40">
        <v>7.715677966101695</v>
      </c>
      <c r="K40">
        <v>7.7156779999999996</v>
      </c>
      <c r="O40">
        <f t="shared" si="21"/>
        <v>769240.56</v>
      </c>
      <c r="P40">
        <f t="shared" si="22"/>
        <v>769240.56</v>
      </c>
      <c r="Q40">
        <f>(ROUND((ROUND(((ET40)*AV40*I40),2)*BB40),2)+ROUND((ROUND(((AE40-(EU40))*AV40*I40),2)*BS40),2))</f>
        <v>0</v>
      </c>
      <c r="R40">
        <f t="shared" si="23"/>
        <v>0</v>
      </c>
      <c r="S40">
        <f t="shared" si="24"/>
        <v>0</v>
      </c>
      <c r="T40">
        <f t="shared" si="25"/>
        <v>0</v>
      </c>
      <c r="U40">
        <f t="shared" si="26"/>
        <v>0</v>
      </c>
      <c r="V40">
        <f t="shared" si="27"/>
        <v>0</v>
      </c>
      <c r="W40">
        <f t="shared" si="28"/>
        <v>0</v>
      </c>
      <c r="X40">
        <f t="shared" si="29"/>
        <v>0</v>
      </c>
      <c r="Y40">
        <f t="shared" si="30"/>
        <v>0</v>
      </c>
      <c r="AA40">
        <v>42938047</v>
      </c>
      <c r="AB40">
        <f t="shared" si="31"/>
        <v>5681.92</v>
      </c>
      <c r="AC40">
        <f t="shared" si="53"/>
        <v>5681.92</v>
      </c>
      <c r="AD40">
        <f>ROUND((((ET40)-(EU40))+AE40),6)</f>
        <v>0</v>
      </c>
      <c r="AE40">
        <f>ROUND((EU40),6)</f>
        <v>0</v>
      </c>
      <c r="AF40">
        <f>ROUND((EV40),6)</f>
        <v>0</v>
      </c>
      <c r="AG40">
        <f t="shared" si="32"/>
        <v>0</v>
      </c>
      <c r="AH40">
        <f>(EW40)</f>
        <v>0</v>
      </c>
      <c r="AI40">
        <f>(EX40)</f>
        <v>0</v>
      </c>
      <c r="AJ40">
        <f t="shared" si="33"/>
        <v>0</v>
      </c>
      <c r="AK40">
        <v>5681.92</v>
      </c>
      <c r="AL40">
        <v>5681.92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1</v>
      </c>
      <c r="AW40">
        <v>1</v>
      </c>
      <c r="AZ40">
        <v>1</v>
      </c>
      <c r="BA40">
        <v>1</v>
      </c>
      <c r="BB40">
        <v>1</v>
      </c>
      <c r="BC40">
        <v>14.87</v>
      </c>
      <c r="BD40" t="s">
        <v>3</v>
      </c>
      <c r="BE40" t="s">
        <v>3</v>
      </c>
      <c r="BF40" t="s">
        <v>3</v>
      </c>
      <c r="BG40" t="s">
        <v>3</v>
      </c>
      <c r="BH40">
        <v>3</v>
      </c>
      <c r="BI40">
        <v>1</v>
      </c>
      <c r="BJ40" t="s">
        <v>105</v>
      </c>
      <c r="BM40">
        <v>47</v>
      </c>
      <c r="BN40">
        <v>0</v>
      </c>
      <c r="BO40" t="s">
        <v>102</v>
      </c>
      <c r="BP40">
        <v>1</v>
      </c>
      <c r="BQ40">
        <v>30</v>
      </c>
      <c r="BR40">
        <v>0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 t="s">
        <v>3</v>
      </c>
      <c r="BZ40">
        <v>0</v>
      </c>
      <c r="CA40">
        <v>0</v>
      </c>
      <c r="CB40" t="s">
        <v>3</v>
      </c>
      <c r="CE40">
        <v>30</v>
      </c>
      <c r="CF40">
        <v>0</v>
      </c>
      <c r="CG40">
        <v>0</v>
      </c>
      <c r="CM40">
        <v>0</v>
      </c>
      <c r="CN40" t="s">
        <v>3</v>
      </c>
      <c r="CO40">
        <v>0</v>
      </c>
      <c r="CP40">
        <f t="shared" si="34"/>
        <v>769240.56</v>
      </c>
      <c r="CQ40">
        <f t="shared" si="35"/>
        <v>84490.15</v>
      </c>
      <c r="CR40">
        <f>(ROUND((ROUND(((ET40)*AV40*1),2)*BB40),2)+ROUND((ROUND(((AE40-(EU40))*AV40*1),2)*BS40),2))</f>
        <v>0</v>
      </c>
      <c r="CS40">
        <f t="shared" si="36"/>
        <v>0</v>
      </c>
      <c r="CT40">
        <f t="shared" si="37"/>
        <v>0</v>
      </c>
      <c r="CU40">
        <f t="shared" si="38"/>
        <v>0</v>
      </c>
      <c r="CV40">
        <f t="shared" si="39"/>
        <v>0</v>
      </c>
      <c r="CW40">
        <f t="shared" si="40"/>
        <v>0</v>
      </c>
      <c r="CX40">
        <f t="shared" si="41"/>
        <v>0</v>
      </c>
      <c r="CY40">
        <f t="shared" si="42"/>
        <v>0</v>
      </c>
      <c r="CZ40">
        <f t="shared" si="43"/>
        <v>0</v>
      </c>
      <c r="DC40" t="s">
        <v>3</v>
      </c>
      <c r="DD40" t="s">
        <v>3</v>
      </c>
      <c r="DE40" t="s">
        <v>3</v>
      </c>
      <c r="DF40" t="s">
        <v>3</v>
      </c>
      <c r="DG40" t="s">
        <v>3</v>
      </c>
      <c r="DH40" t="s">
        <v>3</v>
      </c>
      <c r="DI40" t="s">
        <v>3</v>
      </c>
      <c r="DJ40" t="s">
        <v>3</v>
      </c>
      <c r="DK40" t="s">
        <v>3</v>
      </c>
      <c r="DL40" t="s">
        <v>3</v>
      </c>
      <c r="DM40" t="s">
        <v>3</v>
      </c>
      <c r="DN40">
        <v>85</v>
      </c>
      <c r="DO40">
        <v>70</v>
      </c>
      <c r="DP40">
        <v>1</v>
      </c>
      <c r="DQ40">
        <v>1</v>
      </c>
      <c r="DU40">
        <v>1009</v>
      </c>
      <c r="DV40" t="s">
        <v>104</v>
      </c>
      <c r="DW40" t="s">
        <v>104</v>
      </c>
      <c r="DX40">
        <v>1000</v>
      </c>
      <c r="DZ40" t="s">
        <v>3</v>
      </c>
      <c r="EA40" t="s">
        <v>3</v>
      </c>
      <c r="EB40" t="s">
        <v>3</v>
      </c>
      <c r="EC40" t="s">
        <v>3</v>
      </c>
      <c r="EE40">
        <v>43088125</v>
      </c>
      <c r="EF40">
        <v>30</v>
      </c>
      <c r="EG40" t="s">
        <v>22</v>
      </c>
      <c r="EH40">
        <v>0</v>
      </c>
      <c r="EI40" t="s">
        <v>3</v>
      </c>
      <c r="EJ40">
        <v>1</v>
      </c>
      <c r="EK40">
        <v>47</v>
      </c>
      <c r="EL40" t="s">
        <v>99</v>
      </c>
      <c r="EM40" t="s">
        <v>100</v>
      </c>
      <c r="EO40" t="s">
        <v>3</v>
      </c>
      <c r="EQ40">
        <v>0</v>
      </c>
      <c r="ER40">
        <v>5681.92</v>
      </c>
      <c r="ES40">
        <v>5681.92</v>
      </c>
      <c r="ET40">
        <v>0</v>
      </c>
      <c r="EU40">
        <v>0</v>
      </c>
      <c r="EV40">
        <v>0</v>
      </c>
      <c r="EW40">
        <v>0</v>
      </c>
      <c r="EX40">
        <v>0</v>
      </c>
      <c r="FQ40">
        <v>0</v>
      </c>
      <c r="FR40">
        <f t="shared" si="44"/>
        <v>0</v>
      </c>
      <c r="FS40">
        <v>0</v>
      </c>
      <c r="FX40">
        <v>85</v>
      </c>
      <c r="FY40">
        <v>70</v>
      </c>
      <c r="GA40" t="s">
        <v>3</v>
      </c>
      <c r="GD40">
        <v>0</v>
      </c>
      <c r="GF40">
        <v>1058347035</v>
      </c>
      <c r="GG40">
        <v>2</v>
      </c>
      <c r="GH40">
        <v>1</v>
      </c>
      <c r="GI40">
        <v>2</v>
      </c>
      <c r="GJ40">
        <v>0</v>
      </c>
      <c r="GK40">
        <f>ROUND(R40*(R12)/100,2)</f>
        <v>0</v>
      </c>
      <c r="GL40">
        <f t="shared" si="45"/>
        <v>0</v>
      </c>
      <c r="GM40">
        <f t="shared" si="46"/>
        <v>769240.56</v>
      </c>
      <c r="GN40">
        <f t="shared" si="47"/>
        <v>769240.56</v>
      </c>
      <c r="GO40">
        <f t="shared" si="48"/>
        <v>0</v>
      </c>
      <c r="GP40">
        <f t="shared" si="49"/>
        <v>0</v>
      </c>
      <c r="GR40">
        <v>0</v>
      </c>
      <c r="GS40">
        <v>3</v>
      </c>
      <c r="GT40">
        <v>0</v>
      </c>
      <c r="GU40" t="s">
        <v>3</v>
      </c>
      <c r="GV40">
        <f t="shared" si="50"/>
        <v>0</v>
      </c>
      <c r="GW40">
        <v>1</v>
      </c>
      <c r="GX40">
        <f t="shared" si="51"/>
        <v>0</v>
      </c>
      <c r="HA40">
        <v>0</v>
      </c>
      <c r="HB40">
        <v>0</v>
      </c>
      <c r="HC40">
        <f t="shared" si="52"/>
        <v>0</v>
      </c>
      <c r="HE40" t="s">
        <v>3</v>
      </c>
      <c r="HF40" t="s">
        <v>3</v>
      </c>
      <c r="HM40" t="s">
        <v>3</v>
      </c>
      <c r="IK40">
        <v>0</v>
      </c>
    </row>
    <row r="41" spans="1:245" x14ac:dyDescent="0.2">
      <c r="A41">
        <v>18</v>
      </c>
      <c r="B41">
        <v>1</v>
      </c>
      <c r="C41">
        <v>48</v>
      </c>
      <c r="E41" t="s">
        <v>106</v>
      </c>
      <c r="F41" t="s">
        <v>107</v>
      </c>
      <c r="G41" t="s">
        <v>108</v>
      </c>
      <c r="H41" t="s">
        <v>84</v>
      </c>
      <c r="I41">
        <f>I39*J41</f>
        <v>119.77</v>
      </c>
      <c r="J41">
        <v>101.5</v>
      </c>
      <c r="K41">
        <v>101.5</v>
      </c>
      <c r="O41">
        <f t="shared" si="21"/>
        <v>507392.33</v>
      </c>
      <c r="P41">
        <f t="shared" si="22"/>
        <v>507392.33</v>
      </c>
      <c r="Q41">
        <f>(ROUND((ROUND(((ET41)*AV41*I41),2)*BB41),2)+ROUND((ROUND(((AE41-(EU41))*AV41*I41),2)*BS41),2))</f>
        <v>0</v>
      </c>
      <c r="R41">
        <f t="shared" si="23"/>
        <v>0</v>
      </c>
      <c r="S41">
        <f t="shared" si="24"/>
        <v>0</v>
      </c>
      <c r="T41">
        <f t="shared" si="25"/>
        <v>0</v>
      </c>
      <c r="U41">
        <f t="shared" si="26"/>
        <v>0</v>
      </c>
      <c r="V41">
        <f t="shared" si="27"/>
        <v>0</v>
      </c>
      <c r="W41">
        <f t="shared" si="28"/>
        <v>0</v>
      </c>
      <c r="X41">
        <f t="shared" si="29"/>
        <v>0</v>
      </c>
      <c r="Y41">
        <f t="shared" si="30"/>
        <v>0</v>
      </c>
      <c r="AA41">
        <v>42938047</v>
      </c>
      <c r="AB41">
        <f t="shared" si="31"/>
        <v>704.89</v>
      </c>
      <c r="AC41">
        <f t="shared" si="53"/>
        <v>704.89</v>
      </c>
      <c r="AD41">
        <f>ROUND((((ET41)-(EU41))+AE41),6)</f>
        <v>0</v>
      </c>
      <c r="AE41">
        <f>ROUND((EU41),6)</f>
        <v>0</v>
      </c>
      <c r="AF41">
        <f>ROUND((EV41),6)</f>
        <v>0</v>
      </c>
      <c r="AG41">
        <f t="shared" si="32"/>
        <v>0</v>
      </c>
      <c r="AH41">
        <f>(EW41)</f>
        <v>0</v>
      </c>
      <c r="AI41">
        <f>(EX41)</f>
        <v>0</v>
      </c>
      <c r="AJ41">
        <f t="shared" si="33"/>
        <v>0</v>
      </c>
      <c r="AK41">
        <v>704.89</v>
      </c>
      <c r="AL41">
        <v>704.89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1</v>
      </c>
      <c r="AW41">
        <v>1</v>
      </c>
      <c r="AZ41">
        <v>1</v>
      </c>
      <c r="BA41">
        <v>1</v>
      </c>
      <c r="BB41">
        <v>1</v>
      </c>
      <c r="BC41">
        <v>6.01</v>
      </c>
      <c r="BD41" t="s">
        <v>3</v>
      </c>
      <c r="BE41" t="s">
        <v>3</v>
      </c>
      <c r="BF41" t="s">
        <v>3</v>
      </c>
      <c r="BG41" t="s">
        <v>3</v>
      </c>
      <c r="BH41">
        <v>3</v>
      </c>
      <c r="BI41">
        <v>1</v>
      </c>
      <c r="BJ41" t="s">
        <v>109</v>
      </c>
      <c r="BM41">
        <v>47</v>
      </c>
      <c r="BN41">
        <v>0</v>
      </c>
      <c r="BO41" t="s">
        <v>107</v>
      </c>
      <c r="BP41">
        <v>1</v>
      </c>
      <c r="BQ41">
        <v>30</v>
      </c>
      <c r="BR41">
        <v>0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 t="s">
        <v>3</v>
      </c>
      <c r="BZ41">
        <v>0</v>
      </c>
      <c r="CA41">
        <v>0</v>
      </c>
      <c r="CB41" t="s">
        <v>3</v>
      </c>
      <c r="CE41">
        <v>30</v>
      </c>
      <c r="CF41">
        <v>0</v>
      </c>
      <c r="CG41">
        <v>0</v>
      </c>
      <c r="CM41">
        <v>0</v>
      </c>
      <c r="CN41" t="s">
        <v>3</v>
      </c>
      <c r="CO41">
        <v>0</v>
      </c>
      <c r="CP41">
        <f t="shared" si="34"/>
        <v>507392.33</v>
      </c>
      <c r="CQ41">
        <f t="shared" si="35"/>
        <v>4236.3900000000003</v>
      </c>
      <c r="CR41">
        <f>(ROUND((ROUND(((ET41)*AV41*1),2)*BB41),2)+ROUND((ROUND(((AE41-(EU41))*AV41*1),2)*BS41),2))</f>
        <v>0</v>
      </c>
      <c r="CS41">
        <f t="shared" si="36"/>
        <v>0</v>
      </c>
      <c r="CT41">
        <f t="shared" si="37"/>
        <v>0</v>
      </c>
      <c r="CU41">
        <f t="shared" si="38"/>
        <v>0</v>
      </c>
      <c r="CV41">
        <f t="shared" si="39"/>
        <v>0</v>
      </c>
      <c r="CW41">
        <f t="shared" si="40"/>
        <v>0</v>
      </c>
      <c r="CX41">
        <f t="shared" si="41"/>
        <v>0</v>
      </c>
      <c r="CY41">
        <f t="shared" si="42"/>
        <v>0</v>
      </c>
      <c r="CZ41">
        <f t="shared" si="43"/>
        <v>0</v>
      </c>
      <c r="DC41" t="s">
        <v>3</v>
      </c>
      <c r="DD41" t="s">
        <v>3</v>
      </c>
      <c r="DE41" t="s">
        <v>3</v>
      </c>
      <c r="DF41" t="s">
        <v>3</v>
      </c>
      <c r="DG41" t="s">
        <v>3</v>
      </c>
      <c r="DH41" t="s">
        <v>3</v>
      </c>
      <c r="DI41" t="s">
        <v>3</v>
      </c>
      <c r="DJ41" t="s">
        <v>3</v>
      </c>
      <c r="DK41" t="s">
        <v>3</v>
      </c>
      <c r="DL41" t="s">
        <v>3</v>
      </c>
      <c r="DM41" t="s">
        <v>3</v>
      </c>
      <c r="DN41">
        <v>85</v>
      </c>
      <c r="DO41">
        <v>70</v>
      </c>
      <c r="DP41">
        <v>1</v>
      </c>
      <c r="DQ41">
        <v>1</v>
      </c>
      <c r="DU41">
        <v>1007</v>
      </c>
      <c r="DV41" t="s">
        <v>84</v>
      </c>
      <c r="DW41" t="s">
        <v>84</v>
      </c>
      <c r="DX41">
        <v>1</v>
      </c>
      <c r="DZ41" t="s">
        <v>3</v>
      </c>
      <c r="EA41" t="s">
        <v>3</v>
      </c>
      <c r="EB41" t="s">
        <v>3</v>
      </c>
      <c r="EC41" t="s">
        <v>3</v>
      </c>
      <c r="EE41">
        <v>43088125</v>
      </c>
      <c r="EF41">
        <v>30</v>
      </c>
      <c r="EG41" t="s">
        <v>22</v>
      </c>
      <c r="EH41">
        <v>0</v>
      </c>
      <c r="EI41" t="s">
        <v>3</v>
      </c>
      <c r="EJ41">
        <v>1</v>
      </c>
      <c r="EK41">
        <v>47</v>
      </c>
      <c r="EL41" t="s">
        <v>99</v>
      </c>
      <c r="EM41" t="s">
        <v>100</v>
      </c>
      <c r="EO41" t="s">
        <v>3</v>
      </c>
      <c r="EQ41">
        <v>0</v>
      </c>
      <c r="ER41">
        <v>704.89</v>
      </c>
      <c r="ES41">
        <v>704.89</v>
      </c>
      <c r="ET41">
        <v>0</v>
      </c>
      <c r="EU41">
        <v>0</v>
      </c>
      <c r="EV41">
        <v>0</v>
      </c>
      <c r="EW41">
        <v>0</v>
      </c>
      <c r="EX41">
        <v>0</v>
      </c>
      <c r="FQ41">
        <v>0</v>
      </c>
      <c r="FR41">
        <f t="shared" si="44"/>
        <v>0</v>
      </c>
      <c r="FS41">
        <v>0</v>
      </c>
      <c r="FX41">
        <v>85</v>
      </c>
      <c r="FY41">
        <v>70</v>
      </c>
      <c r="GA41" t="s">
        <v>3</v>
      </c>
      <c r="GD41">
        <v>0</v>
      </c>
      <c r="GF41">
        <v>-758282629</v>
      </c>
      <c r="GG41">
        <v>2</v>
      </c>
      <c r="GH41">
        <v>1</v>
      </c>
      <c r="GI41">
        <v>2</v>
      </c>
      <c r="GJ41">
        <v>0</v>
      </c>
      <c r="GK41">
        <f>ROUND(R41*(R12)/100,2)</f>
        <v>0</v>
      </c>
      <c r="GL41">
        <f t="shared" si="45"/>
        <v>0</v>
      </c>
      <c r="GM41">
        <f t="shared" si="46"/>
        <v>507392.33</v>
      </c>
      <c r="GN41">
        <f t="shared" si="47"/>
        <v>507392.33</v>
      </c>
      <c r="GO41">
        <f t="shared" si="48"/>
        <v>0</v>
      </c>
      <c r="GP41">
        <f t="shared" si="49"/>
        <v>0</v>
      </c>
      <c r="GR41">
        <v>0</v>
      </c>
      <c r="GS41">
        <v>3</v>
      </c>
      <c r="GT41">
        <v>0</v>
      </c>
      <c r="GU41" t="s">
        <v>3</v>
      </c>
      <c r="GV41">
        <f t="shared" si="50"/>
        <v>0</v>
      </c>
      <c r="GW41">
        <v>1</v>
      </c>
      <c r="GX41">
        <f t="shared" si="51"/>
        <v>0</v>
      </c>
      <c r="HA41">
        <v>0</v>
      </c>
      <c r="HB41">
        <v>0</v>
      </c>
      <c r="HC41">
        <f t="shared" si="52"/>
        <v>0</v>
      </c>
      <c r="HE41" t="s">
        <v>3</v>
      </c>
      <c r="HF41" t="s">
        <v>3</v>
      </c>
      <c r="HM41" t="s">
        <v>3</v>
      </c>
      <c r="IK41">
        <v>0</v>
      </c>
    </row>
    <row r="42" spans="1:245" x14ac:dyDescent="0.2">
      <c r="A42">
        <v>17</v>
      </c>
      <c r="B42">
        <v>1</v>
      </c>
      <c r="C42">
        <f>ROW(SmtRes!A55)</f>
        <v>55</v>
      </c>
      <c r="D42">
        <f>ROW(EtalonRes!A56)</f>
        <v>56</v>
      </c>
      <c r="E42" t="s">
        <v>110</v>
      </c>
      <c r="F42" t="s">
        <v>111</v>
      </c>
      <c r="G42" t="s">
        <v>112</v>
      </c>
      <c r="H42" t="s">
        <v>113</v>
      </c>
      <c r="I42">
        <f>ROUND(787/1000,9)</f>
        <v>0.78700000000000003</v>
      </c>
      <c r="J42">
        <v>0</v>
      </c>
      <c r="K42">
        <f>ROUND(787/1000,9)</f>
        <v>0.78700000000000003</v>
      </c>
      <c r="O42">
        <f t="shared" si="21"/>
        <v>12361.74</v>
      </c>
      <c r="P42">
        <f t="shared" si="22"/>
        <v>2.56</v>
      </c>
      <c r="Q42">
        <f>(ROUND((ROUND((((ET42*1.25))*AV42*I42),2)*BB42),2)+ROUND((ROUND(((AE42-((EU42*1.25)))*AV42*I42),2)*BS42),2))</f>
        <v>5790.06</v>
      </c>
      <c r="R42">
        <f t="shared" si="23"/>
        <v>1558.96</v>
      </c>
      <c r="S42">
        <f t="shared" si="24"/>
        <v>6569.12</v>
      </c>
      <c r="T42">
        <f t="shared" si="25"/>
        <v>0</v>
      </c>
      <c r="U42">
        <f t="shared" si="26"/>
        <v>25.069884999999999</v>
      </c>
      <c r="V42">
        <f t="shared" si="27"/>
        <v>0</v>
      </c>
      <c r="W42">
        <f t="shared" si="28"/>
        <v>0</v>
      </c>
      <c r="X42">
        <f t="shared" si="29"/>
        <v>7357.41</v>
      </c>
      <c r="Y42">
        <f t="shared" si="30"/>
        <v>2693.34</v>
      </c>
      <c r="AA42">
        <v>42938047</v>
      </c>
      <c r="AB42">
        <f t="shared" si="31"/>
        <v>1166.5340000000001</v>
      </c>
      <c r="AC42">
        <f t="shared" si="53"/>
        <v>0.49</v>
      </c>
      <c r="AD42">
        <f>ROUND(((((ET42*1.25))-((EU42*1.25)))+AE42),6)</f>
        <v>837.9375</v>
      </c>
      <c r="AE42">
        <f>ROUND(((EU42*1.25)),6)</f>
        <v>77.862499999999997</v>
      </c>
      <c r="AF42">
        <f>ROUND(((EV42*1.15)),6)</f>
        <v>328.10649999999998</v>
      </c>
      <c r="AG42">
        <f t="shared" si="32"/>
        <v>0</v>
      </c>
      <c r="AH42">
        <f>((EW42*1.15))</f>
        <v>31.854999999999997</v>
      </c>
      <c r="AI42">
        <f>((EX42*1.25))</f>
        <v>0</v>
      </c>
      <c r="AJ42">
        <f t="shared" si="33"/>
        <v>0</v>
      </c>
      <c r="AK42">
        <v>956.15</v>
      </c>
      <c r="AL42">
        <v>0.49</v>
      </c>
      <c r="AM42">
        <v>670.35</v>
      </c>
      <c r="AN42">
        <v>62.29</v>
      </c>
      <c r="AO42">
        <v>285.31</v>
      </c>
      <c r="AP42">
        <v>0</v>
      </c>
      <c r="AQ42">
        <v>27.7</v>
      </c>
      <c r="AR42">
        <v>0</v>
      </c>
      <c r="AS42">
        <v>0</v>
      </c>
      <c r="AT42">
        <v>112</v>
      </c>
      <c r="AU42">
        <v>41</v>
      </c>
      <c r="AV42">
        <v>1</v>
      </c>
      <c r="AW42">
        <v>1</v>
      </c>
      <c r="AZ42">
        <v>1</v>
      </c>
      <c r="BA42">
        <v>25.44</v>
      </c>
      <c r="BB42">
        <v>8.7799999999999994</v>
      </c>
      <c r="BC42">
        <v>6.57</v>
      </c>
      <c r="BD42" t="s">
        <v>3</v>
      </c>
      <c r="BE42" t="s">
        <v>3</v>
      </c>
      <c r="BF42" t="s">
        <v>3</v>
      </c>
      <c r="BG42" t="s">
        <v>3</v>
      </c>
      <c r="BH42">
        <v>0</v>
      </c>
      <c r="BI42">
        <v>1</v>
      </c>
      <c r="BJ42" t="s">
        <v>114</v>
      </c>
      <c r="BM42">
        <v>166</v>
      </c>
      <c r="BN42">
        <v>0</v>
      </c>
      <c r="BO42" t="s">
        <v>111</v>
      </c>
      <c r="BP42">
        <v>1</v>
      </c>
      <c r="BQ42">
        <v>30</v>
      </c>
      <c r="BR42">
        <v>0</v>
      </c>
      <c r="BS42">
        <v>25.44</v>
      </c>
      <c r="BT42">
        <v>1</v>
      </c>
      <c r="BU42">
        <v>1</v>
      </c>
      <c r="BV42">
        <v>1</v>
      </c>
      <c r="BW42">
        <v>1</v>
      </c>
      <c r="BX42">
        <v>1</v>
      </c>
      <c r="BY42" t="s">
        <v>3</v>
      </c>
      <c r="BZ42">
        <v>112</v>
      </c>
      <c r="CA42">
        <v>41</v>
      </c>
      <c r="CB42" t="s">
        <v>3</v>
      </c>
      <c r="CE42">
        <v>30</v>
      </c>
      <c r="CF42">
        <v>0</v>
      </c>
      <c r="CG42">
        <v>0</v>
      </c>
      <c r="CM42">
        <v>0</v>
      </c>
      <c r="CN42" t="s">
        <v>1584</v>
      </c>
      <c r="CO42">
        <v>0</v>
      </c>
      <c r="CP42">
        <f t="shared" si="34"/>
        <v>12361.740000000002</v>
      </c>
      <c r="CQ42">
        <f t="shared" si="35"/>
        <v>3.22</v>
      </c>
      <c r="CR42">
        <f>(ROUND((ROUND((((ET42*1.25))*AV42*1),2)*BB42),2)+ROUND((ROUND(((AE42-((EU42*1.25)))*AV42*1),2)*BS42),2))</f>
        <v>7357.11</v>
      </c>
      <c r="CS42">
        <f t="shared" si="36"/>
        <v>1980.76</v>
      </c>
      <c r="CT42">
        <f t="shared" si="37"/>
        <v>8347.1200000000008</v>
      </c>
      <c r="CU42">
        <f t="shared" si="38"/>
        <v>0</v>
      </c>
      <c r="CV42">
        <f t="shared" si="39"/>
        <v>31.854999999999997</v>
      </c>
      <c r="CW42">
        <f t="shared" si="40"/>
        <v>0</v>
      </c>
      <c r="CX42">
        <f t="shared" si="41"/>
        <v>0</v>
      </c>
      <c r="CY42">
        <f t="shared" si="42"/>
        <v>7357.4144000000006</v>
      </c>
      <c r="CZ42">
        <f t="shared" si="43"/>
        <v>2693.3391999999999</v>
      </c>
      <c r="DC42" t="s">
        <v>3</v>
      </c>
      <c r="DD42" t="s">
        <v>3</v>
      </c>
      <c r="DE42" t="s">
        <v>20</v>
      </c>
      <c r="DF42" t="s">
        <v>20</v>
      </c>
      <c r="DG42" t="s">
        <v>21</v>
      </c>
      <c r="DH42" t="s">
        <v>3</v>
      </c>
      <c r="DI42" t="s">
        <v>21</v>
      </c>
      <c r="DJ42" t="s">
        <v>20</v>
      </c>
      <c r="DK42" t="s">
        <v>3</v>
      </c>
      <c r="DL42" t="s">
        <v>3</v>
      </c>
      <c r="DM42" t="s">
        <v>3</v>
      </c>
      <c r="DN42">
        <v>140</v>
      </c>
      <c r="DO42">
        <v>79</v>
      </c>
      <c r="DP42">
        <v>1</v>
      </c>
      <c r="DQ42">
        <v>1</v>
      </c>
      <c r="DU42">
        <v>1005</v>
      </c>
      <c r="DV42" t="s">
        <v>113</v>
      </c>
      <c r="DW42" t="s">
        <v>113</v>
      </c>
      <c r="DX42">
        <v>1000</v>
      </c>
      <c r="DZ42" t="s">
        <v>3</v>
      </c>
      <c r="EA42" t="s">
        <v>3</v>
      </c>
      <c r="EB42" t="s">
        <v>3</v>
      </c>
      <c r="EC42" t="s">
        <v>3</v>
      </c>
      <c r="EE42">
        <v>43088244</v>
      </c>
      <c r="EF42">
        <v>30</v>
      </c>
      <c r="EG42" t="s">
        <v>22</v>
      </c>
      <c r="EH42">
        <v>0</v>
      </c>
      <c r="EI42" t="s">
        <v>3</v>
      </c>
      <c r="EJ42">
        <v>1</v>
      </c>
      <c r="EK42">
        <v>166</v>
      </c>
      <c r="EL42" t="s">
        <v>115</v>
      </c>
      <c r="EM42" t="s">
        <v>116</v>
      </c>
      <c r="EO42" t="s">
        <v>59</v>
      </c>
      <c r="EQ42">
        <v>0</v>
      </c>
      <c r="ER42">
        <v>956.15</v>
      </c>
      <c r="ES42">
        <v>0.49</v>
      </c>
      <c r="ET42">
        <v>670.35</v>
      </c>
      <c r="EU42">
        <v>62.29</v>
      </c>
      <c r="EV42">
        <v>285.31</v>
      </c>
      <c r="EW42">
        <v>27.7</v>
      </c>
      <c r="EX42">
        <v>0</v>
      </c>
      <c r="EY42">
        <v>0</v>
      </c>
      <c r="FQ42">
        <v>0</v>
      </c>
      <c r="FR42">
        <f t="shared" si="44"/>
        <v>0</v>
      </c>
      <c r="FS42">
        <v>0</v>
      </c>
      <c r="FX42">
        <v>140</v>
      </c>
      <c r="FY42">
        <v>79</v>
      </c>
      <c r="GA42" t="s">
        <v>3</v>
      </c>
      <c r="GD42">
        <v>0</v>
      </c>
      <c r="GF42">
        <v>-1588331883</v>
      </c>
      <c r="GG42">
        <v>2</v>
      </c>
      <c r="GH42">
        <v>1</v>
      </c>
      <c r="GI42">
        <v>2</v>
      </c>
      <c r="GJ42">
        <v>0</v>
      </c>
      <c r="GK42">
        <f>ROUND(R42*(R12)/100,2)</f>
        <v>2447.5700000000002</v>
      </c>
      <c r="GL42">
        <f t="shared" si="45"/>
        <v>0</v>
      </c>
      <c r="GM42">
        <f t="shared" si="46"/>
        <v>24860.06</v>
      </c>
      <c r="GN42">
        <f t="shared" si="47"/>
        <v>24860.06</v>
      </c>
      <c r="GO42">
        <f t="shared" si="48"/>
        <v>0</v>
      </c>
      <c r="GP42">
        <f t="shared" si="49"/>
        <v>0</v>
      </c>
      <c r="GR42">
        <v>0</v>
      </c>
      <c r="GS42">
        <v>3</v>
      </c>
      <c r="GT42">
        <v>0</v>
      </c>
      <c r="GU42" t="s">
        <v>3</v>
      </c>
      <c r="GV42">
        <f t="shared" si="50"/>
        <v>0</v>
      </c>
      <c r="GW42">
        <v>1</v>
      </c>
      <c r="GX42">
        <f t="shared" si="51"/>
        <v>0</v>
      </c>
      <c r="HA42">
        <v>0</v>
      </c>
      <c r="HB42">
        <v>0</v>
      </c>
      <c r="HC42">
        <f t="shared" si="52"/>
        <v>0</v>
      </c>
      <c r="HE42" t="s">
        <v>3</v>
      </c>
      <c r="HF42" t="s">
        <v>3</v>
      </c>
      <c r="HM42" t="s">
        <v>3</v>
      </c>
      <c r="IK42">
        <v>0</v>
      </c>
    </row>
    <row r="43" spans="1:245" x14ac:dyDescent="0.2">
      <c r="A43">
        <v>18</v>
      </c>
      <c r="B43">
        <v>1</v>
      </c>
      <c r="C43">
        <v>55</v>
      </c>
      <c r="E43" t="s">
        <v>117</v>
      </c>
      <c r="F43" t="s">
        <v>118</v>
      </c>
      <c r="G43" t="s">
        <v>119</v>
      </c>
      <c r="H43" t="s">
        <v>120</v>
      </c>
      <c r="I43">
        <f>I42*J43</f>
        <v>912.00000000000011</v>
      </c>
      <c r="J43">
        <v>1158.8310038119441</v>
      </c>
      <c r="K43">
        <v>1158.8310039999999</v>
      </c>
      <c r="O43">
        <f t="shared" si="21"/>
        <v>251925.23</v>
      </c>
      <c r="P43">
        <f t="shared" si="22"/>
        <v>251925.23</v>
      </c>
      <c r="Q43">
        <f>(ROUND((ROUND(((ET43)*AV43*I43),2)*BB43),2)+ROUND((ROUND(((AE43-(EU43))*AV43*I43),2)*BS43),2))</f>
        <v>0</v>
      </c>
      <c r="R43">
        <f t="shared" si="23"/>
        <v>0</v>
      </c>
      <c r="S43">
        <f t="shared" si="24"/>
        <v>0</v>
      </c>
      <c r="T43">
        <f t="shared" si="25"/>
        <v>0</v>
      </c>
      <c r="U43">
        <f t="shared" si="26"/>
        <v>0</v>
      </c>
      <c r="V43">
        <f t="shared" si="27"/>
        <v>0</v>
      </c>
      <c r="W43">
        <f t="shared" si="28"/>
        <v>0</v>
      </c>
      <c r="X43">
        <f t="shared" si="29"/>
        <v>0</v>
      </c>
      <c r="Y43">
        <f t="shared" si="30"/>
        <v>0</v>
      </c>
      <c r="AA43">
        <v>42938047</v>
      </c>
      <c r="AB43">
        <f t="shared" si="31"/>
        <v>43.57</v>
      </c>
      <c r="AC43">
        <f t="shared" si="53"/>
        <v>43.57</v>
      </c>
      <c r="AD43">
        <f>ROUND((((ET43)-(EU43))+AE43),6)</f>
        <v>0</v>
      </c>
      <c r="AE43">
        <f>ROUND((EU43),6)</f>
        <v>0</v>
      </c>
      <c r="AF43">
        <f>ROUND((EV43),6)</f>
        <v>0</v>
      </c>
      <c r="AG43">
        <f t="shared" si="32"/>
        <v>0</v>
      </c>
      <c r="AH43">
        <f>(EW43)</f>
        <v>0</v>
      </c>
      <c r="AI43">
        <f>(EX43)</f>
        <v>0</v>
      </c>
      <c r="AJ43">
        <f t="shared" si="33"/>
        <v>0</v>
      </c>
      <c r="AK43">
        <v>43.57</v>
      </c>
      <c r="AL43">
        <v>43.57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1</v>
      </c>
      <c r="AW43">
        <v>1</v>
      </c>
      <c r="AZ43">
        <v>1</v>
      </c>
      <c r="BA43">
        <v>1</v>
      </c>
      <c r="BB43">
        <v>1</v>
      </c>
      <c r="BC43">
        <v>6.34</v>
      </c>
      <c r="BD43" t="s">
        <v>3</v>
      </c>
      <c r="BE43" t="s">
        <v>3</v>
      </c>
      <c r="BF43" t="s">
        <v>3</v>
      </c>
      <c r="BG43" t="s">
        <v>3</v>
      </c>
      <c r="BH43">
        <v>3</v>
      </c>
      <c r="BI43">
        <v>1</v>
      </c>
      <c r="BJ43" t="s">
        <v>3</v>
      </c>
      <c r="BM43">
        <v>166</v>
      </c>
      <c r="BN43">
        <v>0</v>
      </c>
      <c r="BO43" t="s">
        <v>3</v>
      </c>
      <c r="BP43">
        <v>0</v>
      </c>
      <c r="BQ43">
        <v>30</v>
      </c>
      <c r="BR43">
        <v>0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 t="s">
        <v>3</v>
      </c>
      <c r="BZ43">
        <v>0</v>
      </c>
      <c r="CA43">
        <v>0</v>
      </c>
      <c r="CB43" t="s">
        <v>3</v>
      </c>
      <c r="CE43">
        <v>30</v>
      </c>
      <c r="CF43">
        <v>0</v>
      </c>
      <c r="CG43">
        <v>0</v>
      </c>
      <c r="CM43">
        <v>0</v>
      </c>
      <c r="CN43" t="s">
        <v>3</v>
      </c>
      <c r="CO43">
        <v>0</v>
      </c>
      <c r="CP43">
        <f t="shared" si="34"/>
        <v>251925.23</v>
      </c>
      <c r="CQ43">
        <f t="shared" si="35"/>
        <v>276.23</v>
      </c>
      <c r="CR43">
        <f>(ROUND((ROUND(((ET43)*AV43*1),2)*BB43),2)+ROUND((ROUND(((AE43-(EU43))*AV43*1),2)*BS43),2))</f>
        <v>0</v>
      </c>
      <c r="CS43">
        <f t="shared" si="36"/>
        <v>0</v>
      </c>
      <c r="CT43">
        <f t="shared" si="37"/>
        <v>0</v>
      </c>
      <c r="CU43">
        <f t="shared" si="38"/>
        <v>0</v>
      </c>
      <c r="CV43">
        <f t="shared" si="39"/>
        <v>0</v>
      </c>
      <c r="CW43">
        <f t="shared" si="40"/>
        <v>0</v>
      </c>
      <c r="CX43">
        <f t="shared" si="41"/>
        <v>0</v>
      </c>
      <c r="CY43">
        <f t="shared" si="42"/>
        <v>0</v>
      </c>
      <c r="CZ43">
        <f t="shared" si="43"/>
        <v>0</v>
      </c>
      <c r="DC43" t="s">
        <v>3</v>
      </c>
      <c r="DD43" t="s">
        <v>3</v>
      </c>
      <c r="DE43" t="s">
        <v>3</v>
      </c>
      <c r="DF43" t="s">
        <v>3</v>
      </c>
      <c r="DG43" t="s">
        <v>3</v>
      </c>
      <c r="DH43" t="s">
        <v>3</v>
      </c>
      <c r="DI43" t="s">
        <v>3</v>
      </c>
      <c r="DJ43" t="s">
        <v>3</v>
      </c>
      <c r="DK43" t="s">
        <v>3</v>
      </c>
      <c r="DL43" t="s">
        <v>3</v>
      </c>
      <c r="DM43" t="s">
        <v>3</v>
      </c>
      <c r="DN43">
        <v>140</v>
      </c>
      <c r="DO43">
        <v>79</v>
      </c>
      <c r="DP43">
        <v>1</v>
      </c>
      <c r="DQ43">
        <v>1</v>
      </c>
      <c r="DU43">
        <v>1005</v>
      </c>
      <c r="DV43" t="s">
        <v>120</v>
      </c>
      <c r="DW43" t="s">
        <v>120</v>
      </c>
      <c r="DX43">
        <v>1</v>
      </c>
      <c r="DZ43" t="s">
        <v>3</v>
      </c>
      <c r="EA43" t="s">
        <v>3</v>
      </c>
      <c r="EB43" t="s">
        <v>3</v>
      </c>
      <c r="EC43" t="s">
        <v>3</v>
      </c>
      <c r="EE43">
        <v>43088244</v>
      </c>
      <c r="EF43">
        <v>30</v>
      </c>
      <c r="EG43" t="s">
        <v>22</v>
      </c>
      <c r="EH43">
        <v>0</v>
      </c>
      <c r="EI43" t="s">
        <v>3</v>
      </c>
      <c r="EJ43">
        <v>1</v>
      </c>
      <c r="EK43">
        <v>166</v>
      </c>
      <c r="EL43" t="s">
        <v>115</v>
      </c>
      <c r="EM43" t="s">
        <v>116</v>
      </c>
      <c r="EO43" t="s">
        <v>3</v>
      </c>
      <c r="EQ43">
        <v>0</v>
      </c>
      <c r="ER43">
        <v>43.57</v>
      </c>
      <c r="ES43">
        <v>43.57</v>
      </c>
      <c r="ET43">
        <v>0</v>
      </c>
      <c r="EU43">
        <v>0</v>
      </c>
      <c r="EV43">
        <v>0</v>
      </c>
      <c r="EW43">
        <v>0</v>
      </c>
      <c r="EX43">
        <v>0</v>
      </c>
      <c r="EZ43">
        <v>5</v>
      </c>
      <c r="FC43">
        <v>1</v>
      </c>
      <c r="FD43">
        <v>18</v>
      </c>
      <c r="FF43">
        <v>325</v>
      </c>
      <c r="FQ43">
        <v>0</v>
      </c>
      <c r="FR43">
        <f t="shared" si="44"/>
        <v>0</v>
      </c>
      <c r="FS43">
        <v>0</v>
      </c>
      <c r="FX43">
        <v>140</v>
      </c>
      <c r="FY43">
        <v>79</v>
      </c>
      <c r="GA43" t="s">
        <v>121</v>
      </c>
      <c r="GD43">
        <v>0</v>
      </c>
      <c r="GF43">
        <v>128342379</v>
      </c>
      <c r="GG43">
        <v>2</v>
      </c>
      <c r="GH43">
        <v>3</v>
      </c>
      <c r="GI43">
        <v>3</v>
      </c>
      <c r="GJ43">
        <v>0</v>
      </c>
      <c r="GK43">
        <f>ROUND(R43*(R12)/100,2)</f>
        <v>0</v>
      </c>
      <c r="GL43">
        <f t="shared" si="45"/>
        <v>0</v>
      </c>
      <c r="GM43">
        <f t="shared" si="46"/>
        <v>251925.23</v>
      </c>
      <c r="GN43">
        <f t="shared" si="47"/>
        <v>251925.23</v>
      </c>
      <c r="GO43">
        <f t="shared" si="48"/>
        <v>0</v>
      </c>
      <c r="GP43">
        <f t="shared" si="49"/>
        <v>0</v>
      </c>
      <c r="GR43">
        <v>1</v>
      </c>
      <c r="GS43">
        <v>1</v>
      </c>
      <c r="GT43">
        <v>0</v>
      </c>
      <c r="GU43" t="s">
        <v>3</v>
      </c>
      <c r="GV43">
        <f t="shared" si="50"/>
        <v>0</v>
      </c>
      <c r="GW43">
        <v>1</v>
      </c>
      <c r="GX43">
        <f t="shared" si="51"/>
        <v>0</v>
      </c>
      <c r="HA43">
        <v>0</v>
      </c>
      <c r="HB43">
        <v>0</v>
      </c>
      <c r="HC43">
        <f t="shared" si="52"/>
        <v>0</v>
      </c>
      <c r="HE43" t="s">
        <v>26</v>
      </c>
      <c r="HF43" t="s">
        <v>122</v>
      </c>
      <c r="HM43" t="s">
        <v>3</v>
      </c>
      <c r="IK43">
        <v>0</v>
      </c>
    </row>
    <row r="44" spans="1:245" x14ac:dyDescent="0.2">
      <c r="A44">
        <v>17</v>
      </c>
      <c r="B44">
        <v>1</v>
      </c>
      <c r="C44">
        <f>ROW(SmtRes!A65)</f>
        <v>65</v>
      </c>
      <c r="D44">
        <f>ROW(EtalonRes!A63)</f>
        <v>63</v>
      </c>
      <c r="E44" t="s">
        <v>123</v>
      </c>
      <c r="F44" t="s">
        <v>27</v>
      </c>
      <c r="G44" t="s">
        <v>124</v>
      </c>
      <c r="H44" t="s">
        <v>18</v>
      </c>
      <c r="I44">
        <f>ROUND(787/100,9)</f>
        <v>7.87</v>
      </c>
      <c r="J44">
        <v>0</v>
      </c>
      <c r="K44">
        <f>ROUND(787/100,9)</f>
        <v>7.87</v>
      </c>
      <c r="O44">
        <f t="shared" si="21"/>
        <v>40628.57</v>
      </c>
      <c r="P44">
        <f t="shared" si="22"/>
        <v>18827.580000000002</v>
      </c>
      <c r="Q44">
        <f>(ROUND((ROUND((((ET44*1.25))*AV44*I44),2)*BB44),2)+ROUND((ROUND(((AE44-((EU44*1.25)))*AV44*I44),2)*BS44),2))</f>
        <v>141.88</v>
      </c>
      <c r="R44">
        <f t="shared" si="23"/>
        <v>80.14</v>
      </c>
      <c r="S44">
        <f t="shared" si="24"/>
        <v>21659.11</v>
      </c>
      <c r="T44">
        <f t="shared" si="25"/>
        <v>0</v>
      </c>
      <c r="U44">
        <f t="shared" si="26"/>
        <v>73.580565000000007</v>
      </c>
      <c r="V44">
        <f t="shared" si="27"/>
        <v>0</v>
      </c>
      <c r="W44">
        <f t="shared" si="28"/>
        <v>0</v>
      </c>
      <c r="X44">
        <f t="shared" si="29"/>
        <v>19493.2</v>
      </c>
      <c r="Y44">
        <f t="shared" si="30"/>
        <v>8880.24</v>
      </c>
      <c r="AA44">
        <v>42938047</v>
      </c>
      <c r="AB44">
        <f t="shared" si="31"/>
        <v>695.07550000000003</v>
      </c>
      <c r="AC44">
        <f t="shared" si="53"/>
        <v>584.91999999999996</v>
      </c>
      <c r="AD44">
        <f>ROUND(((((ET44*1.25))-((EU44*1.25)))+AE44),6)</f>
        <v>1.9750000000000001</v>
      </c>
      <c r="AE44">
        <f>ROUND(((EU44*1.25)),6)</f>
        <v>0.4</v>
      </c>
      <c r="AF44">
        <f>ROUND(((EV44*1.15)),6)</f>
        <v>108.18049999999999</v>
      </c>
      <c r="AG44">
        <f t="shared" si="32"/>
        <v>0</v>
      </c>
      <c r="AH44">
        <f>((EW44*1.15))</f>
        <v>9.3495000000000008</v>
      </c>
      <c r="AI44">
        <f>((EX44*1.25))</f>
        <v>0</v>
      </c>
      <c r="AJ44">
        <f t="shared" si="33"/>
        <v>0</v>
      </c>
      <c r="AK44">
        <v>680.57</v>
      </c>
      <c r="AL44">
        <v>584.91999999999996</v>
      </c>
      <c r="AM44">
        <v>1.58</v>
      </c>
      <c r="AN44">
        <v>0.32</v>
      </c>
      <c r="AO44">
        <v>94.07</v>
      </c>
      <c r="AP44">
        <v>0</v>
      </c>
      <c r="AQ44">
        <v>8.1300000000000008</v>
      </c>
      <c r="AR44">
        <v>0</v>
      </c>
      <c r="AS44">
        <v>0</v>
      </c>
      <c r="AT44">
        <v>90</v>
      </c>
      <c r="AU44">
        <v>41</v>
      </c>
      <c r="AV44">
        <v>1</v>
      </c>
      <c r="AW44">
        <v>1</v>
      </c>
      <c r="AZ44">
        <v>1</v>
      </c>
      <c r="BA44">
        <v>25.44</v>
      </c>
      <c r="BB44">
        <v>9.1300000000000008</v>
      </c>
      <c r="BC44">
        <v>4.09</v>
      </c>
      <c r="BD44" t="s">
        <v>3</v>
      </c>
      <c r="BE44" t="s">
        <v>3</v>
      </c>
      <c r="BF44" t="s">
        <v>3</v>
      </c>
      <c r="BG44" t="s">
        <v>3</v>
      </c>
      <c r="BH44">
        <v>0</v>
      </c>
      <c r="BI44">
        <v>1</v>
      </c>
      <c r="BJ44" t="s">
        <v>29</v>
      </c>
      <c r="BM44">
        <v>1526</v>
      </c>
      <c r="BN44">
        <v>0</v>
      </c>
      <c r="BO44" t="s">
        <v>27</v>
      </c>
      <c r="BP44">
        <v>1</v>
      </c>
      <c r="BQ44">
        <v>30</v>
      </c>
      <c r="BR44">
        <v>0</v>
      </c>
      <c r="BS44">
        <v>25.44</v>
      </c>
      <c r="BT44">
        <v>1</v>
      </c>
      <c r="BU44">
        <v>1</v>
      </c>
      <c r="BV44">
        <v>1</v>
      </c>
      <c r="BW44">
        <v>1</v>
      </c>
      <c r="BX44">
        <v>1</v>
      </c>
      <c r="BY44" t="s">
        <v>3</v>
      </c>
      <c r="BZ44">
        <v>90</v>
      </c>
      <c r="CA44">
        <v>41</v>
      </c>
      <c r="CB44" t="s">
        <v>3</v>
      </c>
      <c r="CE44">
        <v>30</v>
      </c>
      <c r="CF44">
        <v>0</v>
      </c>
      <c r="CG44">
        <v>0</v>
      </c>
      <c r="CM44">
        <v>0</v>
      </c>
      <c r="CN44" t="s">
        <v>1584</v>
      </c>
      <c r="CO44">
        <v>0</v>
      </c>
      <c r="CP44">
        <f t="shared" si="34"/>
        <v>40628.570000000007</v>
      </c>
      <c r="CQ44">
        <f t="shared" si="35"/>
        <v>2392.3200000000002</v>
      </c>
      <c r="CR44">
        <f>(ROUND((ROUND((((ET44*1.25))*AV44*1),2)*BB44),2)+ROUND((ROUND(((AE44-((EU44*1.25)))*AV44*1),2)*BS44),2))</f>
        <v>18.079999999999998</v>
      </c>
      <c r="CS44">
        <f t="shared" si="36"/>
        <v>10.18</v>
      </c>
      <c r="CT44">
        <f t="shared" si="37"/>
        <v>2752.1</v>
      </c>
      <c r="CU44">
        <f t="shared" si="38"/>
        <v>0</v>
      </c>
      <c r="CV44">
        <f t="shared" si="39"/>
        <v>9.3495000000000008</v>
      </c>
      <c r="CW44">
        <f t="shared" si="40"/>
        <v>0</v>
      </c>
      <c r="CX44">
        <f t="shared" si="41"/>
        <v>0</v>
      </c>
      <c r="CY44">
        <f t="shared" si="42"/>
        <v>19493.199000000001</v>
      </c>
      <c r="CZ44">
        <f t="shared" si="43"/>
        <v>8880.2350999999999</v>
      </c>
      <c r="DC44" t="s">
        <v>3</v>
      </c>
      <c r="DD44" t="s">
        <v>3</v>
      </c>
      <c r="DE44" t="s">
        <v>20</v>
      </c>
      <c r="DF44" t="s">
        <v>20</v>
      </c>
      <c r="DG44" t="s">
        <v>21</v>
      </c>
      <c r="DH44" t="s">
        <v>3</v>
      </c>
      <c r="DI44" t="s">
        <v>21</v>
      </c>
      <c r="DJ44" t="s">
        <v>20</v>
      </c>
      <c r="DK44" t="s">
        <v>3</v>
      </c>
      <c r="DL44" t="s">
        <v>3</v>
      </c>
      <c r="DM44" t="s">
        <v>3</v>
      </c>
      <c r="DN44">
        <v>156</v>
      </c>
      <c r="DO44">
        <v>84</v>
      </c>
      <c r="DP44">
        <v>1</v>
      </c>
      <c r="DQ44">
        <v>1</v>
      </c>
      <c r="DU44">
        <v>1005</v>
      </c>
      <c r="DV44" t="s">
        <v>18</v>
      </c>
      <c r="DW44" t="s">
        <v>18</v>
      </c>
      <c r="DX44">
        <v>100</v>
      </c>
      <c r="DZ44" t="s">
        <v>3</v>
      </c>
      <c r="EA44" t="s">
        <v>3</v>
      </c>
      <c r="EB44" t="s">
        <v>3</v>
      </c>
      <c r="EC44" t="s">
        <v>3</v>
      </c>
      <c r="EE44">
        <v>43089604</v>
      </c>
      <c r="EF44">
        <v>30</v>
      </c>
      <c r="EG44" t="s">
        <v>22</v>
      </c>
      <c r="EH44">
        <v>0</v>
      </c>
      <c r="EI44" t="s">
        <v>3</v>
      </c>
      <c r="EJ44">
        <v>1</v>
      </c>
      <c r="EK44">
        <v>1526</v>
      </c>
      <c r="EL44" t="s">
        <v>32</v>
      </c>
      <c r="EM44" t="s">
        <v>33</v>
      </c>
      <c r="EO44" t="s">
        <v>59</v>
      </c>
      <c r="EQ44">
        <v>0</v>
      </c>
      <c r="ER44">
        <v>680.57</v>
      </c>
      <c r="ES44">
        <v>584.91999999999996</v>
      </c>
      <c r="ET44">
        <v>1.58</v>
      </c>
      <c r="EU44">
        <v>0.32</v>
      </c>
      <c r="EV44">
        <v>94.07</v>
      </c>
      <c r="EW44">
        <v>8.1300000000000008</v>
      </c>
      <c r="EX44">
        <v>0</v>
      </c>
      <c r="EY44">
        <v>0</v>
      </c>
      <c r="FQ44">
        <v>0</v>
      </c>
      <c r="FR44">
        <f t="shared" si="44"/>
        <v>0</v>
      </c>
      <c r="FS44">
        <v>0</v>
      </c>
      <c r="FX44">
        <v>156</v>
      </c>
      <c r="FY44">
        <v>84</v>
      </c>
      <c r="GA44" t="s">
        <v>3</v>
      </c>
      <c r="GD44">
        <v>0</v>
      </c>
      <c r="GF44">
        <v>-1032089499</v>
      </c>
      <c r="GG44">
        <v>2</v>
      </c>
      <c r="GH44">
        <v>1</v>
      </c>
      <c r="GI44">
        <v>2</v>
      </c>
      <c r="GJ44">
        <v>0</v>
      </c>
      <c r="GK44">
        <f>ROUND(R44*(R12)/100,2)</f>
        <v>125.82</v>
      </c>
      <c r="GL44">
        <f t="shared" si="45"/>
        <v>0</v>
      </c>
      <c r="GM44">
        <f t="shared" si="46"/>
        <v>69127.83</v>
      </c>
      <c r="GN44">
        <f t="shared" si="47"/>
        <v>69127.83</v>
      </c>
      <c r="GO44">
        <f t="shared" si="48"/>
        <v>0</v>
      </c>
      <c r="GP44">
        <f t="shared" si="49"/>
        <v>0</v>
      </c>
      <c r="GR44">
        <v>0</v>
      </c>
      <c r="GS44">
        <v>3</v>
      </c>
      <c r="GT44">
        <v>0</v>
      </c>
      <c r="GU44" t="s">
        <v>3</v>
      </c>
      <c r="GV44">
        <f t="shared" si="50"/>
        <v>0</v>
      </c>
      <c r="GW44">
        <v>1</v>
      </c>
      <c r="GX44">
        <f t="shared" si="51"/>
        <v>0</v>
      </c>
      <c r="HA44">
        <v>0</v>
      </c>
      <c r="HB44">
        <v>0</v>
      </c>
      <c r="HC44">
        <f t="shared" si="52"/>
        <v>0</v>
      </c>
      <c r="HE44" t="s">
        <v>3</v>
      </c>
      <c r="HF44" t="s">
        <v>3</v>
      </c>
      <c r="HM44" t="s">
        <v>3</v>
      </c>
      <c r="IK44">
        <v>0</v>
      </c>
    </row>
    <row r="45" spans="1:245" x14ac:dyDescent="0.2">
      <c r="A45">
        <v>18</v>
      </c>
      <c r="B45">
        <v>1</v>
      </c>
      <c r="C45">
        <v>62</v>
      </c>
      <c r="E45" t="s">
        <v>125</v>
      </c>
      <c r="F45" t="s">
        <v>118</v>
      </c>
      <c r="G45" t="s">
        <v>126</v>
      </c>
      <c r="H45" t="s">
        <v>120</v>
      </c>
      <c r="I45">
        <f>I44*J45</f>
        <v>802.69</v>
      </c>
      <c r="J45">
        <v>101.99364675984752</v>
      </c>
      <c r="K45">
        <v>101.993647</v>
      </c>
      <c r="O45">
        <f t="shared" si="21"/>
        <v>1279286.53</v>
      </c>
      <c r="P45">
        <f t="shared" si="22"/>
        <v>1279286.53</v>
      </c>
      <c r="Q45">
        <f t="shared" ref="Q45:Q50" si="54">(ROUND((ROUND(((ET45)*AV45*I45),2)*BB45),2)+ROUND((ROUND(((AE45-(EU45))*AV45*I45),2)*BS45),2))</f>
        <v>0</v>
      </c>
      <c r="R45">
        <f t="shared" si="23"/>
        <v>0</v>
      </c>
      <c r="S45">
        <f t="shared" si="24"/>
        <v>0</v>
      </c>
      <c r="T45">
        <f t="shared" si="25"/>
        <v>0</v>
      </c>
      <c r="U45">
        <f t="shared" si="26"/>
        <v>0</v>
      </c>
      <c r="V45">
        <f t="shared" si="27"/>
        <v>0</v>
      </c>
      <c r="W45">
        <f t="shared" si="28"/>
        <v>0</v>
      </c>
      <c r="X45">
        <f t="shared" si="29"/>
        <v>0</v>
      </c>
      <c r="Y45">
        <f t="shared" si="30"/>
        <v>0</v>
      </c>
      <c r="AA45">
        <v>42938047</v>
      </c>
      <c r="AB45">
        <f t="shared" si="31"/>
        <v>251.38</v>
      </c>
      <c r="AC45">
        <f t="shared" si="53"/>
        <v>251.38</v>
      </c>
      <c r="AD45">
        <f t="shared" ref="AD45:AD50" si="55">ROUND((((ET45)-(EU45))+AE45),6)</f>
        <v>0</v>
      </c>
      <c r="AE45">
        <f t="shared" ref="AE45:AF50" si="56">ROUND((EU45),6)</f>
        <v>0</v>
      </c>
      <c r="AF45">
        <f t="shared" si="56"/>
        <v>0</v>
      </c>
      <c r="AG45">
        <f t="shared" si="32"/>
        <v>0</v>
      </c>
      <c r="AH45">
        <f t="shared" ref="AH45:AI50" si="57">(EW45)</f>
        <v>0</v>
      </c>
      <c r="AI45">
        <f t="shared" si="57"/>
        <v>0</v>
      </c>
      <c r="AJ45">
        <f t="shared" si="33"/>
        <v>0</v>
      </c>
      <c r="AK45">
        <v>251.38</v>
      </c>
      <c r="AL45">
        <v>251.38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1</v>
      </c>
      <c r="AW45">
        <v>1</v>
      </c>
      <c r="AZ45">
        <v>1</v>
      </c>
      <c r="BA45">
        <v>1</v>
      </c>
      <c r="BB45">
        <v>1</v>
      </c>
      <c r="BC45">
        <v>6.34</v>
      </c>
      <c r="BD45" t="s">
        <v>3</v>
      </c>
      <c r="BE45" t="s">
        <v>3</v>
      </c>
      <c r="BF45" t="s">
        <v>3</v>
      </c>
      <c r="BG45" t="s">
        <v>3</v>
      </c>
      <c r="BH45">
        <v>3</v>
      </c>
      <c r="BI45">
        <v>1</v>
      </c>
      <c r="BJ45" t="s">
        <v>3</v>
      </c>
      <c r="BM45">
        <v>1526</v>
      </c>
      <c r="BN45">
        <v>0</v>
      </c>
      <c r="BO45" t="s">
        <v>3</v>
      </c>
      <c r="BP45">
        <v>0</v>
      </c>
      <c r="BQ45">
        <v>30</v>
      </c>
      <c r="BR45">
        <v>0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 t="s">
        <v>3</v>
      </c>
      <c r="BZ45">
        <v>0</v>
      </c>
      <c r="CA45">
        <v>0</v>
      </c>
      <c r="CB45" t="s">
        <v>3</v>
      </c>
      <c r="CE45">
        <v>30</v>
      </c>
      <c r="CF45">
        <v>0</v>
      </c>
      <c r="CG45">
        <v>0</v>
      </c>
      <c r="CM45">
        <v>0</v>
      </c>
      <c r="CN45" t="s">
        <v>3</v>
      </c>
      <c r="CO45">
        <v>0</v>
      </c>
      <c r="CP45">
        <f t="shared" si="34"/>
        <v>1279286.53</v>
      </c>
      <c r="CQ45">
        <f t="shared" si="35"/>
        <v>1593.75</v>
      </c>
      <c r="CR45">
        <f t="shared" ref="CR45:CR50" si="58">(ROUND((ROUND(((ET45)*AV45*1),2)*BB45),2)+ROUND((ROUND(((AE45-(EU45))*AV45*1),2)*BS45),2))</f>
        <v>0</v>
      </c>
      <c r="CS45">
        <f t="shared" si="36"/>
        <v>0</v>
      </c>
      <c r="CT45">
        <f t="shared" si="37"/>
        <v>0</v>
      </c>
      <c r="CU45">
        <f t="shared" si="38"/>
        <v>0</v>
      </c>
      <c r="CV45">
        <f t="shared" si="39"/>
        <v>0</v>
      </c>
      <c r="CW45">
        <f t="shared" si="40"/>
        <v>0</v>
      </c>
      <c r="CX45">
        <f t="shared" si="41"/>
        <v>0</v>
      </c>
      <c r="CY45">
        <f t="shared" si="42"/>
        <v>0</v>
      </c>
      <c r="CZ45">
        <f t="shared" si="43"/>
        <v>0</v>
      </c>
      <c r="DC45" t="s">
        <v>3</v>
      </c>
      <c r="DD45" t="s">
        <v>3</v>
      </c>
      <c r="DE45" t="s">
        <v>3</v>
      </c>
      <c r="DF45" t="s">
        <v>3</v>
      </c>
      <c r="DG45" t="s">
        <v>3</v>
      </c>
      <c r="DH45" t="s">
        <v>3</v>
      </c>
      <c r="DI45" t="s">
        <v>3</v>
      </c>
      <c r="DJ45" t="s">
        <v>3</v>
      </c>
      <c r="DK45" t="s">
        <v>3</v>
      </c>
      <c r="DL45" t="s">
        <v>3</v>
      </c>
      <c r="DM45" t="s">
        <v>3</v>
      </c>
      <c r="DN45">
        <v>156</v>
      </c>
      <c r="DO45">
        <v>84</v>
      </c>
      <c r="DP45">
        <v>1</v>
      </c>
      <c r="DQ45">
        <v>1</v>
      </c>
      <c r="DU45">
        <v>1005</v>
      </c>
      <c r="DV45" t="s">
        <v>120</v>
      </c>
      <c r="DW45" t="s">
        <v>120</v>
      </c>
      <c r="DX45">
        <v>1</v>
      </c>
      <c r="DZ45" t="s">
        <v>3</v>
      </c>
      <c r="EA45" t="s">
        <v>3</v>
      </c>
      <c r="EB45" t="s">
        <v>3</v>
      </c>
      <c r="EC45" t="s">
        <v>3</v>
      </c>
      <c r="EE45">
        <v>43089604</v>
      </c>
      <c r="EF45">
        <v>30</v>
      </c>
      <c r="EG45" t="s">
        <v>22</v>
      </c>
      <c r="EH45">
        <v>0</v>
      </c>
      <c r="EI45" t="s">
        <v>3</v>
      </c>
      <c r="EJ45">
        <v>1</v>
      </c>
      <c r="EK45">
        <v>1526</v>
      </c>
      <c r="EL45" t="s">
        <v>32</v>
      </c>
      <c r="EM45" t="s">
        <v>33</v>
      </c>
      <c r="EO45" t="s">
        <v>3</v>
      </c>
      <c r="EQ45">
        <v>0</v>
      </c>
      <c r="ER45">
        <v>251.38</v>
      </c>
      <c r="ES45">
        <v>251.38</v>
      </c>
      <c r="ET45">
        <v>0</v>
      </c>
      <c r="EU45">
        <v>0</v>
      </c>
      <c r="EV45">
        <v>0</v>
      </c>
      <c r="EW45">
        <v>0</v>
      </c>
      <c r="EX45">
        <v>0</v>
      </c>
      <c r="EZ45">
        <v>5</v>
      </c>
      <c r="FC45">
        <v>1</v>
      </c>
      <c r="FD45">
        <v>18</v>
      </c>
      <c r="FF45">
        <v>1875</v>
      </c>
      <c r="FQ45">
        <v>0</v>
      </c>
      <c r="FR45">
        <f t="shared" si="44"/>
        <v>0</v>
      </c>
      <c r="FS45">
        <v>0</v>
      </c>
      <c r="FX45">
        <v>156</v>
      </c>
      <c r="FY45">
        <v>84</v>
      </c>
      <c r="GA45" t="s">
        <v>127</v>
      </c>
      <c r="GD45">
        <v>0</v>
      </c>
      <c r="GF45">
        <v>1341845180</v>
      </c>
      <c r="GG45">
        <v>2</v>
      </c>
      <c r="GH45">
        <v>3</v>
      </c>
      <c r="GI45">
        <v>3</v>
      </c>
      <c r="GJ45">
        <v>0</v>
      </c>
      <c r="GK45">
        <f>ROUND(R45*(R12)/100,2)</f>
        <v>0</v>
      </c>
      <c r="GL45">
        <f t="shared" si="45"/>
        <v>0</v>
      </c>
      <c r="GM45">
        <f t="shared" si="46"/>
        <v>1279286.53</v>
      </c>
      <c r="GN45">
        <f t="shared" si="47"/>
        <v>1279286.53</v>
      </c>
      <c r="GO45">
        <f t="shared" si="48"/>
        <v>0</v>
      </c>
      <c r="GP45">
        <f t="shared" si="49"/>
        <v>0</v>
      </c>
      <c r="GR45">
        <v>1</v>
      </c>
      <c r="GS45">
        <v>1</v>
      </c>
      <c r="GT45">
        <v>0</v>
      </c>
      <c r="GU45" t="s">
        <v>3</v>
      </c>
      <c r="GV45">
        <f t="shared" si="50"/>
        <v>0</v>
      </c>
      <c r="GW45">
        <v>1</v>
      </c>
      <c r="GX45">
        <f t="shared" si="51"/>
        <v>0</v>
      </c>
      <c r="HA45">
        <v>0</v>
      </c>
      <c r="HB45">
        <v>0</v>
      </c>
      <c r="HC45">
        <f t="shared" si="52"/>
        <v>0</v>
      </c>
      <c r="HE45" t="s">
        <v>26</v>
      </c>
      <c r="HF45" t="s">
        <v>122</v>
      </c>
      <c r="HM45" t="s">
        <v>3</v>
      </c>
      <c r="IK45">
        <v>0</v>
      </c>
    </row>
    <row r="46" spans="1:245" x14ac:dyDescent="0.2">
      <c r="A46">
        <v>18</v>
      </c>
      <c r="B46">
        <v>1</v>
      </c>
      <c r="C46">
        <v>60</v>
      </c>
      <c r="E46" t="s">
        <v>128</v>
      </c>
      <c r="F46" t="s">
        <v>129</v>
      </c>
      <c r="G46" t="s">
        <v>130</v>
      </c>
      <c r="H46" t="s">
        <v>131</v>
      </c>
      <c r="I46">
        <f>I44*J46</f>
        <v>-37.933399999999999</v>
      </c>
      <c r="J46">
        <v>-4.8199999999999994</v>
      </c>
      <c r="K46">
        <v>-4.82</v>
      </c>
      <c r="O46">
        <f t="shared" si="21"/>
        <v>-8581.7900000000009</v>
      </c>
      <c r="P46">
        <f t="shared" si="22"/>
        <v>-8581.7900000000009</v>
      </c>
      <c r="Q46">
        <f t="shared" si="54"/>
        <v>0</v>
      </c>
      <c r="R46">
        <f t="shared" si="23"/>
        <v>0</v>
      </c>
      <c r="S46">
        <f t="shared" si="24"/>
        <v>0</v>
      </c>
      <c r="T46">
        <f t="shared" si="25"/>
        <v>0</v>
      </c>
      <c r="U46">
        <f t="shared" si="26"/>
        <v>0</v>
      </c>
      <c r="V46">
        <f t="shared" si="27"/>
        <v>0</v>
      </c>
      <c r="W46">
        <f t="shared" si="28"/>
        <v>0</v>
      </c>
      <c r="X46">
        <f t="shared" si="29"/>
        <v>0</v>
      </c>
      <c r="Y46">
        <f t="shared" si="30"/>
        <v>0</v>
      </c>
      <c r="AA46">
        <v>42938047</v>
      </c>
      <c r="AB46">
        <f t="shared" si="31"/>
        <v>83.79</v>
      </c>
      <c r="AC46">
        <f t="shared" si="53"/>
        <v>83.79</v>
      </c>
      <c r="AD46">
        <f t="shared" si="55"/>
        <v>0</v>
      </c>
      <c r="AE46">
        <f t="shared" si="56"/>
        <v>0</v>
      </c>
      <c r="AF46">
        <f t="shared" si="56"/>
        <v>0</v>
      </c>
      <c r="AG46">
        <f t="shared" si="32"/>
        <v>0</v>
      </c>
      <c r="AH46">
        <f t="shared" si="57"/>
        <v>0</v>
      </c>
      <c r="AI46">
        <f t="shared" si="57"/>
        <v>0</v>
      </c>
      <c r="AJ46">
        <f t="shared" si="33"/>
        <v>0</v>
      </c>
      <c r="AK46">
        <v>83.79</v>
      </c>
      <c r="AL46">
        <v>83.79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1</v>
      </c>
      <c r="AW46">
        <v>1</v>
      </c>
      <c r="AZ46">
        <v>1</v>
      </c>
      <c r="BA46">
        <v>1</v>
      </c>
      <c r="BB46">
        <v>1</v>
      </c>
      <c r="BC46">
        <v>2.7</v>
      </c>
      <c r="BD46" t="s">
        <v>3</v>
      </c>
      <c r="BE46" t="s">
        <v>3</v>
      </c>
      <c r="BF46" t="s">
        <v>3</v>
      </c>
      <c r="BG46" t="s">
        <v>3</v>
      </c>
      <c r="BH46">
        <v>3</v>
      </c>
      <c r="BI46">
        <v>1</v>
      </c>
      <c r="BJ46" t="s">
        <v>132</v>
      </c>
      <c r="BM46">
        <v>1526</v>
      </c>
      <c r="BN46">
        <v>0</v>
      </c>
      <c r="BO46" t="s">
        <v>129</v>
      </c>
      <c r="BP46">
        <v>1</v>
      </c>
      <c r="BQ46">
        <v>30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 t="s">
        <v>3</v>
      </c>
      <c r="BZ46">
        <v>0</v>
      </c>
      <c r="CA46">
        <v>0</v>
      </c>
      <c r="CB46" t="s">
        <v>3</v>
      </c>
      <c r="CE46">
        <v>30</v>
      </c>
      <c r="CF46">
        <v>0</v>
      </c>
      <c r="CG46">
        <v>0</v>
      </c>
      <c r="CM46">
        <v>0</v>
      </c>
      <c r="CN46" t="s">
        <v>3</v>
      </c>
      <c r="CO46">
        <v>0</v>
      </c>
      <c r="CP46">
        <f t="shared" si="34"/>
        <v>-8581.7900000000009</v>
      </c>
      <c r="CQ46">
        <f t="shared" si="35"/>
        <v>226.23</v>
      </c>
      <c r="CR46">
        <f t="shared" si="58"/>
        <v>0</v>
      </c>
      <c r="CS46">
        <f t="shared" si="36"/>
        <v>0</v>
      </c>
      <c r="CT46">
        <f t="shared" si="37"/>
        <v>0</v>
      </c>
      <c r="CU46">
        <f t="shared" si="38"/>
        <v>0</v>
      </c>
      <c r="CV46">
        <f t="shared" si="39"/>
        <v>0</v>
      </c>
      <c r="CW46">
        <f t="shared" si="40"/>
        <v>0</v>
      </c>
      <c r="CX46">
        <f t="shared" si="41"/>
        <v>0</v>
      </c>
      <c r="CY46">
        <f t="shared" si="42"/>
        <v>0</v>
      </c>
      <c r="CZ46">
        <f t="shared" si="43"/>
        <v>0</v>
      </c>
      <c r="DC46" t="s">
        <v>3</v>
      </c>
      <c r="DD46" t="s">
        <v>3</v>
      </c>
      <c r="DE46" t="s">
        <v>3</v>
      </c>
      <c r="DF46" t="s">
        <v>3</v>
      </c>
      <c r="DG46" t="s">
        <v>3</v>
      </c>
      <c r="DH46" t="s">
        <v>3</v>
      </c>
      <c r="DI46" t="s">
        <v>3</v>
      </c>
      <c r="DJ46" t="s">
        <v>3</v>
      </c>
      <c r="DK46" t="s">
        <v>3</v>
      </c>
      <c r="DL46" t="s">
        <v>3</v>
      </c>
      <c r="DM46" t="s">
        <v>3</v>
      </c>
      <c r="DN46">
        <v>156</v>
      </c>
      <c r="DO46">
        <v>84</v>
      </c>
      <c r="DP46">
        <v>1</v>
      </c>
      <c r="DQ46">
        <v>1</v>
      </c>
      <c r="DU46">
        <v>1009</v>
      </c>
      <c r="DV46" t="s">
        <v>131</v>
      </c>
      <c r="DW46" t="s">
        <v>131</v>
      </c>
      <c r="DX46">
        <v>1</v>
      </c>
      <c r="DZ46" t="s">
        <v>3</v>
      </c>
      <c r="EA46" t="s">
        <v>3</v>
      </c>
      <c r="EB46" t="s">
        <v>3</v>
      </c>
      <c r="EC46" t="s">
        <v>3</v>
      </c>
      <c r="EE46">
        <v>43089604</v>
      </c>
      <c r="EF46">
        <v>30</v>
      </c>
      <c r="EG46" t="s">
        <v>22</v>
      </c>
      <c r="EH46">
        <v>0</v>
      </c>
      <c r="EI46" t="s">
        <v>3</v>
      </c>
      <c r="EJ46">
        <v>1</v>
      </c>
      <c r="EK46">
        <v>1526</v>
      </c>
      <c r="EL46" t="s">
        <v>32</v>
      </c>
      <c r="EM46" t="s">
        <v>33</v>
      </c>
      <c r="EO46" t="s">
        <v>3</v>
      </c>
      <c r="EQ46">
        <v>32768</v>
      </c>
      <c r="ER46">
        <v>83.79</v>
      </c>
      <c r="ES46">
        <v>83.79</v>
      </c>
      <c r="ET46">
        <v>0</v>
      </c>
      <c r="EU46">
        <v>0</v>
      </c>
      <c r="EV46">
        <v>0</v>
      </c>
      <c r="EW46">
        <v>0</v>
      </c>
      <c r="EX46">
        <v>0</v>
      </c>
      <c r="FQ46">
        <v>0</v>
      </c>
      <c r="FR46">
        <f t="shared" si="44"/>
        <v>0</v>
      </c>
      <c r="FS46">
        <v>0</v>
      </c>
      <c r="FX46">
        <v>156</v>
      </c>
      <c r="FY46">
        <v>84</v>
      </c>
      <c r="GA46" t="s">
        <v>3</v>
      </c>
      <c r="GD46">
        <v>0</v>
      </c>
      <c r="GF46">
        <v>-7625223</v>
      </c>
      <c r="GG46">
        <v>2</v>
      </c>
      <c r="GH46">
        <v>1</v>
      </c>
      <c r="GI46">
        <v>2</v>
      </c>
      <c r="GJ46">
        <v>0</v>
      </c>
      <c r="GK46">
        <f>ROUND(R46*(R12)/100,2)</f>
        <v>0</v>
      </c>
      <c r="GL46">
        <f t="shared" si="45"/>
        <v>0</v>
      </c>
      <c r="GM46">
        <f t="shared" si="46"/>
        <v>-8581.7900000000009</v>
      </c>
      <c r="GN46">
        <f t="shared" si="47"/>
        <v>-8581.7900000000009</v>
      </c>
      <c r="GO46">
        <f t="shared" si="48"/>
        <v>0</v>
      </c>
      <c r="GP46">
        <f t="shared" si="49"/>
        <v>0</v>
      </c>
      <c r="GR46">
        <v>0</v>
      </c>
      <c r="GS46">
        <v>3</v>
      </c>
      <c r="GT46">
        <v>0</v>
      </c>
      <c r="GU46" t="s">
        <v>3</v>
      </c>
      <c r="GV46">
        <f t="shared" si="50"/>
        <v>0</v>
      </c>
      <c r="GW46">
        <v>1</v>
      </c>
      <c r="GX46">
        <f t="shared" si="51"/>
        <v>0</v>
      </c>
      <c r="HA46">
        <v>0</v>
      </c>
      <c r="HB46">
        <v>0</v>
      </c>
      <c r="HC46">
        <f t="shared" si="52"/>
        <v>0</v>
      </c>
      <c r="HE46" t="s">
        <v>3</v>
      </c>
      <c r="HF46" t="s">
        <v>3</v>
      </c>
      <c r="HM46" t="s">
        <v>3</v>
      </c>
      <c r="IK46">
        <v>0</v>
      </c>
    </row>
    <row r="47" spans="1:245" x14ac:dyDescent="0.2">
      <c r="A47">
        <v>18</v>
      </c>
      <c r="B47">
        <v>1</v>
      </c>
      <c r="C47">
        <v>61</v>
      </c>
      <c r="E47" t="s">
        <v>133</v>
      </c>
      <c r="F47" t="s">
        <v>134</v>
      </c>
      <c r="G47" t="s">
        <v>135</v>
      </c>
      <c r="H47" t="s">
        <v>136</v>
      </c>
      <c r="I47">
        <f>I44*J47</f>
        <v>-194.38900000000001</v>
      </c>
      <c r="J47">
        <v>-24.7</v>
      </c>
      <c r="K47">
        <v>-24.7</v>
      </c>
      <c r="O47">
        <f t="shared" si="21"/>
        <v>-10259.06</v>
      </c>
      <c r="P47">
        <f t="shared" si="22"/>
        <v>-10259.06</v>
      </c>
      <c r="Q47">
        <f t="shared" si="54"/>
        <v>0</v>
      </c>
      <c r="R47">
        <f t="shared" si="23"/>
        <v>0</v>
      </c>
      <c r="S47">
        <f t="shared" si="24"/>
        <v>0</v>
      </c>
      <c r="T47">
        <f t="shared" si="25"/>
        <v>0</v>
      </c>
      <c r="U47">
        <f t="shared" si="26"/>
        <v>0</v>
      </c>
      <c r="V47">
        <f t="shared" si="27"/>
        <v>0</v>
      </c>
      <c r="W47">
        <f t="shared" si="28"/>
        <v>0</v>
      </c>
      <c r="X47">
        <f t="shared" si="29"/>
        <v>0</v>
      </c>
      <c r="Y47">
        <f t="shared" si="30"/>
        <v>0</v>
      </c>
      <c r="AA47">
        <v>42938047</v>
      </c>
      <c r="AB47">
        <f t="shared" si="31"/>
        <v>7.33</v>
      </c>
      <c r="AC47">
        <f t="shared" si="53"/>
        <v>7.33</v>
      </c>
      <c r="AD47">
        <f t="shared" si="55"/>
        <v>0</v>
      </c>
      <c r="AE47">
        <f t="shared" si="56"/>
        <v>0</v>
      </c>
      <c r="AF47">
        <f t="shared" si="56"/>
        <v>0</v>
      </c>
      <c r="AG47">
        <f t="shared" si="32"/>
        <v>0</v>
      </c>
      <c r="AH47">
        <f t="shared" si="57"/>
        <v>0</v>
      </c>
      <c r="AI47">
        <f t="shared" si="57"/>
        <v>0</v>
      </c>
      <c r="AJ47">
        <f t="shared" si="33"/>
        <v>0</v>
      </c>
      <c r="AK47">
        <v>7.33</v>
      </c>
      <c r="AL47">
        <v>7.33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1</v>
      </c>
      <c r="AW47">
        <v>1</v>
      </c>
      <c r="AZ47">
        <v>1</v>
      </c>
      <c r="BA47">
        <v>1</v>
      </c>
      <c r="BB47">
        <v>1</v>
      </c>
      <c r="BC47">
        <v>7.2</v>
      </c>
      <c r="BD47" t="s">
        <v>3</v>
      </c>
      <c r="BE47" t="s">
        <v>3</v>
      </c>
      <c r="BF47" t="s">
        <v>3</v>
      </c>
      <c r="BG47" t="s">
        <v>3</v>
      </c>
      <c r="BH47">
        <v>3</v>
      </c>
      <c r="BI47">
        <v>1</v>
      </c>
      <c r="BJ47" t="s">
        <v>137</v>
      </c>
      <c r="BM47">
        <v>1526</v>
      </c>
      <c r="BN47">
        <v>0</v>
      </c>
      <c r="BO47" t="s">
        <v>134</v>
      </c>
      <c r="BP47">
        <v>1</v>
      </c>
      <c r="BQ47">
        <v>30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 t="s">
        <v>3</v>
      </c>
      <c r="BZ47">
        <v>0</v>
      </c>
      <c r="CA47">
        <v>0</v>
      </c>
      <c r="CB47" t="s">
        <v>3</v>
      </c>
      <c r="CE47">
        <v>30</v>
      </c>
      <c r="CF47">
        <v>0</v>
      </c>
      <c r="CG47">
        <v>0</v>
      </c>
      <c r="CM47">
        <v>0</v>
      </c>
      <c r="CN47" t="s">
        <v>3</v>
      </c>
      <c r="CO47">
        <v>0</v>
      </c>
      <c r="CP47">
        <f t="shared" si="34"/>
        <v>-10259.06</v>
      </c>
      <c r="CQ47">
        <f t="shared" si="35"/>
        <v>52.78</v>
      </c>
      <c r="CR47">
        <f t="shared" si="58"/>
        <v>0</v>
      </c>
      <c r="CS47">
        <f t="shared" si="36"/>
        <v>0</v>
      </c>
      <c r="CT47">
        <f t="shared" si="37"/>
        <v>0</v>
      </c>
      <c r="CU47">
        <f t="shared" si="38"/>
        <v>0</v>
      </c>
      <c r="CV47">
        <f t="shared" si="39"/>
        <v>0</v>
      </c>
      <c r="CW47">
        <f t="shared" si="40"/>
        <v>0</v>
      </c>
      <c r="CX47">
        <f t="shared" si="41"/>
        <v>0</v>
      </c>
      <c r="CY47">
        <f t="shared" si="42"/>
        <v>0</v>
      </c>
      <c r="CZ47">
        <f t="shared" si="43"/>
        <v>0</v>
      </c>
      <c r="DC47" t="s">
        <v>3</v>
      </c>
      <c r="DD47" t="s">
        <v>3</v>
      </c>
      <c r="DE47" t="s">
        <v>3</v>
      </c>
      <c r="DF47" t="s">
        <v>3</v>
      </c>
      <c r="DG47" t="s">
        <v>3</v>
      </c>
      <c r="DH47" t="s">
        <v>3</v>
      </c>
      <c r="DI47" t="s">
        <v>3</v>
      </c>
      <c r="DJ47" t="s">
        <v>3</v>
      </c>
      <c r="DK47" t="s">
        <v>3</v>
      </c>
      <c r="DL47" t="s">
        <v>3</v>
      </c>
      <c r="DM47" t="s">
        <v>3</v>
      </c>
      <c r="DN47">
        <v>156</v>
      </c>
      <c r="DO47">
        <v>84</v>
      </c>
      <c r="DP47">
        <v>1</v>
      </c>
      <c r="DQ47">
        <v>1</v>
      </c>
      <c r="DU47">
        <v>1003</v>
      </c>
      <c r="DV47" t="s">
        <v>136</v>
      </c>
      <c r="DW47" t="s">
        <v>136</v>
      </c>
      <c r="DX47">
        <v>1</v>
      </c>
      <c r="DZ47" t="s">
        <v>3</v>
      </c>
      <c r="EA47" t="s">
        <v>3</v>
      </c>
      <c r="EB47" t="s">
        <v>3</v>
      </c>
      <c r="EC47" t="s">
        <v>3</v>
      </c>
      <c r="EE47">
        <v>43089604</v>
      </c>
      <c r="EF47">
        <v>30</v>
      </c>
      <c r="EG47" t="s">
        <v>22</v>
      </c>
      <c r="EH47">
        <v>0</v>
      </c>
      <c r="EI47" t="s">
        <v>3</v>
      </c>
      <c r="EJ47">
        <v>1</v>
      </c>
      <c r="EK47">
        <v>1526</v>
      </c>
      <c r="EL47" t="s">
        <v>32</v>
      </c>
      <c r="EM47" t="s">
        <v>33</v>
      </c>
      <c r="EO47" t="s">
        <v>3</v>
      </c>
      <c r="EQ47">
        <v>32768</v>
      </c>
      <c r="ER47">
        <v>7.33</v>
      </c>
      <c r="ES47">
        <v>7.33</v>
      </c>
      <c r="ET47">
        <v>0</v>
      </c>
      <c r="EU47">
        <v>0</v>
      </c>
      <c r="EV47">
        <v>0</v>
      </c>
      <c r="EW47">
        <v>0</v>
      </c>
      <c r="EX47">
        <v>0</v>
      </c>
      <c r="FQ47">
        <v>0</v>
      </c>
      <c r="FR47">
        <f t="shared" si="44"/>
        <v>0</v>
      </c>
      <c r="FS47">
        <v>0</v>
      </c>
      <c r="FX47">
        <v>156</v>
      </c>
      <c r="FY47">
        <v>84</v>
      </c>
      <c r="GA47" t="s">
        <v>3</v>
      </c>
      <c r="GD47">
        <v>0</v>
      </c>
      <c r="GF47">
        <v>610741217</v>
      </c>
      <c r="GG47">
        <v>2</v>
      </c>
      <c r="GH47">
        <v>1</v>
      </c>
      <c r="GI47">
        <v>2</v>
      </c>
      <c r="GJ47">
        <v>0</v>
      </c>
      <c r="GK47">
        <f>ROUND(R47*(R12)/100,2)</f>
        <v>0</v>
      </c>
      <c r="GL47">
        <f t="shared" si="45"/>
        <v>0</v>
      </c>
      <c r="GM47">
        <f t="shared" si="46"/>
        <v>-10259.06</v>
      </c>
      <c r="GN47">
        <f t="shared" si="47"/>
        <v>-10259.06</v>
      </c>
      <c r="GO47">
        <f t="shared" si="48"/>
        <v>0</v>
      </c>
      <c r="GP47">
        <f t="shared" si="49"/>
        <v>0</v>
      </c>
      <c r="GR47">
        <v>0</v>
      </c>
      <c r="GS47">
        <v>3</v>
      </c>
      <c r="GT47">
        <v>0</v>
      </c>
      <c r="GU47" t="s">
        <v>3</v>
      </c>
      <c r="GV47">
        <f t="shared" si="50"/>
        <v>0</v>
      </c>
      <c r="GW47">
        <v>1</v>
      </c>
      <c r="GX47">
        <f t="shared" si="51"/>
        <v>0</v>
      </c>
      <c r="HA47">
        <v>0</v>
      </c>
      <c r="HB47">
        <v>0</v>
      </c>
      <c r="HC47">
        <f t="shared" si="52"/>
        <v>0</v>
      </c>
      <c r="HE47" t="s">
        <v>3</v>
      </c>
      <c r="HF47" t="s">
        <v>3</v>
      </c>
      <c r="HM47" t="s">
        <v>3</v>
      </c>
      <c r="IK47">
        <v>0</v>
      </c>
    </row>
    <row r="48" spans="1:245" x14ac:dyDescent="0.2">
      <c r="A48">
        <v>18</v>
      </c>
      <c r="B48">
        <v>1</v>
      </c>
      <c r="C48">
        <v>63</v>
      </c>
      <c r="E48" t="s">
        <v>138</v>
      </c>
      <c r="F48" t="s">
        <v>118</v>
      </c>
      <c r="G48" t="s">
        <v>139</v>
      </c>
      <c r="H48" t="s">
        <v>131</v>
      </c>
      <c r="I48">
        <f>I44*J48</f>
        <v>60</v>
      </c>
      <c r="J48">
        <v>7.6238881829733165</v>
      </c>
      <c r="K48">
        <v>7.623888</v>
      </c>
      <c r="O48">
        <f t="shared" si="21"/>
        <v>20400.849999999999</v>
      </c>
      <c r="P48">
        <f t="shared" si="22"/>
        <v>20400.849999999999</v>
      </c>
      <c r="Q48">
        <f t="shared" si="54"/>
        <v>0</v>
      </c>
      <c r="R48">
        <f t="shared" si="23"/>
        <v>0</v>
      </c>
      <c r="S48">
        <f t="shared" si="24"/>
        <v>0</v>
      </c>
      <c r="T48">
        <f t="shared" si="25"/>
        <v>0</v>
      </c>
      <c r="U48">
        <f t="shared" si="26"/>
        <v>0</v>
      </c>
      <c r="V48">
        <f t="shared" si="27"/>
        <v>0</v>
      </c>
      <c r="W48">
        <f t="shared" si="28"/>
        <v>0</v>
      </c>
      <c r="X48">
        <f t="shared" si="29"/>
        <v>0</v>
      </c>
      <c r="Y48">
        <f t="shared" si="30"/>
        <v>0</v>
      </c>
      <c r="AA48">
        <v>42938047</v>
      </c>
      <c r="AB48">
        <f t="shared" si="31"/>
        <v>53.63</v>
      </c>
      <c r="AC48">
        <f t="shared" si="53"/>
        <v>53.63</v>
      </c>
      <c r="AD48">
        <f t="shared" si="55"/>
        <v>0</v>
      </c>
      <c r="AE48">
        <f t="shared" si="56"/>
        <v>0</v>
      </c>
      <c r="AF48">
        <f t="shared" si="56"/>
        <v>0</v>
      </c>
      <c r="AG48">
        <f t="shared" si="32"/>
        <v>0</v>
      </c>
      <c r="AH48">
        <f t="shared" si="57"/>
        <v>0</v>
      </c>
      <c r="AI48">
        <f t="shared" si="57"/>
        <v>0</v>
      </c>
      <c r="AJ48">
        <f t="shared" si="33"/>
        <v>0</v>
      </c>
      <c r="AK48">
        <v>53.629999999999995</v>
      </c>
      <c r="AL48">
        <v>53.629999999999995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</v>
      </c>
      <c r="AW48">
        <v>1</v>
      </c>
      <c r="AZ48">
        <v>1</v>
      </c>
      <c r="BA48">
        <v>1</v>
      </c>
      <c r="BB48">
        <v>1</v>
      </c>
      <c r="BC48">
        <v>6.34</v>
      </c>
      <c r="BD48" t="s">
        <v>3</v>
      </c>
      <c r="BE48" t="s">
        <v>3</v>
      </c>
      <c r="BF48" t="s">
        <v>3</v>
      </c>
      <c r="BG48" t="s">
        <v>3</v>
      </c>
      <c r="BH48">
        <v>3</v>
      </c>
      <c r="BI48">
        <v>1</v>
      </c>
      <c r="BJ48" t="s">
        <v>3</v>
      </c>
      <c r="BM48">
        <v>1526</v>
      </c>
      <c r="BN48">
        <v>0</v>
      </c>
      <c r="BO48" t="s">
        <v>3</v>
      </c>
      <c r="BP48">
        <v>0</v>
      </c>
      <c r="BQ48">
        <v>30</v>
      </c>
      <c r="BR48">
        <v>0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 t="s">
        <v>3</v>
      </c>
      <c r="BZ48">
        <v>0</v>
      </c>
      <c r="CA48">
        <v>0</v>
      </c>
      <c r="CB48" t="s">
        <v>3</v>
      </c>
      <c r="CE48">
        <v>30</v>
      </c>
      <c r="CF48">
        <v>0</v>
      </c>
      <c r="CG48">
        <v>0</v>
      </c>
      <c r="CM48">
        <v>0</v>
      </c>
      <c r="CN48" t="s">
        <v>3</v>
      </c>
      <c r="CO48">
        <v>0</v>
      </c>
      <c r="CP48">
        <f t="shared" si="34"/>
        <v>20400.849999999999</v>
      </c>
      <c r="CQ48">
        <f t="shared" si="35"/>
        <v>340.01</v>
      </c>
      <c r="CR48">
        <f t="shared" si="58"/>
        <v>0</v>
      </c>
      <c r="CS48">
        <f t="shared" si="36"/>
        <v>0</v>
      </c>
      <c r="CT48">
        <f t="shared" si="37"/>
        <v>0</v>
      </c>
      <c r="CU48">
        <f t="shared" si="38"/>
        <v>0</v>
      </c>
      <c r="CV48">
        <f t="shared" si="39"/>
        <v>0</v>
      </c>
      <c r="CW48">
        <f t="shared" si="40"/>
        <v>0</v>
      </c>
      <c r="CX48">
        <f t="shared" si="41"/>
        <v>0</v>
      </c>
      <c r="CY48">
        <f t="shared" si="42"/>
        <v>0</v>
      </c>
      <c r="CZ48">
        <f t="shared" si="43"/>
        <v>0</v>
      </c>
      <c r="DC48" t="s">
        <v>3</v>
      </c>
      <c r="DD48" t="s">
        <v>3</v>
      </c>
      <c r="DE48" t="s">
        <v>3</v>
      </c>
      <c r="DF48" t="s">
        <v>3</v>
      </c>
      <c r="DG48" t="s">
        <v>3</v>
      </c>
      <c r="DH48" t="s">
        <v>3</v>
      </c>
      <c r="DI48" t="s">
        <v>3</v>
      </c>
      <c r="DJ48" t="s">
        <v>3</v>
      </c>
      <c r="DK48" t="s">
        <v>3</v>
      </c>
      <c r="DL48" t="s">
        <v>3</v>
      </c>
      <c r="DM48" t="s">
        <v>3</v>
      </c>
      <c r="DN48">
        <v>156</v>
      </c>
      <c r="DO48">
        <v>84</v>
      </c>
      <c r="DP48">
        <v>1</v>
      </c>
      <c r="DQ48">
        <v>1</v>
      </c>
      <c r="DU48">
        <v>1009</v>
      </c>
      <c r="DV48" t="s">
        <v>131</v>
      </c>
      <c r="DW48" t="s">
        <v>131</v>
      </c>
      <c r="DX48">
        <v>1</v>
      </c>
      <c r="DZ48" t="s">
        <v>3</v>
      </c>
      <c r="EA48" t="s">
        <v>3</v>
      </c>
      <c r="EB48" t="s">
        <v>3</v>
      </c>
      <c r="EC48" t="s">
        <v>3</v>
      </c>
      <c r="EE48">
        <v>43089604</v>
      </c>
      <c r="EF48">
        <v>30</v>
      </c>
      <c r="EG48" t="s">
        <v>22</v>
      </c>
      <c r="EH48">
        <v>0</v>
      </c>
      <c r="EI48" t="s">
        <v>3</v>
      </c>
      <c r="EJ48">
        <v>1</v>
      </c>
      <c r="EK48">
        <v>1526</v>
      </c>
      <c r="EL48" t="s">
        <v>32</v>
      </c>
      <c r="EM48" t="s">
        <v>33</v>
      </c>
      <c r="EO48" t="s">
        <v>3</v>
      </c>
      <c r="EQ48">
        <v>0</v>
      </c>
      <c r="ER48">
        <v>53.629999999999995</v>
      </c>
      <c r="ES48">
        <v>53.629999999999995</v>
      </c>
      <c r="ET48">
        <v>0</v>
      </c>
      <c r="EU48">
        <v>0</v>
      </c>
      <c r="EV48">
        <v>0</v>
      </c>
      <c r="EW48">
        <v>0</v>
      </c>
      <c r="EX48">
        <v>0</v>
      </c>
      <c r="EZ48">
        <v>5</v>
      </c>
      <c r="FC48">
        <v>1</v>
      </c>
      <c r="FD48">
        <v>18</v>
      </c>
      <c r="FF48">
        <v>400</v>
      </c>
      <c r="FQ48">
        <v>0</v>
      </c>
      <c r="FR48">
        <f t="shared" si="44"/>
        <v>0</v>
      </c>
      <c r="FS48">
        <v>0</v>
      </c>
      <c r="FX48">
        <v>156</v>
      </c>
      <c r="FY48">
        <v>84</v>
      </c>
      <c r="GA48" t="s">
        <v>140</v>
      </c>
      <c r="GD48">
        <v>0</v>
      </c>
      <c r="GF48">
        <v>-665283813</v>
      </c>
      <c r="GG48">
        <v>2</v>
      </c>
      <c r="GH48">
        <v>3</v>
      </c>
      <c r="GI48">
        <v>3</v>
      </c>
      <c r="GJ48">
        <v>0</v>
      </c>
      <c r="GK48">
        <f>ROUND(R48*(R12)/100,2)</f>
        <v>0</v>
      </c>
      <c r="GL48">
        <f t="shared" si="45"/>
        <v>0</v>
      </c>
      <c r="GM48">
        <f t="shared" si="46"/>
        <v>20400.849999999999</v>
      </c>
      <c r="GN48">
        <f t="shared" si="47"/>
        <v>20400.849999999999</v>
      </c>
      <c r="GO48">
        <f t="shared" si="48"/>
        <v>0</v>
      </c>
      <c r="GP48">
        <f t="shared" si="49"/>
        <v>0</v>
      </c>
      <c r="GR48">
        <v>1</v>
      </c>
      <c r="GS48">
        <v>1</v>
      </c>
      <c r="GT48">
        <v>0</v>
      </c>
      <c r="GU48" t="s">
        <v>3</v>
      </c>
      <c r="GV48">
        <f t="shared" si="50"/>
        <v>0</v>
      </c>
      <c r="GW48">
        <v>1</v>
      </c>
      <c r="GX48">
        <f t="shared" si="51"/>
        <v>0</v>
      </c>
      <c r="HA48">
        <v>0</v>
      </c>
      <c r="HB48">
        <v>0</v>
      </c>
      <c r="HC48">
        <f t="shared" si="52"/>
        <v>0</v>
      </c>
      <c r="HE48" t="s">
        <v>26</v>
      </c>
      <c r="HF48" t="s">
        <v>122</v>
      </c>
      <c r="HM48" t="s">
        <v>3</v>
      </c>
      <c r="IK48">
        <v>0</v>
      </c>
    </row>
    <row r="49" spans="1:245" x14ac:dyDescent="0.2">
      <c r="A49">
        <v>18</v>
      </c>
      <c r="B49">
        <v>1</v>
      </c>
      <c r="C49">
        <v>64</v>
      </c>
      <c r="E49" t="s">
        <v>141</v>
      </c>
      <c r="F49" t="s">
        <v>118</v>
      </c>
      <c r="G49" t="s">
        <v>142</v>
      </c>
      <c r="H49" t="s">
        <v>131</v>
      </c>
      <c r="I49">
        <f>I44*J49</f>
        <v>3125</v>
      </c>
      <c r="J49">
        <v>397.07750952986021</v>
      </c>
      <c r="K49">
        <v>397.07751000000002</v>
      </c>
      <c r="O49">
        <f t="shared" si="21"/>
        <v>138093.13</v>
      </c>
      <c r="P49">
        <f t="shared" si="22"/>
        <v>138093.13</v>
      </c>
      <c r="Q49">
        <f t="shared" si="54"/>
        <v>0</v>
      </c>
      <c r="R49">
        <f t="shared" si="23"/>
        <v>0</v>
      </c>
      <c r="S49">
        <f t="shared" si="24"/>
        <v>0</v>
      </c>
      <c r="T49">
        <f t="shared" si="25"/>
        <v>0</v>
      </c>
      <c r="U49">
        <f t="shared" si="26"/>
        <v>0</v>
      </c>
      <c r="V49">
        <f t="shared" si="27"/>
        <v>0</v>
      </c>
      <c r="W49">
        <f t="shared" si="28"/>
        <v>0</v>
      </c>
      <c r="X49">
        <f t="shared" si="29"/>
        <v>0</v>
      </c>
      <c r="Y49">
        <f t="shared" si="30"/>
        <v>0</v>
      </c>
      <c r="AA49">
        <v>42938047</v>
      </c>
      <c r="AB49">
        <f t="shared" si="31"/>
        <v>6.97</v>
      </c>
      <c r="AC49">
        <f t="shared" si="53"/>
        <v>6.97</v>
      </c>
      <c r="AD49">
        <f t="shared" si="55"/>
        <v>0</v>
      </c>
      <c r="AE49">
        <f t="shared" si="56"/>
        <v>0</v>
      </c>
      <c r="AF49">
        <f t="shared" si="56"/>
        <v>0</v>
      </c>
      <c r="AG49">
        <f t="shared" si="32"/>
        <v>0</v>
      </c>
      <c r="AH49">
        <f t="shared" si="57"/>
        <v>0</v>
      </c>
      <c r="AI49">
        <f t="shared" si="57"/>
        <v>0</v>
      </c>
      <c r="AJ49">
        <f t="shared" si="33"/>
        <v>0</v>
      </c>
      <c r="AK49">
        <v>6.97</v>
      </c>
      <c r="AL49">
        <v>6.97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1</v>
      </c>
      <c r="AW49">
        <v>1</v>
      </c>
      <c r="AZ49">
        <v>1</v>
      </c>
      <c r="BA49">
        <v>1</v>
      </c>
      <c r="BB49">
        <v>1</v>
      </c>
      <c r="BC49">
        <v>6.34</v>
      </c>
      <c r="BD49" t="s">
        <v>3</v>
      </c>
      <c r="BE49" t="s">
        <v>3</v>
      </c>
      <c r="BF49" t="s">
        <v>3</v>
      </c>
      <c r="BG49" t="s">
        <v>3</v>
      </c>
      <c r="BH49">
        <v>3</v>
      </c>
      <c r="BI49">
        <v>1</v>
      </c>
      <c r="BJ49" t="s">
        <v>3</v>
      </c>
      <c r="BM49">
        <v>1526</v>
      </c>
      <c r="BN49">
        <v>0</v>
      </c>
      <c r="BO49" t="s">
        <v>3</v>
      </c>
      <c r="BP49">
        <v>0</v>
      </c>
      <c r="BQ49">
        <v>30</v>
      </c>
      <c r="BR49">
        <v>0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 t="s">
        <v>3</v>
      </c>
      <c r="BZ49">
        <v>0</v>
      </c>
      <c r="CA49">
        <v>0</v>
      </c>
      <c r="CB49" t="s">
        <v>3</v>
      </c>
      <c r="CE49">
        <v>30</v>
      </c>
      <c r="CF49">
        <v>0</v>
      </c>
      <c r="CG49">
        <v>0</v>
      </c>
      <c r="CM49">
        <v>0</v>
      </c>
      <c r="CN49" t="s">
        <v>3</v>
      </c>
      <c r="CO49">
        <v>0</v>
      </c>
      <c r="CP49">
        <f t="shared" si="34"/>
        <v>138093.13</v>
      </c>
      <c r="CQ49">
        <f t="shared" si="35"/>
        <v>44.19</v>
      </c>
      <c r="CR49">
        <f t="shared" si="58"/>
        <v>0</v>
      </c>
      <c r="CS49">
        <f t="shared" si="36"/>
        <v>0</v>
      </c>
      <c r="CT49">
        <f t="shared" si="37"/>
        <v>0</v>
      </c>
      <c r="CU49">
        <f t="shared" si="38"/>
        <v>0</v>
      </c>
      <c r="CV49">
        <f t="shared" si="39"/>
        <v>0</v>
      </c>
      <c r="CW49">
        <f t="shared" si="40"/>
        <v>0</v>
      </c>
      <c r="CX49">
        <f t="shared" si="41"/>
        <v>0</v>
      </c>
      <c r="CY49">
        <f t="shared" si="42"/>
        <v>0</v>
      </c>
      <c r="CZ49">
        <f t="shared" si="43"/>
        <v>0</v>
      </c>
      <c r="DC49" t="s">
        <v>3</v>
      </c>
      <c r="DD49" t="s">
        <v>3</v>
      </c>
      <c r="DE49" t="s">
        <v>3</v>
      </c>
      <c r="DF49" t="s">
        <v>3</v>
      </c>
      <c r="DG49" t="s">
        <v>3</v>
      </c>
      <c r="DH49" t="s">
        <v>3</v>
      </c>
      <c r="DI49" t="s">
        <v>3</v>
      </c>
      <c r="DJ49" t="s">
        <v>3</v>
      </c>
      <c r="DK49" t="s">
        <v>3</v>
      </c>
      <c r="DL49" t="s">
        <v>3</v>
      </c>
      <c r="DM49" t="s">
        <v>3</v>
      </c>
      <c r="DN49">
        <v>156</v>
      </c>
      <c r="DO49">
        <v>84</v>
      </c>
      <c r="DP49">
        <v>1</v>
      </c>
      <c r="DQ49">
        <v>1</v>
      </c>
      <c r="DU49">
        <v>1009</v>
      </c>
      <c r="DV49" t="s">
        <v>131</v>
      </c>
      <c r="DW49" t="s">
        <v>143</v>
      </c>
      <c r="DX49">
        <v>1</v>
      </c>
      <c r="DZ49" t="s">
        <v>3</v>
      </c>
      <c r="EA49" t="s">
        <v>3</v>
      </c>
      <c r="EB49" t="s">
        <v>3</v>
      </c>
      <c r="EC49" t="s">
        <v>3</v>
      </c>
      <c r="EE49">
        <v>43089604</v>
      </c>
      <c r="EF49">
        <v>30</v>
      </c>
      <c r="EG49" t="s">
        <v>22</v>
      </c>
      <c r="EH49">
        <v>0</v>
      </c>
      <c r="EI49" t="s">
        <v>3</v>
      </c>
      <c r="EJ49">
        <v>1</v>
      </c>
      <c r="EK49">
        <v>1526</v>
      </c>
      <c r="EL49" t="s">
        <v>32</v>
      </c>
      <c r="EM49" t="s">
        <v>33</v>
      </c>
      <c r="EO49" t="s">
        <v>3</v>
      </c>
      <c r="EQ49">
        <v>0</v>
      </c>
      <c r="ER49">
        <v>6.97</v>
      </c>
      <c r="ES49">
        <v>6.97</v>
      </c>
      <c r="ET49">
        <v>0</v>
      </c>
      <c r="EU49">
        <v>0</v>
      </c>
      <c r="EV49">
        <v>0</v>
      </c>
      <c r="EW49">
        <v>0</v>
      </c>
      <c r="EX49">
        <v>0</v>
      </c>
      <c r="EZ49">
        <v>5</v>
      </c>
      <c r="FC49">
        <v>1</v>
      </c>
      <c r="FD49">
        <v>18</v>
      </c>
      <c r="FF49">
        <v>52</v>
      </c>
      <c r="FQ49">
        <v>0</v>
      </c>
      <c r="FR49">
        <f t="shared" si="44"/>
        <v>0</v>
      </c>
      <c r="FS49">
        <v>0</v>
      </c>
      <c r="FX49">
        <v>156</v>
      </c>
      <c r="FY49">
        <v>84</v>
      </c>
      <c r="GA49" t="s">
        <v>144</v>
      </c>
      <c r="GD49">
        <v>0</v>
      </c>
      <c r="GF49">
        <v>-2139316730</v>
      </c>
      <c r="GG49">
        <v>2</v>
      </c>
      <c r="GH49">
        <v>3</v>
      </c>
      <c r="GI49">
        <v>3</v>
      </c>
      <c r="GJ49">
        <v>0</v>
      </c>
      <c r="GK49">
        <f>ROUND(R49*(R12)/100,2)</f>
        <v>0</v>
      </c>
      <c r="GL49">
        <f t="shared" si="45"/>
        <v>0</v>
      </c>
      <c r="GM49">
        <f t="shared" si="46"/>
        <v>138093.13</v>
      </c>
      <c r="GN49">
        <f t="shared" si="47"/>
        <v>138093.13</v>
      </c>
      <c r="GO49">
        <f t="shared" si="48"/>
        <v>0</v>
      </c>
      <c r="GP49">
        <f t="shared" si="49"/>
        <v>0</v>
      </c>
      <c r="GR49">
        <v>1</v>
      </c>
      <c r="GS49">
        <v>1</v>
      </c>
      <c r="GT49">
        <v>0</v>
      </c>
      <c r="GU49" t="s">
        <v>3</v>
      </c>
      <c r="GV49">
        <f t="shared" si="50"/>
        <v>0</v>
      </c>
      <c r="GW49">
        <v>1</v>
      </c>
      <c r="GX49">
        <f t="shared" si="51"/>
        <v>0</v>
      </c>
      <c r="HA49">
        <v>0</v>
      </c>
      <c r="HB49">
        <v>0</v>
      </c>
      <c r="HC49">
        <f t="shared" si="52"/>
        <v>0</v>
      </c>
      <c r="HE49" t="s">
        <v>26</v>
      </c>
      <c r="HF49" t="s">
        <v>122</v>
      </c>
      <c r="HM49" t="s">
        <v>3</v>
      </c>
      <c r="IK49">
        <v>0</v>
      </c>
    </row>
    <row r="50" spans="1:245" x14ac:dyDescent="0.2">
      <c r="A50">
        <v>18</v>
      </c>
      <c r="B50">
        <v>1</v>
      </c>
      <c r="C50">
        <v>65</v>
      </c>
      <c r="E50" t="s">
        <v>145</v>
      </c>
      <c r="F50" t="s">
        <v>118</v>
      </c>
      <c r="G50" t="s">
        <v>146</v>
      </c>
      <c r="H50" t="s">
        <v>136</v>
      </c>
      <c r="I50">
        <f>I44*J50</f>
        <v>200</v>
      </c>
      <c r="J50">
        <v>25.412960609911053</v>
      </c>
      <c r="K50">
        <v>25.412960999999999</v>
      </c>
      <c r="O50">
        <f t="shared" si="21"/>
        <v>13085.76</v>
      </c>
      <c r="P50">
        <f t="shared" si="22"/>
        <v>13085.76</v>
      </c>
      <c r="Q50">
        <f t="shared" si="54"/>
        <v>0</v>
      </c>
      <c r="R50">
        <f t="shared" si="23"/>
        <v>0</v>
      </c>
      <c r="S50">
        <f t="shared" si="24"/>
        <v>0</v>
      </c>
      <c r="T50">
        <f t="shared" si="25"/>
        <v>0</v>
      </c>
      <c r="U50">
        <f t="shared" si="26"/>
        <v>0</v>
      </c>
      <c r="V50">
        <f t="shared" si="27"/>
        <v>0</v>
      </c>
      <c r="W50">
        <f t="shared" si="28"/>
        <v>0</v>
      </c>
      <c r="X50">
        <f t="shared" si="29"/>
        <v>0</v>
      </c>
      <c r="Y50">
        <f t="shared" si="30"/>
        <v>0</v>
      </c>
      <c r="AA50">
        <v>42938047</v>
      </c>
      <c r="AB50">
        <f t="shared" si="31"/>
        <v>10.32</v>
      </c>
      <c r="AC50">
        <f t="shared" si="53"/>
        <v>10.32</v>
      </c>
      <c r="AD50">
        <f t="shared" si="55"/>
        <v>0</v>
      </c>
      <c r="AE50">
        <f t="shared" si="56"/>
        <v>0</v>
      </c>
      <c r="AF50">
        <f t="shared" si="56"/>
        <v>0</v>
      </c>
      <c r="AG50">
        <f t="shared" si="32"/>
        <v>0</v>
      </c>
      <c r="AH50">
        <f t="shared" si="57"/>
        <v>0</v>
      </c>
      <c r="AI50">
        <f t="shared" si="57"/>
        <v>0</v>
      </c>
      <c r="AJ50">
        <f t="shared" si="33"/>
        <v>0</v>
      </c>
      <c r="AK50">
        <v>10.319999999999999</v>
      </c>
      <c r="AL50">
        <v>10.319999999999999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1</v>
      </c>
      <c r="AW50">
        <v>1</v>
      </c>
      <c r="AZ50">
        <v>1</v>
      </c>
      <c r="BA50">
        <v>1</v>
      </c>
      <c r="BB50">
        <v>1</v>
      </c>
      <c r="BC50">
        <v>6.34</v>
      </c>
      <c r="BD50" t="s">
        <v>3</v>
      </c>
      <c r="BE50" t="s">
        <v>3</v>
      </c>
      <c r="BF50" t="s">
        <v>3</v>
      </c>
      <c r="BG50" t="s">
        <v>3</v>
      </c>
      <c r="BH50">
        <v>3</v>
      </c>
      <c r="BI50">
        <v>1</v>
      </c>
      <c r="BJ50" t="s">
        <v>3</v>
      </c>
      <c r="BM50">
        <v>1526</v>
      </c>
      <c r="BN50">
        <v>0</v>
      </c>
      <c r="BO50" t="s">
        <v>3</v>
      </c>
      <c r="BP50">
        <v>0</v>
      </c>
      <c r="BQ50">
        <v>30</v>
      </c>
      <c r="BR50">
        <v>0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 t="s">
        <v>3</v>
      </c>
      <c r="BZ50">
        <v>0</v>
      </c>
      <c r="CA50">
        <v>0</v>
      </c>
      <c r="CB50" t="s">
        <v>3</v>
      </c>
      <c r="CE50">
        <v>30</v>
      </c>
      <c r="CF50">
        <v>0</v>
      </c>
      <c r="CG50">
        <v>0</v>
      </c>
      <c r="CM50">
        <v>0</v>
      </c>
      <c r="CN50" t="s">
        <v>3</v>
      </c>
      <c r="CO50">
        <v>0</v>
      </c>
      <c r="CP50">
        <f t="shared" si="34"/>
        <v>13085.76</v>
      </c>
      <c r="CQ50">
        <f t="shared" si="35"/>
        <v>65.430000000000007</v>
      </c>
      <c r="CR50">
        <f t="shared" si="58"/>
        <v>0</v>
      </c>
      <c r="CS50">
        <f t="shared" si="36"/>
        <v>0</v>
      </c>
      <c r="CT50">
        <f t="shared" si="37"/>
        <v>0</v>
      </c>
      <c r="CU50">
        <f t="shared" si="38"/>
        <v>0</v>
      </c>
      <c r="CV50">
        <f t="shared" si="39"/>
        <v>0</v>
      </c>
      <c r="CW50">
        <f t="shared" si="40"/>
        <v>0</v>
      </c>
      <c r="CX50">
        <f t="shared" si="41"/>
        <v>0</v>
      </c>
      <c r="CY50">
        <f t="shared" si="42"/>
        <v>0</v>
      </c>
      <c r="CZ50">
        <f t="shared" si="43"/>
        <v>0</v>
      </c>
      <c r="DC50" t="s">
        <v>3</v>
      </c>
      <c r="DD50" t="s">
        <v>3</v>
      </c>
      <c r="DE50" t="s">
        <v>3</v>
      </c>
      <c r="DF50" t="s">
        <v>3</v>
      </c>
      <c r="DG50" t="s">
        <v>3</v>
      </c>
      <c r="DH50" t="s">
        <v>3</v>
      </c>
      <c r="DI50" t="s">
        <v>3</v>
      </c>
      <c r="DJ50" t="s">
        <v>3</v>
      </c>
      <c r="DK50" t="s">
        <v>3</v>
      </c>
      <c r="DL50" t="s">
        <v>3</v>
      </c>
      <c r="DM50" t="s">
        <v>3</v>
      </c>
      <c r="DN50">
        <v>156</v>
      </c>
      <c r="DO50">
        <v>84</v>
      </c>
      <c r="DP50">
        <v>1</v>
      </c>
      <c r="DQ50">
        <v>1</v>
      </c>
      <c r="DU50">
        <v>1003</v>
      </c>
      <c r="DV50" t="s">
        <v>136</v>
      </c>
      <c r="DW50" t="s">
        <v>147</v>
      </c>
      <c r="DX50">
        <v>1</v>
      </c>
      <c r="DZ50" t="s">
        <v>3</v>
      </c>
      <c r="EA50" t="s">
        <v>3</v>
      </c>
      <c r="EB50" t="s">
        <v>3</v>
      </c>
      <c r="EC50" t="s">
        <v>3</v>
      </c>
      <c r="EE50">
        <v>43089604</v>
      </c>
      <c r="EF50">
        <v>30</v>
      </c>
      <c r="EG50" t="s">
        <v>22</v>
      </c>
      <c r="EH50">
        <v>0</v>
      </c>
      <c r="EI50" t="s">
        <v>3</v>
      </c>
      <c r="EJ50">
        <v>1</v>
      </c>
      <c r="EK50">
        <v>1526</v>
      </c>
      <c r="EL50" t="s">
        <v>32</v>
      </c>
      <c r="EM50" t="s">
        <v>33</v>
      </c>
      <c r="EO50" t="s">
        <v>3</v>
      </c>
      <c r="EQ50">
        <v>0</v>
      </c>
      <c r="ER50">
        <v>10.319999999999999</v>
      </c>
      <c r="ES50">
        <v>10.319999999999999</v>
      </c>
      <c r="ET50">
        <v>0</v>
      </c>
      <c r="EU50">
        <v>0</v>
      </c>
      <c r="EV50">
        <v>0</v>
      </c>
      <c r="EW50">
        <v>0</v>
      </c>
      <c r="EX50">
        <v>0</v>
      </c>
      <c r="EZ50">
        <v>5</v>
      </c>
      <c r="FC50">
        <v>1</v>
      </c>
      <c r="FD50">
        <v>18</v>
      </c>
      <c r="FF50">
        <v>77</v>
      </c>
      <c r="FQ50">
        <v>0</v>
      </c>
      <c r="FR50">
        <f t="shared" si="44"/>
        <v>0</v>
      </c>
      <c r="FS50">
        <v>0</v>
      </c>
      <c r="FX50">
        <v>156</v>
      </c>
      <c r="FY50">
        <v>84</v>
      </c>
      <c r="GA50" t="s">
        <v>148</v>
      </c>
      <c r="GD50">
        <v>0</v>
      </c>
      <c r="GF50">
        <v>835889972</v>
      </c>
      <c r="GG50">
        <v>2</v>
      </c>
      <c r="GH50">
        <v>3</v>
      </c>
      <c r="GI50">
        <v>3</v>
      </c>
      <c r="GJ50">
        <v>0</v>
      </c>
      <c r="GK50">
        <f>ROUND(R50*(R12)/100,2)</f>
        <v>0</v>
      </c>
      <c r="GL50">
        <f t="shared" si="45"/>
        <v>0</v>
      </c>
      <c r="GM50">
        <f t="shared" si="46"/>
        <v>13085.76</v>
      </c>
      <c r="GN50">
        <f t="shared" si="47"/>
        <v>13085.76</v>
      </c>
      <c r="GO50">
        <f t="shared" si="48"/>
        <v>0</v>
      </c>
      <c r="GP50">
        <f t="shared" si="49"/>
        <v>0</v>
      </c>
      <c r="GR50">
        <v>1</v>
      </c>
      <c r="GS50">
        <v>1</v>
      </c>
      <c r="GT50">
        <v>0</v>
      </c>
      <c r="GU50" t="s">
        <v>3</v>
      </c>
      <c r="GV50">
        <f t="shared" si="50"/>
        <v>0</v>
      </c>
      <c r="GW50">
        <v>1</v>
      </c>
      <c r="GX50">
        <f t="shared" si="51"/>
        <v>0</v>
      </c>
      <c r="HA50">
        <v>0</v>
      </c>
      <c r="HB50">
        <v>0</v>
      </c>
      <c r="HC50">
        <f t="shared" si="52"/>
        <v>0</v>
      </c>
      <c r="HE50" t="s">
        <v>26</v>
      </c>
      <c r="HF50" t="s">
        <v>122</v>
      </c>
      <c r="HM50" t="s">
        <v>3</v>
      </c>
      <c r="IK50">
        <v>0</v>
      </c>
    </row>
    <row r="51" spans="1:245" x14ac:dyDescent="0.2">
      <c r="A51">
        <v>17</v>
      </c>
      <c r="B51">
        <v>1</v>
      </c>
      <c r="C51">
        <f>ROW(SmtRes!A75)</f>
        <v>75</v>
      </c>
      <c r="D51">
        <f>ROW(EtalonRes!A74)</f>
        <v>74</v>
      </c>
      <c r="E51" t="s">
        <v>149</v>
      </c>
      <c r="F51" t="s">
        <v>150</v>
      </c>
      <c r="G51" t="s">
        <v>151</v>
      </c>
      <c r="H51" t="s">
        <v>152</v>
      </c>
      <c r="I51">
        <f>ROUND(950/100,9)</f>
        <v>9.5</v>
      </c>
      <c r="J51">
        <v>0</v>
      </c>
      <c r="K51">
        <f>ROUND(950/100,9)</f>
        <v>9.5</v>
      </c>
      <c r="O51">
        <f t="shared" si="21"/>
        <v>852980.17</v>
      </c>
      <c r="P51">
        <f t="shared" si="22"/>
        <v>766847.25</v>
      </c>
      <c r="Q51">
        <f>(ROUND((ROUND((((ET51*1.25))*AV51*I51),2)*BB51),2)+ROUND((ROUND(((AE51-((EU51*1.25)))*AV51*I51),2)*BS51),2))</f>
        <v>2644.95</v>
      </c>
      <c r="R51">
        <f t="shared" si="23"/>
        <v>1051.44</v>
      </c>
      <c r="S51">
        <f t="shared" si="24"/>
        <v>83487.97</v>
      </c>
      <c r="T51">
        <f t="shared" si="25"/>
        <v>0</v>
      </c>
      <c r="U51">
        <f t="shared" si="26"/>
        <v>284.92399999999998</v>
      </c>
      <c r="V51">
        <f t="shared" si="27"/>
        <v>0</v>
      </c>
      <c r="W51">
        <f t="shared" si="28"/>
        <v>0</v>
      </c>
      <c r="X51">
        <f t="shared" si="29"/>
        <v>78478.69</v>
      </c>
      <c r="Y51">
        <f t="shared" si="30"/>
        <v>34230.07</v>
      </c>
      <c r="AA51">
        <v>42938047</v>
      </c>
      <c r="AB51">
        <f t="shared" si="31"/>
        <v>12403.406000000001</v>
      </c>
      <c r="AC51">
        <f t="shared" si="53"/>
        <v>12029.92</v>
      </c>
      <c r="AD51">
        <f>ROUND(((((ET51*1.25))-((EU51*1.25)))+AE51),6)</f>
        <v>28.037500000000001</v>
      </c>
      <c r="AE51">
        <f>ROUND(((EU51*1.25)),6)</f>
        <v>4.3499999999999996</v>
      </c>
      <c r="AF51">
        <f>ROUND(((EV51*1.15)),6)</f>
        <v>345.44850000000002</v>
      </c>
      <c r="AG51">
        <f t="shared" si="32"/>
        <v>0</v>
      </c>
      <c r="AH51">
        <f>((EW51*1.15))</f>
        <v>29.991999999999997</v>
      </c>
      <c r="AI51">
        <f>((EX51*1.25))</f>
        <v>0</v>
      </c>
      <c r="AJ51">
        <f t="shared" si="33"/>
        <v>0</v>
      </c>
      <c r="AK51">
        <v>12352.74</v>
      </c>
      <c r="AL51">
        <v>12029.92</v>
      </c>
      <c r="AM51">
        <v>22.43</v>
      </c>
      <c r="AN51">
        <v>3.48</v>
      </c>
      <c r="AO51">
        <v>300.39</v>
      </c>
      <c r="AP51">
        <v>0</v>
      </c>
      <c r="AQ51">
        <v>26.08</v>
      </c>
      <c r="AR51">
        <v>0</v>
      </c>
      <c r="AS51">
        <v>0</v>
      </c>
      <c r="AT51">
        <v>94</v>
      </c>
      <c r="AU51">
        <v>41</v>
      </c>
      <c r="AV51">
        <v>1</v>
      </c>
      <c r="AW51">
        <v>1</v>
      </c>
      <c r="AZ51">
        <v>1</v>
      </c>
      <c r="BA51">
        <v>25.44</v>
      </c>
      <c r="BB51">
        <v>9.93</v>
      </c>
      <c r="BC51">
        <v>6.71</v>
      </c>
      <c r="BD51" t="s">
        <v>3</v>
      </c>
      <c r="BE51" t="s">
        <v>3</v>
      </c>
      <c r="BF51" t="s">
        <v>3</v>
      </c>
      <c r="BG51" t="s">
        <v>3</v>
      </c>
      <c r="BH51">
        <v>0</v>
      </c>
      <c r="BI51">
        <v>1</v>
      </c>
      <c r="BJ51" t="s">
        <v>153</v>
      </c>
      <c r="BM51">
        <v>1691</v>
      </c>
      <c r="BN51">
        <v>0</v>
      </c>
      <c r="BO51" t="s">
        <v>150</v>
      </c>
      <c r="BP51">
        <v>1</v>
      </c>
      <c r="BQ51">
        <v>30</v>
      </c>
      <c r="BR51">
        <v>0</v>
      </c>
      <c r="BS51">
        <v>25.44</v>
      </c>
      <c r="BT51">
        <v>1</v>
      </c>
      <c r="BU51">
        <v>1</v>
      </c>
      <c r="BV51">
        <v>1</v>
      </c>
      <c r="BW51">
        <v>1</v>
      </c>
      <c r="BX51">
        <v>1</v>
      </c>
      <c r="BY51" t="s">
        <v>3</v>
      </c>
      <c r="BZ51">
        <v>94</v>
      </c>
      <c r="CA51">
        <v>41</v>
      </c>
      <c r="CB51" t="s">
        <v>3</v>
      </c>
      <c r="CE51">
        <v>30</v>
      </c>
      <c r="CF51">
        <v>0</v>
      </c>
      <c r="CG51">
        <v>0</v>
      </c>
      <c r="CM51">
        <v>0</v>
      </c>
      <c r="CN51" t="s">
        <v>1584</v>
      </c>
      <c r="CO51">
        <v>0</v>
      </c>
      <c r="CP51">
        <f t="shared" si="34"/>
        <v>852980.16999999993</v>
      </c>
      <c r="CQ51">
        <f t="shared" si="35"/>
        <v>80720.759999999995</v>
      </c>
      <c r="CR51">
        <f>(ROUND((ROUND((((ET51*1.25))*AV51*1),2)*BB51),2)+ROUND((ROUND(((AE51-((EU51*1.25)))*AV51*1),2)*BS51),2))</f>
        <v>278.44</v>
      </c>
      <c r="CS51">
        <f t="shared" si="36"/>
        <v>110.66</v>
      </c>
      <c r="CT51">
        <f t="shared" si="37"/>
        <v>8788.25</v>
      </c>
      <c r="CU51">
        <f t="shared" si="38"/>
        <v>0</v>
      </c>
      <c r="CV51">
        <f t="shared" si="39"/>
        <v>29.991999999999997</v>
      </c>
      <c r="CW51">
        <f t="shared" si="40"/>
        <v>0</v>
      </c>
      <c r="CX51">
        <f t="shared" si="41"/>
        <v>0</v>
      </c>
      <c r="CY51">
        <f t="shared" si="42"/>
        <v>78478.691800000001</v>
      </c>
      <c r="CZ51">
        <f t="shared" si="43"/>
        <v>34230.0677</v>
      </c>
      <c r="DC51" t="s">
        <v>3</v>
      </c>
      <c r="DD51" t="s">
        <v>3</v>
      </c>
      <c r="DE51" t="s">
        <v>20</v>
      </c>
      <c r="DF51" t="s">
        <v>20</v>
      </c>
      <c r="DG51" t="s">
        <v>21</v>
      </c>
      <c r="DH51" t="s">
        <v>3</v>
      </c>
      <c r="DI51" t="s">
        <v>21</v>
      </c>
      <c r="DJ51" t="s">
        <v>20</v>
      </c>
      <c r="DK51" t="s">
        <v>3</v>
      </c>
      <c r="DL51" t="s">
        <v>3</v>
      </c>
      <c r="DM51" t="s">
        <v>3</v>
      </c>
      <c r="DN51">
        <v>116</v>
      </c>
      <c r="DO51">
        <v>68</v>
      </c>
      <c r="DP51">
        <v>1</v>
      </c>
      <c r="DQ51">
        <v>1</v>
      </c>
      <c r="DU51">
        <v>1003</v>
      </c>
      <c r="DV51" t="s">
        <v>152</v>
      </c>
      <c r="DW51" t="s">
        <v>152</v>
      </c>
      <c r="DX51">
        <v>100</v>
      </c>
      <c r="DZ51" t="s">
        <v>3</v>
      </c>
      <c r="EA51" t="s">
        <v>3</v>
      </c>
      <c r="EB51" t="s">
        <v>3</v>
      </c>
      <c r="EC51" t="s">
        <v>3</v>
      </c>
      <c r="EE51">
        <v>43089769</v>
      </c>
      <c r="EF51">
        <v>30</v>
      </c>
      <c r="EG51" t="s">
        <v>22</v>
      </c>
      <c r="EH51">
        <v>0</v>
      </c>
      <c r="EI51" t="s">
        <v>3</v>
      </c>
      <c r="EJ51">
        <v>1</v>
      </c>
      <c r="EK51">
        <v>1691</v>
      </c>
      <c r="EL51" t="s">
        <v>154</v>
      </c>
      <c r="EM51" t="s">
        <v>155</v>
      </c>
      <c r="EO51" t="s">
        <v>59</v>
      </c>
      <c r="EQ51">
        <v>0</v>
      </c>
      <c r="ER51">
        <v>12352.74</v>
      </c>
      <c r="ES51">
        <v>12029.92</v>
      </c>
      <c r="ET51">
        <v>22.43</v>
      </c>
      <c r="EU51">
        <v>3.48</v>
      </c>
      <c r="EV51">
        <v>300.39</v>
      </c>
      <c r="EW51">
        <v>26.08</v>
      </c>
      <c r="EX51">
        <v>0</v>
      </c>
      <c r="EY51">
        <v>0</v>
      </c>
      <c r="FQ51">
        <v>0</v>
      </c>
      <c r="FR51">
        <f t="shared" si="44"/>
        <v>0</v>
      </c>
      <c r="FS51">
        <v>0</v>
      </c>
      <c r="FX51">
        <v>116</v>
      </c>
      <c r="FY51">
        <v>68</v>
      </c>
      <c r="GA51" t="s">
        <v>3</v>
      </c>
      <c r="GD51">
        <v>0</v>
      </c>
      <c r="GF51">
        <v>2044810467</v>
      </c>
      <c r="GG51">
        <v>2</v>
      </c>
      <c r="GH51">
        <v>1</v>
      </c>
      <c r="GI51">
        <v>2</v>
      </c>
      <c r="GJ51">
        <v>0</v>
      </c>
      <c r="GK51">
        <f>ROUND(R51*(R12)/100,2)</f>
        <v>1650.76</v>
      </c>
      <c r="GL51">
        <f t="shared" si="45"/>
        <v>0</v>
      </c>
      <c r="GM51">
        <f t="shared" si="46"/>
        <v>967339.69</v>
      </c>
      <c r="GN51">
        <f t="shared" si="47"/>
        <v>967339.69</v>
      </c>
      <c r="GO51">
        <f t="shared" si="48"/>
        <v>0</v>
      </c>
      <c r="GP51">
        <f t="shared" si="49"/>
        <v>0</v>
      </c>
      <c r="GR51">
        <v>0</v>
      </c>
      <c r="GS51">
        <v>3</v>
      </c>
      <c r="GT51">
        <v>0</v>
      </c>
      <c r="GU51" t="s">
        <v>3</v>
      </c>
      <c r="GV51">
        <f t="shared" si="50"/>
        <v>0</v>
      </c>
      <c r="GW51">
        <v>1</v>
      </c>
      <c r="GX51">
        <f t="shared" si="51"/>
        <v>0</v>
      </c>
      <c r="HA51">
        <v>0</v>
      </c>
      <c r="HB51">
        <v>0</v>
      </c>
      <c r="HC51">
        <f t="shared" si="52"/>
        <v>0</v>
      </c>
      <c r="HE51" t="s">
        <v>3</v>
      </c>
      <c r="HF51" t="s">
        <v>3</v>
      </c>
      <c r="HM51" t="s">
        <v>3</v>
      </c>
      <c r="IK51">
        <v>0</v>
      </c>
    </row>
    <row r="52" spans="1:245" x14ac:dyDescent="0.2">
      <c r="A52">
        <v>18</v>
      </c>
      <c r="B52">
        <v>1</v>
      </c>
      <c r="C52">
        <v>75</v>
      </c>
      <c r="E52" t="s">
        <v>156</v>
      </c>
      <c r="F52" t="s">
        <v>118</v>
      </c>
      <c r="G52" t="s">
        <v>157</v>
      </c>
      <c r="H52" t="s">
        <v>136</v>
      </c>
      <c r="I52">
        <f>I51*J52</f>
        <v>950</v>
      </c>
      <c r="J52">
        <v>100</v>
      </c>
      <c r="K52">
        <v>100</v>
      </c>
      <c r="O52">
        <f t="shared" si="21"/>
        <v>1390530.01</v>
      </c>
      <c r="P52">
        <f t="shared" si="22"/>
        <v>1390530.01</v>
      </c>
      <c r="Q52">
        <f>(ROUND((ROUND(((ET52)*AV52*I52),2)*BB52),2)+ROUND((ROUND(((AE52-(EU52))*AV52*I52),2)*BS52),2))</f>
        <v>0</v>
      </c>
      <c r="R52">
        <f t="shared" si="23"/>
        <v>0</v>
      </c>
      <c r="S52">
        <f t="shared" si="24"/>
        <v>0</v>
      </c>
      <c r="T52">
        <f t="shared" si="25"/>
        <v>0</v>
      </c>
      <c r="U52">
        <f t="shared" si="26"/>
        <v>0</v>
      </c>
      <c r="V52">
        <f t="shared" si="27"/>
        <v>0</v>
      </c>
      <c r="W52">
        <f t="shared" si="28"/>
        <v>0</v>
      </c>
      <c r="X52">
        <f t="shared" si="29"/>
        <v>0</v>
      </c>
      <c r="Y52">
        <f t="shared" si="30"/>
        <v>0</v>
      </c>
      <c r="AA52">
        <v>42938047</v>
      </c>
      <c r="AB52">
        <f t="shared" si="31"/>
        <v>230.87</v>
      </c>
      <c r="AC52">
        <f t="shared" si="53"/>
        <v>230.87</v>
      </c>
      <c r="AD52">
        <f>ROUND((((ET52)-(EU52))+AE52),6)</f>
        <v>0</v>
      </c>
      <c r="AE52">
        <f>ROUND((EU52),6)</f>
        <v>0</v>
      </c>
      <c r="AF52">
        <f>ROUND((EV52),6)</f>
        <v>0</v>
      </c>
      <c r="AG52">
        <f t="shared" si="32"/>
        <v>0</v>
      </c>
      <c r="AH52">
        <f>(EW52)</f>
        <v>0</v>
      </c>
      <c r="AI52">
        <f>(EX52)</f>
        <v>0</v>
      </c>
      <c r="AJ52">
        <f t="shared" si="33"/>
        <v>0</v>
      </c>
      <c r="AK52">
        <v>230.87</v>
      </c>
      <c r="AL52">
        <v>230.87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1</v>
      </c>
      <c r="AW52">
        <v>1</v>
      </c>
      <c r="AZ52">
        <v>1</v>
      </c>
      <c r="BA52">
        <v>1</v>
      </c>
      <c r="BB52">
        <v>1</v>
      </c>
      <c r="BC52">
        <v>6.34</v>
      </c>
      <c r="BD52" t="s">
        <v>3</v>
      </c>
      <c r="BE52" t="s">
        <v>3</v>
      </c>
      <c r="BF52" t="s">
        <v>3</v>
      </c>
      <c r="BG52" t="s">
        <v>3</v>
      </c>
      <c r="BH52">
        <v>3</v>
      </c>
      <c r="BI52">
        <v>1</v>
      </c>
      <c r="BJ52" t="s">
        <v>3</v>
      </c>
      <c r="BM52">
        <v>1691</v>
      </c>
      <c r="BN52">
        <v>0</v>
      </c>
      <c r="BO52" t="s">
        <v>3</v>
      </c>
      <c r="BP52">
        <v>0</v>
      </c>
      <c r="BQ52">
        <v>30</v>
      </c>
      <c r="BR52">
        <v>0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 t="s">
        <v>3</v>
      </c>
      <c r="BZ52">
        <v>0</v>
      </c>
      <c r="CA52">
        <v>0</v>
      </c>
      <c r="CB52" t="s">
        <v>3</v>
      </c>
      <c r="CE52">
        <v>30</v>
      </c>
      <c r="CF52">
        <v>0</v>
      </c>
      <c r="CG52">
        <v>0</v>
      </c>
      <c r="CM52">
        <v>0</v>
      </c>
      <c r="CN52" t="s">
        <v>3</v>
      </c>
      <c r="CO52">
        <v>0</v>
      </c>
      <c r="CP52">
        <f t="shared" si="34"/>
        <v>1390530.01</v>
      </c>
      <c r="CQ52">
        <f t="shared" si="35"/>
        <v>1463.72</v>
      </c>
      <c r="CR52">
        <f>(ROUND((ROUND(((ET52)*AV52*1),2)*BB52),2)+ROUND((ROUND(((AE52-(EU52))*AV52*1),2)*BS52),2))</f>
        <v>0</v>
      </c>
      <c r="CS52">
        <f t="shared" si="36"/>
        <v>0</v>
      </c>
      <c r="CT52">
        <f t="shared" si="37"/>
        <v>0</v>
      </c>
      <c r="CU52">
        <f t="shared" si="38"/>
        <v>0</v>
      </c>
      <c r="CV52">
        <f t="shared" si="39"/>
        <v>0</v>
      </c>
      <c r="CW52">
        <f t="shared" si="40"/>
        <v>0</v>
      </c>
      <c r="CX52">
        <f t="shared" si="41"/>
        <v>0</v>
      </c>
      <c r="CY52">
        <f t="shared" si="42"/>
        <v>0</v>
      </c>
      <c r="CZ52">
        <f t="shared" si="43"/>
        <v>0</v>
      </c>
      <c r="DC52" t="s">
        <v>3</v>
      </c>
      <c r="DD52" t="s">
        <v>3</v>
      </c>
      <c r="DE52" t="s">
        <v>3</v>
      </c>
      <c r="DF52" t="s">
        <v>3</v>
      </c>
      <c r="DG52" t="s">
        <v>3</v>
      </c>
      <c r="DH52" t="s">
        <v>3</v>
      </c>
      <c r="DI52" t="s">
        <v>3</v>
      </c>
      <c r="DJ52" t="s">
        <v>3</v>
      </c>
      <c r="DK52" t="s">
        <v>3</v>
      </c>
      <c r="DL52" t="s">
        <v>3</v>
      </c>
      <c r="DM52" t="s">
        <v>3</v>
      </c>
      <c r="DN52">
        <v>116</v>
      </c>
      <c r="DO52">
        <v>68</v>
      </c>
      <c r="DP52">
        <v>1</v>
      </c>
      <c r="DQ52">
        <v>1</v>
      </c>
      <c r="DU52">
        <v>1003</v>
      </c>
      <c r="DV52" t="s">
        <v>136</v>
      </c>
      <c r="DW52" t="s">
        <v>136</v>
      </c>
      <c r="DX52">
        <v>1</v>
      </c>
      <c r="DZ52" t="s">
        <v>3</v>
      </c>
      <c r="EA52" t="s">
        <v>3</v>
      </c>
      <c r="EB52" t="s">
        <v>3</v>
      </c>
      <c r="EC52" t="s">
        <v>3</v>
      </c>
      <c r="EE52">
        <v>43089769</v>
      </c>
      <c r="EF52">
        <v>30</v>
      </c>
      <c r="EG52" t="s">
        <v>22</v>
      </c>
      <c r="EH52">
        <v>0</v>
      </c>
      <c r="EI52" t="s">
        <v>3</v>
      </c>
      <c r="EJ52">
        <v>1</v>
      </c>
      <c r="EK52">
        <v>1691</v>
      </c>
      <c r="EL52" t="s">
        <v>154</v>
      </c>
      <c r="EM52" t="s">
        <v>155</v>
      </c>
      <c r="EO52" t="s">
        <v>3</v>
      </c>
      <c r="EQ52">
        <v>0</v>
      </c>
      <c r="ER52">
        <v>230.87</v>
      </c>
      <c r="ES52">
        <v>230.87</v>
      </c>
      <c r="ET52">
        <v>0</v>
      </c>
      <c r="EU52">
        <v>0</v>
      </c>
      <c r="EV52">
        <v>0</v>
      </c>
      <c r="EW52">
        <v>0</v>
      </c>
      <c r="EX52">
        <v>0</v>
      </c>
      <c r="EZ52">
        <v>5</v>
      </c>
      <c r="FC52">
        <v>1</v>
      </c>
      <c r="FD52">
        <v>18</v>
      </c>
      <c r="FF52">
        <v>1722</v>
      </c>
      <c r="FQ52">
        <v>0</v>
      </c>
      <c r="FR52">
        <f t="shared" si="44"/>
        <v>0</v>
      </c>
      <c r="FS52">
        <v>0</v>
      </c>
      <c r="FX52">
        <v>116</v>
      </c>
      <c r="FY52">
        <v>68</v>
      </c>
      <c r="GA52" t="s">
        <v>158</v>
      </c>
      <c r="GD52">
        <v>0</v>
      </c>
      <c r="GF52">
        <v>1484712815</v>
      </c>
      <c r="GG52">
        <v>2</v>
      </c>
      <c r="GH52">
        <v>3</v>
      </c>
      <c r="GI52">
        <v>3</v>
      </c>
      <c r="GJ52">
        <v>0</v>
      </c>
      <c r="GK52">
        <f>ROUND(R52*(R12)/100,2)</f>
        <v>0</v>
      </c>
      <c r="GL52">
        <f t="shared" si="45"/>
        <v>0</v>
      </c>
      <c r="GM52">
        <f t="shared" si="46"/>
        <v>1390530.01</v>
      </c>
      <c r="GN52">
        <f t="shared" si="47"/>
        <v>1390530.01</v>
      </c>
      <c r="GO52">
        <f t="shared" si="48"/>
        <v>0</v>
      </c>
      <c r="GP52">
        <f t="shared" si="49"/>
        <v>0</v>
      </c>
      <c r="GR52">
        <v>1</v>
      </c>
      <c r="GS52">
        <v>1</v>
      </c>
      <c r="GT52">
        <v>0</v>
      </c>
      <c r="GU52" t="s">
        <v>3</v>
      </c>
      <c r="GV52">
        <f t="shared" si="50"/>
        <v>0</v>
      </c>
      <c r="GW52">
        <v>1</v>
      </c>
      <c r="GX52">
        <f t="shared" si="51"/>
        <v>0</v>
      </c>
      <c r="HA52">
        <v>0</v>
      </c>
      <c r="HB52">
        <v>0</v>
      </c>
      <c r="HC52">
        <f t="shared" si="52"/>
        <v>0</v>
      </c>
      <c r="HE52" t="s">
        <v>26</v>
      </c>
      <c r="HF52" t="s">
        <v>122</v>
      </c>
      <c r="HM52" t="s">
        <v>3</v>
      </c>
      <c r="IK52">
        <v>0</v>
      </c>
    </row>
    <row r="53" spans="1:245" x14ac:dyDescent="0.2">
      <c r="A53">
        <v>17</v>
      </c>
      <c r="B53">
        <v>1</v>
      </c>
      <c r="C53">
        <f>ROW(SmtRes!A89)</f>
        <v>89</v>
      </c>
      <c r="D53">
        <f>ROW(EtalonRes!A87)</f>
        <v>87</v>
      </c>
      <c r="E53" t="s">
        <v>159</v>
      </c>
      <c r="F53" t="s">
        <v>160</v>
      </c>
      <c r="G53" t="s">
        <v>161</v>
      </c>
      <c r="H53" t="s">
        <v>162</v>
      </c>
      <c r="I53">
        <v>1</v>
      </c>
      <c r="J53">
        <v>0</v>
      </c>
      <c r="K53">
        <v>1</v>
      </c>
      <c r="O53">
        <f t="shared" si="21"/>
        <v>2864.66</v>
      </c>
      <c r="P53">
        <f t="shared" si="22"/>
        <v>930.57</v>
      </c>
      <c r="Q53">
        <f>(ROUND((ROUND((((ET53*1.25))*AV53*I53),2)*BB53),2)+ROUND((ROUND(((AE53-((EU53*1.25)))*AV53*I53),2)*BS53),2))</f>
        <v>67.81</v>
      </c>
      <c r="R53">
        <f t="shared" si="23"/>
        <v>21.62</v>
      </c>
      <c r="S53">
        <f t="shared" si="24"/>
        <v>1866.28</v>
      </c>
      <c r="T53">
        <f t="shared" si="25"/>
        <v>0</v>
      </c>
      <c r="U53">
        <f t="shared" si="26"/>
        <v>6.1179999999999994</v>
      </c>
      <c r="V53">
        <f t="shared" si="27"/>
        <v>0</v>
      </c>
      <c r="W53">
        <f t="shared" si="28"/>
        <v>0</v>
      </c>
      <c r="X53">
        <f t="shared" si="29"/>
        <v>1754.3</v>
      </c>
      <c r="Y53">
        <f t="shared" si="30"/>
        <v>765.17</v>
      </c>
      <c r="AA53">
        <v>42938047</v>
      </c>
      <c r="AB53">
        <f t="shared" si="31"/>
        <v>231.14599999999999</v>
      </c>
      <c r="AC53">
        <f t="shared" si="53"/>
        <v>149.85</v>
      </c>
      <c r="AD53">
        <f>ROUND(((((ET53*1.25))-((EU53*1.25)))+AE53),6)</f>
        <v>7.9375</v>
      </c>
      <c r="AE53">
        <f>ROUND(((EU53*1.25)),6)</f>
        <v>0.85</v>
      </c>
      <c r="AF53">
        <f>ROUND(((EV53*1.15)),6)</f>
        <v>73.358500000000006</v>
      </c>
      <c r="AG53">
        <f t="shared" si="32"/>
        <v>0</v>
      </c>
      <c r="AH53">
        <f>((EW53*1.15))</f>
        <v>6.1179999999999994</v>
      </c>
      <c r="AI53">
        <f>((EX53*1.25))</f>
        <v>0</v>
      </c>
      <c r="AJ53">
        <f t="shared" si="33"/>
        <v>0</v>
      </c>
      <c r="AK53">
        <v>219.99</v>
      </c>
      <c r="AL53">
        <v>149.85</v>
      </c>
      <c r="AM53">
        <v>6.35</v>
      </c>
      <c r="AN53">
        <v>0.68</v>
      </c>
      <c r="AO53">
        <v>63.79</v>
      </c>
      <c r="AP53">
        <v>0</v>
      </c>
      <c r="AQ53">
        <v>5.32</v>
      </c>
      <c r="AR53">
        <v>0</v>
      </c>
      <c r="AS53">
        <v>0</v>
      </c>
      <c r="AT53">
        <v>94</v>
      </c>
      <c r="AU53">
        <v>41</v>
      </c>
      <c r="AV53">
        <v>1</v>
      </c>
      <c r="AW53">
        <v>1</v>
      </c>
      <c r="AZ53">
        <v>1</v>
      </c>
      <c r="BA53">
        <v>25.44</v>
      </c>
      <c r="BB53">
        <v>8.5399999999999991</v>
      </c>
      <c r="BC53">
        <v>6.21</v>
      </c>
      <c r="BD53" t="s">
        <v>3</v>
      </c>
      <c r="BE53" t="s">
        <v>3</v>
      </c>
      <c r="BF53" t="s">
        <v>3</v>
      </c>
      <c r="BG53" t="s">
        <v>3</v>
      </c>
      <c r="BH53">
        <v>0</v>
      </c>
      <c r="BI53">
        <v>1</v>
      </c>
      <c r="BJ53" t="s">
        <v>163</v>
      </c>
      <c r="BM53">
        <v>1384</v>
      </c>
      <c r="BN53">
        <v>0</v>
      </c>
      <c r="BO53" t="s">
        <v>160</v>
      </c>
      <c r="BP53">
        <v>1</v>
      </c>
      <c r="BQ53">
        <v>30</v>
      </c>
      <c r="BR53">
        <v>0</v>
      </c>
      <c r="BS53">
        <v>25.44</v>
      </c>
      <c r="BT53">
        <v>1</v>
      </c>
      <c r="BU53">
        <v>1</v>
      </c>
      <c r="BV53">
        <v>1</v>
      </c>
      <c r="BW53">
        <v>1</v>
      </c>
      <c r="BX53">
        <v>1</v>
      </c>
      <c r="BY53" t="s">
        <v>3</v>
      </c>
      <c r="BZ53">
        <v>94</v>
      </c>
      <c r="CA53">
        <v>41</v>
      </c>
      <c r="CB53" t="s">
        <v>3</v>
      </c>
      <c r="CE53">
        <v>30</v>
      </c>
      <c r="CF53">
        <v>0</v>
      </c>
      <c r="CG53">
        <v>0</v>
      </c>
      <c r="CM53">
        <v>0</v>
      </c>
      <c r="CN53" t="s">
        <v>1584</v>
      </c>
      <c r="CO53">
        <v>0</v>
      </c>
      <c r="CP53">
        <f t="shared" si="34"/>
        <v>2864.66</v>
      </c>
      <c r="CQ53">
        <f t="shared" si="35"/>
        <v>930.57</v>
      </c>
      <c r="CR53">
        <f>(ROUND((ROUND((((ET53*1.25))*AV53*1),2)*BB53),2)+ROUND((ROUND(((AE53-((EU53*1.25)))*AV53*1),2)*BS53),2))</f>
        <v>67.81</v>
      </c>
      <c r="CS53">
        <f t="shared" si="36"/>
        <v>21.62</v>
      </c>
      <c r="CT53">
        <f t="shared" si="37"/>
        <v>1866.28</v>
      </c>
      <c r="CU53">
        <f t="shared" si="38"/>
        <v>0</v>
      </c>
      <c r="CV53">
        <f t="shared" si="39"/>
        <v>6.1179999999999994</v>
      </c>
      <c r="CW53">
        <f t="shared" si="40"/>
        <v>0</v>
      </c>
      <c r="CX53">
        <f t="shared" si="41"/>
        <v>0</v>
      </c>
      <c r="CY53">
        <f t="shared" si="42"/>
        <v>1754.3031999999998</v>
      </c>
      <c r="CZ53">
        <f t="shared" si="43"/>
        <v>765.17479999999989</v>
      </c>
      <c r="DC53" t="s">
        <v>3</v>
      </c>
      <c r="DD53" t="s">
        <v>3</v>
      </c>
      <c r="DE53" t="s">
        <v>20</v>
      </c>
      <c r="DF53" t="s">
        <v>20</v>
      </c>
      <c r="DG53" t="s">
        <v>21</v>
      </c>
      <c r="DH53" t="s">
        <v>3</v>
      </c>
      <c r="DI53" t="s">
        <v>21</v>
      </c>
      <c r="DJ53" t="s">
        <v>20</v>
      </c>
      <c r="DK53" t="s">
        <v>3</v>
      </c>
      <c r="DL53" t="s">
        <v>3</v>
      </c>
      <c r="DM53" t="s">
        <v>3</v>
      </c>
      <c r="DN53">
        <v>116</v>
      </c>
      <c r="DO53">
        <v>68</v>
      </c>
      <c r="DP53">
        <v>1</v>
      </c>
      <c r="DQ53">
        <v>1</v>
      </c>
      <c r="DU53">
        <v>1013</v>
      </c>
      <c r="DV53" t="s">
        <v>162</v>
      </c>
      <c r="DW53" t="s">
        <v>162</v>
      </c>
      <c r="DX53">
        <v>1</v>
      </c>
      <c r="DZ53" t="s">
        <v>3</v>
      </c>
      <c r="EA53" t="s">
        <v>3</v>
      </c>
      <c r="EB53" t="s">
        <v>3</v>
      </c>
      <c r="EC53" t="s">
        <v>3</v>
      </c>
      <c r="EE53">
        <v>43089462</v>
      </c>
      <c r="EF53">
        <v>30</v>
      </c>
      <c r="EG53" t="s">
        <v>22</v>
      </c>
      <c r="EH53">
        <v>0</v>
      </c>
      <c r="EI53" t="s">
        <v>3</v>
      </c>
      <c r="EJ53">
        <v>1</v>
      </c>
      <c r="EK53">
        <v>1384</v>
      </c>
      <c r="EL53" t="s">
        <v>164</v>
      </c>
      <c r="EM53" t="s">
        <v>165</v>
      </c>
      <c r="EO53" t="s">
        <v>59</v>
      </c>
      <c r="EQ53">
        <v>0</v>
      </c>
      <c r="ER53">
        <v>219.99</v>
      </c>
      <c r="ES53">
        <v>149.85</v>
      </c>
      <c r="ET53">
        <v>6.35</v>
      </c>
      <c r="EU53">
        <v>0.68</v>
      </c>
      <c r="EV53">
        <v>63.79</v>
      </c>
      <c r="EW53">
        <v>5.32</v>
      </c>
      <c r="EX53">
        <v>0</v>
      </c>
      <c r="EY53">
        <v>0</v>
      </c>
      <c r="FQ53">
        <v>0</v>
      </c>
      <c r="FR53">
        <f t="shared" si="44"/>
        <v>0</v>
      </c>
      <c r="FS53">
        <v>0</v>
      </c>
      <c r="FX53">
        <v>116</v>
      </c>
      <c r="FY53">
        <v>68</v>
      </c>
      <c r="GA53" t="s">
        <v>3</v>
      </c>
      <c r="GD53">
        <v>0</v>
      </c>
      <c r="GF53">
        <v>-652944893</v>
      </c>
      <c r="GG53">
        <v>2</v>
      </c>
      <c r="GH53">
        <v>1</v>
      </c>
      <c r="GI53">
        <v>2</v>
      </c>
      <c r="GJ53">
        <v>0</v>
      </c>
      <c r="GK53">
        <f>ROUND(R53*(R12)/100,2)</f>
        <v>33.94</v>
      </c>
      <c r="GL53">
        <f t="shared" si="45"/>
        <v>0</v>
      </c>
      <c r="GM53">
        <f t="shared" si="46"/>
        <v>5418.07</v>
      </c>
      <c r="GN53">
        <f t="shared" si="47"/>
        <v>5418.07</v>
      </c>
      <c r="GO53">
        <f t="shared" si="48"/>
        <v>0</v>
      </c>
      <c r="GP53">
        <f t="shared" si="49"/>
        <v>0</v>
      </c>
      <c r="GR53">
        <v>0</v>
      </c>
      <c r="GS53">
        <v>3</v>
      </c>
      <c r="GT53">
        <v>0</v>
      </c>
      <c r="GU53" t="s">
        <v>3</v>
      </c>
      <c r="GV53">
        <f t="shared" si="50"/>
        <v>0</v>
      </c>
      <c r="GW53">
        <v>1</v>
      </c>
      <c r="GX53">
        <f t="shared" si="51"/>
        <v>0</v>
      </c>
      <c r="HA53">
        <v>0</v>
      </c>
      <c r="HB53">
        <v>0</v>
      </c>
      <c r="HC53">
        <f t="shared" si="52"/>
        <v>0</v>
      </c>
      <c r="HE53" t="s">
        <v>3</v>
      </c>
      <c r="HF53" t="s">
        <v>3</v>
      </c>
      <c r="HM53" t="s">
        <v>3</v>
      </c>
      <c r="IK53">
        <v>0</v>
      </c>
    </row>
    <row r="54" spans="1:245" x14ac:dyDescent="0.2">
      <c r="A54">
        <v>18</v>
      </c>
      <c r="B54">
        <v>1</v>
      </c>
      <c r="C54">
        <v>88</v>
      </c>
      <c r="E54" t="s">
        <v>166</v>
      </c>
      <c r="F54" t="s">
        <v>167</v>
      </c>
      <c r="G54" t="s">
        <v>168</v>
      </c>
      <c r="H54" t="s">
        <v>169</v>
      </c>
      <c r="I54">
        <f>I53*J54</f>
        <v>1</v>
      </c>
      <c r="J54">
        <v>1</v>
      </c>
      <c r="K54">
        <v>1</v>
      </c>
      <c r="O54">
        <f t="shared" si="21"/>
        <v>10620.96</v>
      </c>
      <c r="P54">
        <f t="shared" si="22"/>
        <v>10620.96</v>
      </c>
      <c r="Q54">
        <f t="shared" ref="Q54:Q62" si="59">(ROUND((ROUND(((ET54)*AV54*I54),2)*BB54),2)+ROUND((ROUND(((AE54-(EU54))*AV54*I54),2)*BS54),2))</f>
        <v>0</v>
      </c>
      <c r="R54">
        <f t="shared" si="23"/>
        <v>0</v>
      </c>
      <c r="S54">
        <f t="shared" si="24"/>
        <v>0</v>
      </c>
      <c r="T54">
        <f t="shared" si="25"/>
        <v>0</v>
      </c>
      <c r="U54">
        <f t="shared" si="26"/>
        <v>0</v>
      </c>
      <c r="V54">
        <f t="shared" si="27"/>
        <v>0</v>
      </c>
      <c r="W54">
        <f t="shared" si="28"/>
        <v>0</v>
      </c>
      <c r="X54">
        <f t="shared" si="29"/>
        <v>0</v>
      </c>
      <c r="Y54">
        <f t="shared" si="30"/>
        <v>0</v>
      </c>
      <c r="AA54">
        <v>42938047</v>
      </c>
      <c r="AB54">
        <f t="shared" si="31"/>
        <v>1732.62</v>
      </c>
      <c r="AC54">
        <f t="shared" si="53"/>
        <v>1732.62</v>
      </c>
      <c r="AD54">
        <f t="shared" ref="AD54:AD62" si="60">ROUND((((ET54)-(EU54))+AE54),6)</f>
        <v>0</v>
      </c>
      <c r="AE54">
        <f t="shared" ref="AE54:AE62" si="61">ROUND((EU54),6)</f>
        <v>0</v>
      </c>
      <c r="AF54">
        <f t="shared" ref="AF54:AF62" si="62">ROUND((EV54),6)</f>
        <v>0</v>
      </c>
      <c r="AG54">
        <f t="shared" si="32"/>
        <v>0</v>
      </c>
      <c r="AH54">
        <f t="shared" ref="AH54:AH62" si="63">(EW54)</f>
        <v>0</v>
      </c>
      <c r="AI54">
        <f t="shared" ref="AI54:AI62" si="64">(EX54)</f>
        <v>0</v>
      </c>
      <c r="AJ54">
        <f t="shared" si="33"/>
        <v>0</v>
      </c>
      <c r="AK54">
        <v>1732.62</v>
      </c>
      <c r="AL54">
        <v>1732.62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1</v>
      </c>
      <c r="AW54">
        <v>1</v>
      </c>
      <c r="AZ54">
        <v>1</v>
      </c>
      <c r="BA54">
        <v>1</v>
      </c>
      <c r="BB54">
        <v>1</v>
      </c>
      <c r="BC54">
        <v>6.13</v>
      </c>
      <c r="BD54" t="s">
        <v>3</v>
      </c>
      <c r="BE54" t="s">
        <v>3</v>
      </c>
      <c r="BF54" t="s">
        <v>3</v>
      </c>
      <c r="BG54" t="s">
        <v>3</v>
      </c>
      <c r="BH54">
        <v>3</v>
      </c>
      <c r="BI54">
        <v>1</v>
      </c>
      <c r="BJ54" t="s">
        <v>170</v>
      </c>
      <c r="BM54">
        <v>1384</v>
      </c>
      <c r="BN54">
        <v>0</v>
      </c>
      <c r="BO54" t="s">
        <v>167</v>
      </c>
      <c r="BP54">
        <v>1</v>
      </c>
      <c r="BQ54">
        <v>30</v>
      </c>
      <c r="BR54">
        <v>0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 t="s">
        <v>3</v>
      </c>
      <c r="BZ54">
        <v>0</v>
      </c>
      <c r="CA54">
        <v>0</v>
      </c>
      <c r="CB54" t="s">
        <v>3</v>
      </c>
      <c r="CE54">
        <v>30</v>
      </c>
      <c r="CF54">
        <v>0</v>
      </c>
      <c r="CG54">
        <v>0</v>
      </c>
      <c r="CM54">
        <v>0</v>
      </c>
      <c r="CN54" t="s">
        <v>3</v>
      </c>
      <c r="CO54">
        <v>0</v>
      </c>
      <c r="CP54">
        <f t="shared" si="34"/>
        <v>10620.96</v>
      </c>
      <c r="CQ54">
        <f t="shared" si="35"/>
        <v>10620.96</v>
      </c>
      <c r="CR54">
        <f t="shared" ref="CR54:CR62" si="65">(ROUND((ROUND(((ET54)*AV54*1),2)*BB54),2)+ROUND((ROUND(((AE54-(EU54))*AV54*1),2)*BS54),2))</f>
        <v>0</v>
      </c>
      <c r="CS54">
        <f t="shared" si="36"/>
        <v>0</v>
      </c>
      <c r="CT54">
        <f t="shared" si="37"/>
        <v>0</v>
      </c>
      <c r="CU54">
        <f t="shared" si="38"/>
        <v>0</v>
      </c>
      <c r="CV54">
        <f t="shared" si="39"/>
        <v>0</v>
      </c>
      <c r="CW54">
        <f t="shared" si="40"/>
        <v>0</v>
      </c>
      <c r="CX54">
        <f t="shared" si="41"/>
        <v>0</v>
      </c>
      <c r="CY54">
        <f t="shared" si="42"/>
        <v>0</v>
      </c>
      <c r="CZ54">
        <f t="shared" si="43"/>
        <v>0</v>
      </c>
      <c r="DC54" t="s">
        <v>3</v>
      </c>
      <c r="DD54" t="s">
        <v>3</v>
      </c>
      <c r="DE54" t="s">
        <v>3</v>
      </c>
      <c r="DF54" t="s">
        <v>3</v>
      </c>
      <c r="DG54" t="s">
        <v>3</v>
      </c>
      <c r="DH54" t="s">
        <v>3</v>
      </c>
      <c r="DI54" t="s">
        <v>3</v>
      </c>
      <c r="DJ54" t="s">
        <v>3</v>
      </c>
      <c r="DK54" t="s">
        <v>3</v>
      </c>
      <c r="DL54" t="s">
        <v>3</v>
      </c>
      <c r="DM54" t="s">
        <v>3</v>
      </c>
      <c r="DN54">
        <v>116</v>
      </c>
      <c r="DO54">
        <v>68</v>
      </c>
      <c r="DP54">
        <v>1</v>
      </c>
      <c r="DQ54">
        <v>1</v>
      </c>
      <c r="DU54">
        <v>1010</v>
      </c>
      <c r="DV54" t="s">
        <v>169</v>
      </c>
      <c r="DW54" t="s">
        <v>169</v>
      </c>
      <c r="DX54">
        <v>1</v>
      </c>
      <c r="DZ54" t="s">
        <v>3</v>
      </c>
      <c r="EA54" t="s">
        <v>3</v>
      </c>
      <c r="EB54" t="s">
        <v>3</v>
      </c>
      <c r="EC54" t="s">
        <v>3</v>
      </c>
      <c r="EE54">
        <v>43089462</v>
      </c>
      <c r="EF54">
        <v>30</v>
      </c>
      <c r="EG54" t="s">
        <v>22</v>
      </c>
      <c r="EH54">
        <v>0</v>
      </c>
      <c r="EI54" t="s">
        <v>3</v>
      </c>
      <c r="EJ54">
        <v>1</v>
      </c>
      <c r="EK54">
        <v>1384</v>
      </c>
      <c r="EL54" t="s">
        <v>164</v>
      </c>
      <c r="EM54" t="s">
        <v>165</v>
      </c>
      <c r="EO54" t="s">
        <v>3</v>
      </c>
      <c r="EQ54">
        <v>0</v>
      </c>
      <c r="ER54">
        <v>1732.62</v>
      </c>
      <c r="ES54">
        <v>1732.62</v>
      </c>
      <c r="ET54">
        <v>0</v>
      </c>
      <c r="EU54">
        <v>0</v>
      </c>
      <c r="EV54">
        <v>0</v>
      </c>
      <c r="EW54">
        <v>0</v>
      </c>
      <c r="EX54">
        <v>0</v>
      </c>
      <c r="FQ54">
        <v>0</v>
      </c>
      <c r="FR54">
        <f t="shared" si="44"/>
        <v>0</v>
      </c>
      <c r="FS54">
        <v>0</v>
      </c>
      <c r="FX54">
        <v>116</v>
      </c>
      <c r="FY54">
        <v>68</v>
      </c>
      <c r="GA54" t="s">
        <v>3</v>
      </c>
      <c r="GD54">
        <v>0</v>
      </c>
      <c r="GF54">
        <v>-1841816724</v>
      </c>
      <c r="GG54">
        <v>2</v>
      </c>
      <c r="GH54">
        <v>1</v>
      </c>
      <c r="GI54">
        <v>2</v>
      </c>
      <c r="GJ54">
        <v>0</v>
      </c>
      <c r="GK54">
        <f>ROUND(R54*(R12)/100,2)</f>
        <v>0</v>
      </c>
      <c r="GL54">
        <f t="shared" si="45"/>
        <v>0</v>
      </c>
      <c r="GM54">
        <f t="shared" si="46"/>
        <v>10620.96</v>
      </c>
      <c r="GN54">
        <f t="shared" si="47"/>
        <v>10620.96</v>
      </c>
      <c r="GO54">
        <f t="shared" si="48"/>
        <v>0</v>
      </c>
      <c r="GP54">
        <f t="shared" si="49"/>
        <v>0</v>
      </c>
      <c r="GR54">
        <v>0</v>
      </c>
      <c r="GS54">
        <v>3</v>
      </c>
      <c r="GT54">
        <v>0</v>
      </c>
      <c r="GU54" t="s">
        <v>3</v>
      </c>
      <c r="GV54">
        <f t="shared" si="50"/>
        <v>0</v>
      </c>
      <c r="GW54">
        <v>1</v>
      </c>
      <c r="GX54">
        <f t="shared" si="51"/>
        <v>0</v>
      </c>
      <c r="HA54">
        <v>0</v>
      </c>
      <c r="HB54">
        <v>0</v>
      </c>
      <c r="HC54">
        <f t="shared" si="52"/>
        <v>0</v>
      </c>
      <c r="HE54" t="s">
        <v>3</v>
      </c>
      <c r="HF54" t="s">
        <v>3</v>
      </c>
      <c r="HM54" t="s">
        <v>3</v>
      </c>
      <c r="IK54">
        <v>0</v>
      </c>
    </row>
    <row r="55" spans="1:245" x14ac:dyDescent="0.2">
      <c r="A55">
        <v>18</v>
      </c>
      <c r="B55">
        <v>1</v>
      </c>
      <c r="C55">
        <v>86</v>
      </c>
      <c r="E55" t="s">
        <v>171</v>
      </c>
      <c r="F55" t="s">
        <v>172</v>
      </c>
      <c r="G55" t="s">
        <v>173</v>
      </c>
      <c r="H55" t="s">
        <v>169</v>
      </c>
      <c r="I55">
        <f>I53*J55</f>
        <v>0.5</v>
      </c>
      <c r="J55">
        <v>0.5</v>
      </c>
      <c r="K55">
        <v>0.5</v>
      </c>
      <c r="O55">
        <f t="shared" si="21"/>
        <v>10729.54</v>
      </c>
      <c r="P55">
        <f t="shared" si="22"/>
        <v>10729.54</v>
      </c>
      <c r="Q55">
        <f t="shared" si="59"/>
        <v>0</v>
      </c>
      <c r="R55">
        <f t="shared" si="23"/>
        <v>0</v>
      </c>
      <c r="S55">
        <f t="shared" si="24"/>
        <v>0</v>
      </c>
      <c r="T55">
        <f t="shared" si="25"/>
        <v>0</v>
      </c>
      <c r="U55">
        <f t="shared" si="26"/>
        <v>0</v>
      </c>
      <c r="V55">
        <f t="shared" si="27"/>
        <v>0</v>
      </c>
      <c r="W55">
        <f t="shared" si="28"/>
        <v>0</v>
      </c>
      <c r="X55">
        <f t="shared" si="29"/>
        <v>0</v>
      </c>
      <c r="Y55">
        <f t="shared" si="30"/>
        <v>0</v>
      </c>
      <c r="AA55">
        <v>42938047</v>
      </c>
      <c r="AB55">
        <f t="shared" si="31"/>
        <v>1902.4</v>
      </c>
      <c r="AC55">
        <f t="shared" si="53"/>
        <v>1902.4</v>
      </c>
      <c r="AD55">
        <f t="shared" si="60"/>
        <v>0</v>
      </c>
      <c r="AE55">
        <f t="shared" si="61"/>
        <v>0</v>
      </c>
      <c r="AF55">
        <f t="shared" si="62"/>
        <v>0</v>
      </c>
      <c r="AG55">
        <f t="shared" si="32"/>
        <v>0</v>
      </c>
      <c r="AH55">
        <f t="shared" si="63"/>
        <v>0</v>
      </c>
      <c r="AI55">
        <f t="shared" si="64"/>
        <v>0</v>
      </c>
      <c r="AJ55">
        <f t="shared" si="33"/>
        <v>0</v>
      </c>
      <c r="AK55">
        <v>1902.4</v>
      </c>
      <c r="AL55">
        <v>1902.4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1</v>
      </c>
      <c r="AW55">
        <v>1</v>
      </c>
      <c r="AZ55">
        <v>1</v>
      </c>
      <c r="BA55">
        <v>1</v>
      </c>
      <c r="BB55">
        <v>1</v>
      </c>
      <c r="BC55">
        <v>11.28</v>
      </c>
      <c r="BD55" t="s">
        <v>3</v>
      </c>
      <c r="BE55" t="s">
        <v>3</v>
      </c>
      <c r="BF55" t="s">
        <v>3</v>
      </c>
      <c r="BG55" t="s">
        <v>3</v>
      </c>
      <c r="BH55">
        <v>3</v>
      </c>
      <c r="BI55">
        <v>1</v>
      </c>
      <c r="BJ55" t="s">
        <v>174</v>
      </c>
      <c r="BM55">
        <v>1384</v>
      </c>
      <c r="BN55">
        <v>0</v>
      </c>
      <c r="BO55" t="s">
        <v>172</v>
      </c>
      <c r="BP55">
        <v>1</v>
      </c>
      <c r="BQ55">
        <v>30</v>
      </c>
      <c r="BR55">
        <v>0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 t="s">
        <v>3</v>
      </c>
      <c r="BZ55">
        <v>0</v>
      </c>
      <c r="CA55">
        <v>0</v>
      </c>
      <c r="CB55" t="s">
        <v>3</v>
      </c>
      <c r="CE55">
        <v>30</v>
      </c>
      <c r="CF55">
        <v>0</v>
      </c>
      <c r="CG55">
        <v>0</v>
      </c>
      <c r="CM55">
        <v>0</v>
      </c>
      <c r="CN55" t="s">
        <v>3</v>
      </c>
      <c r="CO55">
        <v>0</v>
      </c>
      <c r="CP55">
        <f t="shared" si="34"/>
        <v>10729.54</v>
      </c>
      <c r="CQ55">
        <f t="shared" si="35"/>
        <v>21459.07</v>
      </c>
      <c r="CR55">
        <f t="shared" si="65"/>
        <v>0</v>
      </c>
      <c r="CS55">
        <f t="shared" si="36"/>
        <v>0</v>
      </c>
      <c r="CT55">
        <f t="shared" si="37"/>
        <v>0</v>
      </c>
      <c r="CU55">
        <f t="shared" si="38"/>
        <v>0</v>
      </c>
      <c r="CV55">
        <f t="shared" si="39"/>
        <v>0</v>
      </c>
      <c r="CW55">
        <f t="shared" si="40"/>
        <v>0</v>
      </c>
      <c r="CX55">
        <f t="shared" si="41"/>
        <v>0</v>
      </c>
      <c r="CY55">
        <f t="shared" si="42"/>
        <v>0</v>
      </c>
      <c r="CZ55">
        <f t="shared" si="43"/>
        <v>0</v>
      </c>
      <c r="DC55" t="s">
        <v>3</v>
      </c>
      <c r="DD55" t="s">
        <v>3</v>
      </c>
      <c r="DE55" t="s">
        <v>3</v>
      </c>
      <c r="DF55" t="s">
        <v>3</v>
      </c>
      <c r="DG55" t="s">
        <v>3</v>
      </c>
      <c r="DH55" t="s">
        <v>3</v>
      </c>
      <c r="DI55" t="s">
        <v>3</v>
      </c>
      <c r="DJ55" t="s">
        <v>3</v>
      </c>
      <c r="DK55" t="s">
        <v>3</v>
      </c>
      <c r="DL55" t="s">
        <v>3</v>
      </c>
      <c r="DM55" t="s">
        <v>3</v>
      </c>
      <c r="DN55">
        <v>116</v>
      </c>
      <c r="DO55">
        <v>68</v>
      </c>
      <c r="DP55">
        <v>1</v>
      </c>
      <c r="DQ55">
        <v>1</v>
      </c>
      <c r="DU55">
        <v>1010</v>
      </c>
      <c r="DV55" t="s">
        <v>169</v>
      </c>
      <c r="DW55" t="s">
        <v>169</v>
      </c>
      <c r="DX55">
        <v>1</v>
      </c>
      <c r="DZ55" t="s">
        <v>3</v>
      </c>
      <c r="EA55" t="s">
        <v>3</v>
      </c>
      <c r="EB55" t="s">
        <v>3</v>
      </c>
      <c r="EC55" t="s">
        <v>3</v>
      </c>
      <c r="EE55">
        <v>43089462</v>
      </c>
      <c r="EF55">
        <v>30</v>
      </c>
      <c r="EG55" t="s">
        <v>22</v>
      </c>
      <c r="EH55">
        <v>0</v>
      </c>
      <c r="EI55" t="s">
        <v>3</v>
      </c>
      <c r="EJ55">
        <v>1</v>
      </c>
      <c r="EK55">
        <v>1384</v>
      </c>
      <c r="EL55" t="s">
        <v>164</v>
      </c>
      <c r="EM55" t="s">
        <v>165</v>
      </c>
      <c r="EO55" t="s">
        <v>3</v>
      </c>
      <c r="EQ55">
        <v>0</v>
      </c>
      <c r="ER55">
        <v>1902.4</v>
      </c>
      <c r="ES55">
        <v>1902.4</v>
      </c>
      <c r="ET55">
        <v>0</v>
      </c>
      <c r="EU55">
        <v>0</v>
      </c>
      <c r="EV55">
        <v>0</v>
      </c>
      <c r="EW55">
        <v>0</v>
      </c>
      <c r="EX55">
        <v>0</v>
      </c>
      <c r="FQ55">
        <v>0</v>
      </c>
      <c r="FR55">
        <f t="shared" si="44"/>
        <v>0</v>
      </c>
      <c r="FS55">
        <v>0</v>
      </c>
      <c r="FX55">
        <v>116</v>
      </c>
      <c r="FY55">
        <v>68</v>
      </c>
      <c r="GA55" t="s">
        <v>3</v>
      </c>
      <c r="GD55">
        <v>0</v>
      </c>
      <c r="GF55">
        <v>-809151191</v>
      </c>
      <c r="GG55">
        <v>2</v>
      </c>
      <c r="GH55">
        <v>1</v>
      </c>
      <c r="GI55">
        <v>2</v>
      </c>
      <c r="GJ55">
        <v>0</v>
      </c>
      <c r="GK55">
        <f>ROUND(R55*(R12)/100,2)</f>
        <v>0</v>
      </c>
      <c r="GL55">
        <f t="shared" si="45"/>
        <v>0</v>
      </c>
      <c r="GM55">
        <f t="shared" si="46"/>
        <v>10729.54</v>
      </c>
      <c r="GN55">
        <f t="shared" si="47"/>
        <v>10729.54</v>
      </c>
      <c r="GO55">
        <f t="shared" si="48"/>
        <v>0</v>
      </c>
      <c r="GP55">
        <f t="shared" si="49"/>
        <v>0</v>
      </c>
      <c r="GR55">
        <v>0</v>
      </c>
      <c r="GS55">
        <v>3</v>
      </c>
      <c r="GT55">
        <v>0</v>
      </c>
      <c r="GU55" t="s">
        <v>3</v>
      </c>
      <c r="GV55">
        <f t="shared" si="50"/>
        <v>0</v>
      </c>
      <c r="GW55">
        <v>1</v>
      </c>
      <c r="GX55">
        <f t="shared" si="51"/>
        <v>0</v>
      </c>
      <c r="HA55">
        <v>0</v>
      </c>
      <c r="HB55">
        <v>0</v>
      </c>
      <c r="HC55">
        <f t="shared" si="52"/>
        <v>0</v>
      </c>
      <c r="HE55" t="s">
        <v>3</v>
      </c>
      <c r="HF55" t="s">
        <v>3</v>
      </c>
      <c r="HM55" t="s">
        <v>3</v>
      </c>
      <c r="IK55">
        <v>0</v>
      </c>
    </row>
    <row r="56" spans="1:245" x14ac:dyDescent="0.2">
      <c r="A56">
        <v>18</v>
      </c>
      <c r="B56">
        <v>1</v>
      </c>
      <c r="C56">
        <v>87</v>
      </c>
      <c r="E56" t="s">
        <v>175</v>
      </c>
      <c r="F56" t="s">
        <v>176</v>
      </c>
      <c r="G56" t="s">
        <v>177</v>
      </c>
      <c r="H56" t="s">
        <v>169</v>
      </c>
      <c r="I56">
        <f>I53*J56</f>
        <v>1</v>
      </c>
      <c r="J56">
        <v>1</v>
      </c>
      <c r="K56">
        <v>1</v>
      </c>
      <c r="O56">
        <f t="shared" si="21"/>
        <v>74124.97</v>
      </c>
      <c r="P56">
        <f t="shared" si="22"/>
        <v>74124.97</v>
      </c>
      <c r="Q56">
        <f t="shared" si="59"/>
        <v>0</v>
      </c>
      <c r="R56">
        <f t="shared" si="23"/>
        <v>0</v>
      </c>
      <c r="S56">
        <f t="shared" si="24"/>
        <v>0</v>
      </c>
      <c r="T56">
        <f t="shared" si="25"/>
        <v>0</v>
      </c>
      <c r="U56">
        <f t="shared" si="26"/>
        <v>0</v>
      </c>
      <c r="V56">
        <f t="shared" si="27"/>
        <v>0</v>
      </c>
      <c r="W56">
        <f t="shared" si="28"/>
        <v>0</v>
      </c>
      <c r="X56">
        <f t="shared" si="29"/>
        <v>0</v>
      </c>
      <c r="Y56">
        <f t="shared" si="30"/>
        <v>0</v>
      </c>
      <c r="AA56">
        <v>42938047</v>
      </c>
      <c r="AB56">
        <f t="shared" si="31"/>
        <v>7360.97</v>
      </c>
      <c r="AC56">
        <f t="shared" si="53"/>
        <v>7360.97</v>
      </c>
      <c r="AD56">
        <f t="shared" si="60"/>
        <v>0</v>
      </c>
      <c r="AE56">
        <f t="shared" si="61"/>
        <v>0</v>
      </c>
      <c r="AF56">
        <f t="shared" si="62"/>
        <v>0</v>
      </c>
      <c r="AG56">
        <f t="shared" si="32"/>
        <v>0</v>
      </c>
      <c r="AH56">
        <f t="shared" si="63"/>
        <v>0</v>
      </c>
      <c r="AI56">
        <f t="shared" si="64"/>
        <v>0</v>
      </c>
      <c r="AJ56">
        <f t="shared" si="33"/>
        <v>0</v>
      </c>
      <c r="AK56">
        <v>7360.97</v>
      </c>
      <c r="AL56">
        <v>7360.97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1</v>
      </c>
      <c r="AW56">
        <v>1</v>
      </c>
      <c r="AZ56">
        <v>1</v>
      </c>
      <c r="BA56">
        <v>1</v>
      </c>
      <c r="BB56">
        <v>1</v>
      </c>
      <c r="BC56">
        <v>10.07</v>
      </c>
      <c r="BD56" t="s">
        <v>3</v>
      </c>
      <c r="BE56" t="s">
        <v>3</v>
      </c>
      <c r="BF56" t="s">
        <v>3</v>
      </c>
      <c r="BG56" t="s">
        <v>3</v>
      </c>
      <c r="BH56">
        <v>3</v>
      </c>
      <c r="BI56">
        <v>1</v>
      </c>
      <c r="BJ56" t="s">
        <v>178</v>
      </c>
      <c r="BM56">
        <v>1384</v>
      </c>
      <c r="BN56">
        <v>0</v>
      </c>
      <c r="BO56" t="s">
        <v>176</v>
      </c>
      <c r="BP56">
        <v>1</v>
      </c>
      <c r="BQ56">
        <v>30</v>
      </c>
      <c r="BR56">
        <v>0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 t="s">
        <v>3</v>
      </c>
      <c r="BZ56">
        <v>0</v>
      </c>
      <c r="CA56">
        <v>0</v>
      </c>
      <c r="CB56" t="s">
        <v>3</v>
      </c>
      <c r="CE56">
        <v>30</v>
      </c>
      <c r="CF56">
        <v>0</v>
      </c>
      <c r="CG56">
        <v>0</v>
      </c>
      <c r="CM56">
        <v>0</v>
      </c>
      <c r="CN56" t="s">
        <v>3</v>
      </c>
      <c r="CO56">
        <v>0</v>
      </c>
      <c r="CP56">
        <f t="shared" si="34"/>
        <v>74124.97</v>
      </c>
      <c r="CQ56">
        <f t="shared" si="35"/>
        <v>74124.97</v>
      </c>
      <c r="CR56">
        <f t="shared" si="65"/>
        <v>0</v>
      </c>
      <c r="CS56">
        <f t="shared" si="36"/>
        <v>0</v>
      </c>
      <c r="CT56">
        <f t="shared" si="37"/>
        <v>0</v>
      </c>
      <c r="CU56">
        <f t="shared" si="38"/>
        <v>0</v>
      </c>
      <c r="CV56">
        <f t="shared" si="39"/>
        <v>0</v>
      </c>
      <c r="CW56">
        <f t="shared" si="40"/>
        <v>0</v>
      </c>
      <c r="CX56">
        <f t="shared" si="41"/>
        <v>0</v>
      </c>
      <c r="CY56">
        <f t="shared" si="42"/>
        <v>0</v>
      </c>
      <c r="CZ56">
        <f t="shared" si="43"/>
        <v>0</v>
      </c>
      <c r="DC56" t="s">
        <v>3</v>
      </c>
      <c r="DD56" t="s">
        <v>3</v>
      </c>
      <c r="DE56" t="s">
        <v>3</v>
      </c>
      <c r="DF56" t="s">
        <v>3</v>
      </c>
      <c r="DG56" t="s">
        <v>3</v>
      </c>
      <c r="DH56" t="s">
        <v>3</v>
      </c>
      <c r="DI56" t="s">
        <v>3</v>
      </c>
      <c r="DJ56" t="s">
        <v>3</v>
      </c>
      <c r="DK56" t="s">
        <v>3</v>
      </c>
      <c r="DL56" t="s">
        <v>3</v>
      </c>
      <c r="DM56" t="s">
        <v>3</v>
      </c>
      <c r="DN56">
        <v>116</v>
      </c>
      <c r="DO56">
        <v>68</v>
      </c>
      <c r="DP56">
        <v>1</v>
      </c>
      <c r="DQ56">
        <v>1</v>
      </c>
      <c r="DU56">
        <v>1010</v>
      </c>
      <c r="DV56" t="s">
        <v>169</v>
      </c>
      <c r="DW56" t="s">
        <v>169</v>
      </c>
      <c r="DX56">
        <v>1</v>
      </c>
      <c r="DZ56" t="s">
        <v>3</v>
      </c>
      <c r="EA56" t="s">
        <v>3</v>
      </c>
      <c r="EB56" t="s">
        <v>3</v>
      </c>
      <c r="EC56" t="s">
        <v>3</v>
      </c>
      <c r="EE56">
        <v>43089462</v>
      </c>
      <c r="EF56">
        <v>30</v>
      </c>
      <c r="EG56" t="s">
        <v>22</v>
      </c>
      <c r="EH56">
        <v>0</v>
      </c>
      <c r="EI56" t="s">
        <v>3</v>
      </c>
      <c r="EJ56">
        <v>1</v>
      </c>
      <c r="EK56">
        <v>1384</v>
      </c>
      <c r="EL56" t="s">
        <v>164</v>
      </c>
      <c r="EM56" t="s">
        <v>165</v>
      </c>
      <c r="EO56" t="s">
        <v>3</v>
      </c>
      <c r="EQ56">
        <v>0</v>
      </c>
      <c r="ER56">
        <v>7360.97</v>
      </c>
      <c r="ES56">
        <v>7360.97</v>
      </c>
      <c r="ET56">
        <v>0</v>
      </c>
      <c r="EU56">
        <v>0</v>
      </c>
      <c r="EV56">
        <v>0</v>
      </c>
      <c r="EW56">
        <v>0</v>
      </c>
      <c r="EX56">
        <v>0</v>
      </c>
      <c r="FQ56">
        <v>0</v>
      </c>
      <c r="FR56">
        <f t="shared" si="44"/>
        <v>0</v>
      </c>
      <c r="FS56">
        <v>0</v>
      </c>
      <c r="FX56">
        <v>116</v>
      </c>
      <c r="FY56">
        <v>68</v>
      </c>
      <c r="GA56" t="s">
        <v>3</v>
      </c>
      <c r="GD56">
        <v>0</v>
      </c>
      <c r="GF56">
        <v>472551583</v>
      </c>
      <c r="GG56">
        <v>2</v>
      </c>
      <c r="GH56">
        <v>1</v>
      </c>
      <c r="GI56">
        <v>2</v>
      </c>
      <c r="GJ56">
        <v>0</v>
      </c>
      <c r="GK56">
        <f>ROUND(R56*(R12)/100,2)</f>
        <v>0</v>
      </c>
      <c r="GL56">
        <f t="shared" si="45"/>
        <v>0</v>
      </c>
      <c r="GM56">
        <f t="shared" si="46"/>
        <v>74124.97</v>
      </c>
      <c r="GN56">
        <f t="shared" si="47"/>
        <v>74124.97</v>
      </c>
      <c r="GO56">
        <f t="shared" si="48"/>
        <v>0</v>
      </c>
      <c r="GP56">
        <f t="shared" si="49"/>
        <v>0</v>
      </c>
      <c r="GR56">
        <v>0</v>
      </c>
      <c r="GS56">
        <v>3</v>
      </c>
      <c r="GT56">
        <v>0</v>
      </c>
      <c r="GU56" t="s">
        <v>3</v>
      </c>
      <c r="GV56">
        <f t="shared" si="50"/>
        <v>0</v>
      </c>
      <c r="GW56">
        <v>1</v>
      </c>
      <c r="GX56">
        <f t="shared" si="51"/>
        <v>0</v>
      </c>
      <c r="HA56">
        <v>0</v>
      </c>
      <c r="HB56">
        <v>0</v>
      </c>
      <c r="HC56">
        <f t="shared" si="52"/>
        <v>0</v>
      </c>
      <c r="HE56" t="s">
        <v>3</v>
      </c>
      <c r="HF56" t="s">
        <v>3</v>
      </c>
      <c r="HM56" t="s">
        <v>3</v>
      </c>
      <c r="IK56">
        <v>0</v>
      </c>
    </row>
    <row r="57" spans="1:245" x14ac:dyDescent="0.2">
      <c r="A57">
        <v>17</v>
      </c>
      <c r="B57">
        <v>1</v>
      </c>
      <c r="C57">
        <f>ROW(SmtRes!A90)</f>
        <v>90</v>
      </c>
      <c r="D57">
        <f>ROW(EtalonRes!A88)</f>
        <v>88</v>
      </c>
      <c r="E57" t="s">
        <v>179</v>
      </c>
      <c r="F57" t="s">
        <v>180</v>
      </c>
      <c r="G57" t="s">
        <v>181</v>
      </c>
      <c r="H57" t="s">
        <v>182</v>
      </c>
      <c r="I57">
        <v>383</v>
      </c>
      <c r="J57">
        <v>0</v>
      </c>
      <c r="K57">
        <v>383</v>
      </c>
      <c r="O57">
        <f t="shared" si="21"/>
        <v>30947.63</v>
      </c>
      <c r="P57">
        <f t="shared" si="22"/>
        <v>0</v>
      </c>
      <c r="Q57">
        <f t="shared" si="59"/>
        <v>30947.63</v>
      </c>
      <c r="R57">
        <f t="shared" si="23"/>
        <v>14420.41</v>
      </c>
      <c r="S57">
        <f t="shared" si="24"/>
        <v>0</v>
      </c>
      <c r="T57">
        <f t="shared" si="25"/>
        <v>0</v>
      </c>
      <c r="U57">
        <f t="shared" si="26"/>
        <v>0</v>
      </c>
      <c r="V57">
        <f t="shared" si="27"/>
        <v>0</v>
      </c>
      <c r="W57">
        <f t="shared" si="28"/>
        <v>0</v>
      </c>
      <c r="X57">
        <f t="shared" si="29"/>
        <v>0</v>
      </c>
      <c r="Y57">
        <f t="shared" si="30"/>
        <v>0</v>
      </c>
      <c r="AA57">
        <v>42938047</v>
      </c>
      <c r="AB57">
        <f t="shared" si="31"/>
        <v>8.86</v>
      </c>
      <c r="AC57">
        <f t="shared" si="53"/>
        <v>0</v>
      </c>
      <c r="AD57">
        <f t="shared" si="60"/>
        <v>8.86</v>
      </c>
      <c r="AE57">
        <f t="shared" si="61"/>
        <v>1.48</v>
      </c>
      <c r="AF57">
        <f t="shared" si="62"/>
        <v>0</v>
      </c>
      <c r="AG57">
        <f t="shared" si="32"/>
        <v>0</v>
      </c>
      <c r="AH57">
        <f t="shared" si="63"/>
        <v>0</v>
      </c>
      <c r="AI57">
        <f t="shared" si="64"/>
        <v>0</v>
      </c>
      <c r="AJ57">
        <f t="shared" si="33"/>
        <v>0</v>
      </c>
      <c r="AK57">
        <v>8.86</v>
      </c>
      <c r="AL57">
        <v>0</v>
      </c>
      <c r="AM57">
        <v>8.86</v>
      </c>
      <c r="AN57">
        <v>1.48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73</v>
      </c>
      <c r="AU57">
        <v>41</v>
      </c>
      <c r="AV57">
        <v>1</v>
      </c>
      <c r="AW57">
        <v>1</v>
      </c>
      <c r="AZ57">
        <v>1</v>
      </c>
      <c r="BA57">
        <v>25.44</v>
      </c>
      <c r="BB57">
        <v>9.1199999999999992</v>
      </c>
      <c r="BC57">
        <v>1</v>
      </c>
      <c r="BD57" t="s">
        <v>3</v>
      </c>
      <c r="BE57" t="s">
        <v>3</v>
      </c>
      <c r="BF57" t="s">
        <v>3</v>
      </c>
      <c r="BG57" t="s">
        <v>3</v>
      </c>
      <c r="BH57">
        <v>0</v>
      </c>
      <c r="BI57">
        <v>1</v>
      </c>
      <c r="BJ57" t="s">
        <v>183</v>
      </c>
      <c r="BM57">
        <v>658</v>
      </c>
      <c r="BN57">
        <v>0</v>
      </c>
      <c r="BO57" t="s">
        <v>180</v>
      </c>
      <c r="BP57">
        <v>1</v>
      </c>
      <c r="BQ57">
        <v>60</v>
      </c>
      <c r="BR57">
        <v>0</v>
      </c>
      <c r="BS57">
        <v>25.44</v>
      </c>
      <c r="BT57">
        <v>1</v>
      </c>
      <c r="BU57">
        <v>1</v>
      </c>
      <c r="BV57">
        <v>1</v>
      </c>
      <c r="BW57">
        <v>1</v>
      </c>
      <c r="BX57">
        <v>1</v>
      </c>
      <c r="BY57" t="s">
        <v>3</v>
      </c>
      <c r="BZ57">
        <v>73</v>
      </c>
      <c r="CA57">
        <v>41</v>
      </c>
      <c r="CB57" t="s">
        <v>3</v>
      </c>
      <c r="CE57">
        <v>30</v>
      </c>
      <c r="CF57">
        <v>0</v>
      </c>
      <c r="CG57">
        <v>0</v>
      </c>
      <c r="CM57">
        <v>0</v>
      </c>
      <c r="CN57" t="s">
        <v>3</v>
      </c>
      <c r="CO57">
        <v>0</v>
      </c>
      <c r="CP57">
        <f t="shared" si="34"/>
        <v>30947.63</v>
      </c>
      <c r="CQ57">
        <f t="shared" si="35"/>
        <v>0</v>
      </c>
      <c r="CR57">
        <f t="shared" si="65"/>
        <v>80.8</v>
      </c>
      <c r="CS57">
        <f t="shared" si="36"/>
        <v>37.65</v>
      </c>
      <c r="CT57">
        <f t="shared" si="37"/>
        <v>0</v>
      </c>
      <c r="CU57">
        <f t="shared" si="38"/>
        <v>0</v>
      </c>
      <c r="CV57">
        <f t="shared" si="39"/>
        <v>0</v>
      </c>
      <c r="CW57">
        <f t="shared" si="40"/>
        <v>0</v>
      </c>
      <c r="CX57">
        <f t="shared" si="41"/>
        <v>0</v>
      </c>
      <c r="CY57">
        <f t="shared" si="42"/>
        <v>0</v>
      </c>
      <c r="CZ57">
        <f t="shared" si="43"/>
        <v>0</v>
      </c>
      <c r="DC57" t="s">
        <v>3</v>
      </c>
      <c r="DD57" t="s">
        <v>3</v>
      </c>
      <c r="DE57" t="s">
        <v>3</v>
      </c>
      <c r="DF57" t="s">
        <v>3</v>
      </c>
      <c r="DG57" t="s">
        <v>3</v>
      </c>
      <c r="DH57" t="s">
        <v>3</v>
      </c>
      <c r="DI57" t="s">
        <v>3</v>
      </c>
      <c r="DJ57" t="s">
        <v>3</v>
      </c>
      <c r="DK57" t="s">
        <v>3</v>
      </c>
      <c r="DL57" t="s">
        <v>3</v>
      </c>
      <c r="DM57" t="s">
        <v>3</v>
      </c>
      <c r="DN57">
        <v>91</v>
      </c>
      <c r="DO57">
        <v>70</v>
      </c>
      <c r="DP57">
        <v>1</v>
      </c>
      <c r="DQ57">
        <v>1</v>
      </c>
      <c r="DU57">
        <v>1013</v>
      </c>
      <c r="DV57" t="s">
        <v>182</v>
      </c>
      <c r="DW57" t="s">
        <v>182</v>
      </c>
      <c r="DX57">
        <v>1</v>
      </c>
      <c r="DZ57" t="s">
        <v>3</v>
      </c>
      <c r="EA57" t="s">
        <v>3</v>
      </c>
      <c r="EB57" t="s">
        <v>3</v>
      </c>
      <c r="EC57" t="s">
        <v>3</v>
      </c>
      <c r="EE57">
        <v>43088736</v>
      </c>
      <c r="EF57">
        <v>60</v>
      </c>
      <c r="EG57" t="s">
        <v>40</v>
      </c>
      <c r="EH57">
        <v>0</v>
      </c>
      <c r="EI57" t="s">
        <v>3</v>
      </c>
      <c r="EJ57">
        <v>1</v>
      </c>
      <c r="EK57">
        <v>658</v>
      </c>
      <c r="EL57" t="s">
        <v>184</v>
      </c>
      <c r="EM57" t="s">
        <v>185</v>
      </c>
      <c r="EO57" t="s">
        <v>3</v>
      </c>
      <c r="EQ57">
        <v>0</v>
      </c>
      <c r="ER57">
        <v>8.86</v>
      </c>
      <c r="ES57">
        <v>0</v>
      </c>
      <c r="ET57">
        <v>8.86</v>
      </c>
      <c r="EU57">
        <v>1.48</v>
      </c>
      <c r="EV57">
        <v>0</v>
      </c>
      <c r="EW57">
        <v>0</v>
      </c>
      <c r="EX57">
        <v>0</v>
      </c>
      <c r="EY57">
        <v>0</v>
      </c>
      <c r="FQ57">
        <v>0</v>
      </c>
      <c r="FR57">
        <f t="shared" si="44"/>
        <v>0</v>
      </c>
      <c r="FS57">
        <v>0</v>
      </c>
      <c r="FX57">
        <v>91</v>
      </c>
      <c r="FY57">
        <v>70</v>
      </c>
      <c r="GA57" t="s">
        <v>3</v>
      </c>
      <c r="GD57">
        <v>0</v>
      </c>
      <c r="GF57">
        <v>-94362556</v>
      </c>
      <c r="GG57">
        <v>2</v>
      </c>
      <c r="GH57">
        <v>1</v>
      </c>
      <c r="GI57">
        <v>2</v>
      </c>
      <c r="GJ57">
        <v>0</v>
      </c>
      <c r="GK57">
        <f>ROUND(R57*(R12)/100,2)</f>
        <v>22640.04</v>
      </c>
      <c r="GL57">
        <f t="shared" si="45"/>
        <v>0</v>
      </c>
      <c r="GM57">
        <f t="shared" si="46"/>
        <v>53587.67</v>
      </c>
      <c r="GN57">
        <f t="shared" si="47"/>
        <v>53587.67</v>
      </c>
      <c r="GO57">
        <f t="shared" si="48"/>
        <v>0</v>
      </c>
      <c r="GP57">
        <f t="shared" si="49"/>
        <v>0</v>
      </c>
      <c r="GR57">
        <v>0</v>
      </c>
      <c r="GS57">
        <v>3</v>
      </c>
      <c r="GT57">
        <v>0</v>
      </c>
      <c r="GU57" t="s">
        <v>3</v>
      </c>
      <c r="GV57">
        <f t="shared" si="50"/>
        <v>0</v>
      </c>
      <c r="GW57">
        <v>1</v>
      </c>
      <c r="GX57">
        <f t="shared" si="51"/>
        <v>0</v>
      </c>
      <c r="HA57">
        <v>0</v>
      </c>
      <c r="HB57">
        <v>0</v>
      </c>
      <c r="HC57">
        <f t="shared" si="52"/>
        <v>0</v>
      </c>
      <c r="HE57" t="s">
        <v>3</v>
      </c>
      <c r="HF57" t="s">
        <v>3</v>
      </c>
      <c r="HM57" t="s">
        <v>3</v>
      </c>
      <c r="IK57">
        <v>0</v>
      </c>
    </row>
    <row r="58" spans="1:245" x14ac:dyDescent="0.2">
      <c r="A58">
        <v>17</v>
      </c>
      <c r="B58">
        <v>1</v>
      </c>
      <c r="C58">
        <f>ROW(SmtRes!A91)</f>
        <v>91</v>
      </c>
      <c r="D58">
        <f>ROW(EtalonRes!A89)</f>
        <v>89</v>
      </c>
      <c r="E58" t="s">
        <v>186</v>
      </c>
      <c r="F58" t="s">
        <v>187</v>
      </c>
      <c r="G58" t="s">
        <v>188</v>
      </c>
      <c r="H58" t="s">
        <v>104</v>
      </c>
      <c r="I58">
        <v>383</v>
      </c>
      <c r="J58">
        <v>0</v>
      </c>
      <c r="K58">
        <v>383</v>
      </c>
      <c r="O58">
        <f t="shared" si="21"/>
        <v>173510.03</v>
      </c>
      <c r="P58">
        <f t="shared" si="22"/>
        <v>0</v>
      </c>
      <c r="Q58">
        <f t="shared" si="59"/>
        <v>173510.03</v>
      </c>
      <c r="R58">
        <f t="shared" si="23"/>
        <v>0</v>
      </c>
      <c r="S58">
        <f t="shared" si="24"/>
        <v>0</v>
      </c>
      <c r="T58">
        <f t="shared" si="25"/>
        <v>0</v>
      </c>
      <c r="U58">
        <f t="shared" si="26"/>
        <v>0</v>
      </c>
      <c r="V58">
        <f t="shared" si="27"/>
        <v>0</v>
      </c>
      <c r="W58">
        <f t="shared" si="28"/>
        <v>0</v>
      </c>
      <c r="X58">
        <f t="shared" si="29"/>
        <v>0</v>
      </c>
      <c r="Y58">
        <f t="shared" si="30"/>
        <v>0</v>
      </c>
      <c r="AA58">
        <v>42938047</v>
      </c>
      <c r="AB58">
        <f t="shared" si="31"/>
        <v>38.92</v>
      </c>
      <c r="AC58">
        <f t="shared" si="53"/>
        <v>0</v>
      </c>
      <c r="AD58">
        <f t="shared" si="60"/>
        <v>38.92</v>
      </c>
      <c r="AE58">
        <f t="shared" si="61"/>
        <v>0</v>
      </c>
      <c r="AF58">
        <f t="shared" si="62"/>
        <v>0</v>
      </c>
      <c r="AG58">
        <f t="shared" si="32"/>
        <v>0</v>
      </c>
      <c r="AH58">
        <f t="shared" si="63"/>
        <v>0</v>
      </c>
      <c r="AI58">
        <f t="shared" si="64"/>
        <v>0</v>
      </c>
      <c r="AJ58">
        <f t="shared" si="33"/>
        <v>0</v>
      </c>
      <c r="AK58">
        <v>38.92</v>
      </c>
      <c r="AL58">
        <v>0</v>
      </c>
      <c r="AM58">
        <v>38.92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93</v>
      </c>
      <c r="AU58">
        <v>64</v>
      </c>
      <c r="AV58">
        <v>1</v>
      </c>
      <c r="AW58">
        <v>1</v>
      </c>
      <c r="AZ58">
        <v>1</v>
      </c>
      <c r="BA58">
        <v>1</v>
      </c>
      <c r="BB58">
        <v>11.64</v>
      </c>
      <c r="BC58">
        <v>1</v>
      </c>
      <c r="BD58" t="s">
        <v>3</v>
      </c>
      <c r="BE58" t="s">
        <v>3</v>
      </c>
      <c r="BF58" t="s">
        <v>3</v>
      </c>
      <c r="BG58" t="s">
        <v>3</v>
      </c>
      <c r="BH58">
        <v>0</v>
      </c>
      <c r="BI58">
        <v>4</v>
      </c>
      <c r="BJ58" t="s">
        <v>189</v>
      </c>
      <c r="BM58">
        <v>1113</v>
      </c>
      <c r="BN58">
        <v>0</v>
      </c>
      <c r="BO58" t="s">
        <v>187</v>
      </c>
      <c r="BP58">
        <v>1</v>
      </c>
      <c r="BQ58">
        <v>150</v>
      </c>
      <c r="BR58">
        <v>0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 t="s">
        <v>3</v>
      </c>
      <c r="BZ58">
        <v>93</v>
      </c>
      <c r="CA58">
        <v>64</v>
      </c>
      <c r="CB58" t="s">
        <v>3</v>
      </c>
      <c r="CE58">
        <v>30</v>
      </c>
      <c r="CF58">
        <v>0</v>
      </c>
      <c r="CG58">
        <v>0</v>
      </c>
      <c r="CM58">
        <v>0</v>
      </c>
      <c r="CN58" t="s">
        <v>3</v>
      </c>
      <c r="CO58">
        <v>0</v>
      </c>
      <c r="CP58">
        <f t="shared" si="34"/>
        <v>173510.03</v>
      </c>
      <c r="CQ58">
        <f t="shared" si="35"/>
        <v>0</v>
      </c>
      <c r="CR58">
        <f t="shared" si="65"/>
        <v>453.03</v>
      </c>
      <c r="CS58">
        <f t="shared" si="36"/>
        <v>0</v>
      </c>
      <c r="CT58">
        <f t="shared" si="37"/>
        <v>0</v>
      </c>
      <c r="CU58">
        <f t="shared" si="38"/>
        <v>0</v>
      </c>
      <c r="CV58">
        <f t="shared" si="39"/>
        <v>0</v>
      </c>
      <c r="CW58">
        <f t="shared" si="40"/>
        <v>0</v>
      </c>
      <c r="CX58">
        <f t="shared" si="41"/>
        <v>0</v>
      </c>
      <c r="CY58">
        <f t="shared" si="42"/>
        <v>0</v>
      </c>
      <c r="CZ58">
        <f t="shared" si="43"/>
        <v>0</v>
      </c>
      <c r="DC58" t="s">
        <v>3</v>
      </c>
      <c r="DD58" t="s">
        <v>3</v>
      </c>
      <c r="DE58" t="s">
        <v>3</v>
      </c>
      <c r="DF58" t="s">
        <v>3</v>
      </c>
      <c r="DG58" t="s">
        <v>3</v>
      </c>
      <c r="DH58" t="s">
        <v>3</v>
      </c>
      <c r="DI58" t="s">
        <v>3</v>
      </c>
      <c r="DJ58" t="s">
        <v>3</v>
      </c>
      <c r="DK58" t="s">
        <v>3</v>
      </c>
      <c r="DL58" t="s">
        <v>3</v>
      </c>
      <c r="DM58" t="s">
        <v>3</v>
      </c>
      <c r="DN58">
        <v>0</v>
      </c>
      <c r="DO58">
        <v>0</v>
      </c>
      <c r="DP58">
        <v>1</v>
      </c>
      <c r="DQ58">
        <v>1</v>
      </c>
      <c r="DU58">
        <v>1009</v>
      </c>
      <c r="DV58" t="s">
        <v>104</v>
      </c>
      <c r="DW58" t="s">
        <v>104</v>
      </c>
      <c r="DX58">
        <v>1000</v>
      </c>
      <c r="DZ58" t="s">
        <v>3</v>
      </c>
      <c r="EA58" t="s">
        <v>3</v>
      </c>
      <c r="EB58" t="s">
        <v>3</v>
      </c>
      <c r="EC58" t="s">
        <v>3</v>
      </c>
      <c r="EE58">
        <v>43089191</v>
      </c>
      <c r="EF58">
        <v>150</v>
      </c>
      <c r="EG58" t="s">
        <v>190</v>
      </c>
      <c r="EH58">
        <v>0</v>
      </c>
      <c r="EI58" t="s">
        <v>3</v>
      </c>
      <c r="EJ58">
        <v>4</v>
      </c>
      <c r="EK58">
        <v>1113</v>
      </c>
      <c r="EL58" t="s">
        <v>191</v>
      </c>
      <c r="EM58" t="s">
        <v>192</v>
      </c>
      <c r="EO58" t="s">
        <v>3</v>
      </c>
      <c r="EQ58">
        <v>0</v>
      </c>
      <c r="ER58">
        <v>38.92</v>
      </c>
      <c r="ES58">
        <v>0</v>
      </c>
      <c r="ET58">
        <v>38.92</v>
      </c>
      <c r="EU58">
        <v>0</v>
      </c>
      <c r="EV58">
        <v>0</v>
      </c>
      <c r="EW58">
        <v>0</v>
      </c>
      <c r="EX58">
        <v>0</v>
      </c>
      <c r="EY58">
        <v>0</v>
      </c>
      <c r="FQ58">
        <v>0</v>
      </c>
      <c r="FR58">
        <f t="shared" si="44"/>
        <v>0</v>
      </c>
      <c r="FS58">
        <v>0</v>
      </c>
      <c r="FX58">
        <v>0</v>
      </c>
      <c r="FY58">
        <v>0</v>
      </c>
      <c r="GA58" t="s">
        <v>3</v>
      </c>
      <c r="GD58">
        <v>0</v>
      </c>
      <c r="GF58">
        <v>733232356</v>
      </c>
      <c r="GG58">
        <v>2</v>
      </c>
      <c r="GH58">
        <v>1</v>
      </c>
      <c r="GI58">
        <v>2</v>
      </c>
      <c r="GJ58">
        <v>0</v>
      </c>
      <c r="GK58">
        <f>ROUND(R58*(R12)/100,2)</f>
        <v>0</v>
      </c>
      <c r="GL58">
        <f t="shared" si="45"/>
        <v>0</v>
      </c>
      <c r="GM58">
        <f t="shared" si="46"/>
        <v>173510.03</v>
      </c>
      <c r="GN58">
        <f t="shared" si="47"/>
        <v>0</v>
      </c>
      <c r="GO58">
        <f t="shared" si="48"/>
        <v>0</v>
      </c>
      <c r="GP58">
        <f t="shared" si="49"/>
        <v>173510.03</v>
      </c>
      <c r="GR58">
        <v>0</v>
      </c>
      <c r="GS58">
        <v>3</v>
      </c>
      <c r="GT58">
        <v>0</v>
      </c>
      <c r="GU58" t="s">
        <v>3</v>
      </c>
      <c r="GV58">
        <f t="shared" si="50"/>
        <v>0</v>
      </c>
      <c r="GW58">
        <v>1</v>
      </c>
      <c r="GX58">
        <f t="shared" si="51"/>
        <v>0</v>
      </c>
      <c r="HA58">
        <v>0</v>
      </c>
      <c r="HB58">
        <v>0</v>
      </c>
      <c r="HC58">
        <f t="shared" si="52"/>
        <v>0</v>
      </c>
      <c r="HE58" t="s">
        <v>3</v>
      </c>
      <c r="HF58" t="s">
        <v>3</v>
      </c>
      <c r="HM58" t="s">
        <v>3</v>
      </c>
      <c r="IK58">
        <v>0</v>
      </c>
    </row>
    <row r="59" spans="1:245" x14ac:dyDescent="0.2">
      <c r="A59">
        <v>17</v>
      </c>
      <c r="B59">
        <v>1</v>
      </c>
      <c r="C59">
        <f>ROW(SmtRes!A92)</f>
        <v>92</v>
      </c>
      <c r="D59">
        <f>ROW(EtalonRes!A90)</f>
        <v>90</v>
      </c>
      <c r="E59" t="s">
        <v>193</v>
      </c>
      <c r="F59" t="s">
        <v>194</v>
      </c>
      <c r="G59" t="s">
        <v>195</v>
      </c>
      <c r="H59" t="s">
        <v>182</v>
      </c>
      <c r="I59">
        <v>283.32</v>
      </c>
      <c r="J59">
        <v>0</v>
      </c>
      <c r="K59">
        <v>283.32</v>
      </c>
      <c r="O59">
        <f t="shared" si="21"/>
        <v>38565.300000000003</v>
      </c>
      <c r="P59">
        <f t="shared" si="22"/>
        <v>0</v>
      </c>
      <c r="Q59">
        <f t="shared" si="59"/>
        <v>38565.300000000003</v>
      </c>
      <c r="R59">
        <f t="shared" si="23"/>
        <v>0</v>
      </c>
      <c r="S59">
        <f t="shared" si="24"/>
        <v>0</v>
      </c>
      <c r="T59">
        <f t="shared" si="25"/>
        <v>0</v>
      </c>
      <c r="U59">
        <f t="shared" si="26"/>
        <v>0</v>
      </c>
      <c r="V59">
        <f t="shared" si="27"/>
        <v>0</v>
      </c>
      <c r="W59">
        <f t="shared" si="28"/>
        <v>0</v>
      </c>
      <c r="X59">
        <f t="shared" si="29"/>
        <v>0</v>
      </c>
      <c r="Y59">
        <f t="shared" si="30"/>
        <v>0</v>
      </c>
      <c r="AA59">
        <v>42938047</v>
      </c>
      <c r="AB59">
        <f t="shared" si="31"/>
        <v>17.84</v>
      </c>
      <c r="AC59">
        <f t="shared" si="53"/>
        <v>0</v>
      </c>
      <c r="AD59">
        <f t="shared" si="60"/>
        <v>17.84</v>
      </c>
      <c r="AE59">
        <f t="shared" si="61"/>
        <v>0</v>
      </c>
      <c r="AF59">
        <f t="shared" si="62"/>
        <v>0</v>
      </c>
      <c r="AG59">
        <f t="shared" si="32"/>
        <v>0</v>
      </c>
      <c r="AH59">
        <f t="shared" si="63"/>
        <v>0</v>
      </c>
      <c r="AI59">
        <f t="shared" si="64"/>
        <v>0</v>
      </c>
      <c r="AJ59">
        <f t="shared" si="33"/>
        <v>0</v>
      </c>
      <c r="AK59">
        <v>17.84</v>
      </c>
      <c r="AL59">
        <v>0</v>
      </c>
      <c r="AM59">
        <v>17.84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93</v>
      </c>
      <c r="AU59">
        <v>64</v>
      </c>
      <c r="AV59">
        <v>1</v>
      </c>
      <c r="AW59">
        <v>1</v>
      </c>
      <c r="AZ59">
        <v>1</v>
      </c>
      <c r="BA59">
        <v>1</v>
      </c>
      <c r="BB59">
        <v>7.63</v>
      </c>
      <c r="BC59">
        <v>1</v>
      </c>
      <c r="BD59" t="s">
        <v>3</v>
      </c>
      <c r="BE59" t="s">
        <v>3</v>
      </c>
      <c r="BF59" t="s">
        <v>3</v>
      </c>
      <c r="BG59" t="s">
        <v>3</v>
      </c>
      <c r="BH59">
        <v>0</v>
      </c>
      <c r="BI59">
        <v>4</v>
      </c>
      <c r="BJ59" t="s">
        <v>196</v>
      </c>
      <c r="BM59">
        <v>1113</v>
      </c>
      <c r="BN59">
        <v>0</v>
      </c>
      <c r="BO59" t="s">
        <v>194</v>
      </c>
      <c r="BP59">
        <v>1</v>
      </c>
      <c r="BQ59">
        <v>150</v>
      </c>
      <c r="BR59">
        <v>0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  <c r="BY59" t="s">
        <v>3</v>
      </c>
      <c r="BZ59">
        <v>93</v>
      </c>
      <c r="CA59">
        <v>64</v>
      </c>
      <c r="CB59" t="s">
        <v>3</v>
      </c>
      <c r="CE59">
        <v>30</v>
      </c>
      <c r="CF59">
        <v>0</v>
      </c>
      <c r="CG59">
        <v>0</v>
      </c>
      <c r="CM59">
        <v>0</v>
      </c>
      <c r="CN59" t="s">
        <v>3</v>
      </c>
      <c r="CO59">
        <v>0</v>
      </c>
      <c r="CP59">
        <f t="shared" si="34"/>
        <v>38565.300000000003</v>
      </c>
      <c r="CQ59">
        <f t="shared" si="35"/>
        <v>0</v>
      </c>
      <c r="CR59">
        <f t="shared" si="65"/>
        <v>136.12</v>
      </c>
      <c r="CS59">
        <f t="shared" si="36"/>
        <v>0</v>
      </c>
      <c r="CT59">
        <f t="shared" si="37"/>
        <v>0</v>
      </c>
      <c r="CU59">
        <f t="shared" si="38"/>
        <v>0</v>
      </c>
      <c r="CV59">
        <f t="shared" si="39"/>
        <v>0</v>
      </c>
      <c r="CW59">
        <f t="shared" si="40"/>
        <v>0</v>
      </c>
      <c r="CX59">
        <f t="shared" si="41"/>
        <v>0</v>
      </c>
      <c r="CY59">
        <f t="shared" si="42"/>
        <v>0</v>
      </c>
      <c r="CZ59">
        <f t="shared" si="43"/>
        <v>0</v>
      </c>
      <c r="DC59" t="s">
        <v>3</v>
      </c>
      <c r="DD59" t="s">
        <v>3</v>
      </c>
      <c r="DE59" t="s">
        <v>3</v>
      </c>
      <c r="DF59" t="s">
        <v>3</v>
      </c>
      <c r="DG59" t="s">
        <v>3</v>
      </c>
      <c r="DH59" t="s">
        <v>3</v>
      </c>
      <c r="DI59" t="s">
        <v>3</v>
      </c>
      <c r="DJ59" t="s">
        <v>3</v>
      </c>
      <c r="DK59" t="s">
        <v>3</v>
      </c>
      <c r="DL59" t="s">
        <v>3</v>
      </c>
      <c r="DM59" t="s">
        <v>3</v>
      </c>
      <c r="DN59">
        <v>0</v>
      </c>
      <c r="DO59">
        <v>0</v>
      </c>
      <c r="DP59">
        <v>1</v>
      </c>
      <c r="DQ59">
        <v>1</v>
      </c>
      <c r="DU59">
        <v>1013</v>
      </c>
      <c r="DV59" t="s">
        <v>182</v>
      </c>
      <c r="DW59" t="s">
        <v>182</v>
      </c>
      <c r="DX59">
        <v>1</v>
      </c>
      <c r="DZ59" t="s">
        <v>3</v>
      </c>
      <c r="EA59" t="s">
        <v>3</v>
      </c>
      <c r="EB59" t="s">
        <v>3</v>
      </c>
      <c r="EC59" t="s">
        <v>3</v>
      </c>
      <c r="EE59">
        <v>43089191</v>
      </c>
      <c r="EF59">
        <v>150</v>
      </c>
      <c r="EG59" t="s">
        <v>190</v>
      </c>
      <c r="EH59">
        <v>0</v>
      </c>
      <c r="EI59" t="s">
        <v>3</v>
      </c>
      <c r="EJ59">
        <v>4</v>
      </c>
      <c r="EK59">
        <v>1113</v>
      </c>
      <c r="EL59" t="s">
        <v>191</v>
      </c>
      <c r="EM59" t="s">
        <v>192</v>
      </c>
      <c r="EO59" t="s">
        <v>3</v>
      </c>
      <c r="EQ59">
        <v>0</v>
      </c>
      <c r="ER59">
        <v>17.84</v>
      </c>
      <c r="ES59">
        <v>0</v>
      </c>
      <c r="ET59">
        <v>17.84</v>
      </c>
      <c r="EU59">
        <v>0</v>
      </c>
      <c r="EV59">
        <v>0</v>
      </c>
      <c r="EW59">
        <v>0</v>
      </c>
      <c r="EX59">
        <v>0</v>
      </c>
      <c r="EY59">
        <v>0</v>
      </c>
      <c r="FQ59">
        <v>0</v>
      </c>
      <c r="FR59">
        <f t="shared" si="44"/>
        <v>0</v>
      </c>
      <c r="FS59">
        <v>0</v>
      </c>
      <c r="FX59">
        <v>0</v>
      </c>
      <c r="FY59">
        <v>0</v>
      </c>
      <c r="GA59" t="s">
        <v>3</v>
      </c>
      <c r="GD59">
        <v>0</v>
      </c>
      <c r="GF59">
        <v>2129918593</v>
      </c>
      <c r="GG59">
        <v>2</v>
      </c>
      <c r="GH59">
        <v>1</v>
      </c>
      <c r="GI59">
        <v>2</v>
      </c>
      <c r="GJ59">
        <v>0</v>
      </c>
      <c r="GK59">
        <f>ROUND(R59*(R12)/100,2)</f>
        <v>0</v>
      </c>
      <c r="GL59">
        <f t="shared" si="45"/>
        <v>0</v>
      </c>
      <c r="GM59">
        <f t="shared" si="46"/>
        <v>38565.300000000003</v>
      </c>
      <c r="GN59">
        <f t="shared" si="47"/>
        <v>0</v>
      </c>
      <c r="GO59">
        <f t="shared" si="48"/>
        <v>0</v>
      </c>
      <c r="GP59">
        <f t="shared" si="49"/>
        <v>38565.300000000003</v>
      </c>
      <c r="GR59">
        <v>0</v>
      </c>
      <c r="GS59">
        <v>3</v>
      </c>
      <c r="GT59">
        <v>0</v>
      </c>
      <c r="GU59" t="s">
        <v>3</v>
      </c>
      <c r="GV59">
        <f t="shared" si="50"/>
        <v>0</v>
      </c>
      <c r="GW59">
        <v>1</v>
      </c>
      <c r="GX59">
        <f t="shared" si="51"/>
        <v>0</v>
      </c>
      <c r="HA59">
        <v>0</v>
      </c>
      <c r="HB59">
        <v>0</v>
      </c>
      <c r="HC59">
        <f t="shared" si="52"/>
        <v>0</v>
      </c>
      <c r="HE59" t="s">
        <v>3</v>
      </c>
      <c r="HF59" t="s">
        <v>3</v>
      </c>
      <c r="HM59" t="s">
        <v>3</v>
      </c>
      <c r="IK59">
        <v>0</v>
      </c>
    </row>
    <row r="60" spans="1:245" x14ac:dyDescent="0.2">
      <c r="A60">
        <v>17</v>
      </c>
      <c r="B60">
        <v>1</v>
      </c>
      <c r="C60">
        <f>ROW(SmtRes!A93)</f>
        <v>93</v>
      </c>
      <c r="D60">
        <f>ROW(EtalonRes!A91)</f>
        <v>91</v>
      </c>
      <c r="E60" t="s">
        <v>197</v>
      </c>
      <c r="F60" t="s">
        <v>198</v>
      </c>
      <c r="G60" t="s">
        <v>199</v>
      </c>
      <c r="H60" t="s">
        <v>63</v>
      </c>
      <c r="I60">
        <f>ROUND(39.35/100,9)</f>
        <v>0.39350000000000002</v>
      </c>
      <c r="J60">
        <v>0</v>
      </c>
      <c r="K60">
        <f>ROUND(39.35/100,9)</f>
        <v>0.39350000000000002</v>
      </c>
      <c r="O60">
        <f t="shared" si="21"/>
        <v>7959.92</v>
      </c>
      <c r="P60">
        <f t="shared" si="22"/>
        <v>0</v>
      </c>
      <c r="Q60">
        <f t="shared" si="59"/>
        <v>0</v>
      </c>
      <c r="R60">
        <f t="shared" si="23"/>
        <v>0</v>
      </c>
      <c r="S60">
        <f t="shared" si="24"/>
        <v>7959.92</v>
      </c>
      <c r="T60">
        <f t="shared" si="25"/>
        <v>0</v>
      </c>
      <c r="U60">
        <f t="shared" si="26"/>
        <v>32.660499999999999</v>
      </c>
      <c r="V60">
        <f t="shared" si="27"/>
        <v>0</v>
      </c>
      <c r="W60">
        <f t="shared" si="28"/>
        <v>0</v>
      </c>
      <c r="X60">
        <f t="shared" si="29"/>
        <v>5810.74</v>
      </c>
      <c r="Y60">
        <f t="shared" si="30"/>
        <v>3263.57</v>
      </c>
      <c r="AA60">
        <v>42938047</v>
      </c>
      <c r="AB60">
        <f t="shared" si="31"/>
        <v>795.14</v>
      </c>
      <c r="AC60">
        <f t="shared" si="53"/>
        <v>0</v>
      </c>
      <c r="AD60">
        <f t="shared" si="60"/>
        <v>0</v>
      </c>
      <c r="AE60">
        <f t="shared" si="61"/>
        <v>0</v>
      </c>
      <c r="AF60">
        <f t="shared" si="62"/>
        <v>795.14</v>
      </c>
      <c r="AG60">
        <f t="shared" si="32"/>
        <v>0</v>
      </c>
      <c r="AH60">
        <f t="shared" si="63"/>
        <v>83</v>
      </c>
      <c r="AI60">
        <f t="shared" si="64"/>
        <v>0</v>
      </c>
      <c r="AJ60">
        <f t="shared" si="33"/>
        <v>0</v>
      </c>
      <c r="AK60">
        <v>795.14</v>
      </c>
      <c r="AL60">
        <v>0</v>
      </c>
      <c r="AM60">
        <v>0</v>
      </c>
      <c r="AN60">
        <v>0</v>
      </c>
      <c r="AO60">
        <v>795.14</v>
      </c>
      <c r="AP60">
        <v>0</v>
      </c>
      <c r="AQ60">
        <v>83</v>
      </c>
      <c r="AR60">
        <v>0</v>
      </c>
      <c r="AS60">
        <v>0</v>
      </c>
      <c r="AT60">
        <v>73</v>
      </c>
      <c r="AU60">
        <v>41</v>
      </c>
      <c r="AV60">
        <v>1</v>
      </c>
      <c r="AW60">
        <v>1</v>
      </c>
      <c r="AZ60">
        <v>1</v>
      </c>
      <c r="BA60">
        <v>25.44</v>
      </c>
      <c r="BB60">
        <v>1</v>
      </c>
      <c r="BC60">
        <v>1</v>
      </c>
      <c r="BD60" t="s">
        <v>3</v>
      </c>
      <c r="BE60" t="s">
        <v>3</v>
      </c>
      <c r="BF60" t="s">
        <v>3</v>
      </c>
      <c r="BG60" t="s">
        <v>3</v>
      </c>
      <c r="BH60">
        <v>0</v>
      </c>
      <c r="BI60">
        <v>1</v>
      </c>
      <c r="BJ60" t="s">
        <v>200</v>
      </c>
      <c r="BM60">
        <v>393</v>
      </c>
      <c r="BN60">
        <v>0</v>
      </c>
      <c r="BO60" t="s">
        <v>198</v>
      </c>
      <c r="BP60">
        <v>1</v>
      </c>
      <c r="BQ60">
        <v>60</v>
      </c>
      <c r="BR60">
        <v>0</v>
      </c>
      <c r="BS60">
        <v>25.44</v>
      </c>
      <c r="BT60">
        <v>1</v>
      </c>
      <c r="BU60">
        <v>1</v>
      </c>
      <c r="BV60">
        <v>1</v>
      </c>
      <c r="BW60">
        <v>1</v>
      </c>
      <c r="BX60">
        <v>1</v>
      </c>
      <c r="BY60" t="s">
        <v>3</v>
      </c>
      <c r="BZ60">
        <v>73</v>
      </c>
      <c r="CA60">
        <v>41</v>
      </c>
      <c r="CB60" t="s">
        <v>3</v>
      </c>
      <c r="CE60">
        <v>30</v>
      </c>
      <c r="CF60">
        <v>0</v>
      </c>
      <c r="CG60">
        <v>0</v>
      </c>
      <c r="CM60">
        <v>0</v>
      </c>
      <c r="CN60" t="s">
        <v>3</v>
      </c>
      <c r="CO60">
        <v>0</v>
      </c>
      <c r="CP60">
        <f t="shared" si="34"/>
        <v>7959.92</v>
      </c>
      <c r="CQ60">
        <f t="shared" si="35"/>
        <v>0</v>
      </c>
      <c r="CR60">
        <f t="shared" si="65"/>
        <v>0</v>
      </c>
      <c r="CS60">
        <f t="shared" si="36"/>
        <v>0</v>
      </c>
      <c r="CT60">
        <f t="shared" si="37"/>
        <v>20228.36</v>
      </c>
      <c r="CU60">
        <f t="shared" si="38"/>
        <v>0</v>
      </c>
      <c r="CV60">
        <f t="shared" si="39"/>
        <v>83</v>
      </c>
      <c r="CW60">
        <f t="shared" si="40"/>
        <v>0</v>
      </c>
      <c r="CX60">
        <f t="shared" si="41"/>
        <v>0</v>
      </c>
      <c r="CY60">
        <f t="shared" si="42"/>
        <v>5810.7416000000003</v>
      </c>
      <c r="CZ60">
        <f t="shared" si="43"/>
        <v>3263.5672</v>
      </c>
      <c r="DC60" t="s">
        <v>3</v>
      </c>
      <c r="DD60" t="s">
        <v>3</v>
      </c>
      <c r="DE60" t="s">
        <v>3</v>
      </c>
      <c r="DF60" t="s">
        <v>3</v>
      </c>
      <c r="DG60" t="s">
        <v>3</v>
      </c>
      <c r="DH60" t="s">
        <v>3</v>
      </c>
      <c r="DI60" t="s">
        <v>3</v>
      </c>
      <c r="DJ60" t="s">
        <v>3</v>
      </c>
      <c r="DK60" t="s">
        <v>3</v>
      </c>
      <c r="DL60" t="s">
        <v>3</v>
      </c>
      <c r="DM60" t="s">
        <v>3</v>
      </c>
      <c r="DN60">
        <v>91</v>
      </c>
      <c r="DO60">
        <v>67</v>
      </c>
      <c r="DP60">
        <v>1</v>
      </c>
      <c r="DQ60">
        <v>1</v>
      </c>
      <c r="DU60">
        <v>1013</v>
      </c>
      <c r="DV60" t="s">
        <v>63</v>
      </c>
      <c r="DW60" t="s">
        <v>63</v>
      </c>
      <c r="DX60">
        <v>1</v>
      </c>
      <c r="DZ60" t="s">
        <v>3</v>
      </c>
      <c r="EA60" t="s">
        <v>3</v>
      </c>
      <c r="EB60" t="s">
        <v>3</v>
      </c>
      <c r="EC60" t="s">
        <v>3</v>
      </c>
      <c r="EE60">
        <v>43088471</v>
      </c>
      <c r="EF60">
        <v>60</v>
      </c>
      <c r="EG60" t="s">
        <v>40</v>
      </c>
      <c r="EH60">
        <v>0</v>
      </c>
      <c r="EI60" t="s">
        <v>3</v>
      </c>
      <c r="EJ60">
        <v>1</v>
      </c>
      <c r="EK60">
        <v>393</v>
      </c>
      <c r="EL60" t="s">
        <v>201</v>
      </c>
      <c r="EM60" t="s">
        <v>202</v>
      </c>
      <c r="EO60" t="s">
        <v>3</v>
      </c>
      <c r="EQ60">
        <v>0</v>
      </c>
      <c r="ER60">
        <v>795.14</v>
      </c>
      <c r="ES60">
        <v>0</v>
      </c>
      <c r="ET60">
        <v>0</v>
      </c>
      <c r="EU60">
        <v>0</v>
      </c>
      <c r="EV60">
        <v>795.14</v>
      </c>
      <c r="EW60">
        <v>83</v>
      </c>
      <c r="EX60">
        <v>0</v>
      </c>
      <c r="EY60">
        <v>0</v>
      </c>
      <c r="FQ60">
        <v>0</v>
      </c>
      <c r="FR60">
        <f t="shared" si="44"/>
        <v>0</v>
      </c>
      <c r="FS60">
        <v>0</v>
      </c>
      <c r="FX60">
        <v>91</v>
      </c>
      <c r="FY60">
        <v>67</v>
      </c>
      <c r="GA60" t="s">
        <v>3</v>
      </c>
      <c r="GD60">
        <v>0</v>
      </c>
      <c r="GF60">
        <v>2144161260</v>
      </c>
      <c r="GG60">
        <v>2</v>
      </c>
      <c r="GH60">
        <v>1</v>
      </c>
      <c r="GI60">
        <v>2</v>
      </c>
      <c r="GJ60">
        <v>0</v>
      </c>
      <c r="GK60">
        <f>ROUND(R60*(R12)/100,2)</f>
        <v>0</v>
      </c>
      <c r="GL60">
        <f t="shared" si="45"/>
        <v>0</v>
      </c>
      <c r="GM60">
        <f t="shared" si="46"/>
        <v>17034.23</v>
      </c>
      <c r="GN60">
        <f t="shared" si="47"/>
        <v>17034.23</v>
      </c>
      <c r="GO60">
        <f t="shared" si="48"/>
        <v>0</v>
      </c>
      <c r="GP60">
        <f t="shared" si="49"/>
        <v>0</v>
      </c>
      <c r="GR60">
        <v>0</v>
      </c>
      <c r="GS60">
        <v>3</v>
      </c>
      <c r="GT60">
        <v>0</v>
      </c>
      <c r="GU60" t="s">
        <v>3</v>
      </c>
      <c r="GV60">
        <f t="shared" si="50"/>
        <v>0</v>
      </c>
      <c r="GW60">
        <v>1</v>
      </c>
      <c r="GX60">
        <f t="shared" si="51"/>
        <v>0</v>
      </c>
      <c r="HA60">
        <v>0</v>
      </c>
      <c r="HB60">
        <v>0</v>
      </c>
      <c r="HC60">
        <f t="shared" si="52"/>
        <v>0</v>
      </c>
      <c r="HE60" t="s">
        <v>3</v>
      </c>
      <c r="HF60" t="s">
        <v>3</v>
      </c>
      <c r="HM60" t="s">
        <v>3</v>
      </c>
      <c r="IK60">
        <v>0</v>
      </c>
    </row>
    <row r="61" spans="1:245" x14ac:dyDescent="0.2">
      <c r="A61">
        <v>17</v>
      </c>
      <c r="B61">
        <v>1</v>
      </c>
      <c r="C61">
        <f>ROW(SmtRes!A94)</f>
        <v>94</v>
      </c>
      <c r="D61">
        <f>ROW(EtalonRes!A92)</f>
        <v>92</v>
      </c>
      <c r="E61" t="s">
        <v>203</v>
      </c>
      <c r="F61" t="s">
        <v>204</v>
      </c>
      <c r="G61" t="s">
        <v>205</v>
      </c>
      <c r="H61" t="s">
        <v>104</v>
      </c>
      <c r="I61">
        <v>236.1</v>
      </c>
      <c r="J61">
        <v>0</v>
      </c>
      <c r="K61">
        <v>236.1</v>
      </c>
      <c r="O61">
        <f t="shared" si="21"/>
        <v>132607.93</v>
      </c>
      <c r="P61">
        <f t="shared" si="22"/>
        <v>0</v>
      </c>
      <c r="Q61">
        <f t="shared" si="59"/>
        <v>132607.93</v>
      </c>
      <c r="R61">
        <f t="shared" si="23"/>
        <v>0</v>
      </c>
      <c r="S61">
        <f t="shared" si="24"/>
        <v>0</v>
      </c>
      <c r="T61">
        <f t="shared" si="25"/>
        <v>0</v>
      </c>
      <c r="U61">
        <f t="shared" si="26"/>
        <v>0</v>
      </c>
      <c r="V61">
        <f t="shared" si="27"/>
        <v>0</v>
      </c>
      <c r="W61">
        <f t="shared" si="28"/>
        <v>0</v>
      </c>
      <c r="X61">
        <f t="shared" si="29"/>
        <v>0</v>
      </c>
      <c r="Y61">
        <f t="shared" si="30"/>
        <v>0</v>
      </c>
      <c r="AA61">
        <v>42938047</v>
      </c>
      <c r="AB61">
        <f t="shared" si="31"/>
        <v>46</v>
      </c>
      <c r="AC61">
        <f t="shared" si="53"/>
        <v>0</v>
      </c>
      <c r="AD61">
        <f t="shared" si="60"/>
        <v>46</v>
      </c>
      <c r="AE61">
        <f t="shared" si="61"/>
        <v>0</v>
      </c>
      <c r="AF61">
        <f t="shared" si="62"/>
        <v>0</v>
      </c>
      <c r="AG61">
        <f t="shared" si="32"/>
        <v>0</v>
      </c>
      <c r="AH61">
        <f t="shared" si="63"/>
        <v>0</v>
      </c>
      <c r="AI61">
        <f t="shared" si="64"/>
        <v>0</v>
      </c>
      <c r="AJ61">
        <f t="shared" si="33"/>
        <v>0</v>
      </c>
      <c r="AK61">
        <v>46</v>
      </c>
      <c r="AL61">
        <v>0</v>
      </c>
      <c r="AM61">
        <v>46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93</v>
      </c>
      <c r="AU61">
        <v>64</v>
      </c>
      <c r="AV61">
        <v>1</v>
      </c>
      <c r="AW61">
        <v>1</v>
      </c>
      <c r="AZ61">
        <v>1</v>
      </c>
      <c r="BA61">
        <v>1</v>
      </c>
      <c r="BB61">
        <v>12.21</v>
      </c>
      <c r="BC61">
        <v>1</v>
      </c>
      <c r="BD61" t="s">
        <v>3</v>
      </c>
      <c r="BE61" t="s">
        <v>3</v>
      </c>
      <c r="BF61" t="s">
        <v>3</v>
      </c>
      <c r="BG61" t="s">
        <v>3</v>
      </c>
      <c r="BH61">
        <v>0</v>
      </c>
      <c r="BI61">
        <v>4</v>
      </c>
      <c r="BJ61" t="s">
        <v>206</v>
      </c>
      <c r="BM61">
        <v>1111</v>
      </c>
      <c r="BN61">
        <v>0</v>
      </c>
      <c r="BO61" t="s">
        <v>204</v>
      </c>
      <c r="BP61">
        <v>1</v>
      </c>
      <c r="BQ61">
        <v>150</v>
      </c>
      <c r="BR61">
        <v>0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 t="s">
        <v>3</v>
      </c>
      <c r="BZ61">
        <v>93</v>
      </c>
      <c r="CA61">
        <v>64</v>
      </c>
      <c r="CB61" t="s">
        <v>3</v>
      </c>
      <c r="CE61">
        <v>30</v>
      </c>
      <c r="CF61">
        <v>0</v>
      </c>
      <c r="CG61">
        <v>0</v>
      </c>
      <c r="CM61">
        <v>0</v>
      </c>
      <c r="CN61" t="s">
        <v>3</v>
      </c>
      <c r="CO61">
        <v>0</v>
      </c>
      <c r="CP61">
        <f t="shared" si="34"/>
        <v>132607.93</v>
      </c>
      <c r="CQ61">
        <f t="shared" si="35"/>
        <v>0</v>
      </c>
      <c r="CR61">
        <f t="shared" si="65"/>
        <v>561.66</v>
      </c>
      <c r="CS61">
        <f t="shared" si="36"/>
        <v>0</v>
      </c>
      <c r="CT61">
        <f t="shared" si="37"/>
        <v>0</v>
      </c>
      <c r="CU61">
        <f t="shared" si="38"/>
        <v>0</v>
      </c>
      <c r="CV61">
        <f t="shared" si="39"/>
        <v>0</v>
      </c>
      <c r="CW61">
        <f t="shared" si="40"/>
        <v>0</v>
      </c>
      <c r="CX61">
        <f t="shared" si="41"/>
        <v>0</v>
      </c>
      <c r="CY61">
        <f t="shared" si="42"/>
        <v>0</v>
      </c>
      <c r="CZ61">
        <f t="shared" si="43"/>
        <v>0</v>
      </c>
      <c r="DC61" t="s">
        <v>3</v>
      </c>
      <c r="DD61" t="s">
        <v>3</v>
      </c>
      <c r="DE61" t="s">
        <v>3</v>
      </c>
      <c r="DF61" t="s">
        <v>3</v>
      </c>
      <c r="DG61" t="s">
        <v>3</v>
      </c>
      <c r="DH61" t="s">
        <v>3</v>
      </c>
      <c r="DI61" t="s">
        <v>3</v>
      </c>
      <c r="DJ61" t="s">
        <v>3</v>
      </c>
      <c r="DK61" t="s">
        <v>3</v>
      </c>
      <c r="DL61" t="s">
        <v>3</v>
      </c>
      <c r="DM61" t="s">
        <v>3</v>
      </c>
      <c r="DN61">
        <v>0</v>
      </c>
      <c r="DO61">
        <v>0</v>
      </c>
      <c r="DP61">
        <v>1</v>
      </c>
      <c r="DQ61">
        <v>1</v>
      </c>
      <c r="DU61">
        <v>1009</v>
      </c>
      <c r="DV61" t="s">
        <v>104</v>
      </c>
      <c r="DW61" t="s">
        <v>104</v>
      </c>
      <c r="DX61">
        <v>1000</v>
      </c>
      <c r="DZ61" t="s">
        <v>3</v>
      </c>
      <c r="EA61" t="s">
        <v>3</v>
      </c>
      <c r="EB61" t="s">
        <v>3</v>
      </c>
      <c r="EC61" t="s">
        <v>3</v>
      </c>
      <c r="EE61">
        <v>43089189</v>
      </c>
      <c r="EF61">
        <v>150</v>
      </c>
      <c r="EG61" t="s">
        <v>190</v>
      </c>
      <c r="EH61">
        <v>0</v>
      </c>
      <c r="EI61" t="s">
        <v>3</v>
      </c>
      <c r="EJ61">
        <v>4</v>
      </c>
      <c r="EK61">
        <v>1111</v>
      </c>
      <c r="EL61" t="s">
        <v>207</v>
      </c>
      <c r="EM61" t="s">
        <v>208</v>
      </c>
      <c r="EO61" t="s">
        <v>3</v>
      </c>
      <c r="EQ61">
        <v>0</v>
      </c>
      <c r="ER61">
        <v>46</v>
      </c>
      <c r="ES61">
        <v>0</v>
      </c>
      <c r="ET61">
        <v>46</v>
      </c>
      <c r="EU61">
        <v>0</v>
      </c>
      <c r="EV61">
        <v>0</v>
      </c>
      <c r="EW61">
        <v>0</v>
      </c>
      <c r="EX61">
        <v>0</v>
      </c>
      <c r="EY61">
        <v>0</v>
      </c>
      <c r="FQ61">
        <v>0</v>
      </c>
      <c r="FR61">
        <f t="shared" si="44"/>
        <v>0</v>
      </c>
      <c r="FS61">
        <v>0</v>
      </c>
      <c r="FX61">
        <v>0</v>
      </c>
      <c r="FY61">
        <v>0</v>
      </c>
      <c r="GA61" t="s">
        <v>3</v>
      </c>
      <c r="GD61">
        <v>0</v>
      </c>
      <c r="GF61">
        <v>1570066743</v>
      </c>
      <c r="GG61">
        <v>2</v>
      </c>
      <c r="GH61">
        <v>1</v>
      </c>
      <c r="GI61">
        <v>2</v>
      </c>
      <c r="GJ61">
        <v>0</v>
      </c>
      <c r="GK61">
        <f>ROUND(R61*(R12)/100,2)</f>
        <v>0</v>
      </c>
      <c r="GL61">
        <f t="shared" si="45"/>
        <v>0</v>
      </c>
      <c r="GM61">
        <f t="shared" si="46"/>
        <v>132607.93</v>
      </c>
      <c r="GN61">
        <f t="shared" si="47"/>
        <v>0</v>
      </c>
      <c r="GO61">
        <f t="shared" si="48"/>
        <v>0</v>
      </c>
      <c r="GP61">
        <f t="shared" si="49"/>
        <v>132607.93</v>
      </c>
      <c r="GR61">
        <v>0</v>
      </c>
      <c r="GS61">
        <v>3</v>
      </c>
      <c r="GT61">
        <v>0</v>
      </c>
      <c r="GU61" t="s">
        <v>3</v>
      </c>
      <c r="GV61">
        <f t="shared" si="50"/>
        <v>0</v>
      </c>
      <c r="GW61">
        <v>1</v>
      </c>
      <c r="GX61">
        <f t="shared" si="51"/>
        <v>0</v>
      </c>
      <c r="HA61">
        <v>0</v>
      </c>
      <c r="HB61">
        <v>0</v>
      </c>
      <c r="HC61">
        <f t="shared" si="52"/>
        <v>0</v>
      </c>
      <c r="HE61" t="s">
        <v>3</v>
      </c>
      <c r="HF61" t="s">
        <v>3</v>
      </c>
      <c r="HM61" t="s">
        <v>3</v>
      </c>
      <c r="IK61">
        <v>0</v>
      </c>
    </row>
    <row r="62" spans="1:245" x14ac:dyDescent="0.2">
      <c r="A62">
        <v>17</v>
      </c>
      <c r="B62">
        <v>1</v>
      </c>
      <c r="C62">
        <f>ROW(SmtRes!A95)</f>
        <v>95</v>
      </c>
      <c r="D62">
        <f>ROW(EtalonRes!A93)</f>
        <v>93</v>
      </c>
      <c r="E62" t="s">
        <v>209</v>
      </c>
      <c r="F62" t="s">
        <v>210</v>
      </c>
      <c r="G62" t="s">
        <v>211</v>
      </c>
      <c r="H62" t="s">
        <v>182</v>
      </c>
      <c r="I62">
        <v>236.1</v>
      </c>
      <c r="J62">
        <v>0</v>
      </c>
      <c r="K62">
        <v>236.1</v>
      </c>
      <c r="O62">
        <f t="shared" si="21"/>
        <v>22716.19</v>
      </c>
      <c r="P62">
        <f t="shared" si="22"/>
        <v>0</v>
      </c>
      <c r="Q62">
        <f t="shared" si="59"/>
        <v>22716.19</v>
      </c>
      <c r="R62">
        <f t="shared" si="23"/>
        <v>0</v>
      </c>
      <c r="S62">
        <f t="shared" si="24"/>
        <v>0</v>
      </c>
      <c r="T62">
        <f t="shared" si="25"/>
        <v>0</v>
      </c>
      <c r="U62">
        <f t="shared" si="26"/>
        <v>0</v>
      </c>
      <c r="V62">
        <f t="shared" si="27"/>
        <v>0</v>
      </c>
      <c r="W62">
        <f t="shared" si="28"/>
        <v>0</v>
      </c>
      <c r="X62">
        <f t="shared" si="29"/>
        <v>0</v>
      </c>
      <c r="Y62">
        <f t="shared" si="30"/>
        <v>0</v>
      </c>
      <c r="AA62">
        <v>42938047</v>
      </c>
      <c r="AB62">
        <f t="shared" si="31"/>
        <v>12.61</v>
      </c>
      <c r="AC62">
        <f t="shared" si="53"/>
        <v>0</v>
      </c>
      <c r="AD62">
        <f t="shared" si="60"/>
        <v>12.61</v>
      </c>
      <c r="AE62">
        <f t="shared" si="61"/>
        <v>0</v>
      </c>
      <c r="AF62">
        <f t="shared" si="62"/>
        <v>0</v>
      </c>
      <c r="AG62">
        <f t="shared" si="32"/>
        <v>0</v>
      </c>
      <c r="AH62">
        <f t="shared" si="63"/>
        <v>0</v>
      </c>
      <c r="AI62">
        <f t="shared" si="64"/>
        <v>0</v>
      </c>
      <c r="AJ62">
        <f t="shared" si="33"/>
        <v>0</v>
      </c>
      <c r="AK62">
        <v>12.61</v>
      </c>
      <c r="AL62">
        <v>0</v>
      </c>
      <c r="AM62">
        <v>12.61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93</v>
      </c>
      <c r="AU62">
        <v>64</v>
      </c>
      <c r="AV62">
        <v>1</v>
      </c>
      <c r="AW62">
        <v>1</v>
      </c>
      <c r="AZ62">
        <v>1</v>
      </c>
      <c r="BA62">
        <v>1</v>
      </c>
      <c r="BB62">
        <v>7.63</v>
      </c>
      <c r="BC62">
        <v>1</v>
      </c>
      <c r="BD62" t="s">
        <v>3</v>
      </c>
      <c r="BE62" t="s">
        <v>3</v>
      </c>
      <c r="BF62" t="s">
        <v>3</v>
      </c>
      <c r="BG62" t="s">
        <v>3</v>
      </c>
      <c r="BH62">
        <v>0</v>
      </c>
      <c r="BI62">
        <v>4</v>
      </c>
      <c r="BJ62" t="s">
        <v>212</v>
      </c>
      <c r="BM62">
        <v>1113</v>
      </c>
      <c r="BN62">
        <v>0</v>
      </c>
      <c r="BO62" t="s">
        <v>210</v>
      </c>
      <c r="BP62">
        <v>1</v>
      </c>
      <c r="BQ62">
        <v>150</v>
      </c>
      <c r="BR62">
        <v>0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 t="s">
        <v>3</v>
      </c>
      <c r="BZ62">
        <v>93</v>
      </c>
      <c r="CA62">
        <v>64</v>
      </c>
      <c r="CB62" t="s">
        <v>3</v>
      </c>
      <c r="CE62">
        <v>30</v>
      </c>
      <c r="CF62">
        <v>0</v>
      </c>
      <c r="CG62">
        <v>0</v>
      </c>
      <c r="CM62">
        <v>0</v>
      </c>
      <c r="CN62" t="s">
        <v>3</v>
      </c>
      <c r="CO62">
        <v>0</v>
      </c>
      <c r="CP62">
        <f t="shared" si="34"/>
        <v>22716.19</v>
      </c>
      <c r="CQ62">
        <f t="shared" si="35"/>
        <v>0</v>
      </c>
      <c r="CR62">
        <f t="shared" si="65"/>
        <v>96.21</v>
      </c>
      <c r="CS62">
        <f t="shared" si="36"/>
        <v>0</v>
      </c>
      <c r="CT62">
        <f t="shared" si="37"/>
        <v>0</v>
      </c>
      <c r="CU62">
        <f t="shared" si="38"/>
        <v>0</v>
      </c>
      <c r="CV62">
        <f t="shared" si="39"/>
        <v>0</v>
      </c>
      <c r="CW62">
        <f t="shared" si="40"/>
        <v>0</v>
      </c>
      <c r="CX62">
        <f t="shared" si="41"/>
        <v>0</v>
      </c>
      <c r="CY62">
        <f t="shared" si="42"/>
        <v>0</v>
      </c>
      <c r="CZ62">
        <f t="shared" si="43"/>
        <v>0</v>
      </c>
      <c r="DC62" t="s">
        <v>3</v>
      </c>
      <c r="DD62" t="s">
        <v>3</v>
      </c>
      <c r="DE62" t="s">
        <v>3</v>
      </c>
      <c r="DF62" t="s">
        <v>3</v>
      </c>
      <c r="DG62" t="s">
        <v>3</v>
      </c>
      <c r="DH62" t="s">
        <v>3</v>
      </c>
      <c r="DI62" t="s">
        <v>3</v>
      </c>
      <c r="DJ62" t="s">
        <v>3</v>
      </c>
      <c r="DK62" t="s">
        <v>3</v>
      </c>
      <c r="DL62" t="s">
        <v>3</v>
      </c>
      <c r="DM62" t="s">
        <v>3</v>
      </c>
      <c r="DN62">
        <v>0</v>
      </c>
      <c r="DO62">
        <v>0</v>
      </c>
      <c r="DP62">
        <v>1</v>
      </c>
      <c r="DQ62">
        <v>1</v>
      </c>
      <c r="DU62">
        <v>1013</v>
      </c>
      <c r="DV62" t="s">
        <v>182</v>
      </c>
      <c r="DW62" t="s">
        <v>182</v>
      </c>
      <c r="DX62">
        <v>1</v>
      </c>
      <c r="DZ62" t="s">
        <v>3</v>
      </c>
      <c r="EA62" t="s">
        <v>3</v>
      </c>
      <c r="EB62" t="s">
        <v>3</v>
      </c>
      <c r="EC62" t="s">
        <v>3</v>
      </c>
      <c r="EE62">
        <v>43089191</v>
      </c>
      <c r="EF62">
        <v>150</v>
      </c>
      <c r="EG62" t="s">
        <v>190</v>
      </c>
      <c r="EH62">
        <v>0</v>
      </c>
      <c r="EI62" t="s">
        <v>3</v>
      </c>
      <c r="EJ62">
        <v>4</v>
      </c>
      <c r="EK62">
        <v>1113</v>
      </c>
      <c r="EL62" t="s">
        <v>191</v>
      </c>
      <c r="EM62" t="s">
        <v>192</v>
      </c>
      <c r="EO62" t="s">
        <v>3</v>
      </c>
      <c r="EQ62">
        <v>0</v>
      </c>
      <c r="ER62">
        <v>12.61</v>
      </c>
      <c r="ES62">
        <v>0</v>
      </c>
      <c r="ET62">
        <v>12.61</v>
      </c>
      <c r="EU62">
        <v>0</v>
      </c>
      <c r="EV62">
        <v>0</v>
      </c>
      <c r="EW62">
        <v>0</v>
      </c>
      <c r="EX62">
        <v>0</v>
      </c>
      <c r="EY62">
        <v>0</v>
      </c>
      <c r="FQ62">
        <v>0</v>
      </c>
      <c r="FR62">
        <f t="shared" si="44"/>
        <v>0</v>
      </c>
      <c r="FS62">
        <v>0</v>
      </c>
      <c r="FX62">
        <v>0</v>
      </c>
      <c r="FY62">
        <v>0</v>
      </c>
      <c r="GA62" t="s">
        <v>3</v>
      </c>
      <c r="GD62">
        <v>0</v>
      </c>
      <c r="GF62">
        <v>-1630031867</v>
      </c>
      <c r="GG62">
        <v>2</v>
      </c>
      <c r="GH62">
        <v>1</v>
      </c>
      <c r="GI62">
        <v>2</v>
      </c>
      <c r="GJ62">
        <v>0</v>
      </c>
      <c r="GK62">
        <f>ROUND(R62*(R12)/100,2)</f>
        <v>0</v>
      </c>
      <c r="GL62">
        <f t="shared" si="45"/>
        <v>0</v>
      </c>
      <c r="GM62">
        <f t="shared" si="46"/>
        <v>22716.19</v>
      </c>
      <c r="GN62">
        <f t="shared" si="47"/>
        <v>0</v>
      </c>
      <c r="GO62">
        <f t="shared" si="48"/>
        <v>0</v>
      </c>
      <c r="GP62">
        <f t="shared" si="49"/>
        <v>22716.19</v>
      </c>
      <c r="GR62">
        <v>0</v>
      </c>
      <c r="GS62">
        <v>3</v>
      </c>
      <c r="GT62">
        <v>0</v>
      </c>
      <c r="GU62" t="s">
        <v>3</v>
      </c>
      <c r="GV62">
        <f t="shared" si="50"/>
        <v>0</v>
      </c>
      <c r="GW62">
        <v>1</v>
      </c>
      <c r="GX62">
        <f t="shared" si="51"/>
        <v>0</v>
      </c>
      <c r="HA62">
        <v>0</v>
      </c>
      <c r="HB62">
        <v>0</v>
      </c>
      <c r="HC62">
        <f t="shared" si="52"/>
        <v>0</v>
      </c>
      <c r="HE62" t="s">
        <v>3</v>
      </c>
      <c r="HF62" t="s">
        <v>3</v>
      </c>
      <c r="HM62" t="s">
        <v>3</v>
      </c>
      <c r="IK62">
        <v>0</v>
      </c>
    </row>
    <row r="64" spans="1:245" x14ac:dyDescent="0.2">
      <c r="A64" s="2">
        <v>51</v>
      </c>
      <c r="B64" s="2">
        <f>B24</f>
        <v>1</v>
      </c>
      <c r="C64" s="2">
        <f>A24</f>
        <v>4</v>
      </c>
      <c r="D64" s="2">
        <f>ROW(A24)</f>
        <v>24</v>
      </c>
      <c r="E64" s="2"/>
      <c r="F64" s="2" t="str">
        <f>IF(F24&lt;&gt;"",F24,"")</f>
        <v>Новый раздел</v>
      </c>
      <c r="G64" s="2" t="str">
        <f>IF(G24&lt;&gt;"",G24,"")</f>
        <v>Покрытие "Искусственная трава" 13 мм, на площади 787 кв.м</v>
      </c>
      <c r="H64" s="2">
        <v>0</v>
      </c>
      <c r="I64" s="2"/>
      <c r="J64" s="2"/>
      <c r="K64" s="2"/>
      <c r="L64" s="2"/>
      <c r="M64" s="2"/>
      <c r="N64" s="2"/>
      <c r="O64" s="2">
        <f t="shared" ref="O64:T64" si="66">ROUND(AB64,2)</f>
        <v>6580420.5599999996</v>
      </c>
      <c r="P64" s="2">
        <f t="shared" si="66"/>
        <v>5711040.4800000004</v>
      </c>
      <c r="Q64" s="2">
        <f t="shared" si="66"/>
        <v>571420.18999999994</v>
      </c>
      <c r="R64" s="2">
        <f t="shared" si="66"/>
        <v>60460.19</v>
      </c>
      <c r="S64" s="2">
        <f t="shared" si="66"/>
        <v>297959.89</v>
      </c>
      <c r="T64" s="2">
        <f t="shared" si="66"/>
        <v>0</v>
      </c>
      <c r="U64" s="2">
        <f>AH64</f>
        <v>1038.7370309999999</v>
      </c>
      <c r="V64" s="2">
        <f>AI64</f>
        <v>0</v>
      </c>
      <c r="W64" s="2">
        <f>ROUND(AJ64,2)</f>
        <v>0</v>
      </c>
      <c r="X64" s="2">
        <f>ROUND(AK64,2)</f>
        <v>250816.85</v>
      </c>
      <c r="Y64" s="2">
        <f>ROUND(AL64,2)</f>
        <v>122207.38</v>
      </c>
      <c r="Z64" s="2"/>
      <c r="AA64" s="2"/>
      <c r="AB64" s="2">
        <f>ROUND(SUMIF(AA28:AA62,"=42938047",O28:O62),2)</f>
        <v>6580420.5599999996</v>
      </c>
      <c r="AC64" s="2">
        <f>ROUND(SUMIF(AA28:AA62,"=42938047",P28:P62),2)</f>
        <v>5711040.4800000004</v>
      </c>
      <c r="AD64" s="2">
        <f>ROUND(SUMIF(AA28:AA62,"=42938047",Q28:Q62),2)</f>
        <v>571420.18999999994</v>
      </c>
      <c r="AE64" s="2">
        <f>ROUND(SUMIF(AA28:AA62,"=42938047",R28:R62),2)</f>
        <v>60460.19</v>
      </c>
      <c r="AF64" s="2">
        <f>ROUND(SUMIF(AA28:AA62,"=42938047",S28:S62),2)</f>
        <v>297959.89</v>
      </c>
      <c r="AG64" s="2">
        <f>ROUND(SUMIF(AA28:AA62,"=42938047",T28:T62),2)</f>
        <v>0</v>
      </c>
      <c r="AH64" s="2">
        <f>SUMIF(AA28:AA62,"=42938047",U28:U62)</f>
        <v>1038.7370309999999</v>
      </c>
      <c r="AI64" s="2">
        <f>SUMIF(AA28:AA62,"=42938047",V28:V62)</f>
        <v>0</v>
      </c>
      <c r="AJ64" s="2">
        <f>ROUND(SUMIF(AA28:AA62,"=42938047",W28:W62),2)</f>
        <v>0</v>
      </c>
      <c r="AK64" s="2">
        <f>ROUND(SUMIF(AA28:AA62,"=42938047",X28:X62),2)</f>
        <v>250816.85</v>
      </c>
      <c r="AL64" s="2">
        <f>ROUND(SUMIF(AA28:AA62,"=42938047",Y28:Y62),2)</f>
        <v>122207.38</v>
      </c>
      <c r="AM64" s="2"/>
      <c r="AN64" s="2"/>
      <c r="AO64" s="2">
        <f t="shared" ref="AO64:BD64" si="67">ROUND(BX64,2)</f>
        <v>0</v>
      </c>
      <c r="AP64" s="2">
        <f t="shared" si="67"/>
        <v>0</v>
      </c>
      <c r="AQ64" s="2">
        <f t="shared" si="67"/>
        <v>0</v>
      </c>
      <c r="AR64" s="2">
        <f t="shared" si="67"/>
        <v>7048367.2800000003</v>
      </c>
      <c r="AS64" s="2">
        <f t="shared" si="67"/>
        <v>6680967.8300000001</v>
      </c>
      <c r="AT64" s="2">
        <f t="shared" si="67"/>
        <v>0</v>
      </c>
      <c r="AU64" s="2">
        <f t="shared" si="67"/>
        <v>367399.45</v>
      </c>
      <c r="AV64" s="2">
        <f t="shared" si="67"/>
        <v>5711040.4800000004</v>
      </c>
      <c r="AW64" s="2">
        <f t="shared" si="67"/>
        <v>5711040.4800000004</v>
      </c>
      <c r="AX64" s="2">
        <f t="shared" si="67"/>
        <v>0</v>
      </c>
      <c r="AY64" s="2">
        <f t="shared" si="67"/>
        <v>5711040.4800000004</v>
      </c>
      <c r="AZ64" s="2">
        <f t="shared" si="67"/>
        <v>0</v>
      </c>
      <c r="BA64" s="2">
        <f t="shared" si="67"/>
        <v>0</v>
      </c>
      <c r="BB64" s="2">
        <f t="shared" si="67"/>
        <v>0</v>
      </c>
      <c r="BC64" s="2">
        <f t="shared" si="67"/>
        <v>0</v>
      </c>
      <c r="BD64" s="2">
        <f t="shared" si="67"/>
        <v>0</v>
      </c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>
        <f>ROUND(SUMIF(AA28:AA62,"=42938047",FQ28:FQ62),2)</f>
        <v>0</v>
      </c>
      <c r="BY64" s="2">
        <f>ROUND(SUMIF(AA28:AA62,"=42938047",FR28:FR62),2)</f>
        <v>0</v>
      </c>
      <c r="BZ64" s="2">
        <f>ROUND(SUMIF(AA28:AA62,"=42938047",GL28:GL62),2)</f>
        <v>0</v>
      </c>
      <c r="CA64" s="2">
        <f>ROUND(SUMIF(AA28:AA62,"=42938047",GM28:GM62),2)</f>
        <v>7048367.2800000003</v>
      </c>
      <c r="CB64" s="2">
        <f>ROUND(SUMIF(AA28:AA62,"=42938047",GN28:GN62),2)</f>
        <v>6680967.8300000001</v>
      </c>
      <c r="CC64" s="2">
        <f>ROUND(SUMIF(AA28:AA62,"=42938047",GO28:GO62),2)</f>
        <v>0</v>
      </c>
      <c r="CD64" s="2">
        <f>ROUND(SUMIF(AA28:AA62,"=42938047",GP28:GP62),2)</f>
        <v>367399.45</v>
      </c>
      <c r="CE64" s="2">
        <f>AC64-BX64</f>
        <v>5711040.4800000004</v>
      </c>
      <c r="CF64" s="2">
        <f>AC64-BY64</f>
        <v>5711040.4800000004</v>
      </c>
      <c r="CG64" s="2">
        <f>BX64-BZ64</f>
        <v>0</v>
      </c>
      <c r="CH64" s="2">
        <f>AC64-BX64-BY64+BZ64</f>
        <v>5711040.4800000004</v>
      </c>
      <c r="CI64" s="2">
        <f>BY64-BZ64</f>
        <v>0</v>
      </c>
      <c r="CJ64" s="2">
        <f>ROUND(SUMIF(AA28:AA62,"=42938047",GX28:GX62),2)</f>
        <v>0</v>
      </c>
      <c r="CK64" s="2">
        <f>ROUND(SUMIF(AA28:AA62,"=42938047",GY28:GY62),2)</f>
        <v>0</v>
      </c>
      <c r="CL64" s="2">
        <f>ROUND(SUMIF(AA28:AA62,"=42938047",GZ28:GZ62),2)</f>
        <v>0</v>
      </c>
      <c r="CM64" s="2">
        <f>ROUND(SUMIF(AA28:AA62,"=42938047",HD28:HD62),2)</f>
        <v>0</v>
      </c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  <c r="GW64" s="3"/>
      <c r="GX64" s="3">
        <v>0</v>
      </c>
    </row>
    <row r="66" spans="1:23" x14ac:dyDescent="0.2">
      <c r="A66" s="4">
        <v>50</v>
      </c>
      <c r="B66" s="4">
        <v>0</v>
      </c>
      <c r="C66" s="4">
        <v>0</v>
      </c>
      <c r="D66" s="4">
        <v>1</v>
      </c>
      <c r="E66" s="4">
        <v>201</v>
      </c>
      <c r="F66" s="4">
        <f>ROUND(Source!O64,O66)</f>
        <v>6580420.5599999996</v>
      </c>
      <c r="G66" s="4" t="s">
        <v>213</v>
      </c>
      <c r="H66" s="4" t="s">
        <v>214</v>
      </c>
      <c r="I66" s="4"/>
      <c r="J66" s="4"/>
      <c r="K66" s="4">
        <v>201</v>
      </c>
      <c r="L66" s="4">
        <v>1</v>
      </c>
      <c r="M66" s="4">
        <v>3</v>
      </c>
      <c r="N66" s="4" t="s">
        <v>3</v>
      </c>
      <c r="O66" s="4">
        <v>2</v>
      </c>
      <c r="P66" s="4"/>
      <c r="Q66" s="4"/>
      <c r="R66" s="4"/>
      <c r="S66" s="4"/>
      <c r="T66" s="4"/>
      <c r="U66" s="4"/>
      <c r="V66" s="4"/>
      <c r="W66" s="4"/>
    </row>
    <row r="67" spans="1:23" x14ac:dyDescent="0.2">
      <c r="A67" s="4">
        <v>50</v>
      </c>
      <c r="B67" s="4">
        <v>0</v>
      </c>
      <c r="C67" s="4">
        <v>0</v>
      </c>
      <c r="D67" s="4">
        <v>1</v>
      </c>
      <c r="E67" s="4">
        <v>202</v>
      </c>
      <c r="F67" s="4">
        <f>ROUND(Source!P64,O67)</f>
        <v>5711040.4800000004</v>
      </c>
      <c r="G67" s="4" t="s">
        <v>215</v>
      </c>
      <c r="H67" s="4" t="s">
        <v>216</v>
      </c>
      <c r="I67" s="4"/>
      <c r="J67" s="4"/>
      <c r="K67" s="4">
        <v>202</v>
      </c>
      <c r="L67" s="4">
        <v>2</v>
      </c>
      <c r="M67" s="4">
        <v>3</v>
      </c>
      <c r="N67" s="4" t="s">
        <v>3</v>
      </c>
      <c r="O67" s="4">
        <v>2</v>
      </c>
      <c r="P67" s="4"/>
      <c r="Q67" s="4"/>
      <c r="R67" s="4"/>
      <c r="S67" s="4"/>
      <c r="T67" s="4"/>
      <c r="U67" s="4"/>
      <c r="V67" s="4"/>
      <c r="W67" s="4"/>
    </row>
    <row r="68" spans="1:23" x14ac:dyDescent="0.2">
      <c r="A68" s="4">
        <v>50</v>
      </c>
      <c r="B68" s="4">
        <v>0</v>
      </c>
      <c r="C68" s="4">
        <v>0</v>
      </c>
      <c r="D68" s="4">
        <v>1</v>
      </c>
      <c r="E68" s="4">
        <v>222</v>
      </c>
      <c r="F68" s="4">
        <f>ROUND(Source!AO64,O68)</f>
        <v>0</v>
      </c>
      <c r="G68" s="4" t="s">
        <v>217</v>
      </c>
      <c r="H68" s="4" t="s">
        <v>218</v>
      </c>
      <c r="I68" s="4"/>
      <c r="J68" s="4"/>
      <c r="K68" s="4">
        <v>222</v>
      </c>
      <c r="L68" s="4">
        <v>3</v>
      </c>
      <c r="M68" s="4">
        <v>3</v>
      </c>
      <c r="N68" s="4" t="s">
        <v>3</v>
      </c>
      <c r="O68" s="4">
        <v>2</v>
      </c>
      <c r="P68" s="4"/>
      <c r="Q68" s="4"/>
      <c r="R68" s="4"/>
      <c r="S68" s="4"/>
      <c r="T68" s="4"/>
      <c r="U68" s="4"/>
      <c r="V68" s="4"/>
      <c r="W68" s="4"/>
    </row>
    <row r="69" spans="1:23" x14ac:dyDescent="0.2">
      <c r="A69" s="4">
        <v>50</v>
      </c>
      <c r="B69" s="4">
        <v>0</v>
      </c>
      <c r="C69" s="4">
        <v>0</v>
      </c>
      <c r="D69" s="4">
        <v>1</v>
      </c>
      <c r="E69" s="4">
        <v>225</v>
      </c>
      <c r="F69" s="4">
        <f>ROUND(Source!AV64,O69)</f>
        <v>5711040.4800000004</v>
      </c>
      <c r="G69" s="4" t="s">
        <v>219</v>
      </c>
      <c r="H69" s="4" t="s">
        <v>220</v>
      </c>
      <c r="I69" s="4"/>
      <c r="J69" s="4"/>
      <c r="K69" s="4">
        <v>225</v>
      </c>
      <c r="L69" s="4">
        <v>4</v>
      </c>
      <c r="M69" s="4">
        <v>3</v>
      </c>
      <c r="N69" s="4" t="s">
        <v>3</v>
      </c>
      <c r="O69" s="4">
        <v>2</v>
      </c>
      <c r="P69" s="4"/>
      <c r="Q69" s="4"/>
      <c r="R69" s="4"/>
      <c r="S69" s="4"/>
      <c r="T69" s="4"/>
      <c r="U69" s="4"/>
      <c r="V69" s="4"/>
      <c r="W69" s="4"/>
    </row>
    <row r="70" spans="1:23" x14ac:dyDescent="0.2">
      <c r="A70" s="4">
        <v>50</v>
      </c>
      <c r="B70" s="4">
        <v>0</v>
      </c>
      <c r="C70" s="4">
        <v>0</v>
      </c>
      <c r="D70" s="4">
        <v>1</v>
      </c>
      <c r="E70" s="4">
        <v>226</v>
      </c>
      <c r="F70" s="4">
        <f>ROUND(Source!AW64,O70)</f>
        <v>5711040.4800000004</v>
      </c>
      <c r="G70" s="4" t="s">
        <v>221</v>
      </c>
      <c r="H70" s="4" t="s">
        <v>222</v>
      </c>
      <c r="I70" s="4"/>
      <c r="J70" s="4"/>
      <c r="K70" s="4">
        <v>226</v>
      </c>
      <c r="L70" s="4">
        <v>5</v>
      </c>
      <c r="M70" s="4">
        <v>3</v>
      </c>
      <c r="N70" s="4" t="s">
        <v>3</v>
      </c>
      <c r="O70" s="4">
        <v>2</v>
      </c>
      <c r="P70" s="4"/>
      <c r="Q70" s="4"/>
      <c r="R70" s="4"/>
      <c r="S70" s="4"/>
      <c r="T70" s="4"/>
      <c r="U70" s="4"/>
      <c r="V70" s="4"/>
      <c r="W70" s="4"/>
    </row>
    <row r="71" spans="1:23" x14ac:dyDescent="0.2">
      <c r="A71" s="4">
        <v>50</v>
      </c>
      <c r="B71" s="4">
        <v>0</v>
      </c>
      <c r="C71" s="4">
        <v>0</v>
      </c>
      <c r="D71" s="4">
        <v>1</v>
      </c>
      <c r="E71" s="4">
        <v>227</v>
      </c>
      <c r="F71" s="4">
        <f>ROUND(Source!AX64,O71)</f>
        <v>0</v>
      </c>
      <c r="G71" s="4" t="s">
        <v>223</v>
      </c>
      <c r="H71" s="4" t="s">
        <v>224</v>
      </c>
      <c r="I71" s="4"/>
      <c r="J71" s="4"/>
      <c r="K71" s="4">
        <v>227</v>
      </c>
      <c r="L71" s="4">
        <v>6</v>
      </c>
      <c r="M71" s="4">
        <v>3</v>
      </c>
      <c r="N71" s="4" t="s">
        <v>3</v>
      </c>
      <c r="O71" s="4">
        <v>2</v>
      </c>
      <c r="P71" s="4"/>
      <c r="Q71" s="4"/>
      <c r="R71" s="4"/>
      <c r="S71" s="4"/>
      <c r="T71" s="4"/>
      <c r="U71" s="4"/>
      <c r="V71" s="4"/>
      <c r="W71" s="4"/>
    </row>
    <row r="72" spans="1:23" x14ac:dyDescent="0.2">
      <c r="A72" s="4">
        <v>50</v>
      </c>
      <c r="B72" s="4">
        <v>0</v>
      </c>
      <c r="C72" s="4">
        <v>0</v>
      </c>
      <c r="D72" s="4">
        <v>1</v>
      </c>
      <c r="E72" s="4">
        <v>228</v>
      </c>
      <c r="F72" s="4">
        <f>ROUND(Source!AY64,O72)</f>
        <v>5711040.4800000004</v>
      </c>
      <c r="G72" s="4" t="s">
        <v>225</v>
      </c>
      <c r="H72" s="4" t="s">
        <v>226</v>
      </c>
      <c r="I72" s="4"/>
      <c r="J72" s="4"/>
      <c r="K72" s="4">
        <v>228</v>
      </c>
      <c r="L72" s="4">
        <v>7</v>
      </c>
      <c r="M72" s="4">
        <v>3</v>
      </c>
      <c r="N72" s="4" t="s">
        <v>3</v>
      </c>
      <c r="O72" s="4">
        <v>2</v>
      </c>
      <c r="P72" s="4"/>
      <c r="Q72" s="4"/>
      <c r="R72" s="4"/>
      <c r="S72" s="4"/>
      <c r="T72" s="4"/>
      <c r="U72" s="4"/>
      <c r="V72" s="4"/>
      <c r="W72" s="4"/>
    </row>
    <row r="73" spans="1:23" x14ac:dyDescent="0.2">
      <c r="A73" s="4">
        <v>50</v>
      </c>
      <c r="B73" s="4">
        <v>0</v>
      </c>
      <c r="C73" s="4">
        <v>0</v>
      </c>
      <c r="D73" s="4">
        <v>1</v>
      </c>
      <c r="E73" s="4">
        <v>216</v>
      </c>
      <c r="F73" s="4">
        <f>ROUND(Source!AP64,O73)</f>
        <v>0</v>
      </c>
      <c r="G73" s="4" t="s">
        <v>227</v>
      </c>
      <c r="H73" s="4" t="s">
        <v>228</v>
      </c>
      <c r="I73" s="4"/>
      <c r="J73" s="4"/>
      <c r="K73" s="4">
        <v>216</v>
      </c>
      <c r="L73" s="4">
        <v>8</v>
      </c>
      <c r="M73" s="4">
        <v>3</v>
      </c>
      <c r="N73" s="4" t="s">
        <v>3</v>
      </c>
      <c r="O73" s="4">
        <v>2</v>
      </c>
      <c r="P73" s="4"/>
      <c r="Q73" s="4"/>
      <c r="R73" s="4"/>
      <c r="S73" s="4"/>
      <c r="T73" s="4"/>
      <c r="U73" s="4"/>
      <c r="V73" s="4"/>
      <c r="W73" s="4"/>
    </row>
    <row r="74" spans="1:23" x14ac:dyDescent="0.2">
      <c r="A74" s="4">
        <v>50</v>
      </c>
      <c r="B74" s="4">
        <v>0</v>
      </c>
      <c r="C74" s="4">
        <v>0</v>
      </c>
      <c r="D74" s="4">
        <v>1</v>
      </c>
      <c r="E74" s="4">
        <v>223</v>
      </c>
      <c r="F74" s="4">
        <f>ROUND(Source!AQ64,O74)</f>
        <v>0</v>
      </c>
      <c r="G74" s="4" t="s">
        <v>229</v>
      </c>
      <c r="H74" s="4" t="s">
        <v>230</v>
      </c>
      <c r="I74" s="4"/>
      <c r="J74" s="4"/>
      <c r="K74" s="4">
        <v>223</v>
      </c>
      <c r="L74" s="4">
        <v>9</v>
      </c>
      <c r="M74" s="4">
        <v>3</v>
      </c>
      <c r="N74" s="4" t="s">
        <v>3</v>
      </c>
      <c r="O74" s="4">
        <v>2</v>
      </c>
      <c r="P74" s="4"/>
      <c r="Q74" s="4"/>
      <c r="R74" s="4"/>
      <c r="S74" s="4"/>
      <c r="T74" s="4"/>
      <c r="U74" s="4"/>
      <c r="V74" s="4"/>
      <c r="W74" s="4"/>
    </row>
    <row r="75" spans="1:23" x14ac:dyDescent="0.2">
      <c r="A75" s="4">
        <v>50</v>
      </c>
      <c r="B75" s="4">
        <v>0</v>
      </c>
      <c r="C75" s="4">
        <v>0</v>
      </c>
      <c r="D75" s="4">
        <v>1</v>
      </c>
      <c r="E75" s="4">
        <v>229</v>
      </c>
      <c r="F75" s="4">
        <f>ROUND(Source!AZ64,O75)</f>
        <v>0</v>
      </c>
      <c r="G75" s="4" t="s">
        <v>231</v>
      </c>
      <c r="H75" s="4" t="s">
        <v>232</v>
      </c>
      <c r="I75" s="4"/>
      <c r="J75" s="4"/>
      <c r="K75" s="4">
        <v>229</v>
      </c>
      <c r="L75" s="4">
        <v>10</v>
      </c>
      <c r="M75" s="4">
        <v>3</v>
      </c>
      <c r="N75" s="4" t="s">
        <v>3</v>
      </c>
      <c r="O75" s="4">
        <v>2</v>
      </c>
      <c r="P75" s="4"/>
      <c r="Q75" s="4"/>
      <c r="R75" s="4"/>
      <c r="S75" s="4"/>
      <c r="T75" s="4"/>
      <c r="U75" s="4"/>
      <c r="V75" s="4"/>
      <c r="W75" s="4"/>
    </row>
    <row r="76" spans="1:23" x14ac:dyDescent="0.2">
      <c r="A76" s="4">
        <v>50</v>
      </c>
      <c r="B76" s="4">
        <v>0</v>
      </c>
      <c r="C76" s="4">
        <v>0</v>
      </c>
      <c r="D76" s="4">
        <v>1</v>
      </c>
      <c r="E76" s="4">
        <v>203</v>
      </c>
      <c r="F76" s="4">
        <f>ROUND(Source!Q64,O76)</f>
        <v>571420.18999999994</v>
      </c>
      <c r="G76" s="4" t="s">
        <v>233</v>
      </c>
      <c r="H76" s="4" t="s">
        <v>234</v>
      </c>
      <c r="I76" s="4"/>
      <c r="J76" s="4"/>
      <c r="K76" s="4">
        <v>203</v>
      </c>
      <c r="L76" s="4">
        <v>11</v>
      </c>
      <c r="M76" s="4">
        <v>3</v>
      </c>
      <c r="N76" s="4" t="s">
        <v>3</v>
      </c>
      <c r="O76" s="4">
        <v>2</v>
      </c>
      <c r="P76" s="4"/>
      <c r="Q76" s="4"/>
      <c r="R76" s="4"/>
      <c r="S76" s="4"/>
      <c r="T76" s="4"/>
      <c r="U76" s="4"/>
      <c r="V76" s="4"/>
      <c r="W76" s="4"/>
    </row>
    <row r="77" spans="1:23" x14ac:dyDescent="0.2">
      <c r="A77" s="4">
        <v>50</v>
      </c>
      <c r="B77" s="4">
        <v>0</v>
      </c>
      <c r="C77" s="4">
        <v>0</v>
      </c>
      <c r="D77" s="4">
        <v>1</v>
      </c>
      <c r="E77" s="4">
        <v>231</v>
      </c>
      <c r="F77" s="4">
        <f>ROUND(Source!BB64,O77)</f>
        <v>0</v>
      </c>
      <c r="G77" s="4" t="s">
        <v>235</v>
      </c>
      <c r="H77" s="4" t="s">
        <v>236</v>
      </c>
      <c r="I77" s="4"/>
      <c r="J77" s="4"/>
      <c r="K77" s="4">
        <v>231</v>
      </c>
      <c r="L77" s="4">
        <v>12</v>
      </c>
      <c r="M77" s="4">
        <v>3</v>
      </c>
      <c r="N77" s="4" t="s">
        <v>3</v>
      </c>
      <c r="O77" s="4">
        <v>2</v>
      </c>
      <c r="P77" s="4"/>
      <c r="Q77" s="4"/>
      <c r="R77" s="4"/>
      <c r="S77" s="4"/>
      <c r="T77" s="4"/>
      <c r="U77" s="4"/>
      <c r="V77" s="4"/>
      <c r="W77" s="4"/>
    </row>
    <row r="78" spans="1:23" x14ac:dyDescent="0.2">
      <c r="A78" s="4">
        <v>50</v>
      </c>
      <c r="B78" s="4">
        <v>0</v>
      </c>
      <c r="C78" s="4">
        <v>0</v>
      </c>
      <c r="D78" s="4">
        <v>1</v>
      </c>
      <c r="E78" s="4">
        <v>204</v>
      </c>
      <c r="F78" s="4">
        <f>ROUND(Source!R64,O78)</f>
        <v>60460.19</v>
      </c>
      <c r="G78" s="4" t="s">
        <v>237</v>
      </c>
      <c r="H78" s="4" t="s">
        <v>238</v>
      </c>
      <c r="I78" s="4"/>
      <c r="J78" s="4"/>
      <c r="K78" s="4">
        <v>204</v>
      </c>
      <c r="L78" s="4">
        <v>13</v>
      </c>
      <c r="M78" s="4">
        <v>3</v>
      </c>
      <c r="N78" s="4" t="s">
        <v>3</v>
      </c>
      <c r="O78" s="4">
        <v>2</v>
      </c>
      <c r="P78" s="4"/>
      <c r="Q78" s="4"/>
      <c r="R78" s="4"/>
      <c r="S78" s="4"/>
      <c r="T78" s="4"/>
      <c r="U78" s="4"/>
      <c r="V78" s="4"/>
      <c r="W78" s="4"/>
    </row>
    <row r="79" spans="1:23" x14ac:dyDescent="0.2">
      <c r="A79" s="4">
        <v>50</v>
      </c>
      <c r="B79" s="4">
        <v>0</v>
      </c>
      <c r="C79" s="4">
        <v>0</v>
      </c>
      <c r="D79" s="4">
        <v>1</v>
      </c>
      <c r="E79" s="4">
        <v>205</v>
      </c>
      <c r="F79" s="4">
        <f>ROUND(Source!S64,O79)</f>
        <v>297959.89</v>
      </c>
      <c r="G79" s="4" t="s">
        <v>239</v>
      </c>
      <c r="H79" s="4" t="s">
        <v>240</v>
      </c>
      <c r="I79" s="4"/>
      <c r="J79" s="4"/>
      <c r="K79" s="4">
        <v>205</v>
      </c>
      <c r="L79" s="4">
        <v>14</v>
      </c>
      <c r="M79" s="4">
        <v>3</v>
      </c>
      <c r="N79" s="4" t="s">
        <v>3</v>
      </c>
      <c r="O79" s="4">
        <v>2</v>
      </c>
      <c r="P79" s="4"/>
      <c r="Q79" s="4"/>
      <c r="R79" s="4"/>
      <c r="S79" s="4"/>
      <c r="T79" s="4"/>
      <c r="U79" s="4"/>
      <c r="V79" s="4"/>
      <c r="W79" s="4"/>
    </row>
    <row r="80" spans="1:23" x14ac:dyDescent="0.2">
      <c r="A80" s="4">
        <v>50</v>
      </c>
      <c r="B80" s="4">
        <v>0</v>
      </c>
      <c r="C80" s="4">
        <v>0</v>
      </c>
      <c r="D80" s="4">
        <v>1</v>
      </c>
      <c r="E80" s="4">
        <v>232</v>
      </c>
      <c r="F80" s="4">
        <f>ROUND(Source!BC64,O80)</f>
        <v>0</v>
      </c>
      <c r="G80" s="4" t="s">
        <v>241</v>
      </c>
      <c r="H80" s="4" t="s">
        <v>242</v>
      </c>
      <c r="I80" s="4"/>
      <c r="J80" s="4"/>
      <c r="K80" s="4">
        <v>232</v>
      </c>
      <c r="L80" s="4">
        <v>15</v>
      </c>
      <c r="M80" s="4">
        <v>3</v>
      </c>
      <c r="N80" s="4" t="s">
        <v>3</v>
      </c>
      <c r="O80" s="4">
        <v>2</v>
      </c>
      <c r="P80" s="4"/>
      <c r="Q80" s="4"/>
      <c r="R80" s="4"/>
      <c r="S80" s="4"/>
      <c r="T80" s="4"/>
      <c r="U80" s="4"/>
      <c r="V80" s="4"/>
      <c r="W80" s="4"/>
    </row>
    <row r="81" spans="1:206" x14ac:dyDescent="0.2">
      <c r="A81" s="4">
        <v>50</v>
      </c>
      <c r="B81" s="4">
        <v>0</v>
      </c>
      <c r="C81" s="4">
        <v>0</v>
      </c>
      <c r="D81" s="4">
        <v>1</v>
      </c>
      <c r="E81" s="4">
        <v>214</v>
      </c>
      <c r="F81" s="4">
        <f>ROUND(Source!AS64,O81)</f>
        <v>6680967.8300000001</v>
      </c>
      <c r="G81" s="4" t="s">
        <v>243</v>
      </c>
      <c r="H81" s="4" t="s">
        <v>244</v>
      </c>
      <c r="I81" s="4"/>
      <c r="J81" s="4"/>
      <c r="K81" s="4">
        <v>214</v>
      </c>
      <c r="L81" s="4">
        <v>16</v>
      </c>
      <c r="M81" s="4">
        <v>3</v>
      </c>
      <c r="N81" s="4" t="s">
        <v>3</v>
      </c>
      <c r="O81" s="4">
        <v>2</v>
      </c>
      <c r="P81" s="4"/>
      <c r="Q81" s="4"/>
      <c r="R81" s="4"/>
      <c r="S81" s="4"/>
      <c r="T81" s="4"/>
      <c r="U81" s="4"/>
      <c r="V81" s="4"/>
      <c r="W81" s="4"/>
    </row>
    <row r="82" spans="1:206" x14ac:dyDescent="0.2">
      <c r="A82" s="4">
        <v>50</v>
      </c>
      <c r="B82" s="4">
        <v>0</v>
      </c>
      <c r="C82" s="4">
        <v>0</v>
      </c>
      <c r="D82" s="4">
        <v>1</v>
      </c>
      <c r="E82" s="4">
        <v>215</v>
      </c>
      <c r="F82" s="4">
        <f>ROUND(Source!AT64,O82)</f>
        <v>0</v>
      </c>
      <c r="G82" s="4" t="s">
        <v>245</v>
      </c>
      <c r="H82" s="4" t="s">
        <v>246</v>
      </c>
      <c r="I82" s="4"/>
      <c r="J82" s="4"/>
      <c r="K82" s="4">
        <v>215</v>
      </c>
      <c r="L82" s="4">
        <v>17</v>
      </c>
      <c r="M82" s="4">
        <v>3</v>
      </c>
      <c r="N82" s="4" t="s">
        <v>3</v>
      </c>
      <c r="O82" s="4">
        <v>2</v>
      </c>
      <c r="P82" s="4"/>
      <c r="Q82" s="4"/>
      <c r="R82" s="4"/>
      <c r="S82" s="4"/>
      <c r="T82" s="4"/>
      <c r="U82" s="4"/>
      <c r="V82" s="4"/>
      <c r="W82" s="4"/>
    </row>
    <row r="83" spans="1:206" x14ac:dyDescent="0.2">
      <c r="A83" s="4">
        <v>50</v>
      </c>
      <c r="B83" s="4">
        <v>0</v>
      </c>
      <c r="C83" s="4">
        <v>0</v>
      </c>
      <c r="D83" s="4">
        <v>1</v>
      </c>
      <c r="E83" s="4">
        <v>217</v>
      </c>
      <c r="F83" s="4">
        <f>ROUND(Source!AU64,O83)</f>
        <v>367399.45</v>
      </c>
      <c r="G83" s="4" t="s">
        <v>247</v>
      </c>
      <c r="H83" s="4" t="s">
        <v>248</v>
      </c>
      <c r="I83" s="4"/>
      <c r="J83" s="4"/>
      <c r="K83" s="4">
        <v>217</v>
      </c>
      <c r="L83" s="4">
        <v>18</v>
      </c>
      <c r="M83" s="4">
        <v>3</v>
      </c>
      <c r="N83" s="4" t="s">
        <v>3</v>
      </c>
      <c r="O83" s="4">
        <v>2</v>
      </c>
      <c r="P83" s="4"/>
      <c r="Q83" s="4"/>
      <c r="R83" s="4"/>
      <c r="S83" s="4"/>
      <c r="T83" s="4"/>
      <c r="U83" s="4"/>
      <c r="V83" s="4"/>
      <c r="W83" s="4"/>
    </row>
    <row r="84" spans="1:206" x14ac:dyDescent="0.2">
      <c r="A84" s="4">
        <v>50</v>
      </c>
      <c r="B84" s="4">
        <v>0</v>
      </c>
      <c r="C84" s="4">
        <v>0</v>
      </c>
      <c r="D84" s="4">
        <v>1</v>
      </c>
      <c r="E84" s="4">
        <v>230</v>
      </c>
      <c r="F84" s="4">
        <f>ROUND(Source!BA64,O84)</f>
        <v>0</v>
      </c>
      <c r="G84" s="4" t="s">
        <v>249</v>
      </c>
      <c r="H84" s="4" t="s">
        <v>250</v>
      </c>
      <c r="I84" s="4"/>
      <c r="J84" s="4"/>
      <c r="K84" s="4">
        <v>230</v>
      </c>
      <c r="L84" s="4">
        <v>19</v>
      </c>
      <c r="M84" s="4">
        <v>3</v>
      </c>
      <c r="N84" s="4" t="s">
        <v>3</v>
      </c>
      <c r="O84" s="4">
        <v>2</v>
      </c>
      <c r="P84" s="4"/>
      <c r="Q84" s="4"/>
      <c r="R84" s="4"/>
      <c r="S84" s="4"/>
      <c r="T84" s="4"/>
      <c r="U84" s="4"/>
      <c r="V84" s="4"/>
      <c r="W84" s="4"/>
    </row>
    <row r="85" spans="1:206" x14ac:dyDescent="0.2">
      <c r="A85" s="4">
        <v>50</v>
      </c>
      <c r="B85" s="4">
        <v>0</v>
      </c>
      <c r="C85" s="4">
        <v>0</v>
      </c>
      <c r="D85" s="4">
        <v>1</v>
      </c>
      <c r="E85" s="4">
        <v>206</v>
      </c>
      <c r="F85" s="4">
        <f>ROUND(Source!T64,O85)</f>
        <v>0</v>
      </c>
      <c r="G85" s="4" t="s">
        <v>251</v>
      </c>
      <c r="H85" s="4" t="s">
        <v>252</v>
      </c>
      <c r="I85" s="4"/>
      <c r="J85" s="4"/>
      <c r="K85" s="4">
        <v>206</v>
      </c>
      <c r="L85" s="4">
        <v>20</v>
      </c>
      <c r="M85" s="4">
        <v>3</v>
      </c>
      <c r="N85" s="4" t="s">
        <v>3</v>
      </c>
      <c r="O85" s="4">
        <v>2</v>
      </c>
      <c r="P85" s="4"/>
      <c r="Q85" s="4"/>
      <c r="R85" s="4"/>
      <c r="S85" s="4"/>
      <c r="T85" s="4"/>
      <c r="U85" s="4"/>
      <c r="V85" s="4"/>
      <c r="W85" s="4"/>
    </row>
    <row r="86" spans="1:206" x14ac:dyDescent="0.2">
      <c r="A86" s="4">
        <v>50</v>
      </c>
      <c r="B86" s="4">
        <v>0</v>
      </c>
      <c r="C86" s="4">
        <v>0</v>
      </c>
      <c r="D86" s="4">
        <v>1</v>
      </c>
      <c r="E86" s="4">
        <v>207</v>
      </c>
      <c r="F86" s="4">
        <f>Source!U64</f>
        <v>1038.7370309999999</v>
      </c>
      <c r="G86" s="4" t="s">
        <v>253</v>
      </c>
      <c r="H86" s="4" t="s">
        <v>254</v>
      </c>
      <c r="I86" s="4"/>
      <c r="J86" s="4"/>
      <c r="K86" s="4">
        <v>207</v>
      </c>
      <c r="L86" s="4">
        <v>21</v>
      </c>
      <c r="M86" s="4">
        <v>3</v>
      </c>
      <c r="N86" s="4" t="s">
        <v>3</v>
      </c>
      <c r="O86" s="4">
        <v>-1</v>
      </c>
      <c r="P86" s="4"/>
      <c r="Q86" s="4"/>
      <c r="R86" s="4"/>
      <c r="S86" s="4"/>
      <c r="T86" s="4"/>
      <c r="U86" s="4"/>
      <c r="V86" s="4"/>
      <c r="W86" s="4"/>
    </row>
    <row r="87" spans="1:206" x14ac:dyDescent="0.2">
      <c r="A87" s="4">
        <v>50</v>
      </c>
      <c r="B87" s="4">
        <v>0</v>
      </c>
      <c r="C87" s="4">
        <v>0</v>
      </c>
      <c r="D87" s="4">
        <v>1</v>
      </c>
      <c r="E87" s="4">
        <v>208</v>
      </c>
      <c r="F87" s="4">
        <f>Source!V64</f>
        <v>0</v>
      </c>
      <c r="G87" s="4" t="s">
        <v>255</v>
      </c>
      <c r="H87" s="4" t="s">
        <v>256</v>
      </c>
      <c r="I87" s="4"/>
      <c r="J87" s="4"/>
      <c r="K87" s="4">
        <v>208</v>
      </c>
      <c r="L87" s="4">
        <v>22</v>
      </c>
      <c r="M87" s="4">
        <v>3</v>
      </c>
      <c r="N87" s="4" t="s">
        <v>3</v>
      </c>
      <c r="O87" s="4">
        <v>-1</v>
      </c>
      <c r="P87" s="4"/>
      <c r="Q87" s="4"/>
      <c r="R87" s="4"/>
      <c r="S87" s="4"/>
      <c r="T87" s="4"/>
      <c r="U87" s="4"/>
      <c r="V87" s="4"/>
      <c r="W87" s="4"/>
    </row>
    <row r="88" spans="1:206" x14ac:dyDescent="0.2">
      <c r="A88" s="4">
        <v>50</v>
      </c>
      <c r="B88" s="4">
        <v>0</v>
      </c>
      <c r="C88" s="4">
        <v>0</v>
      </c>
      <c r="D88" s="4">
        <v>1</v>
      </c>
      <c r="E88" s="4">
        <v>209</v>
      </c>
      <c r="F88" s="4">
        <f>ROUND(Source!W64,O88)</f>
        <v>0</v>
      </c>
      <c r="G88" s="4" t="s">
        <v>257</v>
      </c>
      <c r="H88" s="4" t="s">
        <v>258</v>
      </c>
      <c r="I88" s="4"/>
      <c r="J88" s="4"/>
      <c r="K88" s="4">
        <v>209</v>
      </c>
      <c r="L88" s="4">
        <v>23</v>
      </c>
      <c r="M88" s="4">
        <v>3</v>
      </c>
      <c r="N88" s="4" t="s">
        <v>3</v>
      </c>
      <c r="O88" s="4">
        <v>2</v>
      </c>
      <c r="P88" s="4"/>
      <c r="Q88" s="4"/>
      <c r="R88" s="4"/>
      <c r="S88" s="4"/>
      <c r="T88" s="4"/>
      <c r="U88" s="4"/>
      <c r="V88" s="4"/>
      <c r="W88" s="4"/>
    </row>
    <row r="89" spans="1:206" x14ac:dyDescent="0.2">
      <c r="A89" s="4">
        <v>50</v>
      </c>
      <c r="B89" s="4">
        <v>0</v>
      </c>
      <c r="C89" s="4">
        <v>0</v>
      </c>
      <c r="D89" s="4">
        <v>1</v>
      </c>
      <c r="E89" s="4">
        <v>233</v>
      </c>
      <c r="F89" s="4">
        <f>ROUND(Source!BD64,O89)</f>
        <v>0</v>
      </c>
      <c r="G89" s="4" t="s">
        <v>259</v>
      </c>
      <c r="H89" s="4" t="s">
        <v>260</v>
      </c>
      <c r="I89" s="4"/>
      <c r="J89" s="4"/>
      <c r="K89" s="4">
        <v>233</v>
      </c>
      <c r="L89" s="4">
        <v>24</v>
      </c>
      <c r="M89" s="4">
        <v>3</v>
      </c>
      <c r="N89" s="4" t="s">
        <v>3</v>
      </c>
      <c r="O89" s="4">
        <v>2</v>
      </c>
      <c r="P89" s="4"/>
      <c r="Q89" s="4"/>
      <c r="R89" s="4"/>
      <c r="S89" s="4"/>
      <c r="T89" s="4"/>
      <c r="U89" s="4"/>
      <c r="V89" s="4"/>
      <c r="W89" s="4"/>
    </row>
    <row r="90" spans="1:206" x14ac:dyDescent="0.2">
      <c r="A90" s="4">
        <v>50</v>
      </c>
      <c r="B90" s="4">
        <v>0</v>
      </c>
      <c r="C90" s="4">
        <v>0</v>
      </c>
      <c r="D90" s="4">
        <v>1</v>
      </c>
      <c r="E90" s="4">
        <v>210</v>
      </c>
      <c r="F90" s="4">
        <f>ROUND(Source!X64,O90)</f>
        <v>250816.85</v>
      </c>
      <c r="G90" s="4" t="s">
        <v>261</v>
      </c>
      <c r="H90" s="4" t="s">
        <v>262</v>
      </c>
      <c r="I90" s="4"/>
      <c r="J90" s="4"/>
      <c r="K90" s="4">
        <v>210</v>
      </c>
      <c r="L90" s="4">
        <v>25</v>
      </c>
      <c r="M90" s="4">
        <v>3</v>
      </c>
      <c r="N90" s="4" t="s">
        <v>3</v>
      </c>
      <c r="O90" s="4">
        <v>2</v>
      </c>
      <c r="P90" s="4"/>
      <c r="Q90" s="4"/>
      <c r="R90" s="4"/>
      <c r="S90" s="4"/>
      <c r="T90" s="4"/>
      <c r="U90" s="4"/>
      <c r="V90" s="4"/>
      <c r="W90" s="4"/>
    </row>
    <row r="91" spans="1:206" x14ac:dyDescent="0.2">
      <c r="A91" s="4">
        <v>50</v>
      </c>
      <c r="B91" s="4">
        <v>0</v>
      </c>
      <c r="C91" s="4">
        <v>0</v>
      </c>
      <c r="D91" s="4">
        <v>1</v>
      </c>
      <c r="E91" s="4">
        <v>211</v>
      </c>
      <c r="F91" s="4">
        <f>ROUND(Source!Y64,O91)</f>
        <v>122207.38</v>
      </c>
      <c r="G91" s="4" t="s">
        <v>263</v>
      </c>
      <c r="H91" s="4" t="s">
        <v>264</v>
      </c>
      <c r="I91" s="4"/>
      <c r="J91" s="4"/>
      <c r="K91" s="4">
        <v>211</v>
      </c>
      <c r="L91" s="4">
        <v>26</v>
      </c>
      <c r="M91" s="4">
        <v>3</v>
      </c>
      <c r="N91" s="4" t="s">
        <v>3</v>
      </c>
      <c r="O91" s="4">
        <v>2</v>
      </c>
      <c r="P91" s="4"/>
      <c r="Q91" s="4"/>
      <c r="R91" s="4"/>
      <c r="S91" s="4"/>
      <c r="T91" s="4"/>
      <c r="U91" s="4"/>
      <c r="V91" s="4"/>
      <c r="W91" s="4"/>
    </row>
    <row r="92" spans="1:206" x14ac:dyDescent="0.2">
      <c r="A92" s="4">
        <v>50</v>
      </c>
      <c r="B92" s="4">
        <v>0</v>
      </c>
      <c r="C92" s="4">
        <v>0</v>
      </c>
      <c r="D92" s="4">
        <v>1</v>
      </c>
      <c r="E92" s="4">
        <v>224</v>
      </c>
      <c r="F92" s="4">
        <f>ROUND(Source!AR64,O92)</f>
        <v>7048367.2800000003</v>
      </c>
      <c r="G92" s="4" t="s">
        <v>265</v>
      </c>
      <c r="H92" s="4" t="s">
        <v>266</v>
      </c>
      <c r="I92" s="4"/>
      <c r="J92" s="4"/>
      <c r="K92" s="4">
        <v>224</v>
      </c>
      <c r="L92" s="4">
        <v>27</v>
      </c>
      <c r="M92" s="4">
        <v>3</v>
      </c>
      <c r="N92" s="4" t="s">
        <v>3</v>
      </c>
      <c r="O92" s="4">
        <v>2</v>
      </c>
      <c r="P92" s="4"/>
      <c r="Q92" s="4"/>
      <c r="R92" s="4"/>
      <c r="S92" s="4"/>
      <c r="T92" s="4"/>
      <c r="U92" s="4"/>
      <c r="V92" s="4"/>
      <c r="W92" s="4"/>
    </row>
    <row r="94" spans="1:206" x14ac:dyDescent="0.2">
      <c r="A94" s="1">
        <v>4</v>
      </c>
      <c r="B94" s="1">
        <v>1</v>
      </c>
      <c r="C94" s="1"/>
      <c r="D94" s="1">
        <f>ROW(A118)</f>
        <v>118</v>
      </c>
      <c r="E94" s="1"/>
      <c r="F94" s="1" t="s">
        <v>13</v>
      </c>
      <c r="G94" s="1" t="s">
        <v>267</v>
      </c>
      <c r="H94" s="1" t="s">
        <v>3</v>
      </c>
      <c r="I94" s="1">
        <v>0</v>
      </c>
      <c r="J94" s="1"/>
      <c r="K94" s="1">
        <v>0</v>
      </c>
      <c r="L94" s="1"/>
      <c r="M94" s="1" t="s">
        <v>3</v>
      </c>
      <c r="N94" s="1"/>
      <c r="O94" s="1"/>
      <c r="P94" s="1"/>
      <c r="Q94" s="1"/>
      <c r="R94" s="1"/>
      <c r="S94" s="1">
        <v>0</v>
      </c>
      <c r="T94" s="1"/>
      <c r="U94" s="1" t="s">
        <v>3</v>
      </c>
      <c r="V94" s="1">
        <v>0</v>
      </c>
      <c r="W94" s="1"/>
      <c r="X94" s="1"/>
      <c r="Y94" s="1"/>
      <c r="Z94" s="1"/>
      <c r="AA94" s="1"/>
      <c r="AB94" s="1" t="s">
        <v>3</v>
      </c>
      <c r="AC94" s="1" t="s">
        <v>3</v>
      </c>
      <c r="AD94" s="1" t="s">
        <v>3</v>
      </c>
      <c r="AE94" s="1" t="s">
        <v>3</v>
      </c>
      <c r="AF94" s="1" t="s">
        <v>3</v>
      </c>
      <c r="AG94" s="1" t="s">
        <v>3</v>
      </c>
      <c r="AH94" s="1"/>
      <c r="AI94" s="1"/>
      <c r="AJ94" s="1"/>
      <c r="AK94" s="1"/>
      <c r="AL94" s="1"/>
      <c r="AM94" s="1"/>
      <c r="AN94" s="1"/>
      <c r="AO94" s="1"/>
      <c r="AP94" s="1" t="s">
        <v>3</v>
      </c>
      <c r="AQ94" s="1" t="s">
        <v>3</v>
      </c>
      <c r="AR94" s="1" t="s">
        <v>3</v>
      </c>
      <c r="AS94" s="1"/>
      <c r="AT94" s="1"/>
      <c r="AU94" s="1"/>
      <c r="AV94" s="1"/>
      <c r="AW94" s="1"/>
      <c r="AX94" s="1"/>
      <c r="AY94" s="1"/>
      <c r="AZ94" s="1" t="s">
        <v>3</v>
      </c>
      <c r="BA94" s="1"/>
      <c r="BB94" s="1" t="s">
        <v>3</v>
      </c>
      <c r="BC94" s="1" t="s">
        <v>3</v>
      </c>
      <c r="BD94" s="1" t="s">
        <v>3</v>
      </c>
      <c r="BE94" s="1" t="s">
        <v>3</v>
      </c>
      <c r="BF94" s="1" t="s">
        <v>3</v>
      </c>
      <c r="BG94" s="1" t="s">
        <v>3</v>
      </c>
      <c r="BH94" s="1" t="s">
        <v>3</v>
      </c>
      <c r="BI94" s="1" t="s">
        <v>3</v>
      </c>
      <c r="BJ94" s="1" t="s">
        <v>3</v>
      </c>
      <c r="BK94" s="1" t="s">
        <v>3</v>
      </c>
      <c r="BL94" s="1" t="s">
        <v>3</v>
      </c>
      <c r="BM94" s="1" t="s">
        <v>3</v>
      </c>
      <c r="BN94" s="1" t="s">
        <v>3</v>
      </c>
      <c r="BO94" s="1" t="s">
        <v>3</v>
      </c>
      <c r="BP94" s="1" t="s">
        <v>3</v>
      </c>
      <c r="BQ94" s="1"/>
      <c r="BR94" s="1"/>
      <c r="BS94" s="1"/>
      <c r="BT94" s="1"/>
      <c r="BU94" s="1"/>
      <c r="BV94" s="1"/>
      <c r="BW94" s="1"/>
      <c r="BX94" s="1">
        <v>0</v>
      </c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>
        <v>0</v>
      </c>
    </row>
    <row r="96" spans="1:206" x14ac:dyDescent="0.2">
      <c r="A96" s="2">
        <v>52</v>
      </c>
      <c r="B96" s="2">
        <f t="shared" ref="B96:G96" si="68">B118</f>
        <v>1</v>
      </c>
      <c r="C96" s="2">
        <f t="shared" si="68"/>
        <v>4</v>
      </c>
      <c r="D96" s="2">
        <f t="shared" si="68"/>
        <v>94</v>
      </c>
      <c r="E96" s="2">
        <f t="shared" si="68"/>
        <v>0</v>
      </c>
      <c r="F96" s="2" t="str">
        <f t="shared" si="68"/>
        <v>Новый раздел</v>
      </c>
      <c r="G96" s="2" t="str">
        <f t="shared" si="68"/>
        <v>Ремонт покрытия из тратуарной плитки 320 кв.м</v>
      </c>
      <c r="H96" s="2"/>
      <c r="I96" s="2"/>
      <c r="J96" s="2"/>
      <c r="K96" s="2"/>
      <c r="L96" s="2"/>
      <c r="M96" s="2"/>
      <c r="N96" s="2"/>
      <c r="O96" s="2">
        <f t="shared" ref="O96:AT96" si="69">O118</f>
        <v>840894.15</v>
      </c>
      <c r="P96" s="2">
        <f t="shared" si="69"/>
        <v>492335.9</v>
      </c>
      <c r="Q96" s="2">
        <f t="shared" si="69"/>
        <v>187523.29</v>
      </c>
      <c r="R96" s="2">
        <f t="shared" si="69"/>
        <v>21512.83</v>
      </c>
      <c r="S96" s="2">
        <f t="shared" si="69"/>
        <v>161034.96</v>
      </c>
      <c r="T96" s="2">
        <f t="shared" si="69"/>
        <v>0</v>
      </c>
      <c r="U96" s="2">
        <f t="shared" si="69"/>
        <v>581.17679999999996</v>
      </c>
      <c r="V96" s="2">
        <f t="shared" si="69"/>
        <v>0</v>
      </c>
      <c r="W96" s="2">
        <f t="shared" si="69"/>
        <v>0</v>
      </c>
      <c r="X96" s="2">
        <f t="shared" si="69"/>
        <v>143769.39000000001</v>
      </c>
      <c r="Y96" s="2">
        <f t="shared" si="69"/>
        <v>66155.759999999995</v>
      </c>
      <c r="Z96" s="2">
        <f t="shared" si="69"/>
        <v>0</v>
      </c>
      <c r="AA96" s="2">
        <f t="shared" si="69"/>
        <v>0</v>
      </c>
      <c r="AB96" s="2">
        <f t="shared" si="69"/>
        <v>840894.15</v>
      </c>
      <c r="AC96" s="2">
        <f t="shared" si="69"/>
        <v>492335.9</v>
      </c>
      <c r="AD96" s="2">
        <f t="shared" si="69"/>
        <v>187523.29</v>
      </c>
      <c r="AE96" s="2">
        <f t="shared" si="69"/>
        <v>21512.83</v>
      </c>
      <c r="AF96" s="2">
        <f t="shared" si="69"/>
        <v>161034.96</v>
      </c>
      <c r="AG96" s="2">
        <f t="shared" si="69"/>
        <v>0</v>
      </c>
      <c r="AH96" s="2">
        <f t="shared" si="69"/>
        <v>581.17679999999996</v>
      </c>
      <c r="AI96" s="2">
        <f t="shared" si="69"/>
        <v>0</v>
      </c>
      <c r="AJ96" s="2">
        <f t="shared" si="69"/>
        <v>0</v>
      </c>
      <c r="AK96" s="2">
        <f t="shared" si="69"/>
        <v>143769.39000000001</v>
      </c>
      <c r="AL96" s="2">
        <f t="shared" si="69"/>
        <v>66155.759999999995</v>
      </c>
      <c r="AM96" s="2">
        <f t="shared" si="69"/>
        <v>0</v>
      </c>
      <c r="AN96" s="2">
        <f t="shared" si="69"/>
        <v>0</v>
      </c>
      <c r="AO96" s="2">
        <f t="shared" si="69"/>
        <v>0</v>
      </c>
      <c r="AP96" s="2">
        <f t="shared" si="69"/>
        <v>0</v>
      </c>
      <c r="AQ96" s="2">
        <f t="shared" si="69"/>
        <v>0</v>
      </c>
      <c r="AR96" s="2">
        <f t="shared" si="69"/>
        <v>1084594.45</v>
      </c>
      <c r="AS96" s="2">
        <f t="shared" si="69"/>
        <v>967638.15</v>
      </c>
      <c r="AT96" s="2">
        <f t="shared" si="69"/>
        <v>0</v>
      </c>
      <c r="AU96" s="2">
        <f t="shared" ref="AU96:BZ96" si="70">AU118</f>
        <v>116956.3</v>
      </c>
      <c r="AV96" s="2">
        <f t="shared" si="70"/>
        <v>492335.9</v>
      </c>
      <c r="AW96" s="2">
        <f t="shared" si="70"/>
        <v>492335.9</v>
      </c>
      <c r="AX96" s="2">
        <f t="shared" si="70"/>
        <v>0</v>
      </c>
      <c r="AY96" s="2">
        <f t="shared" si="70"/>
        <v>492335.9</v>
      </c>
      <c r="AZ96" s="2">
        <f t="shared" si="70"/>
        <v>0</v>
      </c>
      <c r="BA96" s="2">
        <f t="shared" si="70"/>
        <v>0</v>
      </c>
      <c r="BB96" s="2">
        <f t="shared" si="70"/>
        <v>0</v>
      </c>
      <c r="BC96" s="2">
        <f t="shared" si="70"/>
        <v>0</v>
      </c>
      <c r="BD96" s="2">
        <f t="shared" si="70"/>
        <v>0</v>
      </c>
      <c r="BE96" s="2">
        <f t="shared" si="70"/>
        <v>0</v>
      </c>
      <c r="BF96" s="2">
        <f t="shared" si="70"/>
        <v>0</v>
      </c>
      <c r="BG96" s="2">
        <f t="shared" si="70"/>
        <v>0</v>
      </c>
      <c r="BH96" s="2">
        <f t="shared" si="70"/>
        <v>0</v>
      </c>
      <c r="BI96" s="2">
        <f t="shared" si="70"/>
        <v>0</v>
      </c>
      <c r="BJ96" s="2">
        <f t="shared" si="70"/>
        <v>0</v>
      </c>
      <c r="BK96" s="2">
        <f t="shared" si="70"/>
        <v>0</v>
      </c>
      <c r="BL96" s="2">
        <f t="shared" si="70"/>
        <v>0</v>
      </c>
      <c r="BM96" s="2">
        <f t="shared" si="70"/>
        <v>0</v>
      </c>
      <c r="BN96" s="2">
        <f t="shared" si="70"/>
        <v>0</v>
      </c>
      <c r="BO96" s="2">
        <f t="shared" si="70"/>
        <v>0</v>
      </c>
      <c r="BP96" s="2">
        <f t="shared" si="70"/>
        <v>0</v>
      </c>
      <c r="BQ96" s="2">
        <f t="shared" si="70"/>
        <v>0</v>
      </c>
      <c r="BR96" s="2">
        <f t="shared" si="70"/>
        <v>0</v>
      </c>
      <c r="BS96" s="2">
        <f t="shared" si="70"/>
        <v>0</v>
      </c>
      <c r="BT96" s="2">
        <f t="shared" si="70"/>
        <v>0</v>
      </c>
      <c r="BU96" s="2">
        <f t="shared" si="70"/>
        <v>0</v>
      </c>
      <c r="BV96" s="2">
        <f t="shared" si="70"/>
        <v>0</v>
      </c>
      <c r="BW96" s="2">
        <f t="shared" si="70"/>
        <v>0</v>
      </c>
      <c r="BX96" s="2">
        <f t="shared" si="70"/>
        <v>0</v>
      </c>
      <c r="BY96" s="2">
        <f t="shared" si="70"/>
        <v>0</v>
      </c>
      <c r="BZ96" s="2">
        <f t="shared" si="70"/>
        <v>0</v>
      </c>
      <c r="CA96" s="2">
        <f t="shared" ref="CA96:DF96" si="71">CA118</f>
        <v>1084594.45</v>
      </c>
      <c r="CB96" s="2">
        <f t="shared" si="71"/>
        <v>967638.15</v>
      </c>
      <c r="CC96" s="2">
        <f t="shared" si="71"/>
        <v>0</v>
      </c>
      <c r="CD96" s="2">
        <f t="shared" si="71"/>
        <v>116956.3</v>
      </c>
      <c r="CE96" s="2">
        <f t="shared" si="71"/>
        <v>492335.9</v>
      </c>
      <c r="CF96" s="2">
        <f t="shared" si="71"/>
        <v>492335.9</v>
      </c>
      <c r="CG96" s="2">
        <f t="shared" si="71"/>
        <v>0</v>
      </c>
      <c r="CH96" s="2">
        <f t="shared" si="71"/>
        <v>492335.9</v>
      </c>
      <c r="CI96" s="2">
        <f t="shared" si="71"/>
        <v>0</v>
      </c>
      <c r="CJ96" s="2">
        <f t="shared" si="71"/>
        <v>0</v>
      </c>
      <c r="CK96" s="2">
        <f t="shared" si="71"/>
        <v>0</v>
      </c>
      <c r="CL96" s="2">
        <f t="shared" si="71"/>
        <v>0</v>
      </c>
      <c r="CM96" s="2">
        <f t="shared" si="71"/>
        <v>0</v>
      </c>
      <c r="CN96" s="2">
        <f t="shared" si="71"/>
        <v>0</v>
      </c>
      <c r="CO96" s="2">
        <f t="shared" si="71"/>
        <v>0</v>
      </c>
      <c r="CP96" s="2">
        <f t="shared" si="71"/>
        <v>0</v>
      </c>
      <c r="CQ96" s="2">
        <f t="shared" si="71"/>
        <v>0</v>
      </c>
      <c r="CR96" s="2">
        <f t="shared" si="71"/>
        <v>0</v>
      </c>
      <c r="CS96" s="2">
        <f t="shared" si="71"/>
        <v>0</v>
      </c>
      <c r="CT96" s="2">
        <f t="shared" si="71"/>
        <v>0</v>
      </c>
      <c r="CU96" s="2">
        <f t="shared" si="71"/>
        <v>0</v>
      </c>
      <c r="CV96" s="2">
        <f t="shared" si="71"/>
        <v>0</v>
      </c>
      <c r="CW96" s="2">
        <f t="shared" si="71"/>
        <v>0</v>
      </c>
      <c r="CX96" s="2">
        <f t="shared" si="71"/>
        <v>0</v>
      </c>
      <c r="CY96" s="2">
        <f t="shared" si="71"/>
        <v>0</v>
      </c>
      <c r="CZ96" s="2">
        <f t="shared" si="71"/>
        <v>0</v>
      </c>
      <c r="DA96" s="2">
        <f t="shared" si="71"/>
        <v>0</v>
      </c>
      <c r="DB96" s="2">
        <f t="shared" si="71"/>
        <v>0</v>
      </c>
      <c r="DC96" s="2">
        <f t="shared" si="71"/>
        <v>0</v>
      </c>
      <c r="DD96" s="2">
        <f t="shared" si="71"/>
        <v>0</v>
      </c>
      <c r="DE96" s="2">
        <f t="shared" si="71"/>
        <v>0</v>
      </c>
      <c r="DF96" s="2">
        <f t="shared" si="71"/>
        <v>0</v>
      </c>
      <c r="DG96" s="3">
        <f t="shared" ref="DG96:EL96" si="72">DG118</f>
        <v>0</v>
      </c>
      <c r="DH96" s="3">
        <f t="shared" si="72"/>
        <v>0</v>
      </c>
      <c r="DI96" s="3">
        <f t="shared" si="72"/>
        <v>0</v>
      </c>
      <c r="DJ96" s="3">
        <f t="shared" si="72"/>
        <v>0</v>
      </c>
      <c r="DK96" s="3">
        <f t="shared" si="72"/>
        <v>0</v>
      </c>
      <c r="DL96" s="3">
        <f t="shared" si="72"/>
        <v>0</v>
      </c>
      <c r="DM96" s="3">
        <f t="shared" si="72"/>
        <v>0</v>
      </c>
      <c r="DN96" s="3">
        <f t="shared" si="72"/>
        <v>0</v>
      </c>
      <c r="DO96" s="3">
        <f t="shared" si="72"/>
        <v>0</v>
      </c>
      <c r="DP96" s="3">
        <f t="shared" si="72"/>
        <v>0</v>
      </c>
      <c r="DQ96" s="3">
        <f t="shared" si="72"/>
        <v>0</v>
      </c>
      <c r="DR96" s="3">
        <f t="shared" si="72"/>
        <v>0</v>
      </c>
      <c r="DS96" s="3">
        <f t="shared" si="72"/>
        <v>0</v>
      </c>
      <c r="DT96" s="3">
        <f t="shared" si="72"/>
        <v>0</v>
      </c>
      <c r="DU96" s="3">
        <f t="shared" si="72"/>
        <v>0</v>
      </c>
      <c r="DV96" s="3">
        <f t="shared" si="72"/>
        <v>0</v>
      </c>
      <c r="DW96" s="3">
        <f t="shared" si="72"/>
        <v>0</v>
      </c>
      <c r="DX96" s="3">
        <f t="shared" si="72"/>
        <v>0</v>
      </c>
      <c r="DY96" s="3">
        <f t="shared" si="72"/>
        <v>0</v>
      </c>
      <c r="DZ96" s="3">
        <f t="shared" si="72"/>
        <v>0</v>
      </c>
      <c r="EA96" s="3">
        <f t="shared" si="72"/>
        <v>0</v>
      </c>
      <c r="EB96" s="3">
        <f t="shared" si="72"/>
        <v>0</v>
      </c>
      <c r="EC96" s="3">
        <f t="shared" si="72"/>
        <v>0</v>
      </c>
      <c r="ED96" s="3">
        <f t="shared" si="72"/>
        <v>0</v>
      </c>
      <c r="EE96" s="3">
        <f t="shared" si="72"/>
        <v>0</v>
      </c>
      <c r="EF96" s="3">
        <f t="shared" si="72"/>
        <v>0</v>
      </c>
      <c r="EG96" s="3">
        <f t="shared" si="72"/>
        <v>0</v>
      </c>
      <c r="EH96" s="3">
        <f t="shared" si="72"/>
        <v>0</v>
      </c>
      <c r="EI96" s="3">
        <f t="shared" si="72"/>
        <v>0</v>
      </c>
      <c r="EJ96" s="3">
        <f t="shared" si="72"/>
        <v>0</v>
      </c>
      <c r="EK96" s="3">
        <f t="shared" si="72"/>
        <v>0</v>
      </c>
      <c r="EL96" s="3">
        <f t="shared" si="72"/>
        <v>0</v>
      </c>
      <c r="EM96" s="3">
        <f t="shared" ref="EM96:FR96" si="73">EM118</f>
        <v>0</v>
      </c>
      <c r="EN96" s="3">
        <f t="shared" si="73"/>
        <v>0</v>
      </c>
      <c r="EO96" s="3">
        <f t="shared" si="73"/>
        <v>0</v>
      </c>
      <c r="EP96" s="3">
        <f t="shared" si="73"/>
        <v>0</v>
      </c>
      <c r="EQ96" s="3">
        <f t="shared" si="73"/>
        <v>0</v>
      </c>
      <c r="ER96" s="3">
        <f t="shared" si="73"/>
        <v>0</v>
      </c>
      <c r="ES96" s="3">
        <f t="shared" si="73"/>
        <v>0</v>
      </c>
      <c r="ET96" s="3">
        <f t="shared" si="73"/>
        <v>0</v>
      </c>
      <c r="EU96" s="3">
        <f t="shared" si="73"/>
        <v>0</v>
      </c>
      <c r="EV96" s="3">
        <f t="shared" si="73"/>
        <v>0</v>
      </c>
      <c r="EW96" s="3">
        <f t="shared" si="73"/>
        <v>0</v>
      </c>
      <c r="EX96" s="3">
        <f t="shared" si="73"/>
        <v>0</v>
      </c>
      <c r="EY96" s="3">
        <f t="shared" si="73"/>
        <v>0</v>
      </c>
      <c r="EZ96" s="3">
        <f t="shared" si="73"/>
        <v>0</v>
      </c>
      <c r="FA96" s="3">
        <f t="shared" si="73"/>
        <v>0</v>
      </c>
      <c r="FB96" s="3">
        <f t="shared" si="73"/>
        <v>0</v>
      </c>
      <c r="FC96" s="3">
        <f t="shared" si="73"/>
        <v>0</v>
      </c>
      <c r="FD96" s="3">
        <f t="shared" si="73"/>
        <v>0</v>
      </c>
      <c r="FE96" s="3">
        <f t="shared" si="73"/>
        <v>0</v>
      </c>
      <c r="FF96" s="3">
        <f t="shared" si="73"/>
        <v>0</v>
      </c>
      <c r="FG96" s="3">
        <f t="shared" si="73"/>
        <v>0</v>
      </c>
      <c r="FH96" s="3">
        <f t="shared" si="73"/>
        <v>0</v>
      </c>
      <c r="FI96" s="3">
        <f t="shared" si="73"/>
        <v>0</v>
      </c>
      <c r="FJ96" s="3">
        <f t="shared" si="73"/>
        <v>0</v>
      </c>
      <c r="FK96" s="3">
        <f t="shared" si="73"/>
        <v>0</v>
      </c>
      <c r="FL96" s="3">
        <f t="shared" si="73"/>
        <v>0</v>
      </c>
      <c r="FM96" s="3">
        <f t="shared" si="73"/>
        <v>0</v>
      </c>
      <c r="FN96" s="3">
        <f t="shared" si="73"/>
        <v>0</v>
      </c>
      <c r="FO96" s="3">
        <f t="shared" si="73"/>
        <v>0</v>
      </c>
      <c r="FP96" s="3">
        <f t="shared" si="73"/>
        <v>0</v>
      </c>
      <c r="FQ96" s="3">
        <f t="shared" si="73"/>
        <v>0</v>
      </c>
      <c r="FR96" s="3">
        <f t="shared" si="73"/>
        <v>0</v>
      </c>
      <c r="FS96" s="3">
        <f t="shared" ref="FS96:GX96" si="74">FS118</f>
        <v>0</v>
      </c>
      <c r="FT96" s="3">
        <f t="shared" si="74"/>
        <v>0</v>
      </c>
      <c r="FU96" s="3">
        <f t="shared" si="74"/>
        <v>0</v>
      </c>
      <c r="FV96" s="3">
        <f t="shared" si="74"/>
        <v>0</v>
      </c>
      <c r="FW96" s="3">
        <f t="shared" si="74"/>
        <v>0</v>
      </c>
      <c r="FX96" s="3">
        <f t="shared" si="74"/>
        <v>0</v>
      </c>
      <c r="FY96" s="3">
        <f t="shared" si="74"/>
        <v>0</v>
      </c>
      <c r="FZ96" s="3">
        <f t="shared" si="74"/>
        <v>0</v>
      </c>
      <c r="GA96" s="3">
        <f t="shared" si="74"/>
        <v>0</v>
      </c>
      <c r="GB96" s="3">
        <f t="shared" si="74"/>
        <v>0</v>
      </c>
      <c r="GC96" s="3">
        <f t="shared" si="74"/>
        <v>0</v>
      </c>
      <c r="GD96" s="3">
        <f t="shared" si="74"/>
        <v>0</v>
      </c>
      <c r="GE96" s="3">
        <f t="shared" si="74"/>
        <v>0</v>
      </c>
      <c r="GF96" s="3">
        <f t="shared" si="74"/>
        <v>0</v>
      </c>
      <c r="GG96" s="3">
        <f t="shared" si="74"/>
        <v>0</v>
      </c>
      <c r="GH96" s="3">
        <f t="shared" si="74"/>
        <v>0</v>
      </c>
      <c r="GI96" s="3">
        <f t="shared" si="74"/>
        <v>0</v>
      </c>
      <c r="GJ96" s="3">
        <f t="shared" si="74"/>
        <v>0</v>
      </c>
      <c r="GK96" s="3">
        <f t="shared" si="74"/>
        <v>0</v>
      </c>
      <c r="GL96" s="3">
        <f t="shared" si="74"/>
        <v>0</v>
      </c>
      <c r="GM96" s="3">
        <f t="shared" si="74"/>
        <v>0</v>
      </c>
      <c r="GN96" s="3">
        <f t="shared" si="74"/>
        <v>0</v>
      </c>
      <c r="GO96" s="3">
        <f t="shared" si="74"/>
        <v>0</v>
      </c>
      <c r="GP96" s="3">
        <f t="shared" si="74"/>
        <v>0</v>
      </c>
      <c r="GQ96" s="3">
        <f t="shared" si="74"/>
        <v>0</v>
      </c>
      <c r="GR96" s="3">
        <f t="shared" si="74"/>
        <v>0</v>
      </c>
      <c r="GS96" s="3">
        <f t="shared" si="74"/>
        <v>0</v>
      </c>
      <c r="GT96" s="3">
        <f t="shared" si="74"/>
        <v>0</v>
      </c>
      <c r="GU96" s="3">
        <f t="shared" si="74"/>
        <v>0</v>
      </c>
      <c r="GV96" s="3">
        <f t="shared" si="74"/>
        <v>0</v>
      </c>
      <c r="GW96" s="3">
        <f t="shared" si="74"/>
        <v>0</v>
      </c>
      <c r="GX96" s="3">
        <f t="shared" si="74"/>
        <v>0</v>
      </c>
    </row>
    <row r="98" spans="1:245" x14ac:dyDescent="0.2">
      <c r="A98">
        <v>17</v>
      </c>
      <c r="B98">
        <v>1</v>
      </c>
      <c r="C98">
        <f>ROW(SmtRes!A96)</f>
        <v>96</v>
      </c>
      <c r="D98">
        <f>ROW(EtalonRes!A94)</f>
        <v>94</v>
      </c>
      <c r="E98" t="s">
        <v>268</v>
      </c>
      <c r="F98" t="s">
        <v>269</v>
      </c>
      <c r="G98" t="s">
        <v>270</v>
      </c>
      <c r="H98" t="s">
        <v>18</v>
      </c>
      <c r="I98">
        <f>ROUND(320/100,9)</f>
        <v>3.2</v>
      </c>
      <c r="J98">
        <v>0</v>
      </c>
      <c r="K98">
        <f>ROUND(320/100,9)</f>
        <v>3.2</v>
      </c>
      <c r="O98">
        <f t="shared" ref="O98:O116" si="75">ROUND(CP98,2)</f>
        <v>15177</v>
      </c>
      <c r="P98">
        <f t="shared" ref="P98:P116" si="76">ROUND((ROUND((AC98*AW98*I98),2)*BC98),2)</f>
        <v>0</v>
      </c>
      <c r="Q98">
        <f>(ROUND((ROUND(((ET98)*AV98*I98),2)*BB98),2)+ROUND((ROUND(((AE98-(EU98))*AV98*I98),2)*BS98),2))</f>
        <v>0</v>
      </c>
      <c r="R98">
        <f t="shared" ref="R98:R116" si="77">ROUND((ROUND((AE98*AV98*I98),2)*BS98),2)</f>
        <v>0</v>
      </c>
      <c r="S98">
        <f t="shared" ref="S98:S116" si="78">ROUND((ROUND((AF98*AV98*I98),2)*BA98),2)</f>
        <v>15177</v>
      </c>
      <c r="T98">
        <f t="shared" ref="T98:T116" si="79">ROUND(CU98*I98,2)</f>
        <v>0</v>
      </c>
      <c r="U98">
        <f t="shared" ref="U98:U116" si="80">CV98*I98</f>
        <v>59.776000000000003</v>
      </c>
      <c r="V98">
        <f t="shared" ref="V98:V116" si="81">CW98*I98</f>
        <v>0</v>
      </c>
      <c r="W98">
        <f t="shared" ref="W98:W116" si="82">ROUND(CX98*I98,2)</f>
        <v>0</v>
      </c>
      <c r="X98">
        <f t="shared" ref="X98:X116" si="83">ROUND(CY98,2)</f>
        <v>10320.36</v>
      </c>
      <c r="Y98">
        <f t="shared" ref="Y98:Y116" si="84">ROUND(CZ98,2)</f>
        <v>6222.57</v>
      </c>
      <c r="AA98">
        <v>42938047</v>
      </c>
      <c r="AB98">
        <f t="shared" ref="AB98:AB116" si="85">ROUND((AC98+AD98+AF98),6)</f>
        <v>186.43</v>
      </c>
      <c r="AC98">
        <f t="shared" ref="AC98:AC116" si="86">ROUND((ES98),6)</f>
        <v>0</v>
      </c>
      <c r="AD98">
        <f>ROUND((((ET98)-(EU98))+AE98),6)</f>
        <v>0</v>
      </c>
      <c r="AE98">
        <f>ROUND((EU98),6)</f>
        <v>0</v>
      </c>
      <c r="AF98">
        <f>ROUND((EV98),6)</f>
        <v>186.43</v>
      </c>
      <c r="AG98">
        <f t="shared" ref="AG98:AG116" si="87">ROUND((AP98),6)</f>
        <v>0</v>
      </c>
      <c r="AH98">
        <f>(EW98)</f>
        <v>18.68</v>
      </c>
      <c r="AI98">
        <f>(EX98)</f>
        <v>0</v>
      </c>
      <c r="AJ98">
        <f t="shared" ref="AJ98:AJ116" si="88">(AS98)</f>
        <v>0</v>
      </c>
      <c r="AK98">
        <v>186.43</v>
      </c>
      <c r="AL98">
        <v>0</v>
      </c>
      <c r="AM98">
        <v>0</v>
      </c>
      <c r="AN98">
        <v>0</v>
      </c>
      <c r="AO98">
        <v>186.43</v>
      </c>
      <c r="AP98">
        <v>0</v>
      </c>
      <c r="AQ98">
        <v>18.68</v>
      </c>
      <c r="AR98">
        <v>0</v>
      </c>
      <c r="AS98">
        <v>0</v>
      </c>
      <c r="AT98">
        <v>68</v>
      </c>
      <c r="AU98">
        <v>41</v>
      </c>
      <c r="AV98">
        <v>1</v>
      </c>
      <c r="AW98">
        <v>1</v>
      </c>
      <c r="AZ98">
        <v>1</v>
      </c>
      <c r="BA98">
        <v>25.44</v>
      </c>
      <c r="BB98">
        <v>1</v>
      </c>
      <c r="BC98">
        <v>1</v>
      </c>
      <c r="BD98" t="s">
        <v>3</v>
      </c>
      <c r="BE98" t="s">
        <v>3</v>
      </c>
      <c r="BF98" t="s">
        <v>3</v>
      </c>
      <c r="BG98" t="s">
        <v>3</v>
      </c>
      <c r="BH98">
        <v>0</v>
      </c>
      <c r="BI98">
        <v>1</v>
      </c>
      <c r="BJ98" t="s">
        <v>271</v>
      </c>
      <c r="BM98">
        <v>681</v>
      </c>
      <c r="BN98">
        <v>0</v>
      </c>
      <c r="BO98" t="s">
        <v>269</v>
      </c>
      <c r="BP98">
        <v>1</v>
      </c>
      <c r="BQ98">
        <v>60</v>
      </c>
      <c r="BR98">
        <v>0</v>
      </c>
      <c r="BS98">
        <v>25.44</v>
      </c>
      <c r="BT98">
        <v>1</v>
      </c>
      <c r="BU98">
        <v>1</v>
      </c>
      <c r="BV98">
        <v>1</v>
      </c>
      <c r="BW98">
        <v>1</v>
      </c>
      <c r="BX98">
        <v>1</v>
      </c>
      <c r="BY98" t="s">
        <v>3</v>
      </c>
      <c r="BZ98">
        <v>68</v>
      </c>
      <c r="CA98">
        <v>41</v>
      </c>
      <c r="CB98" t="s">
        <v>3</v>
      </c>
      <c r="CE98">
        <v>30</v>
      </c>
      <c r="CF98">
        <v>0</v>
      </c>
      <c r="CG98">
        <v>0</v>
      </c>
      <c r="CM98">
        <v>0</v>
      </c>
      <c r="CN98" t="s">
        <v>3</v>
      </c>
      <c r="CO98">
        <v>0</v>
      </c>
      <c r="CP98">
        <f t="shared" ref="CP98:CP116" si="89">(P98+Q98+S98)</f>
        <v>15177</v>
      </c>
      <c r="CQ98">
        <f t="shared" ref="CQ98:CQ116" si="90">ROUND((ROUND((AC98*AW98*1),2)*BC98),2)</f>
        <v>0</v>
      </c>
      <c r="CR98">
        <f>(ROUND((ROUND(((ET98)*AV98*1),2)*BB98),2)+ROUND((ROUND(((AE98-(EU98))*AV98*1),2)*BS98),2))</f>
        <v>0</v>
      </c>
      <c r="CS98">
        <f t="shared" ref="CS98:CS116" si="91">ROUND((ROUND((AE98*AV98*1),2)*BS98),2)</f>
        <v>0</v>
      </c>
      <c r="CT98">
        <f t="shared" ref="CT98:CT116" si="92">ROUND((ROUND((AF98*AV98*1),2)*BA98),2)</f>
        <v>4742.78</v>
      </c>
      <c r="CU98">
        <f t="shared" ref="CU98:CU116" si="93">AG98</f>
        <v>0</v>
      </c>
      <c r="CV98">
        <f t="shared" ref="CV98:CV116" si="94">(AH98*AV98)</f>
        <v>18.68</v>
      </c>
      <c r="CW98">
        <f t="shared" ref="CW98:CW116" si="95">AI98</f>
        <v>0</v>
      </c>
      <c r="CX98">
        <f t="shared" ref="CX98:CX116" si="96">AJ98</f>
        <v>0</v>
      </c>
      <c r="CY98">
        <f t="shared" ref="CY98:CY116" si="97">S98*(BZ98/100)</f>
        <v>10320.36</v>
      </c>
      <c r="CZ98">
        <f t="shared" ref="CZ98:CZ116" si="98">S98*(CA98/100)</f>
        <v>6222.57</v>
      </c>
      <c r="DC98" t="s">
        <v>3</v>
      </c>
      <c r="DD98" t="s">
        <v>3</v>
      </c>
      <c r="DE98" t="s">
        <v>3</v>
      </c>
      <c r="DF98" t="s">
        <v>3</v>
      </c>
      <c r="DG98" t="s">
        <v>3</v>
      </c>
      <c r="DH98" t="s">
        <v>3</v>
      </c>
      <c r="DI98" t="s">
        <v>3</v>
      </c>
      <c r="DJ98" t="s">
        <v>3</v>
      </c>
      <c r="DK98" t="s">
        <v>3</v>
      </c>
      <c r="DL98" t="s">
        <v>3</v>
      </c>
      <c r="DM98" t="s">
        <v>3</v>
      </c>
      <c r="DN98">
        <v>80</v>
      </c>
      <c r="DO98">
        <v>55</v>
      </c>
      <c r="DP98">
        <v>1</v>
      </c>
      <c r="DQ98">
        <v>1</v>
      </c>
      <c r="DU98">
        <v>1005</v>
      </c>
      <c r="DV98" t="s">
        <v>18</v>
      </c>
      <c r="DW98" t="s">
        <v>18</v>
      </c>
      <c r="DX98">
        <v>100</v>
      </c>
      <c r="DZ98" t="s">
        <v>3</v>
      </c>
      <c r="EA98" t="s">
        <v>3</v>
      </c>
      <c r="EB98" t="s">
        <v>3</v>
      </c>
      <c r="EC98" t="s">
        <v>3</v>
      </c>
      <c r="EE98">
        <v>43088759</v>
      </c>
      <c r="EF98">
        <v>60</v>
      </c>
      <c r="EG98" t="s">
        <v>40</v>
      </c>
      <c r="EH98">
        <v>0</v>
      </c>
      <c r="EI98" t="s">
        <v>3</v>
      </c>
      <c r="EJ98">
        <v>1</v>
      </c>
      <c r="EK98">
        <v>681</v>
      </c>
      <c r="EL98" t="s">
        <v>272</v>
      </c>
      <c r="EM98" t="s">
        <v>273</v>
      </c>
      <c r="EO98" t="s">
        <v>3</v>
      </c>
      <c r="EQ98">
        <v>0</v>
      </c>
      <c r="ER98">
        <v>186.43</v>
      </c>
      <c r="ES98">
        <v>0</v>
      </c>
      <c r="ET98">
        <v>0</v>
      </c>
      <c r="EU98">
        <v>0</v>
      </c>
      <c r="EV98">
        <v>186.43</v>
      </c>
      <c r="EW98">
        <v>18.68</v>
      </c>
      <c r="EX98">
        <v>0</v>
      </c>
      <c r="EY98">
        <v>0</v>
      </c>
      <c r="FQ98">
        <v>0</v>
      </c>
      <c r="FR98">
        <f t="shared" ref="FR98:FR116" si="99">ROUND(IF(AND(BH98=3,BI98=3),P98,0),2)</f>
        <v>0</v>
      </c>
      <c r="FS98">
        <v>0</v>
      </c>
      <c r="FX98">
        <v>80</v>
      </c>
      <c r="FY98">
        <v>55</v>
      </c>
      <c r="GA98" t="s">
        <v>3</v>
      </c>
      <c r="GD98">
        <v>0</v>
      </c>
      <c r="GF98">
        <v>957359998</v>
      </c>
      <c r="GG98">
        <v>2</v>
      </c>
      <c r="GH98">
        <v>1</v>
      </c>
      <c r="GI98">
        <v>2</v>
      </c>
      <c r="GJ98">
        <v>0</v>
      </c>
      <c r="GK98">
        <f>ROUND(R98*(R12)/100,2)</f>
        <v>0</v>
      </c>
      <c r="GL98">
        <f t="shared" ref="GL98:GL116" si="100">ROUND(IF(AND(BH98=3,BI98=3,FS98&lt;&gt;0),P98,0),2)</f>
        <v>0</v>
      </c>
      <c r="GM98">
        <f t="shared" ref="GM98:GM116" si="101">ROUND(O98+X98+Y98+GK98,2)+GX98</f>
        <v>31719.93</v>
      </c>
      <c r="GN98">
        <f t="shared" ref="GN98:GN116" si="102">IF(OR(BI98=0,BI98=1),ROUND(O98+X98+Y98+GK98,2),0)</f>
        <v>31719.93</v>
      </c>
      <c r="GO98">
        <f t="shared" ref="GO98:GO116" si="103">IF(BI98=2,ROUND(O98+X98+Y98+GK98,2),0)</f>
        <v>0</v>
      </c>
      <c r="GP98">
        <f t="shared" ref="GP98:GP116" si="104">IF(BI98=4,ROUND(O98+X98+Y98+GK98,2)+GX98,0)</f>
        <v>0</v>
      </c>
      <c r="GR98">
        <v>0</v>
      </c>
      <c r="GS98">
        <v>3</v>
      </c>
      <c r="GT98">
        <v>0</v>
      </c>
      <c r="GU98" t="s">
        <v>3</v>
      </c>
      <c r="GV98">
        <f t="shared" ref="GV98:GV116" si="105">ROUND((GT98),6)</f>
        <v>0</v>
      </c>
      <c r="GW98">
        <v>1</v>
      </c>
      <c r="GX98">
        <f t="shared" ref="GX98:GX116" si="106">ROUND(HC98*I98,2)</f>
        <v>0</v>
      </c>
      <c r="HA98">
        <v>0</v>
      </c>
      <c r="HB98">
        <v>0</v>
      </c>
      <c r="HC98">
        <f t="shared" ref="HC98:HC116" si="107">GV98*GW98</f>
        <v>0</v>
      </c>
      <c r="HE98" t="s">
        <v>3</v>
      </c>
      <c r="HF98" t="s">
        <v>3</v>
      </c>
      <c r="HM98" t="s">
        <v>3</v>
      </c>
      <c r="IK98">
        <v>0</v>
      </c>
    </row>
    <row r="99" spans="1:245" x14ac:dyDescent="0.2">
      <c r="A99">
        <v>17</v>
      </c>
      <c r="B99">
        <v>1</v>
      </c>
      <c r="C99">
        <f>ROW(SmtRes!A97)</f>
        <v>97</v>
      </c>
      <c r="D99">
        <f>ROW(EtalonRes!A95)</f>
        <v>95</v>
      </c>
      <c r="E99" t="s">
        <v>274</v>
      </c>
      <c r="F99" t="s">
        <v>44</v>
      </c>
      <c r="G99" t="s">
        <v>45</v>
      </c>
      <c r="H99" t="s">
        <v>18</v>
      </c>
      <c r="I99">
        <f>ROUND(320/100,9)</f>
        <v>3.2</v>
      </c>
      <c r="J99">
        <v>0</v>
      </c>
      <c r="K99">
        <f>ROUND(320/100,9)</f>
        <v>3.2</v>
      </c>
      <c r="O99">
        <f t="shared" si="75"/>
        <v>9758.7800000000007</v>
      </c>
      <c r="P99">
        <f t="shared" si="76"/>
        <v>0</v>
      </c>
      <c r="Q99">
        <f>(ROUND((ROUND((((ET99*1.25))*AV99*I99),2)*BB99),2)+ROUND((ROUND(((AE99-((EU99*1.25)))*AV99*I99),2)*BS99),2))</f>
        <v>0</v>
      </c>
      <c r="R99">
        <f t="shared" si="77"/>
        <v>0</v>
      </c>
      <c r="S99">
        <f t="shared" si="78"/>
        <v>9758.7800000000007</v>
      </c>
      <c r="T99">
        <f t="shared" si="79"/>
        <v>0</v>
      </c>
      <c r="U99">
        <f t="shared" si="80"/>
        <v>37.535999999999994</v>
      </c>
      <c r="V99">
        <f t="shared" si="81"/>
        <v>0</v>
      </c>
      <c r="W99">
        <f t="shared" si="82"/>
        <v>0</v>
      </c>
      <c r="X99">
        <f t="shared" si="83"/>
        <v>8782.9</v>
      </c>
      <c r="Y99">
        <f t="shared" si="84"/>
        <v>4001.1</v>
      </c>
      <c r="AA99">
        <v>42938047</v>
      </c>
      <c r="AB99">
        <f t="shared" si="85"/>
        <v>119.876</v>
      </c>
      <c r="AC99">
        <f t="shared" si="86"/>
        <v>0</v>
      </c>
      <c r="AD99">
        <f>ROUND(((((ET99*1.25))-((EU99*1.25)))+AE99),6)</f>
        <v>0</v>
      </c>
      <c r="AE99">
        <f>ROUND(((EU99*1.25)),6)</f>
        <v>0</v>
      </c>
      <c r="AF99">
        <f>ROUND(((EV99*1.15)),6)</f>
        <v>119.876</v>
      </c>
      <c r="AG99">
        <f t="shared" si="87"/>
        <v>0</v>
      </c>
      <c r="AH99">
        <f>((EW99*1.15))</f>
        <v>11.729999999999999</v>
      </c>
      <c r="AI99">
        <f>((EX99*1.25))</f>
        <v>0</v>
      </c>
      <c r="AJ99">
        <f t="shared" si="88"/>
        <v>0</v>
      </c>
      <c r="AK99">
        <v>104.24</v>
      </c>
      <c r="AL99">
        <v>0</v>
      </c>
      <c r="AM99">
        <v>0</v>
      </c>
      <c r="AN99">
        <v>0</v>
      </c>
      <c r="AO99">
        <v>104.24</v>
      </c>
      <c r="AP99">
        <v>0</v>
      </c>
      <c r="AQ99">
        <v>10.199999999999999</v>
      </c>
      <c r="AR99">
        <v>0</v>
      </c>
      <c r="AS99">
        <v>0</v>
      </c>
      <c r="AT99">
        <v>90</v>
      </c>
      <c r="AU99">
        <v>41</v>
      </c>
      <c r="AV99">
        <v>1</v>
      </c>
      <c r="AW99">
        <v>1</v>
      </c>
      <c r="AZ99">
        <v>1</v>
      </c>
      <c r="BA99">
        <v>25.44</v>
      </c>
      <c r="BB99">
        <v>1</v>
      </c>
      <c r="BC99">
        <v>1</v>
      </c>
      <c r="BD99" t="s">
        <v>3</v>
      </c>
      <c r="BE99" t="s">
        <v>3</v>
      </c>
      <c r="BF99" t="s">
        <v>3</v>
      </c>
      <c r="BG99" t="s">
        <v>3</v>
      </c>
      <c r="BH99">
        <v>0</v>
      </c>
      <c r="BI99">
        <v>1</v>
      </c>
      <c r="BJ99" t="s">
        <v>46</v>
      </c>
      <c r="BM99">
        <v>292</v>
      </c>
      <c r="BN99">
        <v>0</v>
      </c>
      <c r="BO99" t="s">
        <v>44</v>
      </c>
      <c r="BP99">
        <v>1</v>
      </c>
      <c r="BQ99">
        <v>30</v>
      </c>
      <c r="BR99">
        <v>0</v>
      </c>
      <c r="BS99">
        <v>25.44</v>
      </c>
      <c r="BT99">
        <v>1</v>
      </c>
      <c r="BU99">
        <v>1</v>
      </c>
      <c r="BV99">
        <v>1</v>
      </c>
      <c r="BW99">
        <v>1</v>
      </c>
      <c r="BX99">
        <v>1</v>
      </c>
      <c r="BY99" t="s">
        <v>3</v>
      </c>
      <c r="BZ99">
        <v>90</v>
      </c>
      <c r="CA99">
        <v>41</v>
      </c>
      <c r="CB99" t="s">
        <v>3</v>
      </c>
      <c r="CE99">
        <v>30</v>
      </c>
      <c r="CF99">
        <v>0</v>
      </c>
      <c r="CG99">
        <v>0</v>
      </c>
      <c r="CM99">
        <v>0</v>
      </c>
      <c r="CN99" t="s">
        <v>1584</v>
      </c>
      <c r="CO99">
        <v>0</v>
      </c>
      <c r="CP99">
        <f t="shared" si="89"/>
        <v>9758.7800000000007</v>
      </c>
      <c r="CQ99">
        <f t="shared" si="90"/>
        <v>0</v>
      </c>
      <c r="CR99">
        <f>(ROUND((ROUND((((ET99*1.25))*AV99*1),2)*BB99),2)+ROUND((ROUND(((AE99-((EU99*1.25)))*AV99*1),2)*BS99),2))</f>
        <v>0</v>
      </c>
      <c r="CS99">
        <f t="shared" si="91"/>
        <v>0</v>
      </c>
      <c r="CT99">
        <f t="shared" si="92"/>
        <v>3049.75</v>
      </c>
      <c r="CU99">
        <f t="shared" si="93"/>
        <v>0</v>
      </c>
      <c r="CV99">
        <f t="shared" si="94"/>
        <v>11.729999999999999</v>
      </c>
      <c r="CW99">
        <f t="shared" si="95"/>
        <v>0</v>
      </c>
      <c r="CX99">
        <f t="shared" si="96"/>
        <v>0</v>
      </c>
      <c r="CY99">
        <f t="shared" si="97"/>
        <v>8782.902</v>
      </c>
      <c r="CZ99">
        <f t="shared" si="98"/>
        <v>4001.0998</v>
      </c>
      <c r="DC99" t="s">
        <v>3</v>
      </c>
      <c r="DD99" t="s">
        <v>3</v>
      </c>
      <c r="DE99" t="s">
        <v>20</v>
      </c>
      <c r="DF99" t="s">
        <v>20</v>
      </c>
      <c r="DG99" t="s">
        <v>21</v>
      </c>
      <c r="DH99" t="s">
        <v>3</v>
      </c>
      <c r="DI99" t="s">
        <v>21</v>
      </c>
      <c r="DJ99" t="s">
        <v>20</v>
      </c>
      <c r="DK99" t="s">
        <v>3</v>
      </c>
      <c r="DL99" t="s">
        <v>3</v>
      </c>
      <c r="DM99" t="s">
        <v>3</v>
      </c>
      <c r="DN99">
        <v>156</v>
      </c>
      <c r="DO99">
        <v>84</v>
      </c>
      <c r="DP99">
        <v>1</v>
      </c>
      <c r="DQ99">
        <v>1</v>
      </c>
      <c r="DU99">
        <v>1005</v>
      </c>
      <c r="DV99" t="s">
        <v>18</v>
      </c>
      <c r="DW99" t="s">
        <v>18</v>
      </c>
      <c r="DX99">
        <v>100</v>
      </c>
      <c r="DZ99" t="s">
        <v>3</v>
      </c>
      <c r="EA99" t="s">
        <v>3</v>
      </c>
      <c r="EB99" t="s">
        <v>3</v>
      </c>
      <c r="EC99" t="s">
        <v>3</v>
      </c>
      <c r="EE99">
        <v>43088370</v>
      </c>
      <c r="EF99">
        <v>30</v>
      </c>
      <c r="EG99" t="s">
        <v>22</v>
      </c>
      <c r="EH99">
        <v>0</v>
      </c>
      <c r="EI99" t="s">
        <v>3</v>
      </c>
      <c r="EJ99">
        <v>1</v>
      </c>
      <c r="EK99">
        <v>292</v>
      </c>
      <c r="EL99" t="s">
        <v>23</v>
      </c>
      <c r="EM99" t="s">
        <v>24</v>
      </c>
      <c r="EO99" t="s">
        <v>59</v>
      </c>
      <c r="EQ99">
        <v>0</v>
      </c>
      <c r="ER99">
        <v>104.24</v>
      </c>
      <c r="ES99">
        <v>0</v>
      </c>
      <c r="ET99">
        <v>0</v>
      </c>
      <c r="EU99">
        <v>0</v>
      </c>
      <c r="EV99">
        <v>104.24</v>
      </c>
      <c r="EW99">
        <v>10.199999999999999</v>
      </c>
      <c r="EX99">
        <v>0</v>
      </c>
      <c r="EY99">
        <v>0</v>
      </c>
      <c r="FQ99">
        <v>0</v>
      </c>
      <c r="FR99">
        <f t="shared" si="99"/>
        <v>0</v>
      </c>
      <c r="FS99">
        <v>0</v>
      </c>
      <c r="FX99">
        <v>156</v>
      </c>
      <c r="FY99">
        <v>84</v>
      </c>
      <c r="GA99" t="s">
        <v>3</v>
      </c>
      <c r="GD99">
        <v>0</v>
      </c>
      <c r="GF99">
        <v>583618684</v>
      </c>
      <c r="GG99">
        <v>2</v>
      </c>
      <c r="GH99">
        <v>1</v>
      </c>
      <c r="GI99">
        <v>2</v>
      </c>
      <c r="GJ99">
        <v>0</v>
      </c>
      <c r="GK99">
        <f>ROUND(R99*(R12)/100,2)</f>
        <v>0</v>
      </c>
      <c r="GL99">
        <f t="shared" si="100"/>
        <v>0</v>
      </c>
      <c r="GM99">
        <f t="shared" si="101"/>
        <v>22542.78</v>
      </c>
      <c r="GN99">
        <f t="shared" si="102"/>
        <v>22542.78</v>
      </c>
      <c r="GO99">
        <f t="shared" si="103"/>
        <v>0</v>
      </c>
      <c r="GP99">
        <f t="shared" si="104"/>
        <v>0</v>
      </c>
      <c r="GR99">
        <v>0</v>
      </c>
      <c r="GS99">
        <v>3</v>
      </c>
      <c r="GT99">
        <v>0</v>
      </c>
      <c r="GU99" t="s">
        <v>3</v>
      </c>
      <c r="GV99">
        <f t="shared" si="105"/>
        <v>0</v>
      </c>
      <c r="GW99">
        <v>1</v>
      </c>
      <c r="GX99">
        <f t="shared" si="106"/>
        <v>0</v>
      </c>
      <c r="HA99">
        <v>0</v>
      </c>
      <c r="HB99">
        <v>0</v>
      </c>
      <c r="HC99">
        <f t="shared" si="107"/>
        <v>0</v>
      </c>
      <c r="HE99" t="s">
        <v>3</v>
      </c>
      <c r="HF99" t="s">
        <v>3</v>
      </c>
      <c r="HM99" t="s">
        <v>3</v>
      </c>
      <c r="IK99">
        <v>0</v>
      </c>
    </row>
    <row r="100" spans="1:245" x14ac:dyDescent="0.2">
      <c r="A100">
        <v>17</v>
      </c>
      <c r="B100">
        <v>1</v>
      </c>
      <c r="C100">
        <f>ROW(SmtRes!A100)</f>
        <v>100</v>
      </c>
      <c r="D100">
        <f>ROW(EtalonRes!A98)</f>
        <v>98</v>
      </c>
      <c r="E100" t="s">
        <v>275</v>
      </c>
      <c r="F100" t="s">
        <v>69</v>
      </c>
      <c r="G100" t="s">
        <v>276</v>
      </c>
      <c r="H100" t="s">
        <v>63</v>
      </c>
      <c r="I100">
        <f>ROUND(80/100,9)</f>
        <v>0.8</v>
      </c>
      <c r="J100">
        <v>0</v>
      </c>
      <c r="K100">
        <f>ROUND(80/100,9)</f>
        <v>0.8</v>
      </c>
      <c r="O100">
        <f t="shared" si="75"/>
        <v>8202.92</v>
      </c>
      <c r="P100">
        <f t="shared" si="76"/>
        <v>0</v>
      </c>
      <c r="Q100">
        <f>(ROUND((ROUND((((ET100*1.25))*AV100*I100),2)*BB100),2)+ROUND((ROUND(((AE100-((EU100*1.25)))*AV100*I100),2)*BS100),2))</f>
        <v>7872.96</v>
      </c>
      <c r="R100">
        <f t="shared" si="77"/>
        <v>2225.2399999999998</v>
      </c>
      <c r="S100">
        <f t="shared" si="78"/>
        <v>329.96</v>
      </c>
      <c r="T100">
        <f t="shared" si="79"/>
        <v>0</v>
      </c>
      <c r="U100">
        <f t="shared" si="80"/>
        <v>1.2695999999999998</v>
      </c>
      <c r="V100">
        <f t="shared" si="81"/>
        <v>0</v>
      </c>
      <c r="W100">
        <f t="shared" si="82"/>
        <v>0</v>
      </c>
      <c r="X100">
        <f t="shared" si="83"/>
        <v>303.56</v>
      </c>
      <c r="Y100">
        <f t="shared" si="84"/>
        <v>164.98</v>
      </c>
      <c r="AA100">
        <v>42938047</v>
      </c>
      <c r="AB100">
        <f t="shared" si="85"/>
        <v>1118.2525000000001</v>
      </c>
      <c r="AC100">
        <f t="shared" si="86"/>
        <v>0</v>
      </c>
      <c r="AD100">
        <f>ROUND(((((ET100*1.25))-((EU100*1.25)))+AE100),6)</f>
        <v>1102.0374999999999</v>
      </c>
      <c r="AE100">
        <f>ROUND(((EU100*1.25)),6)</f>
        <v>109.33750000000001</v>
      </c>
      <c r="AF100">
        <f>ROUND(((EV100*1.15)),6)</f>
        <v>16.215</v>
      </c>
      <c r="AG100">
        <f t="shared" si="87"/>
        <v>0</v>
      </c>
      <c r="AH100">
        <f>((EW100*1.15))</f>
        <v>1.5869999999999997</v>
      </c>
      <c r="AI100">
        <f>((EX100*1.25))</f>
        <v>0</v>
      </c>
      <c r="AJ100">
        <f t="shared" si="88"/>
        <v>0</v>
      </c>
      <c r="AK100">
        <v>895.73</v>
      </c>
      <c r="AL100">
        <v>0</v>
      </c>
      <c r="AM100">
        <v>881.63</v>
      </c>
      <c r="AN100">
        <v>87.47</v>
      </c>
      <c r="AO100">
        <v>14.1</v>
      </c>
      <c r="AP100">
        <v>0</v>
      </c>
      <c r="AQ100">
        <v>1.38</v>
      </c>
      <c r="AR100">
        <v>0</v>
      </c>
      <c r="AS100">
        <v>0</v>
      </c>
      <c r="AT100">
        <v>92</v>
      </c>
      <c r="AU100">
        <v>50</v>
      </c>
      <c r="AV100">
        <v>1</v>
      </c>
      <c r="AW100">
        <v>1</v>
      </c>
      <c r="AZ100">
        <v>1</v>
      </c>
      <c r="BA100">
        <v>25.44</v>
      </c>
      <c r="BB100">
        <v>8.93</v>
      </c>
      <c r="BC100">
        <v>1</v>
      </c>
      <c r="BD100" t="s">
        <v>3</v>
      </c>
      <c r="BE100" t="s">
        <v>3</v>
      </c>
      <c r="BF100" t="s">
        <v>3</v>
      </c>
      <c r="BG100" t="s">
        <v>3</v>
      </c>
      <c r="BH100">
        <v>0</v>
      </c>
      <c r="BI100">
        <v>1</v>
      </c>
      <c r="BJ100" t="s">
        <v>71</v>
      </c>
      <c r="BM100">
        <v>2</v>
      </c>
      <c r="BN100">
        <v>0</v>
      </c>
      <c r="BO100" t="s">
        <v>69</v>
      </c>
      <c r="BP100">
        <v>1</v>
      </c>
      <c r="BQ100">
        <v>30</v>
      </c>
      <c r="BR100">
        <v>0</v>
      </c>
      <c r="BS100">
        <v>25.44</v>
      </c>
      <c r="BT100">
        <v>1</v>
      </c>
      <c r="BU100">
        <v>1</v>
      </c>
      <c r="BV100">
        <v>1</v>
      </c>
      <c r="BW100">
        <v>1</v>
      </c>
      <c r="BX100">
        <v>1</v>
      </c>
      <c r="BY100" t="s">
        <v>3</v>
      </c>
      <c r="BZ100">
        <v>92</v>
      </c>
      <c r="CA100">
        <v>50</v>
      </c>
      <c r="CB100" t="s">
        <v>3</v>
      </c>
      <c r="CE100">
        <v>30</v>
      </c>
      <c r="CF100">
        <v>0</v>
      </c>
      <c r="CG100">
        <v>0</v>
      </c>
      <c r="CM100">
        <v>0</v>
      </c>
      <c r="CN100" t="s">
        <v>1584</v>
      </c>
      <c r="CO100">
        <v>0</v>
      </c>
      <c r="CP100">
        <f t="shared" si="89"/>
        <v>8202.92</v>
      </c>
      <c r="CQ100">
        <f t="shared" si="90"/>
        <v>0</v>
      </c>
      <c r="CR100">
        <f>(ROUND((ROUND((((ET100*1.25))*AV100*1),2)*BB100),2)+ROUND((ROUND(((AE100-((EU100*1.25)))*AV100*1),2)*BS100),2))</f>
        <v>9841.2199999999993</v>
      </c>
      <c r="CS100">
        <f t="shared" si="91"/>
        <v>2781.61</v>
      </c>
      <c r="CT100">
        <f t="shared" si="92"/>
        <v>412.64</v>
      </c>
      <c r="CU100">
        <f t="shared" si="93"/>
        <v>0</v>
      </c>
      <c r="CV100">
        <f t="shared" si="94"/>
        <v>1.5869999999999997</v>
      </c>
      <c r="CW100">
        <f t="shared" si="95"/>
        <v>0</v>
      </c>
      <c r="CX100">
        <f t="shared" si="96"/>
        <v>0</v>
      </c>
      <c r="CY100">
        <f t="shared" si="97"/>
        <v>303.56319999999999</v>
      </c>
      <c r="CZ100">
        <f t="shared" si="98"/>
        <v>164.98</v>
      </c>
      <c r="DC100" t="s">
        <v>3</v>
      </c>
      <c r="DD100" t="s">
        <v>3</v>
      </c>
      <c r="DE100" t="s">
        <v>20</v>
      </c>
      <c r="DF100" t="s">
        <v>20</v>
      </c>
      <c r="DG100" t="s">
        <v>21</v>
      </c>
      <c r="DH100" t="s">
        <v>3</v>
      </c>
      <c r="DI100" t="s">
        <v>21</v>
      </c>
      <c r="DJ100" t="s">
        <v>20</v>
      </c>
      <c r="DK100" t="s">
        <v>3</v>
      </c>
      <c r="DL100" t="s">
        <v>3</v>
      </c>
      <c r="DM100" t="s">
        <v>3</v>
      </c>
      <c r="DN100">
        <v>98</v>
      </c>
      <c r="DO100">
        <v>77</v>
      </c>
      <c r="DP100">
        <v>1</v>
      </c>
      <c r="DQ100">
        <v>1</v>
      </c>
      <c r="DU100">
        <v>1013</v>
      </c>
      <c r="DV100" t="s">
        <v>63</v>
      </c>
      <c r="DW100" t="s">
        <v>63</v>
      </c>
      <c r="DX100">
        <v>1</v>
      </c>
      <c r="DZ100" t="s">
        <v>3</v>
      </c>
      <c r="EA100" t="s">
        <v>3</v>
      </c>
      <c r="EB100" t="s">
        <v>3</v>
      </c>
      <c r="EC100" t="s">
        <v>3</v>
      </c>
      <c r="EE100">
        <v>43090081</v>
      </c>
      <c r="EF100">
        <v>30</v>
      </c>
      <c r="EG100" t="s">
        <v>22</v>
      </c>
      <c r="EH100">
        <v>0</v>
      </c>
      <c r="EI100" t="s">
        <v>3</v>
      </c>
      <c r="EJ100">
        <v>1</v>
      </c>
      <c r="EK100">
        <v>2</v>
      </c>
      <c r="EL100" t="s">
        <v>72</v>
      </c>
      <c r="EM100" t="s">
        <v>73</v>
      </c>
      <c r="EO100" t="s">
        <v>59</v>
      </c>
      <c r="EQ100">
        <v>0</v>
      </c>
      <c r="ER100">
        <v>895.73</v>
      </c>
      <c r="ES100">
        <v>0</v>
      </c>
      <c r="ET100">
        <v>881.63</v>
      </c>
      <c r="EU100">
        <v>87.47</v>
      </c>
      <c r="EV100">
        <v>14.1</v>
      </c>
      <c r="EW100">
        <v>1.38</v>
      </c>
      <c r="EX100">
        <v>0</v>
      </c>
      <c r="EY100">
        <v>0</v>
      </c>
      <c r="FQ100">
        <v>0</v>
      </c>
      <c r="FR100">
        <f t="shared" si="99"/>
        <v>0</v>
      </c>
      <c r="FS100">
        <v>0</v>
      </c>
      <c r="FX100">
        <v>98</v>
      </c>
      <c r="FY100">
        <v>77</v>
      </c>
      <c r="GA100" t="s">
        <v>3</v>
      </c>
      <c r="GD100">
        <v>0</v>
      </c>
      <c r="GF100">
        <v>-518401457</v>
      </c>
      <c r="GG100">
        <v>2</v>
      </c>
      <c r="GH100">
        <v>1</v>
      </c>
      <c r="GI100">
        <v>2</v>
      </c>
      <c r="GJ100">
        <v>0</v>
      </c>
      <c r="GK100">
        <f>ROUND(R100*(R12)/100,2)</f>
        <v>3493.63</v>
      </c>
      <c r="GL100">
        <f t="shared" si="100"/>
        <v>0</v>
      </c>
      <c r="GM100">
        <f t="shared" si="101"/>
        <v>12165.09</v>
      </c>
      <c r="GN100">
        <f t="shared" si="102"/>
        <v>12165.09</v>
      </c>
      <c r="GO100">
        <f t="shared" si="103"/>
        <v>0</v>
      </c>
      <c r="GP100">
        <f t="shared" si="104"/>
        <v>0</v>
      </c>
      <c r="GR100">
        <v>0</v>
      </c>
      <c r="GS100">
        <v>3</v>
      </c>
      <c r="GT100">
        <v>0</v>
      </c>
      <c r="GU100" t="s">
        <v>3</v>
      </c>
      <c r="GV100">
        <f t="shared" si="105"/>
        <v>0</v>
      </c>
      <c r="GW100">
        <v>1</v>
      </c>
      <c r="GX100">
        <f t="shared" si="106"/>
        <v>0</v>
      </c>
      <c r="HA100">
        <v>0</v>
      </c>
      <c r="HB100">
        <v>0</v>
      </c>
      <c r="HC100">
        <f t="shared" si="107"/>
        <v>0</v>
      </c>
      <c r="HE100" t="s">
        <v>3</v>
      </c>
      <c r="HF100" t="s">
        <v>3</v>
      </c>
      <c r="HM100" t="s">
        <v>3</v>
      </c>
      <c r="IK100">
        <v>0</v>
      </c>
    </row>
    <row r="101" spans="1:245" x14ac:dyDescent="0.2">
      <c r="A101">
        <v>17</v>
      </c>
      <c r="B101">
        <v>1</v>
      </c>
      <c r="C101">
        <f>ROW(SmtRes!A109)</f>
        <v>109</v>
      </c>
      <c r="D101">
        <f>ROW(EtalonRes!A107)</f>
        <v>107</v>
      </c>
      <c r="E101" t="s">
        <v>277</v>
      </c>
      <c r="F101" t="s">
        <v>75</v>
      </c>
      <c r="G101" t="s">
        <v>278</v>
      </c>
      <c r="H101" t="s">
        <v>77</v>
      </c>
      <c r="I101">
        <f>ROUND(64/100,9)</f>
        <v>0.64</v>
      </c>
      <c r="J101">
        <v>0</v>
      </c>
      <c r="K101">
        <f>ROUND(64/100,9)</f>
        <v>0.64</v>
      </c>
      <c r="O101">
        <f t="shared" si="75"/>
        <v>41743.620000000003</v>
      </c>
      <c r="P101">
        <f t="shared" si="76"/>
        <v>162.78</v>
      </c>
      <c r="Q101">
        <f>(ROUND((ROUND((((ET101*1.25))*AV101*I101),2)*BB101),2)+ROUND((ROUND(((AE101-((EU101*1.25)))*AV101*I101),2)*BS101),2))</f>
        <v>37326.25</v>
      </c>
      <c r="R101">
        <f t="shared" si="77"/>
        <v>9468</v>
      </c>
      <c r="S101">
        <f t="shared" si="78"/>
        <v>4254.59</v>
      </c>
      <c r="T101">
        <f t="shared" si="79"/>
        <v>0</v>
      </c>
      <c r="U101">
        <f t="shared" si="80"/>
        <v>15.897600000000001</v>
      </c>
      <c r="V101">
        <f t="shared" si="81"/>
        <v>0</v>
      </c>
      <c r="W101">
        <f t="shared" si="82"/>
        <v>0</v>
      </c>
      <c r="X101">
        <f t="shared" si="83"/>
        <v>4765.1400000000003</v>
      </c>
      <c r="Y101">
        <f t="shared" si="84"/>
        <v>1744.38</v>
      </c>
      <c r="AA101">
        <v>42938047</v>
      </c>
      <c r="AB101">
        <f t="shared" si="85"/>
        <v>6991.4795000000004</v>
      </c>
      <c r="AC101">
        <f t="shared" si="86"/>
        <v>49.49</v>
      </c>
      <c r="AD101">
        <f>ROUND(((((ET101*1.25))-((EU101*1.25)))+AE101),6)</f>
        <v>6680.6750000000002</v>
      </c>
      <c r="AE101">
        <f>ROUND(((EU101*1.25)),6)</f>
        <v>581.51250000000005</v>
      </c>
      <c r="AF101">
        <f>ROUND(((EV101*1.15)),6)</f>
        <v>261.31450000000001</v>
      </c>
      <c r="AG101">
        <f t="shared" si="87"/>
        <v>0</v>
      </c>
      <c r="AH101">
        <f>((EW101*1.15))</f>
        <v>24.84</v>
      </c>
      <c r="AI101">
        <f>((EX101*1.25))</f>
        <v>0</v>
      </c>
      <c r="AJ101">
        <f t="shared" si="88"/>
        <v>0</v>
      </c>
      <c r="AK101">
        <v>5621.26</v>
      </c>
      <c r="AL101">
        <v>49.49</v>
      </c>
      <c r="AM101">
        <v>5344.54</v>
      </c>
      <c r="AN101">
        <v>465.21</v>
      </c>
      <c r="AO101">
        <v>227.23</v>
      </c>
      <c r="AP101">
        <v>0</v>
      </c>
      <c r="AQ101">
        <v>21.6</v>
      </c>
      <c r="AR101">
        <v>0</v>
      </c>
      <c r="AS101">
        <v>0</v>
      </c>
      <c r="AT101">
        <v>112</v>
      </c>
      <c r="AU101">
        <v>41</v>
      </c>
      <c r="AV101">
        <v>1</v>
      </c>
      <c r="AW101">
        <v>1</v>
      </c>
      <c r="AZ101">
        <v>1</v>
      </c>
      <c r="BA101">
        <v>25.44</v>
      </c>
      <c r="BB101">
        <v>8.73</v>
      </c>
      <c r="BC101">
        <v>5.14</v>
      </c>
      <c r="BD101" t="s">
        <v>3</v>
      </c>
      <c r="BE101" t="s">
        <v>3</v>
      </c>
      <c r="BF101" t="s">
        <v>3</v>
      </c>
      <c r="BG101" t="s">
        <v>3</v>
      </c>
      <c r="BH101">
        <v>0</v>
      </c>
      <c r="BI101">
        <v>1</v>
      </c>
      <c r="BJ101" t="s">
        <v>78</v>
      </c>
      <c r="BM101">
        <v>146</v>
      </c>
      <c r="BN101">
        <v>0</v>
      </c>
      <c r="BO101" t="s">
        <v>75</v>
      </c>
      <c r="BP101">
        <v>1</v>
      </c>
      <c r="BQ101">
        <v>30</v>
      </c>
      <c r="BR101">
        <v>0</v>
      </c>
      <c r="BS101">
        <v>25.44</v>
      </c>
      <c r="BT101">
        <v>1</v>
      </c>
      <c r="BU101">
        <v>1</v>
      </c>
      <c r="BV101">
        <v>1</v>
      </c>
      <c r="BW101">
        <v>1</v>
      </c>
      <c r="BX101">
        <v>1</v>
      </c>
      <c r="BY101" t="s">
        <v>3</v>
      </c>
      <c r="BZ101">
        <v>112</v>
      </c>
      <c r="CA101">
        <v>41</v>
      </c>
      <c r="CB101" t="s">
        <v>3</v>
      </c>
      <c r="CE101">
        <v>30</v>
      </c>
      <c r="CF101">
        <v>0</v>
      </c>
      <c r="CG101">
        <v>0</v>
      </c>
      <c r="CM101">
        <v>0</v>
      </c>
      <c r="CN101" t="s">
        <v>1584</v>
      </c>
      <c r="CO101">
        <v>0</v>
      </c>
      <c r="CP101">
        <f t="shared" si="89"/>
        <v>41743.619999999995</v>
      </c>
      <c r="CQ101">
        <f t="shared" si="90"/>
        <v>254.38</v>
      </c>
      <c r="CR101">
        <f>(ROUND((ROUND((((ET101*1.25))*AV101*1),2)*BB101),2)+ROUND((ROUND(((AE101-((EU101*1.25)))*AV101*1),2)*BS101),2))</f>
        <v>58322.34</v>
      </c>
      <c r="CS101">
        <f t="shared" si="91"/>
        <v>14793.61</v>
      </c>
      <c r="CT101">
        <f t="shared" si="92"/>
        <v>6647.73</v>
      </c>
      <c r="CU101">
        <f t="shared" si="93"/>
        <v>0</v>
      </c>
      <c r="CV101">
        <f t="shared" si="94"/>
        <v>24.84</v>
      </c>
      <c r="CW101">
        <f t="shared" si="95"/>
        <v>0</v>
      </c>
      <c r="CX101">
        <f t="shared" si="96"/>
        <v>0</v>
      </c>
      <c r="CY101">
        <f t="shared" si="97"/>
        <v>4765.140800000001</v>
      </c>
      <c r="CZ101">
        <f t="shared" si="98"/>
        <v>1744.3818999999999</v>
      </c>
      <c r="DC101" t="s">
        <v>3</v>
      </c>
      <c r="DD101" t="s">
        <v>3</v>
      </c>
      <c r="DE101" t="s">
        <v>20</v>
      </c>
      <c r="DF101" t="s">
        <v>20</v>
      </c>
      <c r="DG101" t="s">
        <v>21</v>
      </c>
      <c r="DH101" t="s">
        <v>3</v>
      </c>
      <c r="DI101" t="s">
        <v>21</v>
      </c>
      <c r="DJ101" t="s">
        <v>20</v>
      </c>
      <c r="DK101" t="s">
        <v>3</v>
      </c>
      <c r="DL101" t="s">
        <v>3</v>
      </c>
      <c r="DM101" t="s">
        <v>3</v>
      </c>
      <c r="DN101">
        <v>140</v>
      </c>
      <c r="DO101">
        <v>79</v>
      </c>
      <c r="DP101">
        <v>1</v>
      </c>
      <c r="DQ101">
        <v>1</v>
      </c>
      <c r="DU101">
        <v>1013</v>
      </c>
      <c r="DV101" t="s">
        <v>77</v>
      </c>
      <c r="DW101" t="s">
        <v>77</v>
      </c>
      <c r="DX101">
        <v>1</v>
      </c>
      <c r="DZ101" t="s">
        <v>3</v>
      </c>
      <c r="EA101" t="s">
        <v>3</v>
      </c>
      <c r="EB101" t="s">
        <v>3</v>
      </c>
      <c r="EC101" t="s">
        <v>3</v>
      </c>
      <c r="EE101">
        <v>43088224</v>
      </c>
      <c r="EF101">
        <v>30</v>
      </c>
      <c r="EG101" t="s">
        <v>22</v>
      </c>
      <c r="EH101">
        <v>0</v>
      </c>
      <c r="EI101" t="s">
        <v>3</v>
      </c>
      <c r="EJ101">
        <v>1</v>
      </c>
      <c r="EK101">
        <v>146</v>
      </c>
      <c r="EL101" t="s">
        <v>79</v>
      </c>
      <c r="EM101" t="s">
        <v>80</v>
      </c>
      <c r="EO101" t="s">
        <v>59</v>
      </c>
      <c r="EQ101">
        <v>0</v>
      </c>
      <c r="ER101">
        <v>5621.26</v>
      </c>
      <c r="ES101">
        <v>49.49</v>
      </c>
      <c r="ET101">
        <v>5344.54</v>
      </c>
      <c r="EU101">
        <v>465.21</v>
      </c>
      <c r="EV101">
        <v>227.23</v>
      </c>
      <c r="EW101">
        <v>21.6</v>
      </c>
      <c r="EX101">
        <v>0</v>
      </c>
      <c r="EY101">
        <v>0</v>
      </c>
      <c r="FQ101">
        <v>0</v>
      </c>
      <c r="FR101">
        <f t="shared" si="99"/>
        <v>0</v>
      </c>
      <c r="FS101">
        <v>0</v>
      </c>
      <c r="FX101">
        <v>140</v>
      </c>
      <c r="FY101">
        <v>79</v>
      </c>
      <c r="GA101" t="s">
        <v>3</v>
      </c>
      <c r="GD101">
        <v>0</v>
      </c>
      <c r="GF101">
        <v>-2081011225</v>
      </c>
      <c r="GG101">
        <v>2</v>
      </c>
      <c r="GH101">
        <v>1</v>
      </c>
      <c r="GI101">
        <v>2</v>
      </c>
      <c r="GJ101">
        <v>0</v>
      </c>
      <c r="GK101">
        <f>ROUND(R101*(R12)/100,2)</f>
        <v>14864.76</v>
      </c>
      <c r="GL101">
        <f t="shared" si="100"/>
        <v>0</v>
      </c>
      <c r="GM101">
        <f t="shared" si="101"/>
        <v>63117.9</v>
      </c>
      <c r="GN101">
        <f t="shared" si="102"/>
        <v>63117.9</v>
      </c>
      <c r="GO101">
        <f t="shared" si="103"/>
        <v>0</v>
      </c>
      <c r="GP101">
        <f t="shared" si="104"/>
        <v>0</v>
      </c>
      <c r="GR101">
        <v>0</v>
      </c>
      <c r="GS101">
        <v>3</v>
      </c>
      <c r="GT101">
        <v>0</v>
      </c>
      <c r="GU101" t="s">
        <v>3</v>
      </c>
      <c r="GV101">
        <f t="shared" si="105"/>
        <v>0</v>
      </c>
      <c r="GW101">
        <v>1</v>
      </c>
      <c r="GX101">
        <f t="shared" si="106"/>
        <v>0</v>
      </c>
      <c r="HA101">
        <v>0</v>
      </c>
      <c r="HB101">
        <v>0</v>
      </c>
      <c r="HC101">
        <f t="shared" si="107"/>
        <v>0</v>
      </c>
      <c r="HE101" t="s">
        <v>3</v>
      </c>
      <c r="HF101" t="s">
        <v>3</v>
      </c>
      <c r="HM101" t="s">
        <v>3</v>
      </c>
      <c r="IK101">
        <v>0</v>
      </c>
    </row>
    <row r="102" spans="1:245" x14ac:dyDescent="0.2">
      <c r="A102">
        <v>18</v>
      </c>
      <c r="B102">
        <v>1</v>
      </c>
      <c r="C102">
        <v>109</v>
      </c>
      <c r="E102" t="s">
        <v>279</v>
      </c>
      <c r="F102" t="s">
        <v>280</v>
      </c>
      <c r="G102" t="s">
        <v>281</v>
      </c>
      <c r="H102" t="s">
        <v>84</v>
      </c>
      <c r="I102">
        <f>I101*J102</f>
        <v>64</v>
      </c>
      <c r="J102">
        <v>100</v>
      </c>
      <c r="K102">
        <v>100</v>
      </c>
      <c r="O102">
        <f t="shared" si="75"/>
        <v>105928.55</v>
      </c>
      <c r="P102">
        <f t="shared" si="76"/>
        <v>105928.55</v>
      </c>
      <c r="Q102">
        <f>(ROUND((ROUND(((ET102)*AV102*I102),2)*BB102),2)+ROUND((ROUND(((AE102-(EU102))*AV102*I102),2)*BS102),2))</f>
        <v>0</v>
      </c>
      <c r="R102">
        <f t="shared" si="77"/>
        <v>0</v>
      </c>
      <c r="S102">
        <f t="shared" si="78"/>
        <v>0</v>
      </c>
      <c r="T102">
        <f t="shared" si="79"/>
        <v>0</v>
      </c>
      <c r="U102">
        <f t="shared" si="80"/>
        <v>0</v>
      </c>
      <c r="V102">
        <f t="shared" si="81"/>
        <v>0</v>
      </c>
      <c r="W102">
        <f t="shared" si="82"/>
        <v>0</v>
      </c>
      <c r="X102">
        <f t="shared" si="83"/>
        <v>0</v>
      </c>
      <c r="Y102">
        <f t="shared" si="84"/>
        <v>0</v>
      </c>
      <c r="AA102">
        <v>42938047</v>
      </c>
      <c r="AB102">
        <f t="shared" si="85"/>
        <v>183.09</v>
      </c>
      <c r="AC102">
        <f t="shared" si="86"/>
        <v>183.09</v>
      </c>
      <c r="AD102">
        <f>ROUND((((ET102)-(EU102))+AE102),6)</f>
        <v>0</v>
      </c>
      <c r="AE102">
        <f>ROUND((EU102),6)</f>
        <v>0</v>
      </c>
      <c r="AF102">
        <f>ROUND((EV102),6)</f>
        <v>0</v>
      </c>
      <c r="AG102">
        <f t="shared" si="87"/>
        <v>0</v>
      </c>
      <c r="AH102">
        <f>(EW102)</f>
        <v>0</v>
      </c>
      <c r="AI102">
        <f>(EX102)</f>
        <v>0</v>
      </c>
      <c r="AJ102">
        <f t="shared" si="88"/>
        <v>0</v>
      </c>
      <c r="AK102">
        <v>183.09</v>
      </c>
      <c r="AL102">
        <v>183.09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1</v>
      </c>
      <c r="AW102">
        <v>1</v>
      </c>
      <c r="AZ102">
        <v>1</v>
      </c>
      <c r="BA102">
        <v>1</v>
      </c>
      <c r="BB102">
        <v>1</v>
      </c>
      <c r="BC102">
        <v>9.0399999999999991</v>
      </c>
      <c r="BD102" t="s">
        <v>3</v>
      </c>
      <c r="BE102" t="s">
        <v>3</v>
      </c>
      <c r="BF102" t="s">
        <v>3</v>
      </c>
      <c r="BG102" t="s">
        <v>3</v>
      </c>
      <c r="BH102">
        <v>3</v>
      </c>
      <c r="BI102">
        <v>1</v>
      </c>
      <c r="BJ102" t="s">
        <v>282</v>
      </c>
      <c r="BM102">
        <v>146</v>
      </c>
      <c r="BN102">
        <v>0</v>
      </c>
      <c r="BO102" t="s">
        <v>280</v>
      </c>
      <c r="BP102">
        <v>1</v>
      </c>
      <c r="BQ102">
        <v>30</v>
      </c>
      <c r="BR102">
        <v>0</v>
      </c>
      <c r="BS102">
        <v>1</v>
      </c>
      <c r="BT102">
        <v>1</v>
      </c>
      <c r="BU102">
        <v>1</v>
      </c>
      <c r="BV102">
        <v>1</v>
      </c>
      <c r="BW102">
        <v>1</v>
      </c>
      <c r="BX102">
        <v>1</v>
      </c>
      <c r="BY102" t="s">
        <v>3</v>
      </c>
      <c r="BZ102">
        <v>0</v>
      </c>
      <c r="CA102">
        <v>0</v>
      </c>
      <c r="CB102" t="s">
        <v>3</v>
      </c>
      <c r="CE102">
        <v>30</v>
      </c>
      <c r="CF102">
        <v>0</v>
      </c>
      <c r="CG102">
        <v>0</v>
      </c>
      <c r="CM102">
        <v>0</v>
      </c>
      <c r="CN102" t="s">
        <v>3</v>
      </c>
      <c r="CO102">
        <v>0</v>
      </c>
      <c r="CP102">
        <f t="shared" si="89"/>
        <v>105928.55</v>
      </c>
      <c r="CQ102">
        <f t="shared" si="90"/>
        <v>1655.13</v>
      </c>
      <c r="CR102">
        <f>(ROUND((ROUND(((ET102)*AV102*1),2)*BB102),2)+ROUND((ROUND(((AE102-(EU102))*AV102*1),2)*BS102),2))</f>
        <v>0</v>
      </c>
      <c r="CS102">
        <f t="shared" si="91"/>
        <v>0</v>
      </c>
      <c r="CT102">
        <f t="shared" si="92"/>
        <v>0</v>
      </c>
      <c r="CU102">
        <f t="shared" si="93"/>
        <v>0</v>
      </c>
      <c r="CV102">
        <f t="shared" si="94"/>
        <v>0</v>
      </c>
      <c r="CW102">
        <f t="shared" si="95"/>
        <v>0</v>
      </c>
      <c r="CX102">
        <f t="shared" si="96"/>
        <v>0</v>
      </c>
      <c r="CY102">
        <f t="shared" si="97"/>
        <v>0</v>
      </c>
      <c r="CZ102">
        <f t="shared" si="98"/>
        <v>0</v>
      </c>
      <c r="DC102" t="s">
        <v>3</v>
      </c>
      <c r="DD102" t="s">
        <v>3</v>
      </c>
      <c r="DE102" t="s">
        <v>3</v>
      </c>
      <c r="DF102" t="s">
        <v>3</v>
      </c>
      <c r="DG102" t="s">
        <v>3</v>
      </c>
      <c r="DH102" t="s">
        <v>3</v>
      </c>
      <c r="DI102" t="s">
        <v>3</v>
      </c>
      <c r="DJ102" t="s">
        <v>3</v>
      </c>
      <c r="DK102" t="s">
        <v>3</v>
      </c>
      <c r="DL102" t="s">
        <v>3</v>
      </c>
      <c r="DM102" t="s">
        <v>3</v>
      </c>
      <c r="DN102">
        <v>140</v>
      </c>
      <c r="DO102">
        <v>79</v>
      </c>
      <c r="DP102">
        <v>1</v>
      </c>
      <c r="DQ102">
        <v>1</v>
      </c>
      <c r="DU102">
        <v>1007</v>
      </c>
      <c r="DV102" t="s">
        <v>84</v>
      </c>
      <c r="DW102" t="s">
        <v>84</v>
      </c>
      <c r="DX102">
        <v>1</v>
      </c>
      <c r="DZ102" t="s">
        <v>3</v>
      </c>
      <c r="EA102" t="s">
        <v>3</v>
      </c>
      <c r="EB102" t="s">
        <v>3</v>
      </c>
      <c r="EC102" t="s">
        <v>3</v>
      </c>
      <c r="EE102">
        <v>43088224</v>
      </c>
      <c r="EF102">
        <v>30</v>
      </c>
      <c r="EG102" t="s">
        <v>22</v>
      </c>
      <c r="EH102">
        <v>0</v>
      </c>
      <c r="EI102" t="s">
        <v>3</v>
      </c>
      <c r="EJ102">
        <v>1</v>
      </c>
      <c r="EK102">
        <v>146</v>
      </c>
      <c r="EL102" t="s">
        <v>79</v>
      </c>
      <c r="EM102" t="s">
        <v>80</v>
      </c>
      <c r="EO102" t="s">
        <v>3</v>
      </c>
      <c r="EQ102">
        <v>0</v>
      </c>
      <c r="ER102">
        <v>183.09</v>
      </c>
      <c r="ES102">
        <v>183.09</v>
      </c>
      <c r="ET102">
        <v>0</v>
      </c>
      <c r="EU102">
        <v>0</v>
      </c>
      <c r="EV102">
        <v>0</v>
      </c>
      <c r="EW102">
        <v>0</v>
      </c>
      <c r="EX102">
        <v>0</v>
      </c>
      <c r="FQ102">
        <v>0</v>
      </c>
      <c r="FR102">
        <f t="shared" si="99"/>
        <v>0</v>
      </c>
      <c r="FS102">
        <v>0</v>
      </c>
      <c r="FX102">
        <v>140</v>
      </c>
      <c r="FY102">
        <v>79</v>
      </c>
      <c r="GA102" t="s">
        <v>3</v>
      </c>
      <c r="GD102">
        <v>0</v>
      </c>
      <c r="GF102">
        <v>-1733926470</v>
      </c>
      <c r="GG102">
        <v>2</v>
      </c>
      <c r="GH102">
        <v>1</v>
      </c>
      <c r="GI102">
        <v>2</v>
      </c>
      <c r="GJ102">
        <v>0</v>
      </c>
      <c r="GK102">
        <f>ROUND(R102*(R12)/100,2)</f>
        <v>0</v>
      </c>
      <c r="GL102">
        <f t="shared" si="100"/>
        <v>0</v>
      </c>
      <c r="GM102">
        <f t="shared" si="101"/>
        <v>105928.55</v>
      </c>
      <c r="GN102">
        <f t="shared" si="102"/>
        <v>105928.55</v>
      </c>
      <c r="GO102">
        <f t="shared" si="103"/>
        <v>0</v>
      </c>
      <c r="GP102">
        <f t="shared" si="104"/>
        <v>0</v>
      </c>
      <c r="GR102">
        <v>0</v>
      </c>
      <c r="GS102">
        <v>3</v>
      </c>
      <c r="GT102">
        <v>0</v>
      </c>
      <c r="GU102" t="s">
        <v>3</v>
      </c>
      <c r="GV102">
        <f t="shared" si="105"/>
        <v>0</v>
      </c>
      <c r="GW102">
        <v>1</v>
      </c>
      <c r="GX102">
        <f t="shared" si="106"/>
        <v>0</v>
      </c>
      <c r="HA102">
        <v>0</v>
      </c>
      <c r="HB102">
        <v>0</v>
      </c>
      <c r="HC102">
        <f t="shared" si="107"/>
        <v>0</v>
      </c>
      <c r="HE102" t="s">
        <v>3</v>
      </c>
      <c r="HF102" t="s">
        <v>3</v>
      </c>
      <c r="HM102" t="s">
        <v>3</v>
      </c>
      <c r="IK102">
        <v>0</v>
      </c>
    </row>
    <row r="103" spans="1:245" x14ac:dyDescent="0.2">
      <c r="A103">
        <v>17</v>
      </c>
      <c r="B103">
        <v>1</v>
      </c>
      <c r="C103">
        <f>ROW(SmtRes!A117)</f>
        <v>117</v>
      </c>
      <c r="D103">
        <f>ROW(EtalonRes!A115)</f>
        <v>115</v>
      </c>
      <c r="E103" t="s">
        <v>283</v>
      </c>
      <c r="F103" t="s">
        <v>87</v>
      </c>
      <c r="G103" t="s">
        <v>88</v>
      </c>
      <c r="H103" t="s">
        <v>77</v>
      </c>
      <c r="I103">
        <f>ROUND(64/100,9)</f>
        <v>0.64</v>
      </c>
      <c r="J103">
        <v>0</v>
      </c>
      <c r="K103">
        <f>ROUND(64/100,9)</f>
        <v>0.64</v>
      </c>
      <c r="O103">
        <f t="shared" si="75"/>
        <v>8777.1200000000008</v>
      </c>
      <c r="P103">
        <f t="shared" si="76"/>
        <v>116.27</v>
      </c>
      <c r="Q103">
        <f>(ROUND((ROUND((((ET103*1.25))*AV103*I103),2)*BB103),2)+ROUND((ROUND(((AE103-((EU103*1.25)))*AV103*I103),2)*BS103),2))</f>
        <v>5824.29</v>
      </c>
      <c r="R103">
        <f t="shared" si="77"/>
        <v>2157.06</v>
      </c>
      <c r="S103">
        <f t="shared" si="78"/>
        <v>2836.56</v>
      </c>
      <c r="T103">
        <f t="shared" si="79"/>
        <v>0</v>
      </c>
      <c r="U103">
        <f t="shared" si="80"/>
        <v>10.5984</v>
      </c>
      <c r="V103">
        <f t="shared" si="81"/>
        <v>0</v>
      </c>
      <c r="W103">
        <f t="shared" si="82"/>
        <v>0</v>
      </c>
      <c r="X103">
        <f t="shared" si="83"/>
        <v>3176.95</v>
      </c>
      <c r="Y103">
        <f t="shared" si="84"/>
        <v>1162.99</v>
      </c>
      <c r="AA103">
        <v>42938047</v>
      </c>
      <c r="AB103">
        <f t="shared" si="85"/>
        <v>1141.0385000000001</v>
      </c>
      <c r="AC103">
        <f t="shared" si="86"/>
        <v>35.35</v>
      </c>
      <c r="AD103">
        <f>ROUND(((((ET103*1.25))-((EU103*1.25)))+AE103),6)</f>
        <v>931.47500000000002</v>
      </c>
      <c r="AE103">
        <f>ROUND(((EU103*1.25)),6)</f>
        <v>132.48750000000001</v>
      </c>
      <c r="AF103">
        <f>ROUND(((EV103*1.15)),6)</f>
        <v>174.21350000000001</v>
      </c>
      <c r="AG103">
        <f t="shared" si="87"/>
        <v>0</v>
      </c>
      <c r="AH103">
        <f>((EW103*1.15))</f>
        <v>16.559999999999999</v>
      </c>
      <c r="AI103">
        <f>((EX103*1.25))</f>
        <v>0</v>
      </c>
      <c r="AJ103">
        <f t="shared" si="88"/>
        <v>0</v>
      </c>
      <c r="AK103">
        <v>932.02</v>
      </c>
      <c r="AL103">
        <v>35.35</v>
      </c>
      <c r="AM103">
        <v>745.18</v>
      </c>
      <c r="AN103">
        <v>105.99</v>
      </c>
      <c r="AO103">
        <v>151.49</v>
      </c>
      <c r="AP103">
        <v>0</v>
      </c>
      <c r="AQ103">
        <v>14.4</v>
      </c>
      <c r="AR103">
        <v>0</v>
      </c>
      <c r="AS103">
        <v>0</v>
      </c>
      <c r="AT103">
        <v>112</v>
      </c>
      <c r="AU103">
        <v>41</v>
      </c>
      <c r="AV103">
        <v>1</v>
      </c>
      <c r="AW103">
        <v>1</v>
      </c>
      <c r="AZ103">
        <v>1</v>
      </c>
      <c r="BA103">
        <v>25.44</v>
      </c>
      <c r="BB103">
        <v>9.77</v>
      </c>
      <c r="BC103">
        <v>5.14</v>
      </c>
      <c r="BD103" t="s">
        <v>3</v>
      </c>
      <c r="BE103" t="s">
        <v>3</v>
      </c>
      <c r="BF103" t="s">
        <v>3</v>
      </c>
      <c r="BG103" t="s">
        <v>3</v>
      </c>
      <c r="BH103">
        <v>0</v>
      </c>
      <c r="BI103">
        <v>1</v>
      </c>
      <c r="BJ103" t="s">
        <v>89</v>
      </c>
      <c r="BM103">
        <v>146</v>
      </c>
      <c r="BN103">
        <v>0</v>
      </c>
      <c r="BO103" t="s">
        <v>87</v>
      </c>
      <c r="BP103">
        <v>1</v>
      </c>
      <c r="BQ103">
        <v>30</v>
      </c>
      <c r="BR103">
        <v>0</v>
      </c>
      <c r="BS103">
        <v>25.44</v>
      </c>
      <c r="BT103">
        <v>1</v>
      </c>
      <c r="BU103">
        <v>1</v>
      </c>
      <c r="BV103">
        <v>1</v>
      </c>
      <c r="BW103">
        <v>1</v>
      </c>
      <c r="BX103">
        <v>1</v>
      </c>
      <c r="BY103" t="s">
        <v>3</v>
      </c>
      <c r="BZ103">
        <v>112</v>
      </c>
      <c r="CA103">
        <v>41</v>
      </c>
      <c r="CB103" t="s">
        <v>3</v>
      </c>
      <c r="CE103">
        <v>30</v>
      </c>
      <c r="CF103">
        <v>0</v>
      </c>
      <c r="CG103">
        <v>0</v>
      </c>
      <c r="CM103">
        <v>0</v>
      </c>
      <c r="CN103" t="s">
        <v>1584</v>
      </c>
      <c r="CO103">
        <v>0</v>
      </c>
      <c r="CP103">
        <f t="shared" si="89"/>
        <v>8777.1200000000008</v>
      </c>
      <c r="CQ103">
        <f t="shared" si="90"/>
        <v>181.7</v>
      </c>
      <c r="CR103">
        <f>(ROUND((ROUND((((ET103*1.25))*AV103*1),2)*BB103),2)+ROUND((ROUND(((AE103-((EU103*1.25)))*AV103*1),2)*BS103),2))</f>
        <v>9100.56</v>
      </c>
      <c r="CS103">
        <f t="shared" si="91"/>
        <v>3370.55</v>
      </c>
      <c r="CT103">
        <f t="shared" si="92"/>
        <v>4431.8999999999996</v>
      </c>
      <c r="CU103">
        <f t="shared" si="93"/>
        <v>0</v>
      </c>
      <c r="CV103">
        <f t="shared" si="94"/>
        <v>16.559999999999999</v>
      </c>
      <c r="CW103">
        <f t="shared" si="95"/>
        <v>0</v>
      </c>
      <c r="CX103">
        <f t="shared" si="96"/>
        <v>0</v>
      </c>
      <c r="CY103">
        <f t="shared" si="97"/>
        <v>3176.9472000000001</v>
      </c>
      <c r="CZ103">
        <f t="shared" si="98"/>
        <v>1162.9895999999999</v>
      </c>
      <c r="DC103" t="s">
        <v>3</v>
      </c>
      <c r="DD103" t="s">
        <v>3</v>
      </c>
      <c r="DE103" t="s">
        <v>20</v>
      </c>
      <c r="DF103" t="s">
        <v>20</v>
      </c>
      <c r="DG103" t="s">
        <v>21</v>
      </c>
      <c r="DH103" t="s">
        <v>3</v>
      </c>
      <c r="DI103" t="s">
        <v>21</v>
      </c>
      <c r="DJ103" t="s">
        <v>20</v>
      </c>
      <c r="DK103" t="s">
        <v>3</v>
      </c>
      <c r="DL103" t="s">
        <v>3</v>
      </c>
      <c r="DM103" t="s">
        <v>3</v>
      </c>
      <c r="DN103">
        <v>140</v>
      </c>
      <c r="DO103">
        <v>79</v>
      </c>
      <c r="DP103">
        <v>1</v>
      </c>
      <c r="DQ103">
        <v>1</v>
      </c>
      <c r="DU103">
        <v>1013</v>
      </c>
      <c r="DV103" t="s">
        <v>77</v>
      </c>
      <c r="DW103" t="s">
        <v>77</v>
      </c>
      <c r="DX103">
        <v>1</v>
      </c>
      <c r="DZ103" t="s">
        <v>3</v>
      </c>
      <c r="EA103" t="s">
        <v>3</v>
      </c>
      <c r="EB103" t="s">
        <v>3</v>
      </c>
      <c r="EC103" t="s">
        <v>3</v>
      </c>
      <c r="EE103">
        <v>43088224</v>
      </c>
      <c r="EF103">
        <v>30</v>
      </c>
      <c r="EG103" t="s">
        <v>22</v>
      </c>
      <c r="EH103">
        <v>0</v>
      </c>
      <c r="EI103" t="s">
        <v>3</v>
      </c>
      <c r="EJ103">
        <v>1</v>
      </c>
      <c r="EK103">
        <v>146</v>
      </c>
      <c r="EL103" t="s">
        <v>79</v>
      </c>
      <c r="EM103" t="s">
        <v>80</v>
      </c>
      <c r="EO103" t="s">
        <v>59</v>
      </c>
      <c r="EQ103">
        <v>0</v>
      </c>
      <c r="ER103">
        <v>932.02</v>
      </c>
      <c r="ES103">
        <v>35.35</v>
      </c>
      <c r="ET103">
        <v>745.18</v>
      </c>
      <c r="EU103">
        <v>105.99</v>
      </c>
      <c r="EV103">
        <v>151.49</v>
      </c>
      <c r="EW103">
        <v>14.4</v>
      </c>
      <c r="EX103">
        <v>0</v>
      </c>
      <c r="EY103">
        <v>0</v>
      </c>
      <c r="FQ103">
        <v>0</v>
      </c>
      <c r="FR103">
        <f t="shared" si="99"/>
        <v>0</v>
      </c>
      <c r="FS103">
        <v>0</v>
      </c>
      <c r="FX103">
        <v>140</v>
      </c>
      <c r="FY103">
        <v>79</v>
      </c>
      <c r="GA103" t="s">
        <v>3</v>
      </c>
      <c r="GD103">
        <v>0</v>
      </c>
      <c r="GF103">
        <v>1486975691</v>
      </c>
      <c r="GG103">
        <v>2</v>
      </c>
      <c r="GH103">
        <v>1</v>
      </c>
      <c r="GI103">
        <v>2</v>
      </c>
      <c r="GJ103">
        <v>0</v>
      </c>
      <c r="GK103">
        <f>ROUND(R103*(R12)/100,2)</f>
        <v>3386.58</v>
      </c>
      <c r="GL103">
        <f t="shared" si="100"/>
        <v>0</v>
      </c>
      <c r="GM103">
        <f t="shared" si="101"/>
        <v>16503.64</v>
      </c>
      <c r="GN103">
        <f t="shared" si="102"/>
        <v>16503.64</v>
      </c>
      <c r="GO103">
        <f t="shared" si="103"/>
        <v>0</v>
      </c>
      <c r="GP103">
        <f t="shared" si="104"/>
        <v>0</v>
      </c>
      <c r="GR103">
        <v>0</v>
      </c>
      <c r="GS103">
        <v>3</v>
      </c>
      <c r="GT103">
        <v>0</v>
      </c>
      <c r="GU103" t="s">
        <v>3</v>
      </c>
      <c r="GV103">
        <f t="shared" si="105"/>
        <v>0</v>
      </c>
      <c r="GW103">
        <v>1</v>
      </c>
      <c r="GX103">
        <f t="shared" si="106"/>
        <v>0</v>
      </c>
      <c r="HA103">
        <v>0</v>
      </c>
      <c r="HB103">
        <v>0</v>
      </c>
      <c r="HC103">
        <f t="shared" si="107"/>
        <v>0</v>
      </c>
      <c r="HE103" t="s">
        <v>3</v>
      </c>
      <c r="HF103" t="s">
        <v>3</v>
      </c>
      <c r="HM103" t="s">
        <v>3</v>
      </c>
      <c r="IK103">
        <v>0</v>
      </c>
    </row>
    <row r="104" spans="1:245" x14ac:dyDescent="0.2">
      <c r="A104">
        <v>18</v>
      </c>
      <c r="B104">
        <v>1</v>
      </c>
      <c r="C104">
        <v>117</v>
      </c>
      <c r="E104" t="s">
        <v>284</v>
      </c>
      <c r="F104" t="s">
        <v>91</v>
      </c>
      <c r="G104" t="s">
        <v>92</v>
      </c>
      <c r="H104" t="s">
        <v>84</v>
      </c>
      <c r="I104">
        <f>I103*J104</f>
        <v>64</v>
      </c>
      <c r="J104">
        <v>100</v>
      </c>
      <c r="K104">
        <v>100</v>
      </c>
      <c r="O104">
        <f t="shared" si="75"/>
        <v>37023.67</v>
      </c>
      <c r="P104">
        <f t="shared" si="76"/>
        <v>37023.67</v>
      </c>
      <c r="Q104">
        <f>(ROUND((ROUND(((ET104)*AV104*I104),2)*BB104),2)+ROUND((ROUND(((AE104-(EU104))*AV104*I104),2)*BS104),2))</f>
        <v>0</v>
      </c>
      <c r="R104">
        <f t="shared" si="77"/>
        <v>0</v>
      </c>
      <c r="S104">
        <f t="shared" si="78"/>
        <v>0</v>
      </c>
      <c r="T104">
        <f t="shared" si="79"/>
        <v>0</v>
      </c>
      <c r="U104">
        <f t="shared" si="80"/>
        <v>0</v>
      </c>
      <c r="V104">
        <f t="shared" si="81"/>
        <v>0</v>
      </c>
      <c r="W104">
        <f t="shared" si="82"/>
        <v>0</v>
      </c>
      <c r="X104">
        <f t="shared" si="83"/>
        <v>0</v>
      </c>
      <c r="Y104">
        <f t="shared" si="84"/>
        <v>0</v>
      </c>
      <c r="AA104">
        <v>42938047</v>
      </c>
      <c r="AB104">
        <f t="shared" si="85"/>
        <v>104.99</v>
      </c>
      <c r="AC104">
        <f t="shared" si="86"/>
        <v>104.99</v>
      </c>
      <c r="AD104">
        <f>ROUND((((ET104)-(EU104))+AE104),6)</f>
        <v>0</v>
      </c>
      <c r="AE104">
        <f>ROUND((EU104),6)</f>
        <v>0</v>
      </c>
      <c r="AF104">
        <f>ROUND((EV104),6)</f>
        <v>0</v>
      </c>
      <c r="AG104">
        <f t="shared" si="87"/>
        <v>0</v>
      </c>
      <c r="AH104">
        <f>(EW104)</f>
        <v>0</v>
      </c>
      <c r="AI104">
        <f>(EX104)</f>
        <v>0</v>
      </c>
      <c r="AJ104">
        <f t="shared" si="88"/>
        <v>0</v>
      </c>
      <c r="AK104">
        <v>104.99</v>
      </c>
      <c r="AL104">
        <v>104.99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1</v>
      </c>
      <c r="AW104">
        <v>1</v>
      </c>
      <c r="AZ104">
        <v>1</v>
      </c>
      <c r="BA104">
        <v>1</v>
      </c>
      <c r="BB104">
        <v>1</v>
      </c>
      <c r="BC104">
        <v>5.51</v>
      </c>
      <c r="BD104" t="s">
        <v>3</v>
      </c>
      <c r="BE104" t="s">
        <v>3</v>
      </c>
      <c r="BF104" t="s">
        <v>3</v>
      </c>
      <c r="BG104" t="s">
        <v>3</v>
      </c>
      <c r="BH104">
        <v>3</v>
      </c>
      <c r="BI104">
        <v>1</v>
      </c>
      <c r="BJ104" t="s">
        <v>93</v>
      </c>
      <c r="BM104">
        <v>146</v>
      </c>
      <c r="BN104">
        <v>0</v>
      </c>
      <c r="BO104" t="s">
        <v>91</v>
      </c>
      <c r="BP104">
        <v>1</v>
      </c>
      <c r="BQ104">
        <v>30</v>
      </c>
      <c r="BR104">
        <v>0</v>
      </c>
      <c r="BS104">
        <v>1</v>
      </c>
      <c r="BT104">
        <v>1</v>
      </c>
      <c r="BU104">
        <v>1</v>
      </c>
      <c r="BV104">
        <v>1</v>
      </c>
      <c r="BW104">
        <v>1</v>
      </c>
      <c r="BX104">
        <v>1</v>
      </c>
      <c r="BY104" t="s">
        <v>3</v>
      </c>
      <c r="BZ104">
        <v>0</v>
      </c>
      <c r="CA104">
        <v>0</v>
      </c>
      <c r="CB104" t="s">
        <v>3</v>
      </c>
      <c r="CE104">
        <v>30</v>
      </c>
      <c r="CF104">
        <v>0</v>
      </c>
      <c r="CG104">
        <v>0</v>
      </c>
      <c r="CM104">
        <v>0</v>
      </c>
      <c r="CN104" t="s">
        <v>3</v>
      </c>
      <c r="CO104">
        <v>0</v>
      </c>
      <c r="CP104">
        <f t="shared" si="89"/>
        <v>37023.67</v>
      </c>
      <c r="CQ104">
        <f t="shared" si="90"/>
        <v>578.49</v>
      </c>
      <c r="CR104">
        <f>(ROUND((ROUND(((ET104)*AV104*1),2)*BB104),2)+ROUND((ROUND(((AE104-(EU104))*AV104*1),2)*BS104),2))</f>
        <v>0</v>
      </c>
      <c r="CS104">
        <f t="shared" si="91"/>
        <v>0</v>
      </c>
      <c r="CT104">
        <f t="shared" si="92"/>
        <v>0</v>
      </c>
      <c r="CU104">
        <f t="shared" si="93"/>
        <v>0</v>
      </c>
      <c r="CV104">
        <f t="shared" si="94"/>
        <v>0</v>
      </c>
      <c r="CW104">
        <f t="shared" si="95"/>
        <v>0</v>
      </c>
      <c r="CX104">
        <f t="shared" si="96"/>
        <v>0</v>
      </c>
      <c r="CY104">
        <f t="shared" si="97"/>
        <v>0</v>
      </c>
      <c r="CZ104">
        <f t="shared" si="98"/>
        <v>0</v>
      </c>
      <c r="DC104" t="s">
        <v>3</v>
      </c>
      <c r="DD104" t="s">
        <v>3</v>
      </c>
      <c r="DE104" t="s">
        <v>3</v>
      </c>
      <c r="DF104" t="s">
        <v>3</v>
      </c>
      <c r="DG104" t="s">
        <v>3</v>
      </c>
      <c r="DH104" t="s">
        <v>3</v>
      </c>
      <c r="DI104" t="s">
        <v>3</v>
      </c>
      <c r="DJ104" t="s">
        <v>3</v>
      </c>
      <c r="DK104" t="s">
        <v>3</v>
      </c>
      <c r="DL104" t="s">
        <v>3</v>
      </c>
      <c r="DM104" t="s">
        <v>3</v>
      </c>
      <c r="DN104">
        <v>140</v>
      </c>
      <c r="DO104">
        <v>79</v>
      </c>
      <c r="DP104">
        <v>1</v>
      </c>
      <c r="DQ104">
        <v>1</v>
      </c>
      <c r="DU104">
        <v>1007</v>
      </c>
      <c r="DV104" t="s">
        <v>84</v>
      </c>
      <c r="DW104" t="s">
        <v>84</v>
      </c>
      <c r="DX104">
        <v>1</v>
      </c>
      <c r="DZ104" t="s">
        <v>3</v>
      </c>
      <c r="EA104" t="s">
        <v>3</v>
      </c>
      <c r="EB104" t="s">
        <v>3</v>
      </c>
      <c r="EC104" t="s">
        <v>3</v>
      </c>
      <c r="EE104">
        <v>43088224</v>
      </c>
      <c r="EF104">
        <v>30</v>
      </c>
      <c r="EG104" t="s">
        <v>22</v>
      </c>
      <c r="EH104">
        <v>0</v>
      </c>
      <c r="EI104" t="s">
        <v>3</v>
      </c>
      <c r="EJ104">
        <v>1</v>
      </c>
      <c r="EK104">
        <v>146</v>
      </c>
      <c r="EL104" t="s">
        <v>79</v>
      </c>
      <c r="EM104" t="s">
        <v>80</v>
      </c>
      <c r="EO104" t="s">
        <v>3</v>
      </c>
      <c r="EQ104">
        <v>0</v>
      </c>
      <c r="ER104">
        <v>104.99</v>
      </c>
      <c r="ES104">
        <v>104.99</v>
      </c>
      <c r="ET104">
        <v>0</v>
      </c>
      <c r="EU104">
        <v>0</v>
      </c>
      <c r="EV104">
        <v>0</v>
      </c>
      <c r="EW104">
        <v>0</v>
      </c>
      <c r="EX104">
        <v>0</v>
      </c>
      <c r="FQ104">
        <v>0</v>
      </c>
      <c r="FR104">
        <f t="shared" si="99"/>
        <v>0</v>
      </c>
      <c r="FS104">
        <v>0</v>
      </c>
      <c r="FX104">
        <v>140</v>
      </c>
      <c r="FY104">
        <v>79</v>
      </c>
      <c r="GA104" t="s">
        <v>3</v>
      </c>
      <c r="GD104">
        <v>0</v>
      </c>
      <c r="GF104">
        <v>2069056849</v>
      </c>
      <c r="GG104">
        <v>2</v>
      </c>
      <c r="GH104">
        <v>1</v>
      </c>
      <c r="GI104">
        <v>2</v>
      </c>
      <c r="GJ104">
        <v>0</v>
      </c>
      <c r="GK104">
        <f>ROUND(R104*(R12)/100,2)</f>
        <v>0</v>
      </c>
      <c r="GL104">
        <f t="shared" si="100"/>
        <v>0</v>
      </c>
      <c r="GM104">
        <f t="shared" si="101"/>
        <v>37023.67</v>
      </c>
      <c r="GN104">
        <f t="shared" si="102"/>
        <v>37023.67</v>
      </c>
      <c r="GO104">
        <f t="shared" si="103"/>
        <v>0</v>
      </c>
      <c r="GP104">
        <f t="shared" si="104"/>
        <v>0</v>
      </c>
      <c r="GR104">
        <v>0</v>
      </c>
      <c r="GS104">
        <v>3</v>
      </c>
      <c r="GT104">
        <v>0</v>
      </c>
      <c r="GU104" t="s">
        <v>3</v>
      </c>
      <c r="GV104">
        <f t="shared" si="105"/>
        <v>0</v>
      </c>
      <c r="GW104">
        <v>1</v>
      </c>
      <c r="GX104">
        <f t="shared" si="106"/>
        <v>0</v>
      </c>
      <c r="HA104">
        <v>0</v>
      </c>
      <c r="HB104">
        <v>0</v>
      </c>
      <c r="HC104">
        <f t="shared" si="107"/>
        <v>0</v>
      </c>
      <c r="HE104" t="s">
        <v>3</v>
      </c>
      <c r="HF104" t="s">
        <v>3</v>
      </c>
      <c r="HM104" t="s">
        <v>3</v>
      </c>
      <c r="IK104">
        <v>0</v>
      </c>
    </row>
    <row r="105" spans="1:245" x14ac:dyDescent="0.2">
      <c r="A105">
        <v>17</v>
      </c>
      <c r="B105">
        <v>1</v>
      </c>
      <c r="C105">
        <f>ROW(SmtRes!A120)</f>
        <v>120</v>
      </c>
      <c r="D105">
        <f>ROW(EtalonRes!A118)</f>
        <v>118</v>
      </c>
      <c r="E105" t="s">
        <v>285</v>
      </c>
      <c r="F105" t="s">
        <v>286</v>
      </c>
      <c r="G105" t="s">
        <v>287</v>
      </c>
      <c r="H105" t="s">
        <v>288</v>
      </c>
      <c r="I105">
        <f>ROUND(32/100,9)</f>
        <v>0.32</v>
      </c>
      <c r="J105">
        <v>0</v>
      </c>
      <c r="K105">
        <f>ROUND(32/100,9)</f>
        <v>0.32</v>
      </c>
      <c r="O105">
        <f t="shared" si="75"/>
        <v>4347.6000000000004</v>
      </c>
      <c r="P105">
        <f t="shared" si="76"/>
        <v>0</v>
      </c>
      <c r="Q105">
        <f>(ROUND((ROUND((((ET105*1.25))*AV105*I105),2)*BB105),2)+ROUND((ROUND(((AE105-((EU105*1.25)))*AV105*I105),2)*BS105),2))</f>
        <v>3217.3</v>
      </c>
      <c r="R105">
        <f t="shared" si="77"/>
        <v>1984.07</v>
      </c>
      <c r="S105">
        <f t="shared" si="78"/>
        <v>1130.3</v>
      </c>
      <c r="T105">
        <f t="shared" si="79"/>
        <v>0</v>
      </c>
      <c r="U105">
        <f t="shared" si="80"/>
        <v>3.9744000000000002</v>
      </c>
      <c r="V105">
        <f t="shared" si="81"/>
        <v>0</v>
      </c>
      <c r="W105">
        <f t="shared" si="82"/>
        <v>0</v>
      </c>
      <c r="X105">
        <f t="shared" si="83"/>
        <v>1039.8800000000001</v>
      </c>
      <c r="Y105">
        <f t="shared" si="84"/>
        <v>565.15</v>
      </c>
      <c r="AA105">
        <v>42938047</v>
      </c>
      <c r="AB105">
        <f t="shared" si="85"/>
        <v>943.81349999999998</v>
      </c>
      <c r="AC105">
        <f t="shared" si="86"/>
        <v>0</v>
      </c>
      <c r="AD105">
        <f>ROUND(((((ET105*1.25))-((EU105*1.25)))+AE105),6)</f>
        <v>804.96249999999998</v>
      </c>
      <c r="AE105">
        <f>ROUND(((EU105*1.25)),6)</f>
        <v>243.72499999999999</v>
      </c>
      <c r="AF105">
        <f>ROUND(((EV105*1.15)),6)</f>
        <v>138.851</v>
      </c>
      <c r="AG105">
        <f t="shared" si="87"/>
        <v>0</v>
      </c>
      <c r="AH105">
        <f>((EW105*1.15))</f>
        <v>12.42</v>
      </c>
      <c r="AI105">
        <f>((EX105*1.25))</f>
        <v>0</v>
      </c>
      <c r="AJ105">
        <f t="shared" si="88"/>
        <v>0</v>
      </c>
      <c r="AK105">
        <v>764.71</v>
      </c>
      <c r="AL105">
        <v>0</v>
      </c>
      <c r="AM105">
        <v>643.97</v>
      </c>
      <c r="AN105">
        <v>194.98</v>
      </c>
      <c r="AO105">
        <v>120.74</v>
      </c>
      <c r="AP105">
        <v>0</v>
      </c>
      <c r="AQ105">
        <v>10.8</v>
      </c>
      <c r="AR105">
        <v>0</v>
      </c>
      <c r="AS105">
        <v>0</v>
      </c>
      <c r="AT105">
        <v>92</v>
      </c>
      <c r="AU105">
        <v>50</v>
      </c>
      <c r="AV105">
        <v>1</v>
      </c>
      <c r="AW105">
        <v>1</v>
      </c>
      <c r="AZ105">
        <v>1</v>
      </c>
      <c r="BA105">
        <v>25.44</v>
      </c>
      <c r="BB105">
        <v>12.49</v>
      </c>
      <c r="BC105">
        <v>1</v>
      </c>
      <c r="BD105" t="s">
        <v>3</v>
      </c>
      <c r="BE105" t="s">
        <v>3</v>
      </c>
      <c r="BF105" t="s">
        <v>3</v>
      </c>
      <c r="BG105" t="s">
        <v>3</v>
      </c>
      <c r="BH105">
        <v>0</v>
      </c>
      <c r="BI105">
        <v>1</v>
      </c>
      <c r="BJ105" t="s">
        <v>289</v>
      </c>
      <c r="BM105">
        <v>10</v>
      </c>
      <c r="BN105">
        <v>0</v>
      </c>
      <c r="BO105" t="s">
        <v>286</v>
      </c>
      <c r="BP105">
        <v>1</v>
      </c>
      <c r="BQ105">
        <v>30</v>
      </c>
      <c r="BR105">
        <v>0</v>
      </c>
      <c r="BS105">
        <v>25.44</v>
      </c>
      <c r="BT105">
        <v>1</v>
      </c>
      <c r="BU105">
        <v>1</v>
      </c>
      <c r="BV105">
        <v>1</v>
      </c>
      <c r="BW105">
        <v>1</v>
      </c>
      <c r="BX105">
        <v>1</v>
      </c>
      <c r="BY105" t="s">
        <v>3</v>
      </c>
      <c r="BZ105">
        <v>92</v>
      </c>
      <c r="CA105">
        <v>50</v>
      </c>
      <c r="CB105" t="s">
        <v>3</v>
      </c>
      <c r="CE105">
        <v>30</v>
      </c>
      <c r="CF105">
        <v>0</v>
      </c>
      <c r="CG105">
        <v>0</v>
      </c>
      <c r="CM105">
        <v>0</v>
      </c>
      <c r="CN105" t="s">
        <v>1584</v>
      </c>
      <c r="CO105">
        <v>0</v>
      </c>
      <c r="CP105">
        <f t="shared" si="89"/>
        <v>4347.6000000000004</v>
      </c>
      <c r="CQ105">
        <f t="shared" si="90"/>
        <v>0</v>
      </c>
      <c r="CR105">
        <f>(ROUND((ROUND((((ET105*1.25))*AV105*1),2)*BB105),2)+ROUND((ROUND(((AE105-((EU105*1.25)))*AV105*1),2)*BS105),2))</f>
        <v>10053.950000000001</v>
      </c>
      <c r="CS105">
        <f t="shared" si="91"/>
        <v>6200.49</v>
      </c>
      <c r="CT105">
        <f t="shared" si="92"/>
        <v>3532.34</v>
      </c>
      <c r="CU105">
        <f t="shared" si="93"/>
        <v>0</v>
      </c>
      <c r="CV105">
        <f t="shared" si="94"/>
        <v>12.42</v>
      </c>
      <c r="CW105">
        <f t="shared" si="95"/>
        <v>0</v>
      </c>
      <c r="CX105">
        <f t="shared" si="96"/>
        <v>0</v>
      </c>
      <c r="CY105">
        <f t="shared" si="97"/>
        <v>1039.876</v>
      </c>
      <c r="CZ105">
        <f t="shared" si="98"/>
        <v>565.15</v>
      </c>
      <c r="DC105" t="s">
        <v>3</v>
      </c>
      <c r="DD105" t="s">
        <v>3</v>
      </c>
      <c r="DE105" t="s">
        <v>20</v>
      </c>
      <c r="DF105" t="s">
        <v>20</v>
      </c>
      <c r="DG105" t="s">
        <v>21</v>
      </c>
      <c r="DH105" t="s">
        <v>3</v>
      </c>
      <c r="DI105" t="s">
        <v>21</v>
      </c>
      <c r="DJ105" t="s">
        <v>20</v>
      </c>
      <c r="DK105" t="s">
        <v>3</v>
      </c>
      <c r="DL105" t="s">
        <v>3</v>
      </c>
      <c r="DM105" t="s">
        <v>3</v>
      </c>
      <c r="DN105">
        <v>98</v>
      </c>
      <c r="DO105">
        <v>77</v>
      </c>
      <c r="DP105">
        <v>1</v>
      </c>
      <c r="DQ105">
        <v>1</v>
      </c>
      <c r="DU105">
        <v>1013</v>
      </c>
      <c r="DV105" t="s">
        <v>288</v>
      </c>
      <c r="DW105" t="s">
        <v>288</v>
      </c>
      <c r="DX105">
        <v>1</v>
      </c>
      <c r="DZ105" t="s">
        <v>3</v>
      </c>
      <c r="EA105" t="s">
        <v>3</v>
      </c>
      <c r="EB105" t="s">
        <v>3</v>
      </c>
      <c r="EC105" t="s">
        <v>3</v>
      </c>
      <c r="EE105">
        <v>43090089</v>
      </c>
      <c r="EF105">
        <v>30</v>
      </c>
      <c r="EG105" t="s">
        <v>22</v>
      </c>
      <c r="EH105">
        <v>0</v>
      </c>
      <c r="EI105" t="s">
        <v>3</v>
      </c>
      <c r="EJ105">
        <v>1</v>
      </c>
      <c r="EK105">
        <v>10</v>
      </c>
      <c r="EL105" t="s">
        <v>290</v>
      </c>
      <c r="EM105" t="s">
        <v>291</v>
      </c>
      <c r="EO105" t="s">
        <v>59</v>
      </c>
      <c r="EQ105">
        <v>0</v>
      </c>
      <c r="ER105">
        <v>764.71</v>
      </c>
      <c r="ES105">
        <v>0</v>
      </c>
      <c r="ET105">
        <v>643.97</v>
      </c>
      <c r="EU105">
        <v>194.98</v>
      </c>
      <c r="EV105">
        <v>120.74</v>
      </c>
      <c r="EW105">
        <v>10.8</v>
      </c>
      <c r="EX105">
        <v>0</v>
      </c>
      <c r="EY105">
        <v>0</v>
      </c>
      <c r="FQ105">
        <v>0</v>
      </c>
      <c r="FR105">
        <f t="shared" si="99"/>
        <v>0</v>
      </c>
      <c r="FS105">
        <v>0</v>
      </c>
      <c r="FX105">
        <v>98</v>
      </c>
      <c r="FY105">
        <v>77</v>
      </c>
      <c r="GA105" t="s">
        <v>3</v>
      </c>
      <c r="GD105">
        <v>0</v>
      </c>
      <c r="GF105">
        <v>-1696570498</v>
      </c>
      <c r="GG105">
        <v>2</v>
      </c>
      <c r="GH105">
        <v>1</v>
      </c>
      <c r="GI105">
        <v>2</v>
      </c>
      <c r="GJ105">
        <v>0</v>
      </c>
      <c r="GK105">
        <f>ROUND(R105*(R12)/100,2)</f>
        <v>3114.99</v>
      </c>
      <c r="GL105">
        <f t="shared" si="100"/>
        <v>0</v>
      </c>
      <c r="GM105">
        <f t="shared" si="101"/>
        <v>9067.6200000000008</v>
      </c>
      <c r="GN105">
        <f t="shared" si="102"/>
        <v>9067.6200000000008</v>
      </c>
      <c r="GO105">
        <f t="shared" si="103"/>
        <v>0</v>
      </c>
      <c r="GP105">
        <f t="shared" si="104"/>
        <v>0</v>
      </c>
      <c r="GR105">
        <v>0</v>
      </c>
      <c r="GS105">
        <v>3</v>
      </c>
      <c r="GT105">
        <v>0</v>
      </c>
      <c r="GU105" t="s">
        <v>3</v>
      </c>
      <c r="GV105">
        <f t="shared" si="105"/>
        <v>0</v>
      </c>
      <c r="GW105">
        <v>1</v>
      </c>
      <c r="GX105">
        <f t="shared" si="106"/>
        <v>0</v>
      </c>
      <c r="HA105">
        <v>0</v>
      </c>
      <c r="HB105">
        <v>0</v>
      </c>
      <c r="HC105">
        <f t="shared" si="107"/>
        <v>0</v>
      </c>
      <c r="HE105" t="s">
        <v>3</v>
      </c>
      <c r="HF105" t="s">
        <v>3</v>
      </c>
      <c r="HM105" t="s">
        <v>3</v>
      </c>
      <c r="IK105">
        <v>0</v>
      </c>
    </row>
    <row r="106" spans="1:245" x14ac:dyDescent="0.2">
      <c r="A106">
        <v>17</v>
      </c>
      <c r="B106">
        <v>1</v>
      </c>
      <c r="C106">
        <f>ROW(SmtRes!A125)</f>
        <v>125</v>
      </c>
      <c r="D106">
        <f>ROW(EtalonRes!A123)</f>
        <v>123</v>
      </c>
      <c r="E106" t="s">
        <v>292</v>
      </c>
      <c r="F106" t="s">
        <v>111</v>
      </c>
      <c r="G106" t="s">
        <v>112</v>
      </c>
      <c r="H106" t="s">
        <v>113</v>
      </c>
      <c r="I106">
        <f>ROUND(320/1000,9)</f>
        <v>0.32</v>
      </c>
      <c r="J106">
        <v>0</v>
      </c>
      <c r="K106">
        <f>ROUND(320/1000,9)</f>
        <v>0.32</v>
      </c>
      <c r="O106">
        <f t="shared" si="75"/>
        <v>5026.2700000000004</v>
      </c>
      <c r="P106">
        <f t="shared" si="76"/>
        <v>1.05</v>
      </c>
      <c r="Q106">
        <f>(ROUND((ROUND((((ET106*1.25))*AV106*I106),2)*BB106),2)+ROUND((ROUND(((AE106-((EU106*1.25)))*AV106*I106),2)*BS106),2))</f>
        <v>2354.27</v>
      </c>
      <c r="R106">
        <f t="shared" si="77"/>
        <v>633.96</v>
      </c>
      <c r="S106">
        <f t="shared" si="78"/>
        <v>2670.95</v>
      </c>
      <c r="T106">
        <f t="shared" si="79"/>
        <v>0</v>
      </c>
      <c r="U106">
        <f t="shared" si="80"/>
        <v>10.1936</v>
      </c>
      <c r="V106">
        <f t="shared" si="81"/>
        <v>0</v>
      </c>
      <c r="W106">
        <f t="shared" si="82"/>
        <v>0</v>
      </c>
      <c r="X106">
        <f t="shared" si="83"/>
        <v>2991.46</v>
      </c>
      <c r="Y106">
        <f t="shared" si="84"/>
        <v>1095.0899999999999</v>
      </c>
      <c r="AA106">
        <v>42938047</v>
      </c>
      <c r="AB106">
        <f t="shared" si="85"/>
        <v>1166.5340000000001</v>
      </c>
      <c r="AC106">
        <f t="shared" si="86"/>
        <v>0.49</v>
      </c>
      <c r="AD106">
        <f>ROUND(((((ET106*1.25))-((EU106*1.25)))+AE106),6)</f>
        <v>837.9375</v>
      </c>
      <c r="AE106">
        <f>ROUND(((EU106*1.25)),6)</f>
        <v>77.862499999999997</v>
      </c>
      <c r="AF106">
        <f>ROUND(((EV106*1.15)),6)</f>
        <v>328.10649999999998</v>
      </c>
      <c r="AG106">
        <f t="shared" si="87"/>
        <v>0</v>
      </c>
      <c r="AH106">
        <f>((EW106*1.15))</f>
        <v>31.854999999999997</v>
      </c>
      <c r="AI106">
        <f>((EX106*1.25))</f>
        <v>0</v>
      </c>
      <c r="AJ106">
        <f t="shared" si="88"/>
        <v>0</v>
      </c>
      <c r="AK106">
        <v>956.15</v>
      </c>
      <c r="AL106">
        <v>0.49</v>
      </c>
      <c r="AM106">
        <v>670.35</v>
      </c>
      <c r="AN106">
        <v>62.29</v>
      </c>
      <c r="AO106">
        <v>285.31</v>
      </c>
      <c r="AP106">
        <v>0</v>
      </c>
      <c r="AQ106">
        <v>27.7</v>
      </c>
      <c r="AR106">
        <v>0</v>
      </c>
      <c r="AS106">
        <v>0</v>
      </c>
      <c r="AT106">
        <v>112</v>
      </c>
      <c r="AU106">
        <v>41</v>
      </c>
      <c r="AV106">
        <v>1</v>
      </c>
      <c r="AW106">
        <v>1</v>
      </c>
      <c r="AZ106">
        <v>1</v>
      </c>
      <c r="BA106">
        <v>25.44</v>
      </c>
      <c r="BB106">
        <v>8.7799999999999994</v>
      </c>
      <c r="BC106">
        <v>6.57</v>
      </c>
      <c r="BD106" t="s">
        <v>3</v>
      </c>
      <c r="BE106" t="s">
        <v>3</v>
      </c>
      <c r="BF106" t="s">
        <v>3</v>
      </c>
      <c r="BG106" t="s">
        <v>3</v>
      </c>
      <c r="BH106">
        <v>0</v>
      </c>
      <c r="BI106">
        <v>1</v>
      </c>
      <c r="BJ106" t="s">
        <v>114</v>
      </c>
      <c r="BM106">
        <v>166</v>
      </c>
      <c r="BN106">
        <v>0</v>
      </c>
      <c r="BO106" t="s">
        <v>111</v>
      </c>
      <c r="BP106">
        <v>1</v>
      </c>
      <c r="BQ106">
        <v>30</v>
      </c>
      <c r="BR106">
        <v>0</v>
      </c>
      <c r="BS106">
        <v>25.44</v>
      </c>
      <c r="BT106">
        <v>1</v>
      </c>
      <c r="BU106">
        <v>1</v>
      </c>
      <c r="BV106">
        <v>1</v>
      </c>
      <c r="BW106">
        <v>1</v>
      </c>
      <c r="BX106">
        <v>1</v>
      </c>
      <c r="BY106" t="s">
        <v>3</v>
      </c>
      <c r="BZ106">
        <v>112</v>
      </c>
      <c r="CA106">
        <v>41</v>
      </c>
      <c r="CB106" t="s">
        <v>3</v>
      </c>
      <c r="CE106">
        <v>30</v>
      </c>
      <c r="CF106">
        <v>0</v>
      </c>
      <c r="CG106">
        <v>0</v>
      </c>
      <c r="CM106">
        <v>0</v>
      </c>
      <c r="CN106" t="s">
        <v>1584</v>
      </c>
      <c r="CO106">
        <v>0</v>
      </c>
      <c r="CP106">
        <f t="shared" si="89"/>
        <v>5026.2700000000004</v>
      </c>
      <c r="CQ106">
        <f t="shared" si="90"/>
        <v>3.22</v>
      </c>
      <c r="CR106">
        <f>(ROUND((ROUND((((ET106*1.25))*AV106*1),2)*BB106),2)+ROUND((ROUND(((AE106-((EU106*1.25)))*AV106*1),2)*BS106),2))</f>
        <v>7357.11</v>
      </c>
      <c r="CS106">
        <f t="shared" si="91"/>
        <v>1980.76</v>
      </c>
      <c r="CT106">
        <f t="shared" si="92"/>
        <v>8347.1200000000008</v>
      </c>
      <c r="CU106">
        <f t="shared" si="93"/>
        <v>0</v>
      </c>
      <c r="CV106">
        <f t="shared" si="94"/>
        <v>31.854999999999997</v>
      </c>
      <c r="CW106">
        <f t="shared" si="95"/>
        <v>0</v>
      </c>
      <c r="CX106">
        <f t="shared" si="96"/>
        <v>0</v>
      </c>
      <c r="CY106">
        <f t="shared" si="97"/>
        <v>2991.4639999999999</v>
      </c>
      <c r="CZ106">
        <f t="shared" si="98"/>
        <v>1095.0894999999998</v>
      </c>
      <c r="DC106" t="s">
        <v>3</v>
      </c>
      <c r="DD106" t="s">
        <v>3</v>
      </c>
      <c r="DE106" t="s">
        <v>20</v>
      </c>
      <c r="DF106" t="s">
        <v>20</v>
      </c>
      <c r="DG106" t="s">
        <v>21</v>
      </c>
      <c r="DH106" t="s">
        <v>3</v>
      </c>
      <c r="DI106" t="s">
        <v>21</v>
      </c>
      <c r="DJ106" t="s">
        <v>20</v>
      </c>
      <c r="DK106" t="s">
        <v>3</v>
      </c>
      <c r="DL106" t="s">
        <v>3</v>
      </c>
      <c r="DM106" t="s">
        <v>3</v>
      </c>
      <c r="DN106">
        <v>140</v>
      </c>
      <c r="DO106">
        <v>79</v>
      </c>
      <c r="DP106">
        <v>1</v>
      </c>
      <c r="DQ106">
        <v>1</v>
      </c>
      <c r="DU106">
        <v>1005</v>
      </c>
      <c r="DV106" t="s">
        <v>113</v>
      </c>
      <c r="DW106" t="s">
        <v>113</v>
      </c>
      <c r="DX106">
        <v>1000</v>
      </c>
      <c r="DZ106" t="s">
        <v>3</v>
      </c>
      <c r="EA106" t="s">
        <v>3</v>
      </c>
      <c r="EB106" t="s">
        <v>3</v>
      </c>
      <c r="EC106" t="s">
        <v>3</v>
      </c>
      <c r="EE106">
        <v>43088244</v>
      </c>
      <c r="EF106">
        <v>30</v>
      </c>
      <c r="EG106" t="s">
        <v>22</v>
      </c>
      <c r="EH106">
        <v>0</v>
      </c>
      <c r="EI106" t="s">
        <v>3</v>
      </c>
      <c r="EJ106">
        <v>1</v>
      </c>
      <c r="EK106">
        <v>166</v>
      </c>
      <c r="EL106" t="s">
        <v>115</v>
      </c>
      <c r="EM106" t="s">
        <v>116</v>
      </c>
      <c r="EO106" t="s">
        <v>59</v>
      </c>
      <c r="EQ106">
        <v>0</v>
      </c>
      <c r="ER106">
        <v>956.15</v>
      </c>
      <c r="ES106">
        <v>0.49</v>
      </c>
      <c r="ET106">
        <v>670.35</v>
      </c>
      <c r="EU106">
        <v>62.29</v>
      </c>
      <c r="EV106">
        <v>285.31</v>
      </c>
      <c r="EW106">
        <v>27.7</v>
      </c>
      <c r="EX106">
        <v>0</v>
      </c>
      <c r="EY106">
        <v>0</v>
      </c>
      <c r="FQ106">
        <v>0</v>
      </c>
      <c r="FR106">
        <f t="shared" si="99"/>
        <v>0</v>
      </c>
      <c r="FS106">
        <v>0</v>
      </c>
      <c r="FX106">
        <v>140</v>
      </c>
      <c r="FY106">
        <v>79</v>
      </c>
      <c r="GA106" t="s">
        <v>3</v>
      </c>
      <c r="GD106">
        <v>0</v>
      </c>
      <c r="GF106">
        <v>-1588331883</v>
      </c>
      <c r="GG106">
        <v>2</v>
      </c>
      <c r="GH106">
        <v>1</v>
      </c>
      <c r="GI106">
        <v>2</v>
      </c>
      <c r="GJ106">
        <v>0</v>
      </c>
      <c r="GK106">
        <f>ROUND(R106*(R12)/100,2)</f>
        <v>995.32</v>
      </c>
      <c r="GL106">
        <f t="shared" si="100"/>
        <v>0</v>
      </c>
      <c r="GM106">
        <f t="shared" si="101"/>
        <v>10108.14</v>
      </c>
      <c r="GN106">
        <f t="shared" si="102"/>
        <v>10108.14</v>
      </c>
      <c r="GO106">
        <f t="shared" si="103"/>
        <v>0</v>
      </c>
      <c r="GP106">
        <f t="shared" si="104"/>
        <v>0</v>
      </c>
      <c r="GR106">
        <v>0</v>
      </c>
      <c r="GS106">
        <v>3</v>
      </c>
      <c r="GT106">
        <v>0</v>
      </c>
      <c r="GU106" t="s">
        <v>3</v>
      </c>
      <c r="GV106">
        <f t="shared" si="105"/>
        <v>0</v>
      </c>
      <c r="GW106">
        <v>1</v>
      </c>
      <c r="GX106">
        <f t="shared" si="106"/>
        <v>0</v>
      </c>
      <c r="HA106">
        <v>0</v>
      </c>
      <c r="HB106">
        <v>0</v>
      </c>
      <c r="HC106">
        <f t="shared" si="107"/>
        <v>0</v>
      </c>
      <c r="HE106" t="s">
        <v>3</v>
      </c>
      <c r="HF106" t="s">
        <v>3</v>
      </c>
      <c r="HM106" t="s">
        <v>3</v>
      </c>
      <c r="IK106">
        <v>0</v>
      </c>
    </row>
    <row r="107" spans="1:245" x14ac:dyDescent="0.2">
      <c r="A107">
        <v>18</v>
      </c>
      <c r="B107">
        <v>1</v>
      </c>
      <c r="C107">
        <v>124</v>
      </c>
      <c r="E107" t="s">
        <v>293</v>
      </c>
      <c r="F107" t="s">
        <v>294</v>
      </c>
      <c r="G107" t="s">
        <v>295</v>
      </c>
      <c r="H107" t="s">
        <v>120</v>
      </c>
      <c r="I107">
        <f>I106*J107</f>
        <v>350</v>
      </c>
      <c r="J107">
        <v>1093.75</v>
      </c>
      <c r="K107">
        <v>1093.75</v>
      </c>
      <c r="O107">
        <f t="shared" si="75"/>
        <v>20680.169999999998</v>
      </c>
      <c r="P107">
        <f t="shared" si="76"/>
        <v>20680.169999999998</v>
      </c>
      <c r="Q107">
        <f>(ROUND((ROUND(((ET107)*AV107*I107),2)*BB107),2)+ROUND((ROUND(((AE107-(EU107))*AV107*I107),2)*BS107),2))</f>
        <v>0</v>
      </c>
      <c r="R107">
        <f t="shared" si="77"/>
        <v>0</v>
      </c>
      <c r="S107">
        <f t="shared" si="78"/>
        <v>0</v>
      </c>
      <c r="T107">
        <f t="shared" si="79"/>
        <v>0</v>
      </c>
      <c r="U107">
        <f t="shared" si="80"/>
        <v>0</v>
      </c>
      <c r="V107">
        <f t="shared" si="81"/>
        <v>0</v>
      </c>
      <c r="W107">
        <f t="shared" si="82"/>
        <v>0</v>
      </c>
      <c r="X107">
        <f t="shared" si="83"/>
        <v>0</v>
      </c>
      <c r="Y107">
        <f t="shared" si="84"/>
        <v>0</v>
      </c>
      <c r="AA107">
        <v>42938047</v>
      </c>
      <c r="AB107">
        <f t="shared" si="85"/>
        <v>13.87</v>
      </c>
      <c r="AC107">
        <f t="shared" si="86"/>
        <v>13.87</v>
      </c>
      <c r="AD107">
        <f>ROUND((((ET107)-(EU107))+AE107),6)</f>
        <v>0</v>
      </c>
      <c r="AE107">
        <f>ROUND((EU107),6)</f>
        <v>0</v>
      </c>
      <c r="AF107">
        <f>ROUND((EV107),6)</f>
        <v>0</v>
      </c>
      <c r="AG107">
        <f t="shared" si="87"/>
        <v>0</v>
      </c>
      <c r="AH107">
        <f>(EW107)</f>
        <v>0</v>
      </c>
      <c r="AI107">
        <f>(EX107)</f>
        <v>0</v>
      </c>
      <c r="AJ107">
        <f t="shared" si="88"/>
        <v>0</v>
      </c>
      <c r="AK107">
        <v>13.87</v>
      </c>
      <c r="AL107">
        <v>13.87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1</v>
      </c>
      <c r="AW107">
        <v>1</v>
      </c>
      <c r="AZ107">
        <v>1</v>
      </c>
      <c r="BA107">
        <v>1</v>
      </c>
      <c r="BB107">
        <v>1</v>
      </c>
      <c r="BC107">
        <v>4.26</v>
      </c>
      <c r="BD107" t="s">
        <v>3</v>
      </c>
      <c r="BE107" t="s">
        <v>3</v>
      </c>
      <c r="BF107" t="s">
        <v>3</v>
      </c>
      <c r="BG107" t="s">
        <v>3</v>
      </c>
      <c r="BH107">
        <v>3</v>
      </c>
      <c r="BI107">
        <v>1</v>
      </c>
      <c r="BJ107" t="s">
        <v>296</v>
      </c>
      <c r="BM107">
        <v>166</v>
      </c>
      <c r="BN107">
        <v>0</v>
      </c>
      <c r="BO107" t="s">
        <v>294</v>
      </c>
      <c r="BP107">
        <v>1</v>
      </c>
      <c r="BQ107">
        <v>30</v>
      </c>
      <c r="BR107">
        <v>0</v>
      </c>
      <c r="BS107">
        <v>1</v>
      </c>
      <c r="BT107">
        <v>1</v>
      </c>
      <c r="BU107">
        <v>1</v>
      </c>
      <c r="BV107">
        <v>1</v>
      </c>
      <c r="BW107">
        <v>1</v>
      </c>
      <c r="BX107">
        <v>1</v>
      </c>
      <c r="BY107" t="s">
        <v>3</v>
      </c>
      <c r="BZ107">
        <v>0</v>
      </c>
      <c r="CA107">
        <v>0</v>
      </c>
      <c r="CB107" t="s">
        <v>3</v>
      </c>
      <c r="CE107">
        <v>30</v>
      </c>
      <c r="CF107">
        <v>0</v>
      </c>
      <c r="CG107">
        <v>0</v>
      </c>
      <c r="CM107">
        <v>0</v>
      </c>
      <c r="CN107" t="s">
        <v>3</v>
      </c>
      <c r="CO107">
        <v>0</v>
      </c>
      <c r="CP107">
        <f t="shared" si="89"/>
        <v>20680.169999999998</v>
      </c>
      <c r="CQ107">
        <f t="shared" si="90"/>
        <v>59.09</v>
      </c>
      <c r="CR107">
        <f>(ROUND((ROUND(((ET107)*AV107*1),2)*BB107),2)+ROUND((ROUND(((AE107-(EU107))*AV107*1),2)*BS107),2))</f>
        <v>0</v>
      </c>
      <c r="CS107">
        <f t="shared" si="91"/>
        <v>0</v>
      </c>
      <c r="CT107">
        <f t="shared" si="92"/>
        <v>0</v>
      </c>
      <c r="CU107">
        <f t="shared" si="93"/>
        <v>0</v>
      </c>
      <c r="CV107">
        <f t="shared" si="94"/>
        <v>0</v>
      </c>
      <c r="CW107">
        <f t="shared" si="95"/>
        <v>0</v>
      </c>
      <c r="CX107">
        <f t="shared" si="96"/>
        <v>0</v>
      </c>
      <c r="CY107">
        <f t="shared" si="97"/>
        <v>0</v>
      </c>
      <c r="CZ107">
        <f t="shared" si="98"/>
        <v>0</v>
      </c>
      <c r="DC107" t="s">
        <v>3</v>
      </c>
      <c r="DD107" t="s">
        <v>3</v>
      </c>
      <c r="DE107" t="s">
        <v>3</v>
      </c>
      <c r="DF107" t="s">
        <v>3</v>
      </c>
      <c r="DG107" t="s">
        <v>3</v>
      </c>
      <c r="DH107" t="s">
        <v>3</v>
      </c>
      <c r="DI107" t="s">
        <v>3</v>
      </c>
      <c r="DJ107" t="s">
        <v>3</v>
      </c>
      <c r="DK107" t="s">
        <v>3</v>
      </c>
      <c r="DL107" t="s">
        <v>3</v>
      </c>
      <c r="DM107" t="s">
        <v>3</v>
      </c>
      <c r="DN107">
        <v>140</v>
      </c>
      <c r="DO107">
        <v>79</v>
      </c>
      <c r="DP107">
        <v>1</v>
      </c>
      <c r="DQ107">
        <v>1</v>
      </c>
      <c r="DU107">
        <v>1005</v>
      </c>
      <c r="DV107" t="s">
        <v>120</v>
      </c>
      <c r="DW107" t="s">
        <v>120</v>
      </c>
      <c r="DX107">
        <v>1</v>
      </c>
      <c r="DZ107" t="s">
        <v>3</v>
      </c>
      <c r="EA107" t="s">
        <v>3</v>
      </c>
      <c r="EB107" t="s">
        <v>3</v>
      </c>
      <c r="EC107" t="s">
        <v>3</v>
      </c>
      <c r="EE107">
        <v>43088244</v>
      </c>
      <c r="EF107">
        <v>30</v>
      </c>
      <c r="EG107" t="s">
        <v>22</v>
      </c>
      <c r="EH107">
        <v>0</v>
      </c>
      <c r="EI107" t="s">
        <v>3</v>
      </c>
      <c r="EJ107">
        <v>1</v>
      </c>
      <c r="EK107">
        <v>166</v>
      </c>
      <c r="EL107" t="s">
        <v>115</v>
      </c>
      <c r="EM107" t="s">
        <v>116</v>
      </c>
      <c r="EO107" t="s">
        <v>3</v>
      </c>
      <c r="EQ107">
        <v>0</v>
      </c>
      <c r="ER107">
        <v>13.87</v>
      </c>
      <c r="ES107">
        <v>13.87</v>
      </c>
      <c r="ET107">
        <v>0</v>
      </c>
      <c r="EU107">
        <v>0</v>
      </c>
      <c r="EV107">
        <v>0</v>
      </c>
      <c r="EW107">
        <v>0</v>
      </c>
      <c r="EX107">
        <v>0</v>
      </c>
      <c r="FQ107">
        <v>0</v>
      </c>
      <c r="FR107">
        <f t="shared" si="99"/>
        <v>0</v>
      </c>
      <c r="FS107">
        <v>0</v>
      </c>
      <c r="FX107">
        <v>140</v>
      </c>
      <c r="FY107">
        <v>79</v>
      </c>
      <c r="GA107" t="s">
        <v>3</v>
      </c>
      <c r="GD107">
        <v>0</v>
      </c>
      <c r="GF107">
        <v>544087257</v>
      </c>
      <c r="GG107">
        <v>2</v>
      </c>
      <c r="GH107">
        <v>1</v>
      </c>
      <c r="GI107">
        <v>2</v>
      </c>
      <c r="GJ107">
        <v>0</v>
      </c>
      <c r="GK107">
        <f>ROUND(R107*(R12)/100,2)</f>
        <v>0</v>
      </c>
      <c r="GL107">
        <f t="shared" si="100"/>
        <v>0</v>
      </c>
      <c r="GM107">
        <f t="shared" si="101"/>
        <v>20680.169999999998</v>
      </c>
      <c r="GN107">
        <f t="shared" si="102"/>
        <v>20680.169999999998</v>
      </c>
      <c r="GO107">
        <f t="shared" si="103"/>
        <v>0</v>
      </c>
      <c r="GP107">
        <f t="shared" si="104"/>
        <v>0</v>
      </c>
      <c r="GR107">
        <v>0</v>
      </c>
      <c r="GS107">
        <v>3</v>
      </c>
      <c r="GT107">
        <v>0</v>
      </c>
      <c r="GU107" t="s">
        <v>3</v>
      </c>
      <c r="GV107">
        <f t="shared" si="105"/>
        <v>0</v>
      </c>
      <c r="GW107">
        <v>1</v>
      </c>
      <c r="GX107">
        <f t="shared" si="106"/>
        <v>0</v>
      </c>
      <c r="HA107">
        <v>0</v>
      </c>
      <c r="HB107">
        <v>0</v>
      </c>
      <c r="HC107">
        <f t="shared" si="107"/>
        <v>0</v>
      </c>
      <c r="HE107" t="s">
        <v>3</v>
      </c>
      <c r="HF107" t="s">
        <v>3</v>
      </c>
      <c r="HM107" t="s">
        <v>3</v>
      </c>
      <c r="IK107">
        <v>0</v>
      </c>
    </row>
    <row r="108" spans="1:245" x14ac:dyDescent="0.2">
      <c r="A108">
        <v>17</v>
      </c>
      <c r="B108">
        <v>1</v>
      </c>
      <c r="C108">
        <f>ROW(SmtRes!A135)</f>
        <v>135</v>
      </c>
      <c r="D108">
        <f>ROW(EtalonRes!A133)</f>
        <v>133</v>
      </c>
      <c r="E108" t="s">
        <v>297</v>
      </c>
      <c r="F108" t="s">
        <v>298</v>
      </c>
      <c r="G108" t="s">
        <v>299</v>
      </c>
      <c r="H108" t="s">
        <v>18</v>
      </c>
      <c r="I108">
        <f>ROUND(320/100,9)</f>
        <v>3.2</v>
      </c>
      <c r="J108">
        <v>0</v>
      </c>
      <c r="K108">
        <f>ROUND(320/100,9)</f>
        <v>3.2</v>
      </c>
      <c r="O108">
        <f t="shared" si="75"/>
        <v>134346.18</v>
      </c>
      <c r="P108">
        <f t="shared" si="76"/>
        <v>462</v>
      </c>
      <c r="Q108">
        <f>(ROUND((ROUND((((ET108*1.25))*AV108*I108),2)*BB108),2)+ROUND((ROUND(((AE108-((EU108*1.25)))*AV108*I108),2)*BS108),2))</f>
        <v>9007.36</v>
      </c>
      <c r="R108">
        <f t="shared" si="77"/>
        <v>2731.24</v>
      </c>
      <c r="S108">
        <f t="shared" si="78"/>
        <v>124876.82</v>
      </c>
      <c r="T108">
        <f t="shared" si="79"/>
        <v>0</v>
      </c>
      <c r="U108">
        <f t="shared" si="80"/>
        <v>441.93119999999999</v>
      </c>
      <c r="V108">
        <f t="shared" si="81"/>
        <v>0</v>
      </c>
      <c r="W108">
        <f t="shared" si="82"/>
        <v>0</v>
      </c>
      <c r="X108">
        <f t="shared" si="83"/>
        <v>112389.14</v>
      </c>
      <c r="Y108">
        <f t="shared" si="84"/>
        <v>51199.5</v>
      </c>
      <c r="AA108">
        <v>42938047</v>
      </c>
      <c r="AB108">
        <f t="shared" si="85"/>
        <v>1903.0619999999999</v>
      </c>
      <c r="AC108">
        <f t="shared" si="86"/>
        <v>26.25</v>
      </c>
      <c r="AD108">
        <f>ROUND(((((ET108*1.25))-((EU108*1.25)))+AE108),6)</f>
        <v>342.85</v>
      </c>
      <c r="AE108">
        <f>ROUND(((EU108*1.25)),6)</f>
        <v>33.549999999999997</v>
      </c>
      <c r="AF108">
        <f>ROUND(((EV108*1.15)),6)</f>
        <v>1533.962</v>
      </c>
      <c r="AG108">
        <f t="shared" si="87"/>
        <v>0</v>
      </c>
      <c r="AH108">
        <f>((EW108*1.15))</f>
        <v>138.1035</v>
      </c>
      <c r="AI108">
        <f>((EX108*1.25))</f>
        <v>0</v>
      </c>
      <c r="AJ108">
        <f t="shared" si="88"/>
        <v>0</v>
      </c>
      <c r="AK108">
        <v>1634.41</v>
      </c>
      <c r="AL108">
        <v>26.25</v>
      </c>
      <c r="AM108">
        <v>274.27999999999997</v>
      </c>
      <c r="AN108">
        <v>26.84</v>
      </c>
      <c r="AO108">
        <v>1333.88</v>
      </c>
      <c r="AP108">
        <v>0</v>
      </c>
      <c r="AQ108">
        <v>120.09</v>
      </c>
      <c r="AR108">
        <v>0</v>
      </c>
      <c r="AS108">
        <v>0</v>
      </c>
      <c r="AT108">
        <v>90</v>
      </c>
      <c r="AU108">
        <v>41</v>
      </c>
      <c r="AV108">
        <v>1</v>
      </c>
      <c r="AW108">
        <v>1</v>
      </c>
      <c r="AZ108">
        <v>1</v>
      </c>
      <c r="BA108">
        <v>25.44</v>
      </c>
      <c r="BB108">
        <v>8.2100000000000009</v>
      </c>
      <c r="BC108">
        <v>5.5</v>
      </c>
      <c r="BD108" t="s">
        <v>3</v>
      </c>
      <c r="BE108" t="s">
        <v>3</v>
      </c>
      <c r="BF108" t="s">
        <v>3</v>
      </c>
      <c r="BG108" t="s">
        <v>3</v>
      </c>
      <c r="BH108">
        <v>0</v>
      </c>
      <c r="BI108">
        <v>1</v>
      </c>
      <c r="BJ108" t="s">
        <v>300</v>
      </c>
      <c r="BM108">
        <v>305</v>
      </c>
      <c r="BN108">
        <v>0</v>
      </c>
      <c r="BO108" t="s">
        <v>298</v>
      </c>
      <c r="BP108">
        <v>1</v>
      </c>
      <c r="BQ108">
        <v>30</v>
      </c>
      <c r="BR108">
        <v>0</v>
      </c>
      <c r="BS108">
        <v>25.44</v>
      </c>
      <c r="BT108">
        <v>1</v>
      </c>
      <c r="BU108">
        <v>1</v>
      </c>
      <c r="BV108">
        <v>1</v>
      </c>
      <c r="BW108">
        <v>1</v>
      </c>
      <c r="BX108">
        <v>1</v>
      </c>
      <c r="BY108" t="s">
        <v>3</v>
      </c>
      <c r="BZ108">
        <v>90</v>
      </c>
      <c r="CA108">
        <v>41</v>
      </c>
      <c r="CB108" t="s">
        <v>3</v>
      </c>
      <c r="CE108">
        <v>30</v>
      </c>
      <c r="CF108">
        <v>0</v>
      </c>
      <c r="CG108">
        <v>0</v>
      </c>
      <c r="CM108">
        <v>0</v>
      </c>
      <c r="CN108" t="s">
        <v>1585</v>
      </c>
      <c r="CO108">
        <v>0</v>
      </c>
      <c r="CP108">
        <f t="shared" si="89"/>
        <v>134346.18</v>
      </c>
      <c r="CQ108">
        <f t="shared" si="90"/>
        <v>144.38</v>
      </c>
      <c r="CR108">
        <f>(ROUND((ROUND((((ET108*1.25))*AV108*1),2)*BB108),2)+ROUND((ROUND(((AE108-((EU108*1.25)))*AV108*1),2)*BS108),2))</f>
        <v>2814.8</v>
      </c>
      <c r="CS108">
        <f t="shared" si="91"/>
        <v>853.51</v>
      </c>
      <c r="CT108">
        <f t="shared" si="92"/>
        <v>39023.94</v>
      </c>
      <c r="CU108">
        <f t="shared" si="93"/>
        <v>0</v>
      </c>
      <c r="CV108">
        <f t="shared" si="94"/>
        <v>138.1035</v>
      </c>
      <c r="CW108">
        <f t="shared" si="95"/>
        <v>0</v>
      </c>
      <c r="CX108">
        <f t="shared" si="96"/>
        <v>0</v>
      </c>
      <c r="CY108">
        <f t="shared" si="97"/>
        <v>112389.13800000001</v>
      </c>
      <c r="CZ108">
        <f t="shared" si="98"/>
        <v>51199.496200000001</v>
      </c>
      <c r="DC108" t="s">
        <v>3</v>
      </c>
      <c r="DD108" t="s">
        <v>3</v>
      </c>
      <c r="DE108" t="s">
        <v>20</v>
      </c>
      <c r="DF108" t="s">
        <v>20</v>
      </c>
      <c r="DG108" t="s">
        <v>21</v>
      </c>
      <c r="DH108" t="s">
        <v>3</v>
      </c>
      <c r="DI108" t="s">
        <v>21</v>
      </c>
      <c r="DJ108" t="s">
        <v>20</v>
      </c>
      <c r="DK108" t="s">
        <v>3</v>
      </c>
      <c r="DL108" t="s">
        <v>3</v>
      </c>
      <c r="DM108" t="s">
        <v>3</v>
      </c>
      <c r="DN108">
        <v>156</v>
      </c>
      <c r="DO108">
        <v>84</v>
      </c>
      <c r="DP108">
        <v>1</v>
      </c>
      <c r="DQ108">
        <v>1</v>
      </c>
      <c r="DU108">
        <v>1005</v>
      </c>
      <c r="DV108" t="s">
        <v>18</v>
      </c>
      <c r="DW108" t="s">
        <v>18</v>
      </c>
      <c r="DX108">
        <v>100</v>
      </c>
      <c r="DZ108" t="s">
        <v>3</v>
      </c>
      <c r="EA108" t="s">
        <v>3</v>
      </c>
      <c r="EB108" t="s">
        <v>3</v>
      </c>
      <c r="EC108" t="s">
        <v>3</v>
      </c>
      <c r="EE108">
        <v>43088383</v>
      </c>
      <c r="EF108">
        <v>30</v>
      </c>
      <c r="EG108" t="s">
        <v>22</v>
      </c>
      <c r="EH108">
        <v>0</v>
      </c>
      <c r="EI108" t="s">
        <v>3</v>
      </c>
      <c r="EJ108">
        <v>1</v>
      </c>
      <c r="EK108">
        <v>305</v>
      </c>
      <c r="EL108" t="s">
        <v>301</v>
      </c>
      <c r="EM108" t="s">
        <v>302</v>
      </c>
      <c r="EO108" t="s">
        <v>303</v>
      </c>
      <c r="EQ108">
        <v>0</v>
      </c>
      <c r="ER108">
        <v>1634.41</v>
      </c>
      <c r="ES108">
        <v>26.25</v>
      </c>
      <c r="ET108">
        <v>274.27999999999997</v>
      </c>
      <c r="EU108">
        <v>26.84</v>
      </c>
      <c r="EV108">
        <v>1333.88</v>
      </c>
      <c r="EW108">
        <v>120.09</v>
      </c>
      <c r="EX108">
        <v>0</v>
      </c>
      <c r="EY108">
        <v>0</v>
      </c>
      <c r="FQ108">
        <v>0</v>
      </c>
      <c r="FR108">
        <f t="shared" si="99"/>
        <v>0</v>
      </c>
      <c r="FS108">
        <v>0</v>
      </c>
      <c r="FX108">
        <v>156</v>
      </c>
      <c r="FY108">
        <v>84</v>
      </c>
      <c r="GA108" t="s">
        <v>3</v>
      </c>
      <c r="GD108">
        <v>0</v>
      </c>
      <c r="GF108">
        <v>1490899791</v>
      </c>
      <c r="GG108">
        <v>2</v>
      </c>
      <c r="GH108">
        <v>1</v>
      </c>
      <c r="GI108">
        <v>2</v>
      </c>
      <c r="GJ108">
        <v>0</v>
      </c>
      <c r="GK108">
        <f>ROUND(R108*(R12)/100,2)</f>
        <v>4288.05</v>
      </c>
      <c r="GL108">
        <f t="shared" si="100"/>
        <v>0</v>
      </c>
      <c r="GM108">
        <f t="shared" si="101"/>
        <v>302222.87</v>
      </c>
      <c r="GN108">
        <f t="shared" si="102"/>
        <v>302222.87</v>
      </c>
      <c r="GO108">
        <f t="shared" si="103"/>
        <v>0</v>
      </c>
      <c r="GP108">
        <f t="shared" si="104"/>
        <v>0</v>
      </c>
      <c r="GR108">
        <v>0</v>
      </c>
      <c r="GS108">
        <v>3</v>
      </c>
      <c r="GT108">
        <v>0</v>
      </c>
      <c r="GU108" t="s">
        <v>3</v>
      </c>
      <c r="GV108">
        <f t="shared" si="105"/>
        <v>0</v>
      </c>
      <c r="GW108">
        <v>1</v>
      </c>
      <c r="GX108">
        <f t="shared" si="106"/>
        <v>0</v>
      </c>
      <c r="HA108">
        <v>0</v>
      </c>
      <c r="HB108">
        <v>0</v>
      </c>
      <c r="HC108">
        <f t="shared" si="107"/>
        <v>0</v>
      </c>
      <c r="HE108" t="s">
        <v>3</v>
      </c>
      <c r="HF108" t="s">
        <v>3</v>
      </c>
      <c r="HM108" t="s">
        <v>3</v>
      </c>
      <c r="IK108">
        <v>0</v>
      </c>
    </row>
    <row r="109" spans="1:245" x14ac:dyDescent="0.2">
      <c r="A109">
        <v>18</v>
      </c>
      <c r="B109">
        <v>1</v>
      </c>
      <c r="C109">
        <v>134</v>
      </c>
      <c r="E109" t="s">
        <v>304</v>
      </c>
      <c r="F109" t="s">
        <v>305</v>
      </c>
      <c r="G109" t="s">
        <v>306</v>
      </c>
      <c r="H109" t="s">
        <v>169</v>
      </c>
      <c r="I109">
        <f>I108*J109</f>
        <v>3.2</v>
      </c>
      <c r="J109">
        <v>1</v>
      </c>
      <c r="K109">
        <v>1</v>
      </c>
      <c r="O109">
        <f t="shared" si="75"/>
        <v>18886.96</v>
      </c>
      <c r="P109">
        <f t="shared" si="76"/>
        <v>18886.96</v>
      </c>
      <c r="Q109">
        <f t="shared" ref="Q109:Q116" si="108">(ROUND((ROUND(((ET109)*AV109*I109),2)*BB109),2)+ROUND((ROUND(((AE109-(EU109))*AV109*I109),2)*BS109),2))</f>
        <v>0</v>
      </c>
      <c r="R109">
        <f t="shared" si="77"/>
        <v>0</v>
      </c>
      <c r="S109">
        <f t="shared" si="78"/>
        <v>0</v>
      </c>
      <c r="T109">
        <f t="shared" si="79"/>
        <v>0</v>
      </c>
      <c r="U109">
        <f t="shared" si="80"/>
        <v>0</v>
      </c>
      <c r="V109">
        <f t="shared" si="81"/>
        <v>0</v>
      </c>
      <c r="W109">
        <f t="shared" si="82"/>
        <v>0</v>
      </c>
      <c r="X109">
        <f t="shared" si="83"/>
        <v>0</v>
      </c>
      <c r="Y109">
        <f t="shared" si="84"/>
        <v>0</v>
      </c>
      <c r="AA109">
        <v>42938047</v>
      </c>
      <c r="AB109">
        <f t="shared" si="85"/>
        <v>2634.9</v>
      </c>
      <c r="AC109">
        <f t="shared" si="86"/>
        <v>2634.9</v>
      </c>
      <c r="AD109">
        <f t="shared" ref="AD109:AD116" si="109">ROUND((((ET109)-(EU109))+AE109),6)</f>
        <v>0</v>
      </c>
      <c r="AE109">
        <f t="shared" ref="AE109:AF116" si="110">ROUND((EU109),6)</f>
        <v>0</v>
      </c>
      <c r="AF109">
        <f t="shared" si="110"/>
        <v>0</v>
      </c>
      <c r="AG109">
        <f t="shared" si="87"/>
        <v>0</v>
      </c>
      <c r="AH109">
        <f t="shared" ref="AH109:AI116" si="111">(EW109)</f>
        <v>0</v>
      </c>
      <c r="AI109">
        <f t="shared" si="111"/>
        <v>0</v>
      </c>
      <c r="AJ109">
        <f t="shared" si="88"/>
        <v>0</v>
      </c>
      <c r="AK109">
        <v>2634.9</v>
      </c>
      <c r="AL109">
        <v>2634.9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1</v>
      </c>
      <c r="AW109">
        <v>1</v>
      </c>
      <c r="AZ109">
        <v>1</v>
      </c>
      <c r="BA109">
        <v>1</v>
      </c>
      <c r="BB109">
        <v>1</v>
      </c>
      <c r="BC109">
        <v>2.2400000000000002</v>
      </c>
      <c r="BD109" t="s">
        <v>3</v>
      </c>
      <c r="BE109" t="s">
        <v>3</v>
      </c>
      <c r="BF109" t="s">
        <v>3</v>
      </c>
      <c r="BG109" t="s">
        <v>3</v>
      </c>
      <c r="BH109">
        <v>3</v>
      </c>
      <c r="BI109">
        <v>1</v>
      </c>
      <c r="BJ109" t="s">
        <v>307</v>
      </c>
      <c r="BM109">
        <v>305</v>
      </c>
      <c r="BN109">
        <v>0</v>
      </c>
      <c r="BO109" t="s">
        <v>305</v>
      </c>
      <c r="BP109">
        <v>1</v>
      </c>
      <c r="BQ109">
        <v>30</v>
      </c>
      <c r="BR109">
        <v>0</v>
      </c>
      <c r="BS109">
        <v>1</v>
      </c>
      <c r="BT109">
        <v>1</v>
      </c>
      <c r="BU109">
        <v>1</v>
      </c>
      <c r="BV109">
        <v>1</v>
      </c>
      <c r="BW109">
        <v>1</v>
      </c>
      <c r="BX109">
        <v>1</v>
      </c>
      <c r="BY109" t="s">
        <v>3</v>
      </c>
      <c r="BZ109">
        <v>0</v>
      </c>
      <c r="CA109">
        <v>0</v>
      </c>
      <c r="CB109" t="s">
        <v>3</v>
      </c>
      <c r="CE109">
        <v>30</v>
      </c>
      <c r="CF109">
        <v>0</v>
      </c>
      <c r="CG109">
        <v>0</v>
      </c>
      <c r="CM109">
        <v>0</v>
      </c>
      <c r="CN109" t="s">
        <v>3</v>
      </c>
      <c r="CO109">
        <v>0</v>
      </c>
      <c r="CP109">
        <f t="shared" si="89"/>
        <v>18886.96</v>
      </c>
      <c r="CQ109">
        <f t="shared" si="90"/>
        <v>5902.18</v>
      </c>
      <c r="CR109">
        <f t="shared" ref="CR109:CR116" si="112">(ROUND((ROUND(((ET109)*AV109*1),2)*BB109),2)+ROUND((ROUND(((AE109-(EU109))*AV109*1),2)*BS109),2))</f>
        <v>0</v>
      </c>
      <c r="CS109">
        <f t="shared" si="91"/>
        <v>0</v>
      </c>
      <c r="CT109">
        <f t="shared" si="92"/>
        <v>0</v>
      </c>
      <c r="CU109">
        <f t="shared" si="93"/>
        <v>0</v>
      </c>
      <c r="CV109">
        <f t="shared" si="94"/>
        <v>0</v>
      </c>
      <c r="CW109">
        <f t="shared" si="95"/>
        <v>0</v>
      </c>
      <c r="CX109">
        <f t="shared" si="96"/>
        <v>0</v>
      </c>
      <c r="CY109">
        <f t="shared" si="97"/>
        <v>0</v>
      </c>
      <c r="CZ109">
        <f t="shared" si="98"/>
        <v>0</v>
      </c>
      <c r="DC109" t="s">
        <v>3</v>
      </c>
      <c r="DD109" t="s">
        <v>3</v>
      </c>
      <c r="DE109" t="s">
        <v>3</v>
      </c>
      <c r="DF109" t="s">
        <v>3</v>
      </c>
      <c r="DG109" t="s">
        <v>3</v>
      </c>
      <c r="DH109" t="s">
        <v>3</v>
      </c>
      <c r="DI109" t="s">
        <v>3</v>
      </c>
      <c r="DJ109" t="s">
        <v>3</v>
      </c>
      <c r="DK109" t="s">
        <v>3</v>
      </c>
      <c r="DL109" t="s">
        <v>3</v>
      </c>
      <c r="DM109" t="s">
        <v>3</v>
      </c>
      <c r="DN109">
        <v>156</v>
      </c>
      <c r="DO109">
        <v>84</v>
      </c>
      <c r="DP109">
        <v>1</v>
      </c>
      <c r="DQ109">
        <v>1</v>
      </c>
      <c r="DU109">
        <v>1010</v>
      </c>
      <c r="DV109" t="s">
        <v>169</v>
      </c>
      <c r="DW109" t="s">
        <v>169</v>
      </c>
      <c r="DX109">
        <v>1</v>
      </c>
      <c r="DZ109" t="s">
        <v>3</v>
      </c>
      <c r="EA109" t="s">
        <v>3</v>
      </c>
      <c r="EB109" t="s">
        <v>3</v>
      </c>
      <c r="EC109" t="s">
        <v>3</v>
      </c>
      <c r="EE109">
        <v>43088383</v>
      </c>
      <c r="EF109">
        <v>30</v>
      </c>
      <c r="EG109" t="s">
        <v>22</v>
      </c>
      <c r="EH109">
        <v>0</v>
      </c>
      <c r="EI109" t="s">
        <v>3</v>
      </c>
      <c r="EJ109">
        <v>1</v>
      </c>
      <c r="EK109">
        <v>305</v>
      </c>
      <c r="EL109" t="s">
        <v>301</v>
      </c>
      <c r="EM109" t="s">
        <v>302</v>
      </c>
      <c r="EO109" t="s">
        <v>3</v>
      </c>
      <c r="EQ109">
        <v>0</v>
      </c>
      <c r="ER109">
        <v>2634.9</v>
      </c>
      <c r="ES109">
        <v>2634.9</v>
      </c>
      <c r="ET109">
        <v>0</v>
      </c>
      <c r="EU109">
        <v>0</v>
      </c>
      <c r="EV109">
        <v>0</v>
      </c>
      <c r="EW109">
        <v>0</v>
      </c>
      <c r="EX109">
        <v>0</v>
      </c>
      <c r="FQ109">
        <v>0</v>
      </c>
      <c r="FR109">
        <f t="shared" si="99"/>
        <v>0</v>
      </c>
      <c r="FS109">
        <v>0</v>
      </c>
      <c r="FX109">
        <v>156</v>
      </c>
      <c r="FY109">
        <v>84</v>
      </c>
      <c r="GA109" t="s">
        <v>3</v>
      </c>
      <c r="GD109">
        <v>0</v>
      </c>
      <c r="GF109">
        <v>1978578417</v>
      </c>
      <c r="GG109">
        <v>2</v>
      </c>
      <c r="GH109">
        <v>1</v>
      </c>
      <c r="GI109">
        <v>2</v>
      </c>
      <c r="GJ109">
        <v>0</v>
      </c>
      <c r="GK109">
        <f>ROUND(R109*(R12)/100,2)</f>
        <v>0</v>
      </c>
      <c r="GL109">
        <f t="shared" si="100"/>
        <v>0</v>
      </c>
      <c r="GM109">
        <f t="shared" si="101"/>
        <v>18886.96</v>
      </c>
      <c r="GN109">
        <f t="shared" si="102"/>
        <v>18886.96</v>
      </c>
      <c r="GO109">
        <f t="shared" si="103"/>
        <v>0</v>
      </c>
      <c r="GP109">
        <f t="shared" si="104"/>
        <v>0</v>
      </c>
      <c r="GR109">
        <v>0</v>
      </c>
      <c r="GS109">
        <v>3</v>
      </c>
      <c r="GT109">
        <v>0</v>
      </c>
      <c r="GU109" t="s">
        <v>3</v>
      </c>
      <c r="GV109">
        <f t="shared" si="105"/>
        <v>0</v>
      </c>
      <c r="GW109">
        <v>1</v>
      </c>
      <c r="GX109">
        <f t="shared" si="106"/>
        <v>0</v>
      </c>
      <c r="HA109">
        <v>0</v>
      </c>
      <c r="HB109">
        <v>0</v>
      </c>
      <c r="HC109">
        <f t="shared" si="107"/>
        <v>0</v>
      </c>
      <c r="HE109" t="s">
        <v>3</v>
      </c>
      <c r="HF109" t="s">
        <v>3</v>
      </c>
      <c r="HM109" t="s">
        <v>3</v>
      </c>
      <c r="IK109">
        <v>0</v>
      </c>
    </row>
    <row r="110" spans="1:245" x14ac:dyDescent="0.2">
      <c r="A110">
        <v>18</v>
      </c>
      <c r="B110">
        <v>1</v>
      </c>
      <c r="C110">
        <v>133</v>
      </c>
      <c r="E110" t="s">
        <v>308</v>
      </c>
      <c r="F110" t="s">
        <v>309</v>
      </c>
      <c r="G110" t="s">
        <v>310</v>
      </c>
      <c r="H110" t="s">
        <v>104</v>
      </c>
      <c r="I110">
        <f>I108*J110</f>
        <v>0.5</v>
      </c>
      <c r="J110">
        <v>0.15625</v>
      </c>
      <c r="K110">
        <v>0.15625</v>
      </c>
      <c r="O110">
        <f t="shared" si="75"/>
        <v>2160.12</v>
      </c>
      <c r="P110">
        <f t="shared" si="76"/>
        <v>2160.12</v>
      </c>
      <c r="Q110">
        <f t="shared" si="108"/>
        <v>0</v>
      </c>
      <c r="R110">
        <f t="shared" si="77"/>
        <v>0</v>
      </c>
      <c r="S110">
        <f t="shared" si="78"/>
        <v>0</v>
      </c>
      <c r="T110">
        <f t="shared" si="79"/>
        <v>0</v>
      </c>
      <c r="U110">
        <f t="shared" si="80"/>
        <v>0</v>
      </c>
      <c r="V110">
        <f t="shared" si="81"/>
        <v>0</v>
      </c>
      <c r="W110">
        <f t="shared" si="82"/>
        <v>0</v>
      </c>
      <c r="X110">
        <f t="shared" si="83"/>
        <v>0</v>
      </c>
      <c r="Y110">
        <f t="shared" si="84"/>
        <v>0</v>
      </c>
      <c r="AA110">
        <v>42938047</v>
      </c>
      <c r="AB110">
        <f t="shared" si="85"/>
        <v>504.69</v>
      </c>
      <c r="AC110">
        <f t="shared" si="86"/>
        <v>504.69</v>
      </c>
      <c r="AD110">
        <f t="shared" si="109"/>
        <v>0</v>
      </c>
      <c r="AE110">
        <f t="shared" si="110"/>
        <v>0</v>
      </c>
      <c r="AF110">
        <f t="shared" si="110"/>
        <v>0</v>
      </c>
      <c r="AG110">
        <f t="shared" si="87"/>
        <v>0</v>
      </c>
      <c r="AH110">
        <f t="shared" si="111"/>
        <v>0</v>
      </c>
      <c r="AI110">
        <f t="shared" si="111"/>
        <v>0</v>
      </c>
      <c r="AJ110">
        <f t="shared" si="88"/>
        <v>0</v>
      </c>
      <c r="AK110">
        <v>504.69</v>
      </c>
      <c r="AL110">
        <v>504.69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1</v>
      </c>
      <c r="AW110">
        <v>1</v>
      </c>
      <c r="AZ110">
        <v>1</v>
      </c>
      <c r="BA110">
        <v>1</v>
      </c>
      <c r="BB110">
        <v>1</v>
      </c>
      <c r="BC110">
        <v>8.56</v>
      </c>
      <c r="BD110" t="s">
        <v>3</v>
      </c>
      <c r="BE110" t="s">
        <v>3</v>
      </c>
      <c r="BF110" t="s">
        <v>3</v>
      </c>
      <c r="BG110" t="s">
        <v>3</v>
      </c>
      <c r="BH110">
        <v>3</v>
      </c>
      <c r="BI110">
        <v>1</v>
      </c>
      <c r="BJ110" t="s">
        <v>311</v>
      </c>
      <c r="BM110">
        <v>305</v>
      </c>
      <c r="BN110">
        <v>0</v>
      </c>
      <c r="BO110" t="s">
        <v>309</v>
      </c>
      <c r="BP110">
        <v>1</v>
      </c>
      <c r="BQ110">
        <v>30</v>
      </c>
      <c r="BR110">
        <v>0</v>
      </c>
      <c r="BS110">
        <v>1</v>
      </c>
      <c r="BT110">
        <v>1</v>
      </c>
      <c r="BU110">
        <v>1</v>
      </c>
      <c r="BV110">
        <v>1</v>
      </c>
      <c r="BW110">
        <v>1</v>
      </c>
      <c r="BX110">
        <v>1</v>
      </c>
      <c r="BY110" t="s">
        <v>3</v>
      </c>
      <c r="BZ110">
        <v>0</v>
      </c>
      <c r="CA110">
        <v>0</v>
      </c>
      <c r="CB110" t="s">
        <v>3</v>
      </c>
      <c r="CE110">
        <v>30</v>
      </c>
      <c r="CF110">
        <v>0</v>
      </c>
      <c r="CG110">
        <v>0</v>
      </c>
      <c r="CM110">
        <v>0</v>
      </c>
      <c r="CN110" t="s">
        <v>3</v>
      </c>
      <c r="CO110">
        <v>0</v>
      </c>
      <c r="CP110">
        <f t="shared" si="89"/>
        <v>2160.12</v>
      </c>
      <c r="CQ110">
        <f t="shared" si="90"/>
        <v>4320.1499999999996</v>
      </c>
      <c r="CR110">
        <f t="shared" si="112"/>
        <v>0</v>
      </c>
      <c r="CS110">
        <f t="shared" si="91"/>
        <v>0</v>
      </c>
      <c r="CT110">
        <f t="shared" si="92"/>
        <v>0</v>
      </c>
      <c r="CU110">
        <f t="shared" si="93"/>
        <v>0</v>
      </c>
      <c r="CV110">
        <f t="shared" si="94"/>
        <v>0</v>
      </c>
      <c r="CW110">
        <f t="shared" si="95"/>
        <v>0</v>
      </c>
      <c r="CX110">
        <f t="shared" si="96"/>
        <v>0</v>
      </c>
      <c r="CY110">
        <f t="shared" si="97"/>
        <v>0</v>
      </c>
      <c r="CZ110">
        <f t="shared" si="98"/>
        <v>0</v>
      </c>
      <c r="DC110" t="s">
        <v>3</v>
      </c>
      <c r="DD110" t="s">
        <v>3</v>
      </c>
      <c r="DE110" t="s">
        <v>3</v>
      </c>
      <c r="DF110" t="s">
        <v>3</v>
      </c>
      <c r="DG110" t="s">
        <v>3</v>
      </c>
      <c r="DH110" t="s">
        <v>3</v>
      </c>
      <c r="DI110" t="s">
        <v>3</v>
      </c>
      <c r="DJ110" t="s">
        <v>3</v>
      </c>
      <c r="DK110" t="s">
        <v>3</v>
      </c>
      <c r="DL110" t="s">
        <v>3</v>
      </c>
      <c r="DM110" t="s">
        <v>3</v>
      </c>
      <c r="DN110">
        <v>156</v>
      </c>
      <c r="DO110">
        <v>84</v>
      </c>
      <c r="DP110">
        <v>1</v>
      </c>
      <c r="DQ110">
        <v>1</v>
      </c>
      <c r="DU110">
        <v>1009</v>
      </c>
      <c r="DV110" t="s">
        <v>104</v>
      </c>
      <c r="DW110" t="s">
        <v>104</v>
      </c>
      <c r="DX110">
        <v>1000</v>
      </c>
      <c r="DZ110" t="s">
        <v>3</v>
      </c>
      <c r="EA110" t="s">
        <v>3</v>
      </c>
      <c r="EB110" t="s">
        <v>3</v>
      </c>
      <c r="EC110" t="s">
        <v>3</v>
      </c>
      <c r="EE110">
        <v>43088383</v>
      </c>
      <c r="EF110">
        <v>30</v>
      </c>
      <c r="EG110" t="s">
        <v>22</v>
      </c>
      <c r="EH110">
        <v>0</v>
      </c>
      <c r="EI110" t="s">
        <v>3</v>
      </c>
      <c r="EJ110">
        <v>1</v>
      </c>
      <c r="EK110">
        <v>305</v>
      </c>
      <c r="EL110" t="s">
        <v>301</v>
      </c>
      <c r="EM110" t="s">
        <v>302</v>
      </c>
      <c r="EO110" t="s">
        <v>3</v>
      </c>
      <c r="EQ110">
        <v>0</v>
      </c>
      <c r="ER110">
        <v>504.69</v>
      </c>
      <c r="ES110">
        <v>504.69</v>
      </c>
      <c r="ET110">
        <v>0</v>
      </c>
      <c r="EU110">
        <v>0</v>
      </c>
      <c r="EV110">
        <v>0</v>
      </c>
      <c r="EW110">
        <v>0</v>
      </c>
      <c r="EX110">
        <v>0</v>
      </c>
      <c r="FQ110">
        <v>0</v>
      </c>
      <c r="FR110">
        <f t="shared" si="99"/>
        <v>0</v>
      </c>
      <c r="FS110">
        <v>0</v>
      </c>
      <c r="FX110">
        <v>156</v>
      </c>
      <c r="FY110">
        <v>84</v>
      </c>
      <c r="GA110" t="s">
        <v>3</v>
      </c>
      <c r="GD110">
        <v>0</v>
      </c>
      <c r="GF110">
        <v>1646049638</v>
      </c>
      <c r="GG110">
        <v>2</v>
      </c>
      <c r="GH110">
        <v>1</v>
      </c>
      <c r="GI110">
        <v>2</v>
      </c>
      <c r="GJ110">
        <v>0</v>
      </c>
      <c r="GK110">
        <f>ROUND(R110*(R12)/100,2)</f>
        <v>0</v>
      </c>
      <c r="GL110">
        <f t="shared" si="100"/>
        <v>0</v>
      </c>
      <c r="GM110">
        <f t="shared" si="101"/>
        <v>2160.12</v>
      </c>
      <c r="GN110">
        <f t="shared" si="102"/>
        <v>2160.12</v>
      </c>
      <c r="GO110">
        <f t="shared" si="103"/>
        <v>0</v>
      </c>
      <c r="GP110">
        <f t="shared" si="104"/>
        <v>0</v>
      </c>
      <c r="GR110">
        <v>0</v>
      </c>
      <c r="GS110">
        <v>3</v>
      </c>
      <c r="GT110">
        <v>0</v>
      </c>
      <c r="GU110" t="s">
        <v>3</v>
      </c>
      <c r="GV110">
        <f t="shared" si="105"/>
        <v>0</v>
      </c>
      <c r="GW110">
        <v>1</v>
      </c>
      <c r="GX110">
        <f t="shared" si="106"/>
        <v>0</v>
      </c>
      <c r="HA110">
        <v>0</v>
      </c>
      <c r="HB110">
        <v>0</v>
      </c>
      <c r="HC110">
        <f t="shared" si="107"/>
        <v>0</v>
      </c>
      <c r="HE110" t="s">
        <v>3</v>
      </c>
      <c r="HF110" t="s">
        <v>3</v>
      </c>
      <c r="HM110" t="s">
        <v>3</v>
      </c>
      <c r="IK110">
        <v>0</v>
      </c>
    </row>
    <row r="111" spans="1:245" x14ac:dyDescent="0.2">
      <c r="A111">
        <v>18</v>
      </c>
      <c r="B111">
        <v>1</v>
      </c>
      <c r="C111">
        <v>135</v>
      </c>
      <c r="E111" t="s">
        <v>312</v>
      </c>
      <c r="F111" t="s">
        <v>118</v>
      </c>
      <c r="G111" t="s">
        <v>313</v>
      </c>
      <c r="H111" t="s">
        <v>120</v>
      </c>
      <c r="I111">
        <f>I108*J111</f>
        <v>360</v>
      </c>
      <c r="J111">
        <v>112.5</v>
      </c>
      <c r="K111">
        <v>112.5</v>
      </c>
      <c r="O111">
        <f t="shared" si="75"/>
        <v>306914.33</v>
      </c>
      <c r="P111">
        <f t="shared" si="76"/>
        <v>306914.33</v>
      </c>
      <c r="Q111">
        <f t="shared" si="108"/>
        <v>0</v>
      </c>
      <c r="R111">
        <f t="shared" si="77"/>
        <v>0</v>
      </c>
      <c r="S111">
        <f t="shared" si="78"/>
        <v>0</v>
      </c>
      <c r="T111">
        <f t="shared" si="79"/>
        <v>0</v>
      </c>
      <c r="U111">
        <f t="shared" si="80"/>
        <v>0</v>
      </c>
      <c r="V111">
        <f t="shared" si="81"/>
        <v>0</v>
      </c>
      <c r="W111">
        <f t="shared" si="82"/>
        <v>0</v>
      </c>
      <c r="X111">
        <f t="shared" si="83"/>
        <v>0</v>
      </c>
      <c r="Y111">
        <f t="shared" si="84"/>
        <v>0</v>
      </c>
      <c r="AA111">
        <v>42938047</v>
      </c>
      <c r="AB111">
        <f t="shared" si="85"/>
        <v>134.47</v>
      </c>
      <c r="AC111">
        <f t="shared" si="86"/>
        <v>134.47</v>
      </c>
      <c r="AD111">
        <f t="shared" si="109"/>
        <v>0</v>
      </c>
      <c r="AE111">
        <f t="shared" si="110"/>
        <v>0</v>
      </c>
      <c r="AF111">
        <f t="shared" si="110"/>
        <v>0</v>
      </c>
      <c r="AG111">
        <f t="shared" si="87"/>
        <v>0</v>
      </c>
      <c r="AH111">
        <f t="shared" si="111"/>
        <v>0</v>
      </c>
      <c r="AI111">
        <f t="shared" si="111"/>
        <v>0</v>
      </c>
      <c r="AJ111">
        <f t="shared" si="88"/>
        <v>0</v>
      </c>
      <c r="AK111">
        <v>134.47</v>
      </c>
      <c r="AL111">
        <v>134.47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1</v>
      </c>
      <c r="AW111">
        <v>1</v>
      </c>
      <c r="AZ111">
        <v>1</v>
      </c>
      <c r="BA111">
        <v>1</v>
      </c>
      <c r="BB111">
        <v>1</v>
      </c>
      <c r="BC111">
        <v>6.34</v>
      </c>
      <c r="BD111" t="s">
        <v>3</v>
      </c>
      <c r="BE111" t="s">
        <v>3</v>
      </c>
      <c r="BF111" t="s">
        <v>3</v>
      </c>
      <c r="BG111" t="s">
        <v>3</v>
      </c>
      <c r="BH111">
        <v>3</v>
      </c>
      <c r="BI111">
        <v>1</v>
      </c>
      <c r="BJ111" t="s">
        <v>3</v>
      </c>
      <c r="BM111">
        <v>305</v>
      </c>
      <c r="BN111">
        <v>0</v>
      </c>
      <c r="BO111" t="s">
        <v>3</v>
      </c>
      <c r="BP111">
        <v>0</v>
      </c>
      <c r="BQ111">
        <v>30</v>
      </c>
      <c r="BR111">
        <v>0</v>
      </c>
      <c r="BS111">
        <v>1</v>
      </c>
      <c r="BT111">
        <v>1</v>
      </c>
      <c r="BU111">
        <v>1</v>
      </c>
      <c r="BV111">
        <v>1</v>
      </c>
      <c r="BW111">
        <v>1</v>
      </c>
      <c r="BX111">
        <v>1</v>
      </c>
      <c r="BY111" t="s">
        <v>3</v>
      </c>
      <c r="BZ111">
        <v>0</v>
      </c>
      <c r="CA111">
        <v>0</v>
      </c>
      <c r="CB111" t="s">
        <v>3</v>
      </c>
      <c r="CE111">
        <v>30</v>
      </c>
      <c r="CF111">
        <v>0</v>
      </c>
      <c r="CG111">
        <v>0</v>
      </c>
      <c r="CM111">
        <v>0</v>
      </c>
      <c r="CN111" t="s">
        <v>3</v>
      </c>
      <c r="CO111">
        <v>0</v>
      </c>
      <c r="CP111">
        <f t="shared" si="89"/>
        <v>306914.33</v>
      </c>
      <c r="CQ111">
        <f t="shared" si="90"/>
        <v>852.54</v>
      </c>
      <c r="CR111">
        <f t="shared" si="112"/>
        <v>0</v>
      </c>
      <c r="CS111">
        <f t="shared" si="91"/>
        <v>0</v>
      </c>
      <c r="CT111">
        <f t="shared" si="92"/>
        <v>0</v>
      </c>
      <c r="CU111">
        <f t="shared" si="93"/>
        <v>0</v>
      </c>
      <c r="CV111">
        <f t="shared" si="94"/>
        <v>0</v>
      </c>
      <c r="CW111">
        <f t="shared" si="95"/>
        <v>0</v>
      </c>
      <c r="CX111">
        <f t="shared" si="96"/>
        <v>0</v>
      </c>
      <c r="CY111">
        <f t="shared" si="97"/>
        <v>0</v>
      </c>
      <c r="CZ111">
        <f t="shared" si="98"/>
        <v>0</v>
      </c>
      <c r="DC111" t="s">
        <v>3</v>
      </c>
      <c r="DD111" t="s">
        <v>3</v>
      </c>
      <c r="DE111" t="s">
        <v>3</v>
      </c>
      <c r="DF111" t="s">
        <v>3</v>
      </c>
      <c r="DG111" t="s">
        <v>3</v>
      </c>
      <c r="DH111" t="s">
        <v>3</v>
      </c>
      <c r="DI111" t="s">
        <v>3</v>
      </c>
      <c r="DJ111" t="s">
        <v>3</v>
      </c>
      <c r="DK111" t="s">
        <v>3</v>
      </c>
      <c r="DL111" t="s">
        <v>3</v>
      </c>
      <c r="DM111" t="s">
        <v>3</v>
      </c>
      <c r="DN111">
        <v>156</v>
      </c>
      <c r="DO111">
        <v>84</v>
      </c>
      <c r="DP111">
        <v>1</v>
      </c>
      <c r="DQ111">
        <v>1</v>
      </c>
      <c r="DU111">
        <v>1005</v>
      </c>
      <c r="DV111" t="s">
        <v>120</v>
      </c>
      <c r="DW111" t="s">
        <v>120</v>
      </c>
      <c r="DX111">
        <v>1</v>
      </c>
      <c r="DZ111" t="s">
        <v>3</v>
      </c>
      <c r="EA111" t="s">
        <v>3</v>
      </c>
      <c r="EB111" t="s">
        <v>3</v>
      </c>
      <c r="EC111" t="s">
        <v>3</v>
      </c>
      <c r="EE111">
        <v>43088383</v>
      </c>
      <c r="EF111">
        <v>30</v>
      </c>
      <c r="EG111" t="s">
        <v>22</v>
      </c>
      <c r="EH111">
        <v>0</v>
      </c>
      <c r="EI111" t="s">
        <v>3</v>
      </c>
      <c r="EJ111">
        <v>1</v>
      </c>
      <c r="EK111">
        <v>305</v>
      </c>
      <c r="EL111" t="s">
        <v>301</v>
      </c>
      <c r="EM111" t="s">
        <v>302</v>
      </c>
      <c r="EO111" t="s">
        <v>3</v>
      </c>
      <c r="EQ111">
        <v>0</v>
      </c>
      <c r="ER111">
        <v>134.47</v>
      </c>
      <c r="ES111">
        <v>134.47</v>
      </c>
      <c r="ET111">
        <v>0</v>
      </c>
      <c r="EU111">
        <v>0</v>
      </c>
      <c r="EV111">
        <v>0</v>
      </c>
      <c r="EW111">
        <v>0</v>
      </c>
      <c r="EX111">
        <v>0</v>
      </c>
      <c r="EZ111">
        <v>5</v>
      </c>
      <c r="FC111">
        <v>1</v>
      </c>
      <c r="FD111">
        <v>18</v>
      </c>
      <c r="FF111">
        <v>1003</v>
      </c>
      <c r="FQ111">
        <v>0</v>
      </c>
      <c r="FR111">
        <f t="shared" si="99"/>
        <v>0</v>
      </c>
      <c r="FS111">
        <v>0</v>
      </c>
      <c r="FX111">
        <v>156</v>
      </c>
      <c r="FY111">
        <v>84</v>
      </c>
      <c r="GA111" t="s">
        <v>314</v>
      </c>
      <c r="GD111">
        <v>0</v>
      </c>
      <c r="GF111">
        <v>1727115970</v>
      </c>
      <c r="GG111">
        <v>2</v>
      </c>
      <c r="GH111">
        <v>3</v>
      </c>
      <c r="GI111">
        <v>3</v>
      </c>
      <c r="GJ111">
        <v>0</v>
      </c>
      <c r="GK111">
        <f>ROUND(R111*(R12)/100,2)</f>
        <v>0</v>
      </c>
      <c r="GL111">
        <f t="shared" si="100"/>
        <v>0</v>
      </c>
      <c r="GM111">
        <f t="shared" si="101"/>
        <v>306914.33</v>
      </c>
      <c r="GN111">
        <f t="shared" si="102"/>
        <v>306914.33</v>
      </c>
      <c r="GO111">
        <f t="shared" si="103"/>
        <v>0</v>
      </c>
      <c r="GP111">
        <f t="shared" si="104"/>
        <v>0</v>
      </c>
      <c r="GR111">
        <v>1</v>
      </c>
      <c r="GS111">
        <v>1</v>
      </c>
      <c r="GT111">
        <v>0</v>
      </c>
      <c r="GU111" t="s">
        <v>3</v>
      </c>
      <c r="GV111">
        <f t="shared" si="105"/>
        <v>0</v>
      </c>
      <c r="GW111">
        <v>1</v>
      </c>
      <c r="GX111">
        <f t="shared" si="106"/>
        <v>0</v>
      </c>
      <c r="HA111">
        <v>0</v>
      </c>
      <c r="HB111">
        <v>0</v>
      </c>
      <c r="HC111">
        <f t="shared" si="107"/>
        <v>0</v>
      </c>
      <c r="HE111" t="s">
        <v>26</v>
      </c>
      <c r="HF111" t="s">
        <v>122</v>
      </c>
      <c r="HM111" t="s">
        <v>3</v>
      </c>
      <c r="IK111">
        <v>0</v>
      </c>
    </row>
    <row r="112" spans="1:245" x14ac:dyDescent="0.2">
      <c r="A112">
        <v>17</v>
      </c>
      <c r="B112">
        <v>1</v>
      </c>
      <c r="C112">
        <f>ROW(SmtRes!A136)</f>
        <v>136</v>
      </c>
      <c r="D112">
        <f>ROW(EtalonRes!A134)</f>
        <v>134</v>
      </c>
      <c r="E112" t="s">
        <v>315</v>
      </c>
      <c r="F112" t="s">
        <v>180</v>
      </c>
      <c r="G112" t="s">
        <v>316</v>
      </c>
      <c r="H112" t="s">
        <v>182</v>
      </c>
      <c r="I112">
        <v>61.44</v>
      </c>
      <c r="J112">
        <v>0</v>
      </c>
      <c r="K112">
        <v>61.44</v>
      </c>
      <c r="O112">
        <f t="shared" si="75"/>
        <v>4964.5600000000004</v>
      </c>
      <c r="P112">
        <f t="shared" si="76"/>
        <v>0</v>
      </c>
      <c r="Q112">
        <f t="shared" si="108"/>
        <v>4964.5600000000004</v>
      </c>
      <c r="R112">
        <f t="shared" si="77"/>
        <v>2313.2600000000002</v>
      </c>
      <c r="S112">
        <f t="shared" si="78"/>
        <v>0</v>
      </c>
      <c r="T112">
        <f t="shared" si="79"/>
        <v>0</v>
      </c>
      <c r="U112">
        <f t="shared" si="80"/>
        <v>0</v>
      </c>
      <c r="V112">
        <f t="shared" si="81"/>
        <v>0</v>
      </c>
      <c r="W112">
        <f t="shared" si="82"/>
        <v>0</v>
      </c>
      <c r="X112">
        <f t="shared" si="83"/>
        <v>0</v>
      </c>
      <c r="Y112">
        <f t="shared" si="84"/>
        <v>0</v>
      </c>
      <c r="AA112">
        <v>42938047</v>
      </c>
      <c r="AB112">
        <f t="shared" si="85"/>
        <v>8.86</v>
      </c>
      <c r="AC112">
        <f t="shared" si="86"/>
        <v>0</v>
      </c>
      <c r="AD112">
        <f t="shared" si="109"/>
        <v>8.86</v>
      </c>
      <c r="AE112">
        <f t="shared" si="110"/>
        <v>1.48</v>
      </c>
      <c r="AF112">
        <f t="shared" si="110"/>
        <v>0</v>
      </c>
      <c r="AG112">
        <f t="shared" si="87"/>
        <v>0</v>
      </c>
      <c r="AH112">
        <f t="shared" si="111"/>
        <v>0</v>
      </c>
      <c r="AI112">
        <f t="shared" si="111"/>
        <v>0</v>
      </c>
      <c r="AJ112">
        <f t="shared" si="88"/>
        <v>0</v>
      </c>
      <c r="AK112">
        <v>8.86</v>
      </c>
      <c r="AL112">
        <v>0</v>
      </c>
      <c r="AM112">
        <v>8.86</v>
      </c>
      <c r="AN112">
        <v>1.48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73</v>
      </c>
      <c r="AU112">
        <v>41</v>
      </c>
      <c r="AV112">
        <v>1</v>
      </c>
      <c r="AW112">
        <v>1</v>
      </c>
      <c r="AZ112">
        <v>1</v>
      </c>
      <c r="BA112">
        <v>25.44</v>
      </c>
      <c r="BB112">
        <v>9.1199999999999992</v>
      </c>
      <c r="BC112">
        <v>1</v>
      </c>
      <c r="BD112" t="s">
        <v>3</v>
      </c>
      <c r="BE112" t="s">
        <v>3</v>
      </c>
      <c r="BF112" t="s">
        <v>3</v>
      </c>
      <c r="BG112" t="s">
        <v>3</v>
      </c>
      <c r="BH112">
        <v>0</v>
      </c>
      <c r="BI112">
        <v>1</v>
      </c>
      <c r="BJ112" t="s">
        <v>183</v>
      </c>
      <c r="BM112">
        <v>658</v>
      </c>
      <c r="BN112">
        <v>0</v>
      </c>
      <c r="BO112" t="s">
        <v>180</v>
      </c>
      <c r="BP112">
        <v>1</v>
      </c>
      <c r="BQ112">
        <v>60</v>
      </c>
      <c r="BR112">
        <v>0</v>
      </c>
      <c r="BS112">
        <v>25.44</v>
      </c>
      <c r="BT112">
        <v>1</v>
      </c>
      <c r="BU112">
        <v>1</v>
      </c>
      <c r="BV112">
        <v>1</v>
      </c>
      <c r="BW112">
        <v>1</v>
      </c>
      <c r="BX112">
        <v>1</v>
      </c>
      <c r="BY112" t="s">
        <v>3</v>
      </c>
      <c r="BZ112">
        <v>73</v>
      </c>
      <c r="CA112">
        <v>41</v>
      </c>
      <c r="CB112" t="s">
        <v>3</v>
      </c>
      <c r="CE112">
        <v>30</v>
      </c>
      <c r="CF112">
        <v>0</v>
      </c>
      <c r="CG112">
        <v>0</v>
      </c>
      <c r="CM112">
        <v>0</v>
      </c>
      <c r="CN112" t="s">
        <v>3</v>
      </c>
      <c r="CO112">
        <v>0</v>
      </c>
      <c r="CP112">
        <f t="shared" si="89"/>
        <v>4964.5600000000004</v>
      </c>
      <c r="CQ112">
        <f t="shared" si="90"/>
        <v>0</v>
      </c>
      <c r="CR112">
        <f t="shared" si="112"/>
        <v>80.8</v>
      </c>
      <c r="CS112">
        <f t="shared" si="91"/>
        <v>37.65</v>
      </c>
      <c r="CT112">
        <f t="shared" si="92"/>
        <v>0</v>
      </c>
      <c r="CU112">
        <f t="shared" si="93"/>
        <v>0</v>
      </c>
      <c r="CV112">
        <f t="shared" si="94"/>
        <v>0</v>
      </c>
      <c r="CW112">
        <f t="shared" si="95"/>
        <v>0</v>
      </c>
      <c r="CX112">
        <f t="shared" si="96"/>
        <v>0</v>
      </c>
      <c r="CY112">
        <f t="shared" si="97"/>
        <v>0</v>
      </c>
      <c r="CZ112">
        <f t="shared" si="98"/>
        <v>0</v>
      </c>
      <c r="DC112" t="s">
        <v>3</v>
      </c>
      <c r="DD112" t="s">
        <v>3</v>
      </c>
      <c r="DE112" t="s">
        <v>3</v>
      </c>
      <c r="DF112" t="s">
        <v>3</v>
      </c>
      <c r="DG112" t="s">
        <v>3</v>
      </c>
      <c r="DH112" t="s">
        <v>3</v>
      </c>
      <c r="DI112" t="s">
        <v>3</v>
      </c>
      <c r="DJ112" t="s">
        <v>3</v>
      </c>
      <c r="DK112" t="s">
        <v>3</v>
      </c>
      <c r="DL112" t="s">
        <v>3</v>
      </c>
      <c r="DM112" t="s">
        <v>3</v>
      </c>
      <c r="DN112">
        <v>91</v>
      </c>
      <c r="DO112">
        <v>70</v>
      </c>
      <c r="DP112">
        <v>1</v>
      </c>
      <c r="DQ112">
        <v>1</v>
      </c>
      <c r="DU112">
        <v>1013</v>
      </c>
      <c r="DV112" t="s">
        <v>182</v>
      </c>
      <c r="DW112" t="s">
        <v>182</v>
      </c>
      <c r="DX112">
        <v>1</v>
      </c>
      <c r="DZ112" t="s">
        <v>3</v>
      </c>
      <c r="EA112" t="s">
        <v>3</v>
      </c>
      <c r="EB112" t="s">
        <v>3</v>
      </c>
      <c r="EC112" t="s">
        <v>3</v>
      </c>
      <c r="EE112">
        <v>43088736</v>
      </c>
      <c r="EF112">
        <v>60</v>
      </c>
      <c r="EG112" t="s">
        <v>40</v>
      </c>
      <c r="EH112">
        <v>0</v>
      </c>
      <c r="EI112" t="s">
        <v>3</v>
      </c>
      <c r="EJ112">
        <v>1</v>
      </c>
      <c r="EK112">
        <v>658</v>
      </c>
      <c r="EL112" t="s">
        <v>184</v>
      </c>
      <c r="EM112" t="s">
        <v>185</v>
      </c>
      <c r="EO112" t="s">
        <v>3</v>
      </c>
      <c r="EQ112">
        <v>0</v>
      </c>
      <c r="ER112">
        <v>8.86</v>
      </c>
      <c r="ES112">
        <v>0</v>
      </c>
      <c r="ET112">
        <v>8.86</v>
      </c>
      <c r="EU112">
        <v>1.48</v>
      </c>
      <c r="EV112">
        <v>0</v>
      </c>
      <c r="EW112">
        <v>0</v>
      </c>
      <c r="EX112">
        <v>0</v>
      </c>
      <c r="EY112">
        <v>0</v>
      </c>
      <c r="FQ112">
        <v>0</v>
      </c>
      <c r="FR112">
        <f t="shared" si="99"/>
        <v>0</v>
      </c>
      <c r="FS112">
        <v>0</v>
      </c>
      <c r="FX112">
        <v>91</v>
      </c>
      <c r="FY112">
        <v>70</v>
      </c>
      <c r="GA112" t="s">
        <v>3</v>
      </c>
      <c r="GD112">
        <v>0</v>
      </c>
      <c r="GF112">
        <v>-1983005167</v>
      </c>
      <c r="GG112">
        <v>2</v>
      </c>
      <c r="GH112">
        <v>1</v>
      </c>
      <c r="GI112">
        <v>2</v>
      </c>
      <c r="GJ112">
        <v>0</v>
      </c>
      <c r="GK112">
        <f>ROUND(R112*(R12)/100,2)</f>
        <v>3631.82</v>
      </c>
      <c r="GL112">
        <f t="shared" si="100"/>
        <v>0</v>
      </c>
      <c r="GM112">
        <f t="shared" si="101"/>
        <v>8596.3799999999992</v>
      </c>
      <c r="GN112">
        <f t="shared" si="102"/>
        <v>8596.3799999999992</v>
      </c>
      <c r="GO112">
        <f t="shared" si="103"/>
        <v>0</v>
      </c>
      <c r="GP112">
        <f t="shared" si="104"/>
        <v>0</v>
      </c>
      <c r="GR112">
        <v>0</v>
      </c>
      <c r="GS112">
        <v>3</v>
      </c>
      <c r="GT112">
        <v>0</v>
      </c>
      <c r="GU112" t="s">
        <v>3</v>
      </c>
      <c r="GV112">
        <f t="shared" si="105"/>
        <v>0</v>
      </c>
      <c r="GW112">
        <v>1</v>
      </c>
      <c r="GX112">
        <f t="shared" si="106"/>
        <v>0</v>
      </c>
      <c r="HA112">
        <v>0</v>
      </c>
      <c r="HB112">
        <v>0</v>
      </c>
      <c r="HC112">
        <f t="shared" si="107"/>
        <v>0</v>
      </c>
      <c r="HE112" t="s">
        <v>3</v>
      </c>
      <c r="HF112" t="s">
        <v>3</v>
      </c>
      <c r="HM112" t="s">
        <v>3</v>
      </c>
      <c r="IK112">
        <v>0</v>
      </c>
    </row>
    <row r="113" spans="1:245" x14ac:dyDescent="0.2">
      <c r="A113">
        <v>17</v>
      </c>
      <c r="B113">
        <v>1</v>
      </c>
      <c r="C113">
        <f>ROW(SmtRes!A137)</f>
        <v>137</v>
      </c>
      <c r="D113">
        <f>ROW(EtalonRes!A135)</f>
        <v>135</v>
      </c>
      <c r="E113" t="s">
        <v>317</v>
      </c>
      <c r="F113" t="s">
        <v>187</v>
      </c>
      <c r="G113" t="s">
        <v>188</v>
      </c>
      <c r="H113" t="s">
        <v>104</v>
      </c>
      <c r="I113">
        <v>61.44</v>
      </c>
      <c r="J113">
        <v>0</v>
      </c>
      <c r="K113">
        <v>61.44</v>
      </c>
      <c r="O113">
        <f t="shared" si="75"/>
        <v>27834.03</v>
      </c>
      <c r="P113">
        <f t="shared" si="76"/>
        <v>0</v>
      </c>
      <c r="Q113">
        <f t="shared" si="108"/>
        <v>27834.03</v>
      </c>
      <c r="R113">
        <f t="shared" si="77"/>
        <v>0</v>
      </c>
      <c r="S113">
        <f t="shared" si="78"/>
        <v>0</v>
      </c>
      <c r="T113">
        <f t="shared" si="79"/>
        <v>0</v>
      </c>
      <c r="U113">
        <f t="shared" si="80"/>
        <v>0</v>
      </c>
      <c r="V113">
        <f t="shared" si="81"/>
        <v>0</v>
      </c>
      <c r="W113">
        <f t="shared" si="82"/>
        <v>0</v>
      </c>
      <c r="X113">
        <f t="shared" si="83"/>
        <v>0</v>
      </c>
      <c r="Y113">
        <f t="shared" si="84"/>
        <v>0</v>
      </c>
      <c r="AA113">
        <v>42938047</v>
      </c>
      <c r="AB113">
        <f t="shared" si="85"/>
        <v>38.92</v>
      </c>
      <c r="AC113">
        <f t="shared" si="86"/>
        <v>0</v>
      </c>
      <c r="AD113">
        <f t="shared" si="109"/>
        <v>38.92</v>
      </c>
      <c r="AE113">
        <f t="shared" si="110"/>
        <v>0</v>
      </c>
      <c r="AF113">
        <f t="shared" si="110"/>
        <v>0</v>
      </c>
      <c r="AG113">
        <f t="shared" si="87"/>
        <v>0</v>
      </c>
      <c r="AH113">
        <f t="shared" si="111"/>
        <v>0</v>
      </c>
      <c r="AI113">
        <f t="shared" si="111"/>
        <v>0</v>
      </c>
      <c r="AJ113">
        <f t="shared" si="88"/>
        <v>0</v>
      </c>
      <c r="AK113">
        <v>38.92</v>
      </c>
      <c r="AL113">
        <v>0</v>
      </c>
      <c r="AM113">
        <v>38.92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93</v>
      </c>
      <c r="AU113">
        <v>64</v>
      </c>
      <c r="AV113">
        <v>1</v>
      </c>
      <c r="AW113">
        <v>1</v>
      </c>
      <c r="AZ113">
        <v>1</v>
      </c>
      <c r="BA113">
        <v>1</v>
      </c>
      <c r="BB113">
        <v>11.64</v>
      </c>
      <c r="BC113">
        <v>1</v>
      </c>
      <c r="BD113" t="s">
        <v>3</v>
      </c>
      <c r="BE113" t="s">
        <v>3</v>
      </c>
      <c r="BF113" t="s">
        <v>3</v>
      </c>
      <c r="BG113" t="s">
        <v>3</v>
      </c>
      <c r="BH113">
        <v>0</v>
      </c>
      <c r="BI113">
        <v>4</v>
      </c>
      <c r="BJ113" t="s">
        <v>189</v>
      </c>
      <c r="BM113">
        <v>1113</v>
      </c>
      <c r="BN113">
        <v>0</v>
      </c>
      <c r="BO113" t="s">
        <v>187</v>
      </c>
      <c r="BP113">
        <v>1</v>
      </c>
      <c r="BQ113">
        <v>150</v>
      </c>
      <c r="BR113">
        <v>0</v>
      </c>
      <c r="BS113">
        <v>1</v>
      </c>
      <c r="BT113">
        <v>1</v>
      </c>
      <c r="BU113">
        <v>1</v>
      </c>
      <c r="BV113">
        <v>1</v>
      </c>
      <c r="BW113">
        <v>1</v>
      </c>
      <c r="BX113">
        <v>1</v>
      </c>
      <c r="BY113" t="s">
        <v>3</v>
      </c>
      <c r="BZ113">
        <v>93</v>
      </c>
      <c r="CA113">
        <v>64</v>
      </c>
      <c r="CB113" t="s">
        <v>3</v>
      </c>
      <c r="CE113">
        <v>30</v>
      </c>
      <c r="CF113">
        <v>0</v>
      </c>
      <c r="CG113">
        <v>0</v>
      </c>
      <c r="CM113">
        <v>0</v>
      </c>
      <c r="CN113" t="s">
        <v>3</v>
      </c>
      <c r="CO113">
        <v>0</v>
      </c>
      <c r="CP113">
        <f t="shared" si="89"/>
        <v>27834.03</v>
      </c>
      <c r="CQ113">
        <f t="shared" si="90"/>
        <v>0</v>
      </c>
      <c r="CR113">
        <f t="shared" si="112"/>
        <v>453.03</v>
      </c>
      <c r="CS113">
        <f t="shared" si="91"/>
        <v>0</v>
      </c>
      <c r="CT113">
        <f t="shared" si="92"/>
        <v>0</v>
      </c>
      <c r="CU113">
        <f t="shared" si="93"/>
        <v>0</v>
      </c>
      <c r="CV113">
        <f t="shared" si="94"/>
        <v>0</v>
      </c>
      <c r="CW113">
        <f t="shared" si="95"/>
        <v>0</v>
      </c>
      <c r="CX113">
        <f t="shared" si="96"/>
        <v>0</v>
      </c>
      <c r="CY113">
        <f t="shared" si="97"/>
        <v>0</v>
      </c>
      <c r="CZ113">
        <f t="shared" si="98"/>
        <v>0</v>
      </c>
      <c r="DC113" t="s">
        <v>3</v>
      </c>
      <c r="DD113" t="s">
        <v>3</v>
      </c>
      <c r="DE113" t="s">
        <v>3</v>
      </c>
      <c r="DF113" t="s">
        <v>3</v>
      </c>
      <c r="DG113" t="s">
        <v>3</v>
      </c>
      <c r="DH113" t="s">
        <v>3</v>
      </c>
      <c r="DI113" t="s">
        <v>3</v>
      </c>
      <c r="DJ113" t="s">
        <v>3</v>
      </c>
      <c r="DK113" t="s">
        <v>3</v>
      </c>
      <c r="DL113" t="s">
        <v>3</v>
      </c>
      <c r="DM113" t="s">
        <v>3</v>
      </c>
      <c r="DN113">
        <v>0</v>
      </c>
      <c r="DO113">
        <v>0</v>
      </c>
      <c r="DP113">
        <v>1</v>
      </c>
      <c r="DQ113">
        <v>1</v>
      </c>
      <c r="DU113">
        <v>1009</v>
      </c>
      <c r="DV113" t="s">
        <v>104</v>
      </c>
      <c r="DW113" t="s">
        <v>104</v>
      </c>
      <c r="DX113">
        <v>1000</v>
      </c>
      <c r="DZ113" t="s">
        <v>3</v>
      </c>
      <c r="EA113" t="s">
        <v>3</v>
      </c>
      <c r="EB113" t="s">
        <v>3</v>
      </c>
      <c r="EC113" t="s">
        <v>3</v>
      </c>
      <c r="EE113">
        <v>43089191</v>
      </c>
      <c r="EF113">
        <v>150</v>
      </c>
      <c r="EG113" t="s">
        <v>190</v>
      </c>
      <c r="EH113">
        <v>0</v>
      </c>
      <c r="EI113" t="s">
        <v>3</v>
      </c>
      <c r="EJ113">
        <v>4</v>
      </c>
      <c r="EK113">
        <v>1113</v>
      </c>
      <c r="EL113" t="s">
        <v>191</v>
      </c>
      <c r="EM113" t="s">
        <v>192</v>
      </c>
      <c r="EO113" t="s">
        <v>3</v>
      </c>
      <c r="EQ113">
        <v>0</v>
      </c>
      <c r="ER113">
        <v>38.92</v>
      </c>
      <c r="ES113">
        <v>0</v>
      </c>
      <c r="ET113">
        <v>38.92</v>
      </c>
      <c r="EU113">
        <v>0</v>
      </c>
      <c r="EV113">
        <v>0</v>
      </c>
      <c r="EW113">
        <v>0</v>
      </c>
      <c r="EX113">
        <v>0</v>
      </c>
      <c r="EY113">
        <v>0</v>
      </c>
      <c r="FQ113">
        <v>0</v>
      </c>
      <c r="FR113">
        <f t="shared" si="99"/>
        <v>0</v>
      </c>
      <c r="FS113">
        <v>0</v>
      </c>
      <c r="FX113">
        <v>0</v>
      </c>
      <c r="FY113">
        <v>0</v>
      </c>
      <c r="GA113" t="s">
        <v>3</v>
      </c>
      <c r="GD113">
        <v>0</v>
      </c>
      <c r="GF113">
        <v>733232356</v>
      </c>
      <c r="GG113">
        <v>2</v>
      </c>
      <c r="GH113">
        <v>1</v>
      </c>
      <c r="GI113">
        <v>2</v>
      </c>
      <c r="GJ113">
        <v>0</v>
      </c>
      <c r="GK113">
        <f>ROUND(R113*(R12)/100,2)</f>
        <v>0</v>
      </c>
      <c r="GL113">
        <f t="shared" si="100"/>
        <v>0</v>
      </c>
      <c r="GM113">
        <f t="shared" si="101"/>
        <v>27834.03</v>
      </c>
      <c r="GN113">
        <f t="shared" si="102"/>
        <v>0</v>
      </c>
      <c r="GO113">
        <f t="shared" si="103"/>
        <v>0</v>
      </c>
      <c r="GP113">
        <f t="shared" si="104"/>
        <v>27834.03</v>
      </c>
      <c r="GR113">
        <v>0</v>
      </c>
      <c r="GS113">
        <v>3</v>
      </c>
      <c r="GT113">
        <v>0</v>
      </c>
      <c r="GU113" t="s">
        <v>3</v>
      </c>
      <c r="GV113">
        <f t="shared" si="105"/>
        <v>0</v>
      </c>
      <c r="GW113">
        <v>1</v>
      </c>
      <c r="GX113">
        <f t="shared" si="106"/>
        <v>0</v>
      </c>
      <c r="HA113">
        <v>0</v>
      </c>
      <c r="HB113">
        <v>0</v>
      </c>
      <c r="HC113">
        <f t="shared" si="107"/>
        <v>0</v>
      </c>
      <c r="HE113" t="s">
        <v>3</v>
      </c>
      <c r="HF113" t="s">
        <v>3</v>
      </c>
      <c r="HM113" t="s">
        <v>3</v>
      </c>
      <c r="IK113">
        <v>0</v>
      </c>
    </row>
    <row r="114" spans="1:245" x14ac:dyDescent="0.2">
      <c r="A114">
        <v>17</v>
      </c>
      <c r="B114">
        <v>1</v>
      </c>
      <c r="C114">
        <f>ROW(SmtRes!A138)</f>
        <v>138</v>
      </c>
      <c r="D114">
        <f>ROW(EtalonRes!A136)</f>
        <v>136</v>
      </c>
      <c r="E114" t="s">
        <v>318</v>
      </c>
      <c r="F114" t="s">
        <v>319</v>
      </c>
      <c r="G114" t="s">
        <v>320</v>
      </c>
      <c r="H114" t="s">
        <v>182</v>
      </c>
      <c r="I114">
        <v>61.44</v>
      </c>
      <c r="J114">
        <v>0</v>
      </c>
      <c r="K114">
        <v>61.44</v>
      </c>
      <c r="O114">
        <f t="shared" si="75"/>
        <v>10177.35</v>
      </c>
      <c r="P114">
        <f t="shared" si="76"/>
        <v>0</v>
      </c>
      <c r="Q114">
        <f t="shared" si="108"/>
        <v>10177.35</v>
      </c>
      <c r="R114">
        <f t="shared" si="77"/>
        <v>0</v>
      </c>
      <c r="S114">
        <f t="shared" si="78"/>
        <v>0</v>
      </c>
      <c r="T114">
        <f t="shared" si="79"/>
        <v>0</v>
      </c>
      <c r="U114">
        <f t="shared" si="80"/>
        <v>0</v>
      </c>
      <c r="V114">
        <f t="shared" si="81"/>
        <v>0</v>
      </c>
      <c r="W114">
        <f t="shared" si="82"/>
        <v>0</v>
      </c>
      <c r="X114">
        <f t="shared" si="83"/>
        <v>0</v>
      </c>
      <c r="Y114">
        <f t="shared" si="84"/>
        <v>0</v>
      </c>
      <c r="AA114">
        <v>42938047</v>
      </c>
      <c r="AB114">
        <f t="shared" si="85"/>
        <v>21.71</v>
      </c>
      <c r="AC114">
        <f t="shared" si="86"/>
        <v>0</v>
      </c>
      <c r="AD114">
        <f t="shared" si="109"/>
        <v>21.71</v>
      </c>
      <c r="AE114">
        <f t="shared" si="110"/>
        <v>0</v>
      </c>
      <c r="AF114">
        <f t="shared" si="110"/>
        <v>0</v>
      </c>
      <c r="AG114">
        <f t="shared" si="87"/>
        <v>0</v>
      </c>
      <c r="AH114">
        <f t="shared" si="111"/>
        <v>0</v>
      </c>
      <c r="AI114">
        <f t="shared" si="111"/>
        <v>0</v>
      </c>
      <c r="AJ114">
        <f t="shared" si="88"/>
        <v>0</v>
      </c>
      <c r="AK114">
        <v>21.71</v>
      </c>
      <c r="AL114">
        <v>0</v>
      </c>
      <c r="AM114">
        <v>21.71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93</v>
      </c>
      <c r="AU114">
        <v>64</v>
      </c>
      <c r="AV114">
        <v>1</v>
      </c>
      <c r="AW114">
        <v>1</v>
      </c>
      <c r="AZ114">
        <v>1</v>
      </c>
      <c r="BA114">
        <v>1</v>
      </c>
      <c r="BB114">
        <v>7.63</v>
      </c>
      <c r="BC114">
        <v>1</v>
      </c>
      <c r="BD114" t="s">
        <v>3</v>
      </c>
      <c r="BE114" t="s">
        <v>3</v>
      </c>
      <c r="BF114" t="s">
        <v>3</v>
      </c>
      <c r="BG114" t="s">
        <v>3</v>
      </c>
      <c r="BH114">
        <v>0</v>
      </c>
      <c r="BI114">
        <v>4</v>
      </c>
      <c r="BJ114" t="s">
        <v>321</v>
      </c>
      <c r="BM114">
        <v>1113</v>
      </c>
      <c r="BN114">
        <v>0</v>
      </c>
      <c r="BO114" t="s">
        <v>319</v>
      </c>
      <c r="BP114">
        <v>1</v>
      </c>
      <c r="BQ114">
        <v>150</v>
      </c>
      <c r="BR114">
        <v>0</v>
      </c>
      <c r="BS114">
        <v>1</v>
      </c>
      <c r="BT114">
        <v>1</v>
      </c>
      <c r="BU114">
        <v>1</v>
      </c>
      <c r="BV114">
        <v>1</v>
      </c>
      <c r="BW114">
        <v>1</v>
      </c>
      <c r="BX114">
        <v>1</v>
      </c>
      <c r="BY114" t="s">
        <v>3</v>
      </c>
      <c r="BZ114">
        <v>93</v>
      </c>
      <c r="CA114">
        <v>64</v>
      </c>
      <c r="CB114" t="s">
        <v>3</v>
      </c>
      <c r="CE114">
        <v>30</v>
      </c>
      <c r="CF114">
        <v>0</v>
      </c>
      <c r="CG114">
        <v>0</v>
      </c>
      <c r="CM114">
        <v>0</v>
      </c>
      <c r="CN114" t="s">
        <v>3</v>
      </c>
      <c r="CO114">
        <v>0</v>
      </c>
      <c r="CP114">
        <f t="shared" si="89"/>
        <v>10177.35</v>
      </c>
      <c r="CQ114">
        <f t="shared" si="90"/>
        <v>0</v>
      </c>
      <c r="CR114">
        <f t="shared" si="112"/>
        <v>165.65</v>
      </c>
      <c r="CS114">
        <f t="shared" si="91"/>
        <v>0</v>
      </c>
      <c r="CT114">
        <f t="shared" si="92"/>
        <v>0</v>
      </c>
      <c r="CU114">
        <f t="shared" si="93"/>
        <v>0</v>
      </c>
      <c r="CV114">
        <f t="shared" si="94"/>
        <v>0</v>
      </c>
      <c r="CW114">
        <f t="shared" si="95"/>
        <v>0</v>
      </c>
      <c r="CX114">
        <f t="shared" si="96"/>
        <v>0</v>
      </c>
      <c r="CY114">
        <f t="shared" si="97"/>
        <v>0</v>
      </c>
      <c r="CZ114">
        <f t="shared" si="98"/>
        <v>0</v>
      </c>
      <c r="DC114" t="s">
        <v>3</v>
      </c>
      <c r="DD114" t="s">
        <v>3</v>
      </c>
      <c r="DE114" t="s">
        <v>3</v>
      </c>
      <c r="DF114" t="s">
        <v>3</v>
      </c>
      <c r="DG114" t="s">
        <v>3</v>
      </c>
      <c r="DH114" t="s">
        <v>3</v>
      </c>
      <c r="DI114" t="s">
        <v>3</v>
      </c>
      <c r="DJ114" t="s">
        <v>3</v>
      </c>
      <c r="DK114" t="s">
        <v>3</v>
      </c>
      <c r="DL114" t="s">
        <v>3</v>
      </c>
      <c r="DM114" t="s">
        <v>3</v>
      </c>
      <c r="DN114">
        <v>0</v>
      </c>
      <c r="DO114">
        <v>0</v>
      </c>
      <c r="DP114">
        <v>1</v>
      </c>
      <c r="DQ114">
        <v>1</v>
      </c>
      <c r="DU114">
        <v>1013</v>
      </c>
      <c r="DV114" t="s">
        <v>182</v>
      </c>
      <c r="DW114" t="s">
        <v>182</v>
      </c>
      <c r="DX114">
        <v>1</v>
      </c>
      <c r="DZ114" t="s">
        <v>3</v>
      </c>
      <c r="EA114" t="s">
        <v>3</v>
      </c>
      <c r="EB114" t="s">
        <v>3</v>
      </c>
      <c r="EC114" t="s">
        <v>3</v>
      </c>
      <c r="EE114">
        <v>43089191</v>
      </c>
      <c r="EF114">
        <v>150</v>
      </c>
      <c r="EG114" t="s">
        <v>190</v>
      </c>
      <c r="EH114">
        <v>0</v>
      </c>
      <c r="EI114" t="s">
        <v>3</v>
      </c>
      <c r="EJ114">
        <v>4</v>
      </c>
      <c r="EK114">
        <v>1113</v>
      </c>
      <c r="EL114" t="s">
        <v>191</v>
      </c>
      <c r="EM114" t="s">
        <v>192</v>
      </c>
      <c r="EO114" t="s">
        <v>3</v>
      </c>
      <c r="EQ114">
        <v>0</v>
      </c>
      <c r="ER114">
        <v>21.71</v>
      </c>
      <c r="ES114">
        <v>0</v>
      </c>
      <c r="ET114">
        <v>21.71</v>
      </c>
      <c r="EU114">
        <v>0</v>
      </c>
      <c r="EV114">
        <v>0</v>
      </c>
      <c r="EW114">
        <v>0</v>
      </c>
      <c r="EX114">
        <v>0</v>
      </c>
      <c r="EY114">
        <v>0</v>
      </c>
      <c r="FQ114">
        <v>0</v>
      </c>
      <c r="FR114">
        <f t="shared" si="99"/>
        <v>0</v>
      </c>
      <c r="FS114">
        <v>0</v>
      </c>
      <c r="FX114">
        <v>0</v>
      </c>
      <c r="FY114">
        <v>0</v>
      </c>
      <c r="GA114" t="s">
        <v>3</v>
      </c>
      <c r="GD114">
        <v>0</v>
      </c>
      <c r="GF114">
        <v>1080444953</v>
      </c>
      <c r="GG114">
        <v>2</v>
      </c>
      <c r="GH114">
        <v>1</v>
      </c>
      <c r="GI114">
        <v>2</v>
      </c>
      <c r="GJ114">
        <v>0</v>
      </c>
      <c r="GK114">
        <f>ROUND(R114*(R12)/100,2)</f>
        <v>0</v>
      </c>
      <c r="GL114">
        <f t="shared" si="100"/>
        <v>0</v>
      </c>
      <c r="GM114">
        <f t="shared" si="101"/>
        <v>10177.35</v>
      </c>
      <c r="GN114">
        <f t="shared" si="102"/>
        <v>0</v>
      </c>
      <c r="GO114">
        <f t="shared" si="103"/>
        <v>0</v>
      </c>
      <c r="GP114">
        <f t="shared" si="104"/>
        <v>10177.35</v>
      </c>
      <c r="GR114">
        <v>0</v>
      </c>
      <c r="GS114">
        <v>3</v>
      </c>
      <c r="GT114">
        <v>0</v>
      </c>
      <c r="GU114" t="s">
        <v>3</v>
      </c>
      <c r="GV114">
        <f t="shared" si="105"/>
        <v>0</v>
      </c>
      <c r="GW114">
        <v>1</v>
      </c>
      <c r="GX114">
        <f t="shared" si="106"/>
        <v>0</v>
      </c>
      <c r="HA114">
        <v>0</v>
      </c>
      <c r="HB114">
        <v>0</v>
      </c>
      <c r="HC114">
        <f t="shared" si="107"/>
        <v>0</v>
      </c>
      <c r="HE114" t="s">
        <v>3</v>
      </c>
      <c r="HF114" t="s">
        <v>3</v>
      </c>
      <c r="HM114" t="s">
        <v>3</v>
      </c>
      <c r="IK114">
        <v>0</v>
      </c>
    </row>
    <row r="115" spans="1:245" x14ac:dyDescent="0.2">
      <c r="A115">
        <v>17</v>
      </c>
      <c r="B115">
        <v>1</v>
      </c>
      <c r="C115">
        <f>ROW(SmtRes!A139)</f>
        <v>139</v>
      </c>
      <c r="D115">
        <f>ROW(EtalonRes!A137)</f>
        <v>137</v>
      </c>
      <c r="E115" t="s">
        <v>322</v>
      </c>
      <c r="F115" t="s">
        <v>204</v>
      </c>
      <c r="G115" t="s">
        <v>205</v>
      </c>
      <c r="H115" t="s">
        <v>104</v>
      </c>
      <c r="I115">
        <v>120</v>
      </c>
      <c r="J115">
        <v>0</v>
      </c>
      <c r="K115">
        <v>120</v>
      </c>
      <c r="O115">
        <f t="shared" si="75"/>
        <v>67399.199999999997</v>
      </c>
      <c r="P115">
        <f t="shared" si="76"/>
        <v>0</v>
      </c>
      <c r="Q115">
        <f t="shared" si="108"/>
        <v>67399.199999999997</v>
      </c>
      <c r="R115">
        <f t="shared" si="77"/>
        <v>0</v>
      </c>
      <c r="S115">
        <f t="shared" si="78"/>
        <v>0</v>
      </c>
      <c r="T115">
        <f t="shared" si="79"/>
        <v>0</v>
      </c>
      <c r="U115">
        <f t="shared" si="80"/>
        <v>0</v>
      </c>
      <c r="V115">
        <f t="shared" si="81"/>
        <v>0</v>
      </c>
      <c r="W115">
        <f t="shared" si="82"/>
        <v>0</v>
      </c>
      <c r="X115">
        <f t="shared" si="83"/>
        <v>0</v>
      </c>
      <c r="Y115">
        <f t="shared" si="84"/>
        <v>0</v>
      </c>
      <c r="AA115">
        <v>42938047</v>
      </c>
      <c r="AB115">
        <f t="shared" si="85"/>
        <v>46</v>
      </c>
      <c r="AC115">
        <f t="shared" si="86"/>
        <v>0</v>
      </c>
      <c r="AD115">
        <f t="shared" si="109"/>
        <v>46</v>
      </c>
      <c r="AE115">
        <f t="shared" si="110"/>
        <v>0</v>
      </c>
      <c r="AF115">
        <f t="shared" si="110"/>
        <v>0</v>
      </c>
      <c r="AG115">
        <f t="shared" si="87"/>
        <v>0</v>
      </c>
      <c r="AH115">
        <f t="shared" si="111"/>
        <v>0</v>
      </c>
      <c r="AI115">
        <f t="shared" si="111"/>
        <v>0</v>
      </c>
      <c r="AJ115">
        <f t="shared" si="88"/>
        <v>0</v>
      </c>
      <c r="AK115">
        <v>46</v>
      </c>
      <c r="AL115">
        <v>0</v>
      </c>
      <c r="AM115">
        <v>46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93</v>
      </c>
      <c r="AU115">
        <v>64</v>
      </c>
      <c r="AV115">
        <v>1</v>
      </c>
      <c r="AW115">
        <v>1</v>
      </c>
      <c r="AZ115">
        <v>1</v>
      </c>
      <c r="BA115">
        <v>1</v>
      </c>
      <c r="BB115">
        <v>12.21</v>
      </c>
      <c r="BC115">
        <v>1</v>
      </c>
      <c r="BD115" t="s">
        <v>3</v>
      </c>
      <c r="BE115" t="s">
        <v>3</v>
      </c>
      <c r="BF115" t="s">
        <v>3</v>
      </c>
      <c r="BG115" t="s">
        <v>3</v>
      </c>
      <c r="BH115">
        <v>0</v>
      </c>
      <c r="BI115">
        <v>4</v>
      </c>
      <c r="BJ115" t="s">
        <v>206</v>
      </c>
      <c r="BM115">
        <v>1111</v>
      </c>
      <c r="BN115">
        <v>0</v>
      </c>
      <c r="BO115" t="s">
        <v>204</v>
      </c>
      <c r="BP115">
        <v>1</v>
      </c>
      <c r="BQ115">
        <v>150</v>
      </c>
      <c r="BR115">
        <v>0</v>
      </c>
      <c r="BS115">
        <v>1</v>
      </c>
      <c r="BT115">
        <v>1</v>
      </c>
      <c r="BU115">
        <v>1</v>
      </c>
      <c r="BV115">
        <v>1</v>
      </c>
      <c r="BW115">
        <v>1</v>
      </c>
      <c r="BX115">
        <v>1</v>
      </c>
      <c r="BY115" t="s">
        <v>3</v>
      </c>
      <c r="BZ115">
        <v>93</v>
      </c>
      <c r="CA115">
        <v>64</v>
      </c>
      <c r="CB115" t="s">
        <v>3</v>
      </c>
      <c r="CE115">
        <v>30</v>
      </c>
      <c r="CF115">
        <v>0</v>
      </c>
      <c r="CG115">
        <v>0</v>
      </c>
      <c r="CM115">
        <v>0</v>
      </c>
      <c r="CN115" t="s">
        <v>3</v>
      </c>
      <c r="CO115">
        <v>0</v>
      </c>
      <c r="CP115">
        <f t="shared" si="89"/>
        <v>67399.199999999997</v>
      </c>
      <c r="CQ115">
        <f t="shared" si="90"/>
        <v>0</v>
      </c>
      <c r="CR115">
        <f t="shared" si="112"/>
        <v>561.66</v>
      </c>
      <c r="CS115">
        <f t="shared" si="91"/>
        <v>0</v>
      </c>
      <c r="CT115">
        <f t="shared" si="92"/>
        <v>0</v>
      </c>
      <c r="CU115">
        <f t="shared" si="93"/>
        <v>0</v>
      </c>
      <c r="CV115">
        <f t="shared" si="94"/>
        <v>0</v>
      </c>
      <c r="CW115">
        <f t="shared" si="95"/>
        <v>0</v>
      </c>
      <c r="CX115">
        <f t="shared" si="96"/>
        <v>0</v>
      </c>
      <c r="CY115">
        <f t="shared" si="97"/>
        <v>0</v>
      </c>
      <c r="CZ115">
        <f t="shared" si="98"/>
        <v>0</v>
      </c>
      <c r="DC115" t="s">
        <v>3</v>
      </c>
      <c r="DD115" t="s">
        <v>3</v>
      </c>
      <c r="DE115" t="s">
        <v>3</v>
      </c>
      <c r="DF115" t="s">
        <v>3</v>
      </c>
      <c r="DG115" t="s">
        <v>3</v>
      </c>
      <c r="DH115" t="s">
        <v>3</v>
      </c>
      <c r="DI115" t="s">
        <v>3</v>
      </c>
      <c r="DJ115" t="s">
        <v>3</v>
      </c>
      <c r="DK115" t="s">
        <v>3</v>
      </c>
      <c r="DL115" t="s">
        <v>3</v>
      </c>
      <c r="DM115" t="s">
        <v>3</v>
      </c>
      <c r="DN115">
        <v>0</v>
      </c>
      <c r="DO115">
        <v>0</v>
      </c>
      <c r="DP115">
        <v>1</v>
      </c>
      <c r="DQ115">
        <v>1</v>
      </c>
      <c r="DU115">
        <v>1009</v>
      </c>
      <c r="DV115" t="s">
        <v>104</v>
      </c>
      <c r="DW115" t="s">
        <v>104</v>
      </c>
      <c r="DX115">
        <v>1000</v>
      </c>
      <c r="DZ115" t="s">
        <v>3</v>
      </c>
      <c r="EA115" t="s">
        <v>3</v>
      </c>
      <c r="EB115" t="s">
        <v>3</v>
      </c>
      <c r="EC115" t="s">
        <v>3</v>
      </c>
      <c r="EE115">
        <v>43089189</v>
      </c>
      <c r="EF115">
        <v>150</v>
      </c>
      <c r="EG115" t="s">
        <v>190</v>
      </c>
      <c r="EH115">
        <v>0</v>
      </c>
      <c r="EI115" t="s">
        <v>3</v>
      </c>
      <c r="EJ115">
        <v>4</v>
      </c>
      <c r="EK115">
        <v>1111</v>
      </c>
      <c r="EL115" t="s">
        <v>207</v>
      </c>
      <c r="EM115" t="s">
        <v>208</v>
      </c>
      <c r="EO115" t="s">
        <v>3</v>
      </c>
      <c r="EQ115">
        <v>0</v>
      </c>
      <c r="ER115">
        <v>46</v>
      </c>
      <c r="ES115">
        <v>0</v>
      </c>
      <c r="ET115">
        <v>46</v>
      </c>
      <c r="EU115">
        <v>0</v>
      </c>
      <c r="EV115">
        <v>0</v>
      </c>
      <c r="EW115">
        <v>0</v>
      </c>
      <c r="EX115">
        <v>0</v>
      </c>
      <c r="EY115">
        <v>0</v>
      </c>
      <c r="FQ115">
        <v>0</v>
      </c>
      <c r="FR115">
        <f t="shared" si="99"/>
        <v>0</v>
      </c>
      <c r="FS115">
        <v>0</v>
      </c>
      <c r="FX115">
        <v>0</v>
      </c>
      <c r="FY115">
        <v>0</v>
      </c>
      <c r="GA115" t="s">
        <v>3</v>
      </c>
      <c r="GD115">
        <v>0</v>
      </c>
      <c r="GF115">
        <v>1570066743</v>
      </c>
      <c r="GG115">
        <v>2</v>
      </c>
      <c r="GH115">
        <v>1</v>
      </c>
      <c r="GI115">
        <v>2</v>
      </c>
      <c r="GJ115">
        <v>0</v>
      </c>
      <c r="GK115">
        <f>ROUND(R115*(R12)/100,2)</f>
        <v>0</v>
      </c>
      <c r="GL115">
        <f t="shared" si="100"/>
        <v>0</v>
      </c>
      <c r="GM115">
        <f t="shared" si="101"/>
        <v>67399.199999999997</v>
      </c>
      <c r="GN115">
        <f t="shared" si="102"/>
        <v>0</v>
      </c>
      <c r="GO115">
        <f t="shared" si="103"/>
        <v>0</v>
      </c>
      <c r="GP115">
        <f t="shared" si="104"/>
        <v>67399.199999999997</v>
      </c>
      <c r="GR115">
        <v>0</v>
      </c>
      <c r="GS115">
        <v>3</v>
      </c>
      <c r="GT115">
        <v>0</v>
      </c>
      <c r="GU115" t="s">
        <v>3</v>
      </c>
      <c r="GV115">
        <f t="shared" si="105"/>
        <v>0</v>
      </c>
      <c r="GW115">
        <v>1</v>
      </c>
      <c r="GX115">
        <f t="shared" si="106"/>
        <v>0</v>
      </c>
      <c r="HA115">
        <v>0</v>
      </c>
      <c r="HB115">
        <v>0</v>
      </c>
      <c r="HC115">
        <f t="shared" si="107"/>
        <v>0</v>
      </c>
      <c r="HE115" t="s">
        <v>3</v>
      </c>
      <c r="HF115" t="s">
        <v>3</v>
      </c>
      <c r="HM115" t="s">
        <v>3</v>
      </c>
      <c r="IK115">
        <v>0</v>
      </c>
    </row>
    <row r="116" spans="1:245" x14ac:dyDescent="0.2">
      <c r="A116">
        <v>17</v>
      </c>
      <c r="B116">
        <v>1</v>
      </c>
      <c r="C116">
        <f>ROW(SmtRes!A140)</f>
        <v>140</v>
      </c>
      <c r="D116">
        <f>ROW(EtalonRes!A138)</f>
        <v>138</v>
      </c>
      <c r="E116" t="s">
        <v>323</v>
      </c>
      <c r="F116" t="s">
        <v>210</v>
      </c>
      <c r="G116" t="s">
        <v>211</v>
      </c>
      <c r="H116" t="s">
        <v>182</v>
      </c>
      <c r="I116">
        <v>120</v>
      </c>
      <c r="J116">
        <v>0</v>
      </c>
      <c r="K116">
        <v>120</v>
      </c>
      <c r="O116">
        <f t="shared" si="75"/>
        <v>11545.72</v>
      </c>
      <c r="P116">
        <f t="shared" si="76"/>
        <v>0</v>
      </c>
      <c r="Q116">
        <f t="shared" si="108"/>
        <v>11545.72</v>
      </c>
      <c r="R116">
        <f t="shared" si="77"/>
        <v>0</v>
      </c>
      <c r="S116">
        <f t="shared" si="78"/>
        <v>0</v>
      </c>
      <c r="T116">
        <f t="shared" si="79"/>
        <v>0</v>
      </c>
      <c r="U116">
        <f t="shared" si="80"/>
        <v>0</v>
      </c>
      <c r="V116">
        <f t="shared" si="81"/>
        <v>0</v>
      </c>
      <c r="W116">
        <f t="shared" si="82"/>
        <v>0</v>
      </c>
      <c r="X116">
        <f t="shared" si="83"/>
        <v>0</v>
      </c>
      <c r="Y116">
        <f t="shared" si="84"/>
        <v>0</v>
      </c>
      <c r="AA116">
        <v>42938047</v>
      </c>
      <c r="AB116">
        <f t="shared" si="85"/>
        <v>12.61</v>
      </c>
      <c r="AC116">
        <f t="shared" si="86"/>
        <v>0</v>
      </c>
      <c r="AD116">
        <f t="shared" si="109"/>
        <v>12.61</v>
      </c>
      <c r="AE116">
        <f t="shared" si="110"/>
        <v>0</v>
      </c>
      <c r="AF116">
        <f t="shared" si="110"/>
        <v>0</v>
      </c>
      <c r="AG116">
        <f t="shared" si="87"/>
        <v>0</v>
      </c>
      <c r="AH116">
        <f t="shared" si="111"/>
        <v>0</v>
      </c>
      <c r="AI116">
        <f t="shared" si="111"/>
        <v>0</v>
      </c>
      <c r="AJ116">
        <f t="shared" si="88"/>
        <v>0</v>
      </c>
      <c r="AK116">
        <v>12.61</v>
      </c>
      <c r="AL116">
        <v>0</v>
      </c>
      <c r="AM116">
        <v>12.61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93</v>
      </c>
      <c r="AU116">
        <v>64</v>
      </c>
      <c r="AV116">
        <v>1</v>
      </c>
      <c r="AW116">
        <v>1</v>
      </c>
      <c r="AZ116">
        <v>1</v>
      </c>
      <c r="BA116">
        <v>1</v>
      </c>
      <c r="BB116">
        <v>7.63</v>
      </c>
      <c r="BC116">
        <v>1</v>
      </c>
      <c r="BD116" t="s">
        <v>3</v>
      </c>
      <c r="BE116" t="s">
        <v>3</v>
      </c>
      <c r="BF116" t="s">
        <v>3</v>
      </c>
      <c r="BG116" t="s">
        <v>3</v>
      </c>
      <c r="BH116">
        <v>0</v>
      </c>
      <c r="BI116">
        <v>4</v>
      </c>
      <c r="BJ116" t="s">
        <v>212</v>
      </c>
      <c r="BM116">
        <v>1113</v>
      </c>
      <c r="BN116">
        <v>0</v>
      </c>
      <c r="BO116" t="s">
        <v>210</v>
      </c>
      <c r="BP116">
        <v>1</v>
      </c>
      <c r="BQ116">
        <v>150</v>
      </c>
      <c r="BR116">
        <v>0</v>
      </c>
      <c r="BS116">
        <v>1</v>
      </c>
      <c r="BT116">
        <v>1</v>
      </c>
      <c r="BU116">
        <v>1</v>
      </c>
      <c r="BV116">
        <v>1</v>
      </c>
      <c r="BW116">
        <v>1</v>
      </c>
      <c r="BX116">
        <v>1</v>
      </c>
      <c r="BY116" t="s">
        <v>3</v>
      </c>
      <c r="BZ116">
        <v>93</v>
      </c>
      <c r="CA116">
        <v>64</v>
      </c>
      <c r="CB116" t="s">
        <v>3</v>
      </c>
      <c r="CE116">
        <v>30</v>
      </c>
      <c r="CF116">
        <v>0</v>
      </c>
      <c r="CG116">
        <v>0</v>
      </c>
      <c r="CM116">
        <v>0</v>
      </c>
      <c r="CN116" t="s">
        <v>3</v>
      </c>
      <c r="CO116">
        <v>0</v>
      </c>
      <c r="CP116">
        <f t="shared" si="89"/>
        <v>11545.72</v>
      </c>
      <c r="CQ116">
        <f t="shared" si="90"/>
        <v>0</v>
      </c>
      <c r="CR116">
        <f t="shared" si="112"/>
        <v>96.21</v>
      </c>
      <c r="CS116">
        <f t="shared" si="91"/>
        <v>0</v>
      </c>
      <c r="CT116">
        <f t="shared" si="92"/>
        <v>0</v>
      </c>
      <c r="CU116">
        <f t="shared" si="93"/>
        <v>0</v>
      </c>
      <c r="CV116">
        <f t="shared" si="94"/>
        <v>0</v>
      </c>
      <c r="CW116">
        <f t="shared" si="95"/>
        <v>0</v>
      </c>
      <c r="CX116">
        <f t="shared" si="96"/>
        <v>0</v>
      </c>
      <c r="CY116">
        <f t="shared" si="97"/>
        <v>0</v>
      </c>
      <c r="CZ116">
        <f t="shared" si="98"/>
        <v>0</v>
      </c>
      <c r="DC116" t="s">
        <v>3</v>
      </c>
      <c r="DD116" t="s">
        <v>3</v>
      </c>
      <c r="DE116" t="s">
        <v>3</v>
      </c>
      <c r="DF116" t="s">
        <v>3</v>
      </c>
      <c r="DG116" t="s">
        <v>3</v>
      </c>
      <c r="DH116" t="s">
        <v>3</v>
      </c>
      <c r="DI116" t="s">
        <v>3</v>
      </c>
      <c r="DJ116" t="s">
        <v>3</v>
      </c>
      <c r="DK116" t="s">
        <v>3</v>
      </c>
      <c r="DL116" t="s">
        <v>3</v>
      </c>
      <c r="DM116" t="s">
        <v>3</v>
      </c>
      <c r="DN116">
        <v>0</v>
      </c>
      <c r="DO116">
        <v>0</v>
      </c>
      <c r="DP116">
        <v>1</v>
      </c>
      <c r="DQ116">
        <v>1</v>
      </c>
      <c r="DU116">
        <v>1013</v>
      </c>
      <c r="DV116" t="s">
        <v>182</v>
      </c>
      <c r="DW116" t="s">
        <v>182</v>
      </c>
      <c r="DX116">
        <v>1</v>
      </c>
      <c r="DZ116" t="s">
        <v>3</v>
      </c>
      <c r="EA116" t="s">
        <v>3</v>
      </c>
      <c r="EB116" t="s">
        <v>3</v>
      </c>
      <c r="EC116" t="s">
        <v>3</v>
      </c>
      <c r="EE116">
        <v>43089191</v>
      </c>
      <c r="EF116">
        <v>150</v>
      </c>
      <c r="EG116" t="s">
        <v>190</v>
      </c>
      <c r="EH116">
        <v>0</v>
      </c>
      <c r="EI116" t="s">
        <v>3</v>
      </c>
      <c r="EJ116">
        <v>4</v>
      </c>
      <c r="EK116">
        <v>1113</v>
      </c>
      <c r="EL116" t="s">
        <v>191</v>
      </c>
      <c r="EM116" t="s">
        <v>192</v>
      </c>
      <c r="EO116" t="s">
        <v>3</v>
      </c>
      <c r="EQ116">
        <v>0</v>
      </c>
      <c r="ER116">
        <v>12.61</v>
      </c>
      <c r="ES116">
        <v>0</v>
      </c>
      <c r="ET116">
        <v>12.61</v>
      </c>
      <c r="EU116">
        <v>0</v>
      </c>
      <c r="EV116">
        <v>0</v>
      </c>
      <c r="EW116">
        <v>0</v>
      </c>
      <c r="EX116">
        <v>0</v>
      </c>
      <c r="EY116">
        <v>0</v>
      </c>
      <c r="FQ116">
        <v>0</v>
      </c>
      <c r="FR116">
        <f t="shared" si="99"/>
        <v>0</v>
      </c>
      <c r="FS116">
        <v>0</v>
      </c>
      <c r="FX116">
        <v>0</v>
      </c>
      <c r="FY116">
        <v>0</v>
      </c>
      <c r="GA116" t="s">
        <v>3</v>
      </c>
      <c r="GD116">
        <v>0</v>
      </c>
      <c r="GF116">
        <v>-1630031867</v>
      </c>
      <c r="GG116">
        <v>2</v>
      </c>
      <c r="GH116">
        <v>1</v>
      </c>
      <c r="GI116">
        <v>2</v>
      </c>
      <c r="GJ116">
        <v>0</v>
      </c>
      <c r="GK116">
        <f>ROUND(R116*(R12)/100,2)</f>
        <v>0</v>
      </c>
      <c r="GL116">
        <f t="shared" si="100"/>
        <v>0</v>
      </c>
      <c r="GM116">
        <f t="shared" si="101"/>
        <v>11545.72</v>
      </c>
      <c r="GN116">
        <f t="shared" si="102"/>
        <v>0</v>
      </c>
      <c r="GO116">
        <f t="shared" si="103"/>
        <v>0</v>
      </c>
      <c r="GP116">
        <f t="shared" si="104"/>
        <v>11545.72</v>
      </c>
      <c r="GR116">
        <v>0</v>
      </c>
      <c r="GS116">
        <v>3</v>
      </c>
      <c r="GT116">
        <v>0</v>
      </c>
      <c r="GU116" t="s">
        <v>3</v>
      </c>
      <c r="GV116">
        <f t="shared" si="105"/>
        <v>0</v>
      </c>
      <c r="GW116">
        <v>1</v>
      </c>
      <c r="GX116">
        <f t="shared" si="106"/>
        <v>0</v>
      </c>
      <c r="HA116">
        <v>0</v>
      </c>
      <c r="HB116">
        <v>0</v>
      </c>
      <c r="HC116">
        <f t="shared" si="107"/>
        <v>0</v>
      </c>
      <c r="HE116" t="s">
        <v>3</v>
      </c>
      <c r="HF116" t="s">
        <v>3</v>
      </c>
      <c r="HM116" t="s">
        <v>3</v>
      </c>
      <c r="IK116">
        <v>0</v>
      </c>
    </row>
    <row r="118" spans="1:245" x14ac:dyDescent="0.2">
      <c r="A118" s="2">
        <v>51</v>
      </c>
      <c r="B118" s="2">
        <f>B94</f>
        <v>1</v>
      </c>
      <c r="C118" s="2">
        <f>A94</f>
        <v>4</v>
      </c>
      <c r="D118" s="2">
        <f>ROW(A94)</f>
        <v>94</v>
      </c>
      <c r="E118" s="2"/>
      <c r="F118" s="2" t="str">
        <f>IF(F94&lt;&gt;"",F94,"")</f>
        <v>Новый раздел</v>
      </c>
      <c r="G118" s="2" t="str">
        <f>IF(G94&lt;&gt;"",G94,"")</f>
        <v>Ремонт покрытия из тратуарной плитки 320 кв.м</v>
      </c>
      <c r="H118" s="2">
        <v>0</v>
      </c>
      <c r="I118" s="2"/>
      <c r="J118" s="2"/>
      <c r="K118" s="2"/>
      <c r="L118" s="2"/>
      <c r="M118" s="2"/>
      <c r="N118" s="2"/>
      <c r="O118" s="2">
        <f t="shared" ref="O118:T118" si="113">ROUND(AB118,2)</f>
        <v>840894.15</v>
      </c>
      <c r="P118" s="2">
        <f t="shared" si="113"/>
        <v>492335.9</v>
      </c>
      <c r="Q118" s="2">
        <f t="shared" si="113"/>
        <v>187523.29</v>
      </c>
      <c r="R118" s="2">
        <f t="shared" si="113"/>
        <v>21512.83</v>
      </c>
      <c r="S118" s="2">
        <f t="shared" si="113"/>
        <v>161034.96</v>
      </c>
      <c r="T118" s="2">
        <f t="shared" si="113"/>
        <v>0</v>
      </c>
      <c r="U118" s="2">
        <f>AH118</f>
        <v>581.17679999999996</v>
      </c>
      <c r="V118" s="2">
        <f>AI118</f>
        <v>0</v>
      </c>
      <c r="W118" s="2">
        <f>ROUND(AJ118,2)</f>
        <v>0</v>
      </c>
      <c r="X118" s="2">
        <f>ROUND(AK118,2)</f>
        <v>143769.39000000001</v>
      </c>
      <c r="Y118" s="2">
        <f>ROUND(AL118,2)</f>
        <v>66155.759999999995</v>
      </c>
      <c r="Z118" s="2"/>
      <c r="AA118" s="2"/>
      <c r="AB118" s="2">
        <f>ROUND(SUMIF(AA98:AA116,"=42938047",O98:O116),2)</f>
        <v>840894.15</v>
      </c>
      <c r="AC118" s="2">
        <f>ROUND(SUMIF(AA98:AA116,"=42938047",P98:P116),2)</f>
        <v>492335.9</v>
      </c>
      <c r="AD118" s="2">
        <f>ROUND(SUMIF(AA98:AA116,"=42938047",Q98:Q116),2)</f>
        <v>187523.29</v>
      </c>
      <c r="AE118" s="2">
        <f>ROUND(SUMIF(AA98:AA116,"=42938047",R98:R116),2)</f>
        <v>21512.83</v>
      </c>
      <c r="AF118" s="2">
        <f>ROUND(SUMIF(AA98:AA116,"=42938047",S98:S116),2)</f>
        <v>161034.96</v>
      </c>
      <c r="AG118" s="2">
        <f>ROUND(SUMIF(AA98:AA116,"=42938047",T98:T116),2)</f>
        <v>0</v>
      </c>
      <c r="AH118" s="2">
        <f>SUMIF(AA98:AA116,"=42938047",U98:U116)</f>
        <v>581.17679999999996</v>
      </c>
      <c r="AI118" s="2">
        <f>SUMIF(AA98:AA116,"=42938047",V98:V116)</f>
        <v>0</v>
      </c>
      <c r="AJ118" s="2">
        <f>ROUND(SUMIF(AA98:AA116,"=42938047",W98:W116),2)</f>
        <v>0</v>
      </c>
      <c r="AK118" s="2">
        <f>ROUND(SUMIF(AA98:AA116,"=42938047",X98:X116),2)</f>
        <v>143769.39000000001</v>
      </c>
      <c r="AL118" s="2">
        <f>ROUND(SUMIF(AA98:AA116,"=42938047",Y98:Y116),2)</f>
        <v>66155.759999999995</v>
      </c>
      <c r="AM118" s="2"/>
      <c r="AN118" s="2"/>
      <c r="AO118" s="2">
        <f t="shared" ref="AO118:BD118" si="114">ROUND(BX118,2)</f>
        <v>0</v>
      </c>
      <c r="AP118" s="2">
        <f t="shared" si="114"/>
        <v>0</v>
      </c>
      <c r="AQ118" s="2">
        <f t="shared" si="114"/>
        <v>0</v>
      </c>
      <c r="AR118" s="2">
        <f t="shared" si="114"/>
        <v>1084594.45</v>
      </c>
      <c r="AS118" s="2">
        <f t="shared" si="114"/>
        <v>967638.15</v>
      </c>
      <c r="AT118" s="2">
        <f t="shared" si="114"/>
        <v>0</v>
      </c>
      <c r="AU118" s="2">
        <f t="shared" si="114"/>
        <v>116956.3</v>
      </c>
      <c r="AV118" s="2">
        <f t="shared" si="114"/>
        <v>492335.9</v>
      </c>
      <c r="AW118" s="2">
        <f t="shared" si="114"/>
        <v>492335.9</v>
      </c>
      <c r="AX118" s="2">
        <f t="shared" si="114"/>
        <v>0</v>
      </c>
      <c r="AY118" s="2">
        <f t="shared" si="114"/>
        <v>492335.9</v>
      </c>
      <c r="AZ118" s="2">
        <f t="shared" si="114"/>
        <v>0</v>
      </c>
      <c r="BA118" s="2">
        <f t="shared" si="114"/>
        <v>0</v>
      </c>
      <c r="BB118" s="2">
        <f t="shared" si="114"/>
        <v>0</v>
      </c>
      <c r="BC118" s="2">
        <f t="shared" si="114"/>
        <v>0</v>
      </c>
      <c r="BD118" s="2">
        <f t="shared" si="114"/>
        <v>0</v>
      </c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>
        <f>ROUND(SUMIF(AA98:AA116,"=42938047",FQ98:FQ116),2)</f>
        <v>0</v>
      </c>
      <c r="BY118" s="2">
        <f>ROUND(SUMIF(AA98:AA116,"=42938047",FR98:FR116),2)</f>
        <v>0</v>
      </c>
      <c r="BZ118" s="2">
        <f>ROUND(SUMIF(AA98:AA116,"=42938047",GL98:GL116),2)</f>
        <v>0</v>
      </c>
      <c r="CA118" s="2">
        <f>ROUND(SUMIF(AA98:AA116,"=42938047",GM98:GM116),2)</f>
        <v>1084594.45</v>
      </c>
      <c r="CB118" s="2">
        <f>ROUND(SUMIF(AA98:AA116,"=42938047",GN98:GN116),2)</f>
        <v>967638.15</v>
      </c>
      <c r="CC118" s="2">
        <f>ROUND(SUMIF(AA98:AA116,"=42938047",GO98:GO116),2)</f>
        <v>0</v>
      </c>
      <c r="CD118" s="2">
        <f>ROUND(SUMIF(AA98:AA116,"=42938047",GP98:GP116),2)</f>
        <v>116956.3</v>
      </c>
      <c r="CE118" s="2">
        <f>AC118-BX118</f>
        <v>492335.9</v>
      </c>
      <c r="CF118" s="2">
        <f>AC118-BY118</f>
        <v>492335.9</v>
      </c>
      <c r="CG118" s="2">
        <f>BX118-BZ118</f>
        <v>0</v>
      </c>
      <c r="CH118" s="2">
        <f>AC118-BX118-BY118+BZ118</f>
        <v>492335.9</v>
      </c>
      <c r="CI118" s="2">
        <f>BY118-BZ118</f>
        <v>0</v>
      </c>
      <c r="CJ118" s="2">
        <f>ROUND(SUMIF(AA98:AA116,"=42938047",GX98:GX116),2)</f>
        <v>0</v>
      </c>
      <c r="CK118" s="2">
        <f>ROUND(SUMIF(AA98:AA116,"=42938047",GY98:GY116),2)</f>
        <v>0</v>
      </c>
      <c r="CL118" s="2">
        <f>ROUND(SUMIF(AA98:AA116,"=42938047",GZ98:GZ116),2)</f>
        <v>0</v>
      </c>
      <c r="CM118" s="2">
        <f>ROUND(SUMIF(AA98:AA116,"=42938047",HD98:HD116),2)</f>
        <v>0</v>
      </c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  <c r="FD118" s="3"/>
      <c r="FE118" s="3"/>
      <c r="FF118" s="3"/>
      <c r="FG118" s="3"/>
      <c r="FH118" s="3"/>
      <c r="FI118" s="3"/>
      <c r="FJ118" s="3"/>
      <c r="FK118" s="3"/>
      <c r="FL118" s="3"/>
      <c r="FM118" s="3"/>
      <c r="FN118" s="3"/>
      <c r="FO118" s="3"/>
      <c r="FP118" s="3"/>
      <c r="FQ118" s="3"/>
      <c r="FR118" s="3"/>
      <c r="FS118" s="3"/>
      <c r="FT118" s="3"/>
      <c r="FU118" s="3"/>
      <c r="FV118" s="3"/>
      <c r="FW118" s="3"/>
      <c r="FX118" s="3"/>
      <c r="FY118" s="3"/>
      <c r="FZ118" s="3"/>
      <c r="GA118" s="3"/>
      <c r="GB118" s="3"/>
      <c r="GC118" s="3"/>
      <c r="GD118" s="3"/>
      <c r="GE118" s="3"/>
      <c r="GF118" s="3"/>
      <c r="GG118" s="3"/>
      <c r="GH118" s="3"/>
      <c r="GI118" s="3"/>
      <c r="GJ118" s="3"/>
      <c r="GK118" s="3"/>
      <c r="GL118" s="3"/>
      <c r="GM118" s="3"/>
      <c r="GN118" s="3"/>
      <c r="GO118" s="3"/>
      <c r="GP118" s="3"/>
      <c r="GQ118" s="3"/>
      <c r="GR118" s="3"/>
      <c r="GS118" s="3"/>
      <c r="GT118" s="3"/>
      <c r="GU118" s="3"/>
      <c r="GV118" s="3"/>
      <c r="GW118" s="3"/>
      <c r="GX118" s="3">
        <v>0</v>
      </c>
    </row>
    <row r="120" spans="1:245" x14ac:dyDescent="0.2">
      <c r="A120" s="4">
        <v>50</v>
      </c>
      <c r="B120" s="4">
        <v>0</v>
      </c>
      <c r="C120" s="4">
        <v>0</v>
      </c>
      <c r="D120" s="4">
        <v>1</v>
      </c>
      <c r="E120" s="4">
        <v>201</v>
      </c>
      <c r="F120" s="4">
        <f>ROUND(Source!O118,O120)</f>
        <v>840894.15</v>
      </c>
      <c r="G120" s="4" t="s">
        <v>213</v>
      </c>
      <c r="H120" s="4" t="s">
        <v>214</v>
      </c>
      <c r="I120" s="4"/>
      <c r="J120" s="4"/>
      <c r="K120" s="4">
        <v>201</v>
      </c>
      <c r="L120" s="4">
        <v>1</v>
      </c>
      <c r="M120" s="4">
        <v>3</v>
      </c>
      <c r="N120" s="4" t="s">
        <v>3</v>
      </c>
      <c r="O120" s="4">
        <v>2</v>
      </c>
      <c r="P120" s="4"/>
      <c r="Q120" s="4"/>
      <c r="R120" s="4"/>
      <c r="S120" s="4"/>
      <c r="T120" s="4"/>
      <c r="U120" s="4"/>
      <c r="V120" s="4"/>
      <c r="W120" s="4"/>
    </row>
    <row r="121" spans="1:245" x14ac:dyDescent="0.2">
      <c r="A121" s="4">
        <v>50</v>
      </c>
      <c r="B121" s="4">
        <v>0</v>
      </c>
      <c r="C121" s="4">
        <v>0</v>
      </c>
      <c r="D121" s="4">
        <v>1</v>
      </c>
      <c r="E121" s="4">
        <v>202</v>
      </c>
      <c r="F121" s="4">
        <f>ROUND(Source!P118,O121)</f>
        <v>492335.9</v>
      </c>
      <c r="G121" s="4" t="s">
        <v>215</v>
      </c>
      <c r="H121" s="4" t="s">
        <v>216</v>
      </c>
      <c r="I121" s="4"/>
      <c r="J121" s="4"/>
      <c r="K121" s="4">
        <v>202</v>
      </c>
      <c r="L121" s="4">
        <v>2</v>
      </c>
      <c r="M121" s="4">
        <v>3</v>
      </c>
      <c r="N121" s="4" t="s">
        <v>3</v>
      </c>
      <c r="O121" s="4">
        <v>2</v>
      </c>
      <c r="P121" s="4"/>
      <c r="Q121" s="4"/>
      <c r="R121" s="4"/>
      <c r="S121" s="4"/>
      <c r="T121" s="4"/>
      <c r="U121" s="4"/>
      <c r="V121" s="4"/>
      <c r="W121" s="4"/>
    </row>
    <row r="122" spans="1:245" x14ac:dyDescent="0.2">
      <c r="A122" s="4">
        <v>50</v>
      </c>
      <c r="B122" s="4">
        <v>0</v>
      </c>
      <c r="C122" s="4">
        <v>0</v>
      </c>
      <c r="D122" s="4">
        <v>1</v>
      </c>
      <c r="E122" s="4">
        <v>222</v>
      </c>
      <c r="F122" s="4">
        <f>ROUND(Source!AO118,O122)</f>
        <v>0</v>
      </c>
      <c r="G122" s="4" t="s">
        <v>217</v>
      </c>
      <c r="H122" s="4" t="s">
        <v>218</v>
      </c>
      <c r="I122" s="4"/>
      <c r="J122" s="4"/>
      <c r="K122" s="4">
        <v>222</v>
      </c>
      <c r="L122" s="4">
        <v>3</v>
      </c>
      <c r="M122" s="4">
        <v>3</v>
      </c>
      <c r="N122" s="4" t="s">
        <v>3</v>
      </c>
      <c r="O122" s="4">
        <v>2</v>
      </c>
      <c r="P122" s="4"/>
      <c r="Q122" s="4"/>
      <c r="R122" s="4"/>
      <c r="S122" s="4"/>
      <c r="T122" s="4"/>
      <c r="U122" s="4"/>
      <c r="V122" s="4"/>
      <c r="W122" s="4"/>
    </row>
    <row r="123" spans="1:245" x14ac:dyDescent="0.2">
      <c r="A123" s="4">
        <v>50</v>
      </c>
      <c r="B123" s="4">
        <v>0</v>
      </c>
      <c r="C123" s="4">
        <v>0</v>
      </c>
      <c r="D123" s="4">
        <v>1</v>
      </c>
      <c r="E123" s="4">
        <v>225</v>
      </c>
      <c r="F123" s="4">
        <f>ROUND(Source!AV118,O123)</f>
        <v>492335.9</v>
      </c>
      <c r="G123" s="4" t="s">
        <v>219</v>
      </c>
      <c r="H123" s="4" t="s">
        <v>220</v>
      </c>
      <c r="I123" s="4"/>
      <c r="J123" s="4"/>
      <c r="K123" s="4">
        <v>225</v>
      </c>
      <c r="L123" s="4">
        <v>4</v>
      </c>
      <c r="M123" s="4">
        <v>3</v>
      </c>
      <c r="N123" s="4" t="s">
        <v>3</v>
      </c>
      <c r="O123" s="4">
        <v>2</v>
      </c>
      <c r="P123" s="4"/>
      <c r="Q123" s="4"/>
      <c r="R123" s="4"/>
      <c r="S123" s="4"/>
      <c r="T123" s="4"/>
      <c r="U123" s="4"/>
      <c r="V123" s="4"/>
      <c r="W123" s="4"/>
    </row>
    <row r="124" spans="1:245" x14ac:dyDescent="0.2">
      <c r="A124" s="4">
        <v>50</v>
      </c>
      <c r="B124" s="4">
        <v>0</v>
      </c>
      <c r="C124" s="4">
        <v>0</v>
      </c>
      <c r="D124" s="4">
        <v>1</v>
      </c>
      <c r="E124" s="4">
        <v>226</v>
      </c>
      <c r="F124" s="4">
        <f>ROUND(Source!AW118,O124)</f>
        <v>492335.9</v>
      </c>
      <c r="G124" s="4" t="s">
        <v>221</v>
      </c>
      <c r="H124" s="4" t="s">
        <v>222</v>
      </c>
      <c r="I124" s="4"/>
      <c r="J124" s="4"/>
      <c r="K124" s="4">
        <v>226</v>
      </c>
      <c r="L124" s="4">
        <v>5</v>
      </c>
      <c r="M124" s="4">
        <v>3</v>
      </c>
      <c r="N124" s="4" t="s">
        <v>3</v>
      </c>
      <c r="O124" s="4">
        <v>2</v>
      </c>
      <c r="P124" s="4"/>
      <c r="Q124" s="4"/>
      <c r="R124" s="4"/>
      <c r="S124" s="4"/>
      <c r="T124" s="4"/>
      <c r="U124" s="4"/>
      <c r="V124" s="4"/>
      <c r="W124" s="4"/>
    </row>
    <row r="125" spans="1:245" x14ac:dyDescent="0.2">
      <c r="A125" s="4">
        <v>50</v>
      </c>
      <c r="B125" s="4">
        <v>0</v>
      </c>
      <c r="C125" s="4">
        <v>0</v>
      </c>
      <c r="D125" s="4">
        <v>1</v>
      </c>
      <c r="E125" s="4">
        <v>227</v>
      </c>
      <c r="F125" s="4">
        <f>ROUND(Source!AX118,O125)</f>
        <v>0</v>
      </c>
      <c r="G125" s="4" t="s">
        <v>223</v>
      </c>
      <c r="H125" s="4" t="s">
        <v>224</v>
      </c>
      <c r="I125" s="4"/>
      <c r="J125" s="4"/>
      <c r="K125" s="4">
        <v>227</v>
      </c>
      <c r="L125" s="4">
        <v>6</v>
      </c>
      <c r="M125" s="4">
        <v>3</v>
      </c>
      <c r="N125" s="4" t="s">
        <v>3</v>
      </c>
      <c r="O125" s="4">
        <v>2</v>
      </c>
      <c r="P125" s="4"/>
      <c r="Q125" s="4"/>
      <c r="R125" s="4"/>
      <c r="S125" s="4"/>
      <c r="T125" s="4"/>
      <c r="U125" s="4"/>
      <c r="V125" s="4"/>
      <c r="W125" s="4"/>
    </row>
    <row r="126" spans="1:245" x14ac:dyDescent="0.2">
      <c r="A126" s="4">
        <v>50</v>
      </c>
      <c r="B126" s="4">
        <v>0</v>
      </c>
      <c r="C126" s="4">
        <v>0</v>
      </c>
      <c r="D126" s="4">
        <v>1</v>
      </c>
      <c r="E126" s="4">
        <v>228</v>
      </c>
      <c r="F126" s="4">
        <f>ROUND(Source!AY118,O126)</f>
        <v>492335.9</v>
      </c>
      <c r="G126" s="4" t="s">
        <v>225</v>
      </c>
      <c r="H126" s="4" t="s">
        <v>226</v>
      </c>
      <c r="I126" s="4"/>
      <c r="J126" s="4"/>
      <c r="K126" s="4">
        <v>228</v>
      </c>
      <c r="L126" s="4">
        <v>7</v>
      </c>
      <c r="M126" s="4">
        <v>3</v>
      </c>
      <c r="N126" s="4" t="s">
        <v>3</v>
      </c>
      <c r="O126" s="4">
        <v>2</v>
      </c>
      <c r="P126" s="4"/>
      <c r="Q126" s="4"/>
      <c r="R126" s="4"/>
      <c r="S126" s="4"/>
      <c r="T126" s="4"/>
      <c r="U126" s="4"/>
      <c r="V126" s="4"/>
      <c r="W126" s="4"/>
    </row>
    <row r="127" spans="1:245" x14ac:dyDescent="0.2">
      <c r="A127" s="4">
        <v>50</v>
      </c>
      <c r="B127" s="4">
        <v>0</v>
      </c>
      <c r="C127" s="4">
        <v>0</v>
      </c>
      <c r="D127" s="4">
        <v>1</v>
      </c>
      <c r="E127" s="4">
        <v>216</v>
      </c>
      <c r="F127" s="4">
        <f>ROUND(Source!AP118,O127)</f>
        <v>0</v>
      </c>
      <c r="G127" s="4" t="s">
        <v>227</v>
      </c>
      <c r="H127" s="4" t="s">
        <v>228</v>
      </c>
      <c r="I127" s="4"/>
      <c r="J127" s="4"/>
      <c r="K127" s="4">
        <v>216</v>
      </c>
      <c r="L127" s="4">
        <v>8</v>
      </c>
      <c r="M127" s="4">
        <v>3</v>
      </c>
      <c r="N127" s="4" t="s">
        <v>3</v>
      </c>
      <c r="O127" s="4">
        <v>2</v>
      </c>
      <c r="P127" s="4"/>
      <c r="Q127" s="4"/>
      <c r="R127" s="4"/>
      <c r="S127" s="4"/>
      <c r="T127" s="4"/>
      <c r="U127" s="4"/>
      <c r="V127" s="4"/>
      <c r="W127" s="4"/>
    </row>
    <row r="128" spans="1:245" x14ac:dyDescent="0.2">
      <c r="A128" s="4">
        <v>50</v>
      </c>
      <c r="B128" s="4">
        <v>0</v>
      </c>
      <c r="C128" s="4">
        <v>0</v>
      </c>
      <c r="D128" s="4">
        <v>1</v>
      </c>
      <c r="E128" s="4">
        <v>223</v>
      </c>
      <c r="F128" s="4">
        <f>ROUND(Source!AQ118,O128)</f>
        <v>0</v>
      </c>
      <c r="G128" s="4" t="s">
        <v>229</v>
      </c>
      <c r="H128" s="4" t="s">
        <v>230</v>
      </c>
      <c r="I128" s="4"/>
      <c r="J128" s="4"/>
      <c r="K128" s="4">
        <v>223</v>
      </c>
      <c r="L128" s="4">
        <v>9</v>
      </c>
      <c r="M128" s="4">
        <v>3</v>
      </c>
      <c r="N128" s="4" t="s">
        <v>3</v>
      </c>
      <c r="O128" s="4">
        <v>2</v>
      </c>
      <c r="P128" s="4"/>
      <c r="Q128" s="4"/>
      <c r="R128" s="4"/>
      <c r="S128" s="4"/>
      <c r="T128" s="4"/>
      <c r="U128" s="4"/>
      <c r="V128" s="4"/>
      <c r="W128" s="4"/>
    </row>
    <row r="129" spans="1:23" x14ac:dyDescent="0.2">
      <c r="A129" s="4">
        <v>50</v>
      </c>
      <c r="B129" s="4">
        <v>0</v>
      </c>
      <c r="C129" s="4">
        <v>0</v>
      </c>
      <c r="D129" s="4">
        <v>1</v>
      </c>
      <c r="E129" s="4">
        <v>229</v>
      </c>
      <c r="F129" s="4">
        <f>ROUND(Source!AZ118,O129)</f>
        <v>0</v>
      </c>
      <c r="G129" s="4" t="s">
        <v>231</v>
      </c>
      <c r="H129" s="4" t="s">
        <v>232</v>
      </c>
      <c r="I129" s="4"/>
      <c r="J129" s="4"/>
      <c r="K129" s="4">
        <v>229</v>
      </c>
      <c r="L129" s="4">
        <v>10</v>
      </c>
      <c r="M129" s="4">
        <v>3</v>
      </c>
      <c r="N129" s="4" t="s">
        <v>3</v>
      </c>
      <c r="O129" s="4">
        <v>2</v>
      </c>
      <c r="P129" s="4"/>
      <c r="Q129" s="4"/>
      <c r="R129" s="4"/>
      <c r="S129" s="4"/>
      <c r="T129" s="4"/>
      <c r="U129" s="4"/>
      <c r="V129" s="4"/>
      <c r="W129" s="4"/>
    </row>
    <row r="130" spans="1:23" x14ac:dyDescent="0.2">
      <c r="A130" s="4">
        <v>50</v>
      </c>
      <c r="B130" s="4">
        <v>0</v>
      </c>
      <c r="C130" s="4">
        <v>0</v>
      </c>
      <c r="D130" s="4">
        <v>1</v>
      </c>
      <c r="E130" s="4">
        <v>203</v>
      </c>
      <c r="F130" s="4">
        <f>ROUND(Source!Q118,O130)</f>
        <v>187523.29</v>
      </c>
      <c r="G130" s="4" t="s">
        <v>233</v>
      </c>
      <c r="H130" s="4" t="s">
        <v>234</v>
      </c>
      <c r="I130" s="4"/>
      <c r="J130" s="4"/>
      <c r="K130" s="4">
        <v>203</v>
      </c>
      <c r="L130" s="4">
        <v>11</v>
      </c>
      <c r="M130" s="4">
        <v>3</v>
      </c>
      <c r="N130" s="4" t="s">
        <v>3</v>
      </c>
      <c r="O130" s="4">
        <v>2</v>
      </c>
      <c r="P130" s="4"/>
      <c r="Q130" s="4"/>
      <c r="R130" s="4"/>
      <c r="S130" s="4"/>
      <c r="T130" s="4"/>
      <c r="U130" s="4"/>
      <c r="V130" s="4"/>
      <c r="W130" s="4"/>
    </row>
    <row r="131" spans="1:23" x14ac:dyDescent="0.2">
      <c r="A131" s="4">
        <v>50</v>
      </c>
      <c r="B131" s="4">
        <v>0</v>
      </c>
      <c r="C131" s="4">
        <v>0</v>
      </c>
      <c r="D131" s="4">
        <v>1</v>
      </c>
      <c r="E131" s="4">
        <v>231</v>
      </c>
      <c r="F131" s="4">
        <f>ROUND(Source!BB118,O131)</f>
        <v>0</v>
      </c>
      <c r="G131" s="4" t="s">
        <v>235</v>
      </c>
      <c r="H131" s="4" t="s">
        <v>236</v>
      </c>
      <c r="I131" s="4"/>
      <c r="J131" s="4"/>
      <c r="K131" s="4">
        <v>231</v>
      </c>
      <c r="L131" s="4">
        <v>12</v>
      </c>
      <c r="M131" s="4">
        <v>3</v>
      </c>
      <c r="N131" s="4" t="s">
        <v>3</v>
      </c>
      <c r="O131" s="4">
        <v>2</v>
      </c>
      <c r="P131" s="4"/>
      <c r="Q131" s="4"/>
      <c r="R131" s="4"/>
      <c r="S131" s="4"/>
      <c r="T131" s="4"/>
      <c r="U131" s="4"/>
      <c r="V131" s="4"/>
      <c r="W131" s="4"/>
    </row>
    <row r="132" spans="1:23" x14ac:dyDescent="0.2">
      <c r="A132" s="4">
        <v>50</v>
      </c>
      <c r="B132" s="4">
        <v>0</v>
      </c>
      <c r="C132" s="4">
        <v>0</v>
      </c>
      <c r="D132" s="4">
        <v>1</v>
      </c>
      <c r="E132" s="4">
        <v>204</v>
      </c>
      <c r="F132" s="4">
        <f>ROUND(Source!R118,O132)</f>
        <v>21512.83</v>
      </c>
      <c r="G132" s="4" t="s">
        <v>237</v>
      </c>
      <c r="H132" s="4" t="s">
        <v>238</v>
      </c>
      <c r="I132" s="4"/>
      <c r="J132" s="4"/>
      <c r="K132" s="4">
        <v>204</v>
      </c>
      <c r="L132" s="4">
        <v>13</v>
      </c>
      <c r="M132" s="4">
        <v>3</v>
      </c>
      <c r="N132" s="4" t="s">
        <v>3</v>
      </c>
      <c r="O132" s="4">
        <v>2</v>
      </c>
      <c r="P132" s="4"/>
      <c r="Q132" s="4"/>
      <c r="R132" s="4"/>
      <c r="S132" s="4"/>
      <c r="T132" s="4"/>
      <c r="U132" s="4"/>
      <c r="V132" s="4"/>
      <c r="W132" s="4"/>
    </row>
    <row r="133" spans="1:23" x14ac:dyDescent="0.2">
      <c r="A133" s="4">
        <v>50</v>
      </c>
      <c r="B133" s="4">
        <v>0</v>
      </c>
      <c r="C133" s="4">
        <v>0</v>
      </c>
      <c r="D133" s="4">
        <v>1</v>
      </c>
      <c r="E133" s="4">
        <v>205</v>
      </c>
      <c r="F133" s="4">
        <f>ROUND(Source!S118,O133)</f>
        <v>161034.96</v>
      </c>
      <c r="G133" s="4" t="s">
        <v>239</v>
      </c>
      <c r="H133" s="4" t="s">
        <v>240</v>
      </c>
      <c r="I133" s="4"/>
      <c r="J133" s="4"/>
      <c r="K133" s="4">
        <v>205</v>
      </c>
      <c r="L133" s="4">
        <v>14</v>
      </c>
      <c r="M133" s="4">
        <v>3</v>
      </c>
      <c r="N133" s="4" t="s">
        <v>3</v>
      </c>
      <c r="O133" s="4">
        <v>2</v>
      </c>
      <c r="P133" s="4"/>
      <c r="Q133" s="4"/>
      <c r="R133" s="4"/>
      <c r="S133" s="4"/>
      <c r="T133" s="4"/>
      <c r="U133" s="4"/>
      <c r="V133" s="4"/>
      <c r="W133" s="4"/>
    </row>
    <row r="134" spans="1:23" x14ac:dyDescent="0.2">
      <c r="A134" s="4">
        <v>50</v>
      </c>
      <c r="B134" s="4">
        <v>0</v>
      </c>
      <c r="C134" s="4">
        <v>0</v>
      </c>
      <c r="D134" s="4">
        <v>1</v>
      </c>
      <c r="E134" s="4">
        <v>232</v>
      </c>
      <c r="F134" s="4">
        <f>ROUND(Source!BC118,O134)</f>
        <v>0</v>
      </c>
      <c r="G134" s="4" t="s">
        <v>241</v>
      </c>
      <c r="H134" s="4" t="s">
        <v>242</v>
      </c>
      <c r="I134" s="4"/>
      <c r="J134" s="4"/>
      <c r="K134" s="4">
        <v>232</v>
      </c>
      <c r="L134" s="4">
        <v>15</v>
      </c>
      <c r="M134" s="4">
        <v>3</v>
      </c>
      <c r="N134" s="4" t="s">
        <v>3</v>
      </c>
      <c r="O134" s="4">
        <v>2</v>
      </c>
      <c r="P134" s="4"/>
      <c r="Q134" s="4"/>
      <c r="R134" s="4"/>
      <c r="S134" s="4"/>
      <c r="T134" s="4"/>
      <c r="U134" s="4"/>
      <c r="V134" s="4"/>
      <c r="W134" s="4"/>
    </row>
    <row r="135" spans="1:23" x14ac:dyDescent="0.2">
      <c r="A135" s="4">
        <v>50</v>
      </c>
      <c r="B135" s="4">
        <v>0</v>
      </c>
      <c r="C135" s="4">
        <v>0</v>
      </c>
      <c r="D135" s="4">
        <v>1</v>
      </c>
      <c r="E135" s="4">
        <v>214</v>
      </c>
      <c r="F135" s="4">
        <f>ROUND(Source!AS118,O135)</f>
        <v>967638.15</v>
      </c>
      <c r="G135" s="4" t="s">
        <v>243</v>
      </c>
      <c r="H135" s="4" t="s">
        <v>244</v>
      </c>
      <c r="I135" s="4"/>
      <c r="J135" s="4"/>
      <c r="K135" s="4">
        <v>214</v>
      </c>
      <c r="L135" s="4">
        <v>16</v>
      </c>
      <c r="M135" s="4">
        <v>3</v>
      </c>
      <c r="N135" s="4" t="s">
        <v>3</v>
      </c>
      <c r="O135" s="4">
        <v>2</v>
      </c>
      <c r="P135" s="4"/>
      <c r="Q135" s="4"/>
      <c r="R135" s="4"/>
      <c r="S135" s="4"/>
      <c r="T135" s="4"/>
      <c r="U135" s="4"/>
      <c r="V135" s="4"/>
      <c r="W135" s="4"/>
    </row>
    <row r="136" spans="1:23" x14ac:dyDescent="0.2">
      <c r="A136" s="4">
        <v>50</v>
      </c>
      <c r="B136" s="4">
        <v>0</v>
      </c>
      <c r="C136" s="4">
        <v>0</v>
      </c>
      <c r="D136" s="4">
        <v>1</v>
      </c>
      <c r="E136" s="4">
        <v>215</v>
      </c>
      <c r="F136" s="4">
        <f>ROUND(Source!AT118,O136)</f>
        <v>0</v>
      </c>
      <c r="G136" s="4" t="s">
        <v>245</v>
      </c>
      <c r="H136" s="4" t="s">
        <v>246</v>
      </c>
      <c r="I136" s="4"/>
      <c r="J136" s="4"/>
      <c r="K136" s="4">
        <v>215</v>
      </c>
      <c r="L136" s="4">
        <v>17</v>
      </c>
      <c r="M136" s="4">
        <v>3</v>
      </c>
      <c r="N136" s="4" t="s">
        <v>3</v>
      </c>
      <c r="O136" s="4">
        <v>2</v>
      </c>
      <c r="P136" s="4"/>
      <c r="Q136" s="4"/>
      <c r="R136" s="4"/>
      <c r="S136" s="4"/>
      <c r="T136" s="4"/>
      <c r="U136" s="4"/>
      <c r="V136" s="4"/>
      <c r="W136" s="4"/>
    </row>
    <row r="137" spans="1:23" x14ac:dyDescent="0.2">
      <c r="A137" s="4">
        <v>50</v>
      </c>
      <c r="B137" s="4">
        <v>0</v>
      </c>
      <c r="C137" s="4">
        <v>0</v>
      </c>
      <c r="D137" s="4">
        <v>1</v>
      </c>
      <c r="E137" s="4">
        <v>217</v>
      </c>
      <c r="F137" s="4">
        <f>ROUND(Source!AU118,O137)</f>
        <v>116956.3</v>
      </c>
      <c r="G137" s="4" t="s">
        <v>247</v>
      </c>
      <c r="H137" s="4" t="s">
        <v>248</v>
      </c>
      <c r="I137" s="4"/>
      <c r="J137" s="4"/>
      <c r="K137" s="4">
        <v>217</v>
      </c>
      <c r="L137" s="4">
        <v>18</v>
      </c>
      <c r="M137" s="4">
        <v>3</v>
      </c>
      <c r="N137" s="4" t="s">
        <v>3</v>
      </c>
      <c r="O137" s="4">
        <v>2</v>
      </c>
      <c r="P137" s="4"/>
      <c r="Q137" s="4"/>
      <c r="R137" s="4"/>
      <c r="S137" s="4"/>
      <c r="T137" s="4"/>
      <c r="U137" s="4"/>
      <c r="V137" s="4"/>
      <c r="W137" s="4"/>
    </row>
    <row r="138" spans="1:23" x14ac:dyDescent="0.2">
      <c r="A138" s="4">
        <v>50</v>
      </c>
      <c r="B138" s="4">
        <v>0</v>
      </c>
      <c r="C138" s="4">
        <v>0</v>
      </c>
      <c r="D138" s="4">
        <v>1</v>
      </c>
      <c r="E138" s="4">
        <v>230</v>
      </c>
      <c r="F138" s="4">
        <f>ROUND(Source!BA118,O138)</f>
        <v>0</v>
      </c>
      <c r="G138" s="4" t="s">
        <v>249</v>
      </c>
      <c r="H138" s="4" t="s">
        <v>250</v>
      </c>
      <c r="I138" s="4"/>
      <c r="J138" s="4"/>
      <c r="K138" s="4">
        <v>230</v>
      </c>
      <c r="L138" s="4">
        <v>19</v>
      </c>
      <c r="M138" s="4">
        <v>3</v>
      </c>
      <c r="N138" s="4" t="s">
        <v>3</v>
      </c>
      <c r="O138" s="4">
        <v>2</v>
      </c>
      <c r="P138" s="4"/>
      <c r="Q138" s="4"/>
      <c r="R138" s="4"/>
      <c r="S138" s="4"/>
      <c r="T138" s="4"/>
      <c r="U138" s="4"/>
      <c r="V138" s="4"/>
      <c r="W138" s="4"/>
    </row>
    <row r="139" spans="1:23" x14ac:dyDescent="0.2">
      <c r="A139" s="4">
        <v>50</v>
      </c>
      <c r="B139" s="4">
        <v>0</v>
      </c>
      <c r="C139" s="4">
        <v>0</v>
      </c>
      <c r="D139" s="4">
        <v>1</v>
      </c>
      <c r="E139" s="4">
        <v>206</v>
      </c>
      <c r="F139" s="4">
        <f>ROUND(Source!T118,O139)</f>
        <v>0</v>
      </c>
      <c r="G139" s="4" t="s">
        <v>251</v>
      </c>
      <c r="H139" s="4" t="s">
        <v>252</v>
      </c>
      <c r="I139" s="4"/>
      <c r="J139" s="4"/>
      <c r="K139" s="4">
        <v>206</v>
      </c>
      <c r="L139" s="4">
        <v>20</v>
      </c>
      <c r="M139" s="4">
        <v>3</v>
      </c>
      <c r="N139" s="4" t="s">
        <v>3</v>
      </c>
      <c r="O139" s="4">
        <v>2</v>
      </c>
      <c r="P139" s="4"/>
      <c r="Q139" s="4"/>
      <c r="R139" s="4"/>
      <c r="S139" s="4"/>
      <c r="T139" s="4"/>
      <c r="U139" s="4"/>
      <c r="V139" s="4"/>
      <c r="W139" s="4"/>
    </row>
    <row r="140" spans="1:23" x14ac:dyDescent="0.2">
      <c r="A140" s="4">
        <v>50</v>
      </c>
      <c r="B140" s="4">
        <v>0</v>
      </c>
      <c r="C140" s="4">
        <v>0</v>
      </c>
      <c r="D140" s="4">
        <v>1</v>
      </c>
      <c r="E140" s="4">
        <v>207</v>
      </c>
      <c r="F140" s="4">
        <f>Source!U118</f>
        <v>581.17679999999996</v>
      </c>
      <c r="G140" s="4" t="s">
        <v>253</v>
      </c>
      <c r="H140" s="4" t="s">
        <v>254</v>
      </c>
      <c r="I140" s="4"/>
      <c r="J140" s="4"/>
      <c r="K140" s="4">
        <v>207</v>
      </c>
      <c r="L140" s="4">
        <v>21</v>
      </c>
      <c r="M140" s="4">
        <v>3</v>
      </c>
      <c r="N140" s="4" t="s">
        <v>3</v>
      </c>
      <c r="O140" s="4">
        <v>-1</v>
      </c>
      <c r="P140" s="4"/>
      <c r="Q140" s="4"/>
      <c r="R140" s="4"/>
      <c r="S140" s="4"/>
      <c r="T140" s="4"/>
      <c r="U140" s="4"/>
      <c r="V140" s="4"/>
      <c r="W140" s="4"/>
    </row>
    <row r="141" spans="1:23" x14ac:dyDescent="0.2">
      <c r="A141" s="4">
        <v>50</v>
      </c>
      <c r="B141" s="4">
        <v>0</v>
      </c>
      <c r="C141" s="4">
        <v>0</v>
      </c>
      <c r="D141" s="4">
        <v>1</v>
      </c>
      <c r="E141" s="4">
        <v>208</v>
      </c>
      <c r="F141" s="4">
        <f>Source!V118</f>
        <v>0</v>
      </c>
      <c r="G141" s="4" t="s">
        <v>255</v>
      </c>
      <c r="H141" s="4" t="s">
        <v>256</v>
      </c>
      <c r="I141" s="4"/>
      <c r="J141" s="4"/>
      <c r="K141" s="4">
        <v>208</v>
      </c>
      <c r="L141" s="4">
        <v>22</v>
      </c>
      <c r="M141" s="4">
        <v>3</v>
      </c>
      <c r="N141" s="4" t="s">
        <v>3</v>
      </c>
      <c r="O141" s="4">
        <v>-1</v>
      </c>
      <c r="P141" s="4"/>
      <c r="Q141" s="4"/>
      <c r="R141" s="4"/>
      <c r="S141" s="4"/>
      <c r="T141" s="4"/>
      <c r="U141" s="4"/>
      <c r="V141" s="4"/>
      <c r="W141" s="4"/>
    </row>
    <row r="142" spans="1:23" x14ac:dyDescent="0.2">
      <c r="A142" s="4">
        <v>50</v>
      </c>
      <c r="B142" s="4">
        <v>0</v>
      </c>
      <c r="C142" s="4">
        <v>0</v>
      </c>
      <c r="D142" s="4">
        <v>1</v>
      </c>
      <c r="E142" s="4">
        <v>209</v>
      </c>
      <c r="F142" s="4">
        <f>ROUND(Source!W118,O142)</f>
        <v>0</v>
      </c>
      <c r="G142" s="4" t="s">
        <v>257</v>
      </c>
      <c r="H142" s="4" t="s">
        <v>258</v>
      </c>
      <c r="I142" s="4"/>
      <c r="J142" s="4"/>
      <c r="K142" s="4">
        <v>209</v>
      </c>
      <c r="L142" s="4">
        <v>23</v>
      </c>
      <c r="M142" s="4">
        <v>3</v>
      </c>
      <c r="N142" s="4" t="s">
        <v>3</v>
      </c>
      <c r="O142" s="4">
        <v>2</v>
      </c>
      <c r="P142" s="4"/>
      <c r="Q142" s="4"/>
      <c r="R142" s="4"/>
      <c r="S142" s="4"/>
      <c r="T142" s="4"/>
      <c r="U142" s="4"/>
      <c r="V142" s="4"/>
      <c r="W142" s="4"/>
    </row>
    <row r="143" spans="1:23" x14ac:dyDescent="0.2">
      <c r="A143" s="4">
        <v>50</v>
      </c>
      <c r="B143" s="4">
        <v>0</v>
      </c>
      <c r="C143" s="4">
        <v>0</v>
      </c>
      <c r="D143" s="4">
        <v>1</v>
      </c>
      <c r="E143" s="4">
        <v>233</v>
      </c>
      <c r="F143" s="4">
        <f>ROUND(Source!BD118,O143)</f>
        <v>0</v>
      </c>
      <c r="G143" s="4" t="s">
        <v>259</v>
      </c>
      <c r="H143" s="4" t="s">
        <v>260</v>
      </c>
      <c r="I143" s="4"/>
      <c r="J143" s="4"/>
      <c r="K143" s="4">
        <v>233</v>
      </c>
      <c r="L143" s="4">
        <v>24</v>
      </c>
      <c r="M143" s="4">
        <v>3</v>
      </c>
      <c r="N143" s="4" t="s">
        <v>3</v>
      </c>
      <c r="O143" s="4">
        <v>2</v>
      </c>
      <c r="P143" s="4"/>
      <c r="Q143" s="4"/>
      <c r="R143" s="4"/>
      <c r="S143" s="4"/>
      <c r="T143" s="4"/>
      <c r="U143" s="4"/>
      <c r="V143" s="4"/>
      <c r="W143" s="4"/>
    </row>
    <row r="144" spans="1:23" x14ac:dyDescent="0.2">
      <c r="A144" s="4">
        <v>50</v>
      </c>
      <c r="B144" s="4">
        <v>0</v>
      </c>
      <c r="C144" s="4">
        <v>0</v>
      </c>
      <c r="D144" s="4">
        <v>1</v>
      </c>
      <c r="E144" s="4">
        <v>210</v>
      </c>
      <c r="F144" s="4">
        <f>ROUND(Source!X118,O144)</f>
        <v>143769.39000000001</v>
      </c>
      <c r="G144" s="4" t="s">
        <v>261</v>
      </c>
      <c r="H144" s="4" t="s">
        <v>262</v>
      </c>
      <c r="I144" s="4"/>
      <c r="J144" s="4"/>
      <c r="K144" s="4">
        <v>210</v>
      </c>
      <c r="L144" s="4">
        <v>25</v>
      </c>
      <c r="M144" s="4">
        <v>3</v>
      </c>
      <c r="N144" s="4" t="s">
        <v>3</v>
      </c>
      <c r="O144" s="4">
        <v>2</v>
      </c>
      <c r="P144" s="4"/>
      <c r="Q144" s="4"/>
      <c r="R144" s="4"/>
      <c r="S144" s="4"/>
      <c r="T144" s="4"/>
      <c r="U144" s="4"/>
      <c r="V144" s="4"/>
      <c r="W144" s="4"/>
    </row>
    <row r="145" spans="1:245" x14ac:dyDescent="0.2">
      <c r="A145" s="4">
        <v>50</v>
      </c>
      <c r="B145" s="4">
        <v>0</v>
      </c>
      <c r="C145" s="4">
        <v>0</v>
      </c>
      <c r="D145" s="4">
        <v>1</v>
      </c>
      <c r="E145" s="4">
        <v>211</v>
      </c>
      <c r="F145" s="4">
        <f>ROUND(Source!Y118,O145)</f>
        <v>66155.759999999995</v>
      </c>
      <c r="G145" s="4" t="s">
        <v>263</v>
      </c>
      <c r="H145" s="4" t="s">
        <v>264</v>
      </c>
      <c r="I145" s="4"/>
      <c r="J145" s="4"/>
      <c r="K145" s="4">
        <v>211</v>
      </c>
      <c r="L145" s="4">
        <v>26</v>
      </c>
      <c r="M145" s="4">
        <v>3</v>
      </c>
      <c r="N145" s="4" t="s">
        <v>3</v>
      </c>
      <c r="O145" s="4">
        <v>2</v>
      </c>
      <c r="P145" s="4"/>
      <c r="Q145" s="4"/>
      <c r="R145" s="4"/>
      <c r="S145" s="4"/>
      <c r="T145" s="4"/>
      <c r="U145" s="4"/>
      <c r="V145" s="4"/>
      <c r="W145" s="4"/>
    </row>
    <row r="146" spans="1:245" x14ac:dyDescent="0.2">
      <c r="A146" s="4">
        <v>50</v>
      </c>
      <c r="B146" s="4">
        <v>0</v>
      </c>
      <c r="C146" s="4">
        <v>0</v>
      </c>
      <c r="D146" s="4">
        <v>1</v>
      </c>
      <c r="E146" s="4">
        <v>224</v>
      </c>
      <c r="F146" s="4">
        <f>ROUND(Source!AR118,O146)</f>
        <v>1084594.45</v>
      </c>
      <c r="G146" s="4" t="s">
        <v>265</v>
      </c>
      <c r="H146" s="4" t="s">
        <v>266</v>
      </c>
      <c r="I146" s="4"/>
      <c r="J146" s="4"/>
      <c r="K146" s="4">
        <v>224</v>
      </c>
      <c r="L146" s="4">
        <v>27</v>
      </c>
      <c r="M146" s="4">
        <v>3</v>
      </c>
      <c r="N146" s="4" t="s">
        <v>3</v>
      </c>
      <c r="O146" s="4">
        <v>2</v>
      </c>
      <c r="P146" s="4"/>
      <c r="Q146" s="4"/>
      <c r="R146" s="4"/>
      <c r="S146" s="4"/>
      <c r="T146" s="4"/>
      <c r="U146" s="4"/>
      <c r="V146" s="4"/>
      <c r="W146" s="4"/>
    </row>
    <row r="148" spans="1:245" x14ac:dyDescent="0.2">
      <c r="A148" s="1">
        <v>4</v>
      </c>
      <c r="B148" s="1">
        <v>1</v>
      </c>
      <c r="C148" s="1"/>
      <c r="D148" s="1">
        <f>ROW(A165)</f>
        <v>165</v>
      </c>
      <c r="E148" s="1"/>
      <c r="F148" s="1" t="s">
        <v>13</v>
      </c>
      <c r="G148" s="1" t="s">
        <v>324</v>
      </c>
      <c r="H148" s="1" t="s">
        <v>3</v>
      </c>
      <c r="I148" s="1">
        <v>0</v>
      </c>
      <c r="J148" s="1"/>
      <c r="K148" s="1">
        <v>0</v>
      </c>
      <c r="L148" s="1"/>
      <c r="M148" s="1" t="s">
        <v>3</v>
      </c>
      <c r="N148" s="1"/>
      <c r="O148" s="1"/>
      <c r="P148" s="1"/>
      <c r="Q148" s="1"/>
      <c r="R148" s="1"/>
      <c r="S148" s="1">
        <v>0</v>
      </c>
      <c r="T148" s="1"/>
      <c r="U148" s="1" t="s">
        <v>3</v>
      </c>
      <c r="V148" s="1">
        <v>0</v>
      </c>
      <c r="W148" s="1"/>
      <c r="X148" s="1"/>
      <c r="Y148" s="1"/>
      <c r="Z148" s="1"/>
      <c r="AA148" s="1"/>
      <c r="AB148" s="1" t="s">
        <v>3</v>
      </c>
      <c r="AC148" s="1" t="s">
        <v>3</v>
      </c>
      <c r="AD148" s="1" t="s">
        <v>3</v>
      </c>
      <c r="AE148" s="1" t="s">
        <v>3</v>
      </c>
      <c r="AF148" s="1" t="s">
        <v>3</v>
      </c>
      <c r="AG148" s="1" t="s">
        <v>3</v>
      </c>
      <c r="AH148" s="1"/>
      <c r="AI148" s="1"/>
      <c r="AJ148" s="1"/>
      <c r="AK148" s="1"/>
      <c r="AL148" s="1"/>
      <c r="AM148" s="1"/>
      <c r="AN148" s="1"/>
      <c r="AO148" s="1"/>
      <c r="AP148" s="1" t="s">
        <v>3</v>
      </c>
      <c r="AQ148" s="1" t="s">
        <v>3</v>
      </c>
      <c r="AR148" s="1" t="s">
        <v>3</v>
      </c>
      <c r="AS148" s="1"/>
      <c r="AT148" s="1"/>
      <c r="AU148" s="1"/>
      <c r="AV148" s="1"/>
      <c r="AW148" s="1"/>
      <c r="AX148" s="1"/>
      <c r="AY148" s="1"/>
      <c r="AZ148" s="1" t="s">
        <v>3</v>
      </c>
      <c r="BA148" s="1"/>
      <c r="BB148" s="1" t="s">
        <v>3</v>
      </c>
      <c r="BC148" s="1" t="s">
        <v>3</v>
      </c>
      <c r="BD148" s="1" t="s">
        <v>3</v>
      </c>
      <c r="BE148" s="1" t="s">
        <v>3</v>
      </c>
      <c r="BF148" s="1" t="s">
        <v>3</v>
      </c>
      <c r="BG148" s="1" t="s">
        <v>3</v>
      </c>
      <c r="BH148" s="1" t="s">
        <v>3</v>
      </c>
      <c r="BI148" s="1" t="s">
        <v>3</v>
      </c>
      <c r="BJ148" s="1" t="s">
        <v>3</v>
      </c>
      <c r="BK148" s="1" t="s">
        <v>3</v>
      </c>
      <c r="BL148" s="1" t="s">
        <v>3</v>
      </c>
      <c r="BM148" s="1" t="s">
        <v>3</v>
      </c>
      <c r="BN148" s="1" t="s">
        <v>3</v>
      </c>
      <c r="BO148" s="1" t="s">
        <v>3</v>
      </c>
      <c r="BP148" s="1" t="s">
        <v>3</v>
      </c>
      <c r="BQ148" s="1"/>
      <c r="BR148" s="1"/>
      <c r="BS148" s="1"/>
      <c r="BT148" s="1"/>
      <c r="BU148" s="1"/>
      <c r="BV148" s="1"/>
      <c r="BW148" s="1"/>
      <c r="BX148" s="1">
        <v>0</v>
      </c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>
        <v>0</v>
      </c>
    </row>
    <row r="150" spans="1:245" x14ac:dyDescent="0.2">
      <c r="A150" s="2">
        <v>52</v>
      </c>
      <c r="B150" s="2">
        <f t="shared" ref="B150:G150" si="115">B165</f>
        <v>1</v>
      </c>
      <c r="C150" s="2">
        <f t="shared" si="115"/>
        <v>4</v>
      </c>
      <c r="D150" s="2">
        <f t="shared" si="115"/>
        <v>148</v>
      </c>
      <c r="E150" s="2">
        <f t="shared" si="115"/>
        <v>0</v>
      </c>
      <c r="F150" s="2" t="str">
        <f t="shared" si="115"/>
        <v>Новый раздел</v>
      </c>
      <c r="G150" s="2" t="str">
        <f t="shared" si="115"/>
        <v>Замена борткамня 953 пог.м</v>
      </c>
      <c r="H150" s="2"/>
      <c r="I150" s="2"/>
      <c r="J150" s="2"/>
      <c r="K150" s="2"/>
      <c r="L150" s="2"/>
      <c r="M150" s="2"/>
      <c r="N150" s="2"/>
      <c r="O150" s="2">
        <f t="shared" ref="O150:AT150" si="116">O165</f>
        <v>898255.34</v>
      </c>
      <c r="P150" s="2">
        <f t="shared" si="116"/>
        <v>318553.88</v>
      </c>
      <c r="Q150" s="2">
        <f t="shared" si="116"/>
        <v>130516.54</v>
      </c>
      <c r="R150" s="2">
        <f t="shared" si="116"/>
        <v>6245.27</v>
      </c>
      <c r="S150" s="2">
        <f t="shared" si="116"/>
        <v>449184.92</v>
      </c>
      <c r="T150" s="2">
        <f t="shared" si="116"/>
        <v>0</v>
      </c>
      <c r="U150" s="2">
        <f t="shared" si="116"/>
        <v>1595.1733319999998</v>
      </c>
      <c r="V150" s="2">
        <f t="shared" si="116"/>
        <v>0</v>
      </c>
      <c r="W150" s="2">
        <f t="shared" si="116"/>
        <v>0</v>
      </c>
      <c r="X150" s="2">
        <f t="shared" si="116"/>
        <v>393843.74</v>
      </c>
      <c r="Y150" s="2">
        <f t="shared" si="116"/>
        <v>184165.82</v>
      </c>
      <c r="Z150" s="2">
        <f t="shared" si="116"/>
        <v>0</v>
      </c>
      <c r="AA150" s="2">
        <f t="shared" si="116"/>
        <v>0</v>
      </c>
      <c r="AB150" s="2">
        <f t="shared" si="116"/>
        <v>898255.34</v>
      </c>
      <c r="AC150" s="2">
        <f t="shared" si="116"/>
        <v>318553.88</v>
      </c>
      <c r="AD150" s="2">
        <f t="shared" si="116"/>
        <v>130516.54</v>
      </c>
      <c r="AE150" s="2">
        <f t="shared" si="116"/>
        <v>6245.27</v>
      </c>
      <c r="AF150" s="2">
        <f t="shared" si="116"/>
        <v>449184.92</v>
      </c>
      <c r="AG150" s="2">
        <f t="shared" si="116"/>
        <v>0</v>
      </c>
      <c r="AH150" s="2">
        <f t="shared" si="116"/>
        <v>1595.1733319999998</v>
      </c>
      <c r="AI150" s="2">
        <f t="shared" si="116"/>
        <v>0</v>
      </c>
      <c r="AJ150" s="2">
        <f t="shared" si="116"/>
        <v>0</v>
      </c>
      <c r="AK150" s="2">
        <f t="shared" si="116"/>
        <v>393843.74</v>
      </c>
      <c r="AL150" s="2">
        <f t="shared" si="116"/>
        <v>184165.82</v>
      </c>
      <c r="AM150" s="2">
        <f t="shared" si="116"/>
        <v>0</v>
      </c>
      <c r="AN150" s="2">
        <f t="shared" si="116"/>
        <v>0</v>
      </c>
      <c r="AO150" s="2">
        <f t="shared" si="116"/>
        <v>0</v>
      </c>
      <c r="AP150" s="2">
        <f t="shared" si="116"/>
        <v>0</v>
      </c>
      <c r="AQ150" s="2">
        <f t="shared" si="116"/>
        <v>0</v>
      </c>
      <c r="AR150" s="2">
        <f t="shared" si="116"/>
        <v>1486069.97</v>
      </c>
      <c r="AS150" s="2">
        <f t="shared" si="116"/>
        <v>1369464.28</v>
      </c>
      <c r="AT150" s="2">
        <f t="shared" si="116"/>
        <v>0</v>
      </c>
      <c r="AU150" s="2">
        <f t="shared" ref="AU150:BZ150" si="117">AU165</f>
        <v>116605.69</v>
      </c>
      <c r="AV150" s="2">
        <f t="shared" si="117"/>
        <v>318553.88</v>
      </c>
      <c r="AW150" s="2">
        <f t="shared" si="117"/>
        <v>318553.88</v>
      </c>
      <c r="AX150" s="2">
        <f t="shared" si="117"/>
        <v>0</v>
      </c>
      <c r="AY150" s="2">
        <f t="shared" si="117"/>
        <v>318553.88</v>
      </c>
      <c r="AZ150" s="2">
        <f t="shared" si="117"/>
        <v>0</v>
      </c>
      <c r="BA150" s="2">
        <f t="shared" si="117"/>
        <v>0</v>
      </c>
      <c r="BB150" s="2">
        <f t="shared" si="117"/>
        <v>0</v>
      </c>
      <c r="BC150" s="2">
        <f t="shared" si="117"/>
        <v>0</v>
      </c>
      <c r="BD150" s="2">
        <f t="shared" si="117"/>
        <v>0</v>
      </c>
      <c r="BE150" s="2">
        <f t="shared" si="117"/>
        <v>0</v>
      </c>
      <c r="BF150" s="2">
        <f t="shared" si="117"/>
        <v>0</v>
      </c>
      <c r="BG150" s="2">
        <f t="shared" si="117"/>
        <v>0</v>
      </c>
      <c r="BH150" s="2">
        <f t="shared" si="117"/>
        <v>0</v>
      </c>
      <c r="BI150" s="2">
        <f t="shared" si="117"/>
        <v>0</v>
      </c>
      <c r="BJ150" s="2">
        <f t="shared" si="117"/>
        <v>0</v>
      </c>
      <c r="BK150" s="2">
        <f t="shared" si="117"/>
        <v>0</v>
      </c>
      <c r="BL150" s="2">
        <f t="shared" si="117"/>
        <v>0</v>
      </c>
      <c r="BM150" s="2">
        <f t="shared" si="117"/>
        <v>0</v>
      </c>
      <c r="BN150" s="2">
        <f t="shared" si="117"/>
        <v>0</v>
      </c>
      <c r="BO150" s="2">
        <f t="shared" si="117"/>
        <v>0</v>
      </c>
      <c r="BP150" s="2">
        <f t="shared" si="117"/>
        <v>0</v>
      </c>
      <c r="BQ150" s="2">
        <f t="shared" si="117"/>
        <v>0</v>
      </c>
      <c r="BR150" s="2">
        <f t="shared" si="117"/>
        <v>0</v>
      </c>
      <c r="BS150" s="2">
        <f t="shared" si="117"/>
        <v>0</v>
      </c>
      <c r="BT150" s="2">
        <f t="shared" si="117"/>
        <v>0</v>
      </c>
      <c r="BU150" s="2">
        <f t="shared" si="117"/>
        <v>0</v>
      </c>
      <c r="BV150" s="2">
        <f t="shared" si="117"/>
        <v>0</v>
      </c>
      <c r="BW150" s="2">
        <f t="shared" si="117"/>
        <v>0</v>
      </c>
      <c r="BX150" s="2">
        <f t="shared" si="117"/>
        <v>0</v>
      </c>
      <c r="BY150" s="2">
        <f t="shared" si="117"/>
        <v>0</v>
      </c>
      <c r="BZ150" s="2">
        <f t="shared" si="117"/>
        <v>0</v>
      </c>
      <c r="CA150" s="2">
        <f t="shared" ref="CA150:DF150" si="118">CA165</f>
        <v>1486069.97</v>
      </c>
      <c r="CB150" s="2">
        <f t="shared" si="118"/>
        <v>1369464.28</v>
      </c>
      <c r="CC150" s="2">
        <f t="shared" si="118"/>
        <v>0</v>
      </c>
      <c r="CD150" s="2">
        <f t="shared" si="118"/>
        <v>116605.69</v>
      </c>
      <c r="CE150" s="2">
        <f t="shared" si="118"/>
        <v>318553.88</v>
      </c>
      <c r="CF150" s="2">
        <f t="shared" si="118"/>
        <v>318553.88</v>
      </c>
      <c r="CG150" s="2">
        <f t="shared" si="118"/>
        <v>0</v>
      </c>
      <c r="CH150" s="2">
        <f t="shared" si="118"/>
        <v>318553.88</v>
      </c>
      <c r="CI150" s="2">
        <f t="shared" si="118"/>
        <v>0</v>
      </c>
      <c r="CJ150" s="2">
        <f t="shared" si="118"/>
        <v>0</v>
      </c>
      <c r="CK150" s="2">
        <f t="shared" si="118"/>
        <v>0</v>
      </c>
      <c r="CL150" s="2">
        <f t="shared" si="118"/>
        <v>0</v>
      </c>
      <c r="CM150" s="2">
        <f t="shared" si="118"/>
        <v>0</v>
      </c>
      <c r="CN150" s="2">
        <f t="shared" si="118"/>
        <v>0</v>
      </c>
      <c r="CO150" s="2">
        <f t="shared" si="118"/>
        <v>0</v>
      </c>
      <c r="CP150" s="2">
        <f t="shared" si="118"/>
        <v>0</v>
      </c>
      <c r="CQ150" s="2">
        <f t="shared" si="118"/>
        <v>0</v>
      </c>
      <c r="CR150" s="2">
        <f t="shared" si="118"/>
        <v>0</v>
      </c>
      <c r="CS150" s="2">
        <f t="shared" si="118"/>
        <v>0</v>
      </c>
      <c r="CT150" s="2">
        <f t="shared" si="118"/>
        <v>0</v>
      </c>
      <c r="CU150" s="2">
        <f t="shared" si="118"/>
        <v>0</v>
      </c>
      <c r="CV150" s="2">
        <f t="shared" si="118"/>
        <v>0</v>
      </c>
      <c r="CW150" s="2">
        <f t="shared" si="118"/>
        <v>0</v>
      </c>
      <c r="CX150" s="2">
        <f t="shared" si="118"/>
        <v>0</v>
      </c>
      <c r="CY150" s="2">
        <f t="shared" si="118"/>
        <v>0</v>
      </c>
      <c r="CZ150" s="2">
        <f t="shared" si="118"/>
        <v>0</v>
      </c>
      <c r="DA150" s="2">
        <f t="shared" si="118"/>
        <v>0</v>
      </c>
      <c r="DB150" s="2">
        <f t="shared" si="118"/>
        <v>0</v>
      </c>
      <c r="DC150" s="2">
        <f t="shared" si="118"/>
        <v>0</v>
      </c>
      <c r="DD150" s="2">
        <f t="shared" si="118"/>
        <v>0</v>
      </c>
      <c r="DE150" s="2">
        <f t="shared" si="118"/>
        <v>0</v>
      </c>
      <c r="DF150" s="2">
        <f t="shared" si="118"/>
        <v>0</v>
      </c>
      <c r="DG150" s="3">
        <f t="shared" ref="DG150:EL150" si="119">DG165</f>
        <v>0</v>
      </c>
      <c r="DH150" s="3">
        <f t="shared" si="119"/>
        <v>0</v>
      </c>
      <c r="DI150" s="3">
        <f t="shared" si="119"/>
        <v>0</v>
      </c>
      <c r="DJ150" s="3">
        <f t="shared" si="119"/>
        <v>0</v>
      </c>
      <c r="DK150" s="3">
        <f t="shared" si="119"/>
        <v>0</v>
      </c>
      <c r="DL150" s="3">
        <f t="shared" si="119"/>
        <v>0</v>
      </c>
      <c r="DM150" s="3">
        <f t="shared" si="119"/>
        <v>0</v>
      </c>
      <c r="DN150" s="3">
        <f t="shared" si="119"/>
        <v>0</v>
      </c>
      <c r="DO150" s="3">
        <f t="shared" si="119"/>
        <v>0</v>
      </c>
      <c r="DP150" s="3">
        <f t="shared" si="119"/>
        <v>0</v>
      </c>
      <c r="DQ150" s="3">
        <f t="shared" si="119"/>
        <v>0</v>
      </c>
      <c r="DR150" s="3">
        <f t="shared" si="119"/>
        <v>0</v>
      </c>
      <c r="DS150" s="3">
        <f t="shared" si="119"/>
        <v>0</v>
      </c>
      <c r="DT150" s="3">
        <f t="shared" si="119"/>
        <v>0</v>
      </c>
      <c r="DU150" s="3">
        <f t="shared" si="119"/>
        <v>0</v>
      </c>
      <c r="DV150" s="3">
        <f t="shared" si="119"/>
        <v>0</v>
      </c>
      <c r="DW150" s="3">
        <f t="shared" si="119"/>
        <v>0</v>
      </c>
      <c r="DX150" s="3">
        <f t="shared" si="119"/>
        <v>0</v>
      </c>
      <c r="DY150" s="3">
        <f t="shared" si="119"/>
        <v>0</v>
      </c>
      <c r="DZ150" s="3">
        <f t="shared" si="119"/>
        <v>0</v>
      </c>
      <c r="EA150" s="3">
        <f t="shared" si="119"/>
        <v>0</v>
      </c>
      <c r="EB150" s="3">
        <f t="shared" si="119"/>
        <v>0</v>
      </c>
      <c r="EC150" s="3">
        <f t="shared" si="119"/>
        <v>0</v>
      </c>
      <c r="ED150" s="3">
        <f t="shared" si="119"/>
        <v>0</v>
      </c>
      <c r="EE150" s="3">
        <f t="shared" si="119"/>
        <v>0</v>
      </c>
      <c r="EF150" s="3">
        <f t="shared" si="119"/>
        <v>0</v>
      </c>
      <c r="EG150" s="3">
        <f t="shared" si="119"/>
        <v>0</v>
      </c>
      <c r="EH150" s="3">
        <f t="shared" si="119"/>
        <v>0</v>
      </c>
      <c r="EI150" s="3">
        <f t="shared" si="119"/>
        <v>0</v>
      </c>
      <c r="EJ150" s="3">
        <f t="shared" si="119"/>
        <v>0</v>
      </c>
      <c r="EK150" s="3">
        <f t="shared" si="119"/>
        <v>0</v>
      </c>
      <c r="EL150" s="3">
        <f t="shared" si="119"/>
        <v>0</v>
      </c>
      <c r="EM150" s="3">
        <f t="shared" ref="EM150:FR150" si="120">EM165</f>
        <v>0</v>
      </c>
      <c r="EN150" s="3">
        <f t="shared" si="120"/>
        <v>0</v>
      </c>
      <c r="EO150" s="3">
        <f t="shared" si="120"/>
        <v>0</v>
      </c>
      <c r="EP150" s="3">
        <f t="shared" si="120"/>
        <v>0</v>
      </c>
      <c r="EQ150" s="3">
        <f t="shared" si="120"/>
        <v>0</v>
      </c>
      <c r="ER150" s="3">
        <f t="shared" si="120"/>
        <v>0</v>
      </c>
      <c r="ES150" s="3">
        <f t="shared" si="120"/>
        <v>0</v>
      </c>
      <c r="ET150" s="3">
        <f t="shared" si="120"/>
        <v>0</v>
      </c>
      <c r="EU150" s="3">
        <f t="shared" si="120"/>
        <v>0</v>
      </c>
      <c r="EV150" s="3">
        <f t="shared" si="120"/>
        <v>0</v>
      </c>
      <c r="EW150" s="3">
        <f t="shared" si="120"/>
        <v>0</v>
      </c>
      <c r="EX150" s="3">
        <f t="shared" si="120"/>
        <v>0</v>
      </c>
      <c r="EY150" s="3">
        <f t="shared" si="120"/>
        <v>0</v>
      </c>
      <c r="EZ150" s="3">
        <f t="shared" si="120"/>
        <v>0</v>
      </c>
      <c r="FA150" s="3">
        <f t="shared" si="120"/>
        <v>0</v>
      </c>
      <c r="FB150" s="3">
        <f t="shared" si="120"/>
        <v>0</v>
      </c>
      <c r="FC150" s="3">
        <f t="shared" si="120"/>
        <v>0</v>
      </c>
      <c r="FD150" s="3">
        <f t="shared" si="120"/>
        <v>0</v>
      </c>
      <c r="FE150" s="3">
        <f t="shared" si="120"/>
        <v>0</v>
      </c>
      <c r="FF150" s="3">
        <f t="shared" si="120"/>
        <v>0</v>
      </c>
      <c r="FG150" s="3">
        <f t="shared" si="120"/>
        <v>0</v>
      </c>
      <c r="FH150" s="3">
        <f t="shared" si="120"/>
        <v>0</v>
      </c>
      <c r="FI150" s="3">
        <f t="shared" si="120"/>
        <v>0</v>
      </c>
      <c r="FJ150" s="3">
        <f t="shared" si="120"/>
        <v>0</v>
      </c>
      <c r="FK150" s="3">
        <f t="shared" si="120"/>
        <v>0</v>
      </c>
      <c r="FL150" s="3">
        <f t="shared" si="120"/>
        <v>0</v>
      </c>
      <c r="FM150" s="3">
        <f t="shared" si="120"/>
        <v>0</v>
      </c>
      <c r="FN150" s="3">
        <f t="shared" si="120"/>
        <v>0</v>
      </c>
      <c r="FO150" s="3">
        <f t="shared" si="120"/>
        <v>0</v>
      </c>
      <c r="FP150" s="3">
        <f t="shared" si="120"/>
        <v>0</v>
      </c>
      <c r="FQ150" s="3">
        <f t="shared" si="120"/>
        <v>0</v>
      </c>
      <c r="FR150" s="3">
        <f t="shared" si="120"/>
        <v>0</v>
      </c>
      <c r="FS150" s="3">
        <f t="shared" ref="FS150:GX150" si="121">FS165</f>
        <v>0</v>
      </c>
      <c r="FT150" s="3">
        <f t="shared" si="121"/>
        <v>0</v>
      </c>
      <c r="FU150" s="3">
        <f t="shared" si="121"/>
        <v>0</v>
      </c>
      <c r="FV150" s="3">
        <f t="shared" si="121"/>
        <v>0</v>
      </c>
      <c r="FW150" s="3">
        <f t="shared" si="121"/>
        <v>0</v>
      </c>
      <c r="FX150" s="3">
        <f t="shared" si="121"/>
        <v>0</v>
      </c>
      <c r="FY150" s="3">
        <f t="shared" si="121"/>
        <v>0</v>
      </c>
      <c r="FZ150" s="3">
        <f t="shared" si="121"/>
        <v>0</v>
      </c>
      <c r="GA150" s="3">
        <f t="shared" si="121"/>
        <v>0</v>
      </c>
      <c r="GB150" s="3">
        <f t="shared" si="121"/>
        <v>0</v>
      </c>
      <c r="GC150" s="3">
        <f t="shared" si="121"/>
        <v>0</v>
      </c>
      <c r="GD150" s="3">
        <f t="shared" si="121"/>
        <v>0</v>
      </c>
      <c r="GE150" s="3">
        <f t="shared" si="121"/>
        <v>0</v>
      </c>
      <c r="GF150" s="3">
        <f t="shared" si="121"/>
        <v>0</v>
      </c>
      <c r="GG150" s="3">
        <f t="shared" si="121"/>
        <v>0</v>
      </c>
      <c r="GH150" s="3">
        <f t="shared" si="121"/>
        <v>0</v>
      </c>
      <c r="GI150" s="3">
        <f t="shared" si="121"/>
        <v>0</v>
      </c>
      <c r="GJ150" s="3">
        <f t="shared" si="121"/>
        <v>0</v>
      </c>
      <c r="GK150" s="3">
        <f t="shared" si="121"/>
        <v>0</v>
      </c>
      <c r="GL150" s="3">
        <f t="shared" si="121"/>
        <v>0</v>
      </c>
      <c r="GM150" s="3">
        <f t="shared" si="121"/>
        <v>0</v>
      </c>
      <c r="GN150" s="3">
        <f t="shared" si="121"/>
        <v>0</v>
      </c>
      <c r="GO150" s="3">
        <f t="shared" si="121"/>
        <v>0</v>
      </c>
      <c r="GP150" s="3">
        <f t="shared" si="121"/>
        <v>0</v>
      </c>
      <c r="GQ150" s="3">
        <f t="shared" si="121"/>
        <v>0</v>
      </c>
      <c r="GR150" s="3">
        <f t="shared" si="121"/>
        <v>0</v>
      </c>
      <c r="GS150" s="3">
        <f t="shared" si="121"/>
        <v>0</v>
      </c>
      <c r="GT150" s="3">
        <f t="shared" si="121"/>
        <v>0</v>
      </c>
      <c r="GU150" s="3">
        <f t="shared" si="121"/>
        <v>0</v>
      </c>
      <c r="GV150" s="3">
        <f t="shared" si="121"/>
        <v>0</v>
      </c>
      <c r="GW150" s="3">
        <f t="shared" si="121"/>
        <v>0</v>
      </c>
      <c r="GX150" s="3">
        <f t="shared" si="121"/>
        <v>0</v>
      </c>
    </row>
    <row r="152" spans="1:245" x14ac:dyDescent="0.2">
      <c r="A152">
        <v>17</v>
      </c>
      <c r="B152">
        <v>1</v>
      </c>
      <c r="C152">
        <f>ROW(SmtRes!A141)</f>
        <v>141</v>
      </c>
      <c r="D152">
        <f>ROW(EtalonRes!A139)</f>
        <v>139</v>
      </c>
      <c r="E152" t="s">
        <v>325</v>
      </c>
      <c r="F152" t="s">
        <v>326</v>
      </c>
      <c r="G152" t="s">
        <v>327</v>
      </c>
      <c r="H152" t="s">
        <v>152</v>
      </c>
      <c r="I152">
        <f>ROUND(953/100,9)</f>
        <v>9.5299999999999994</v>
      </c>
      <c r="J152">
        <v>0</v>
      </c>
      <c r="K152">
        <f>ROUND(953/100,9)</f>
        <v>9.5299999999999994</v>
      </c>
      <c r="O152">
        <f t="shared" ref="O152:O163" si="122">ROUND(CP152,2)</f>
        <v>207897.46</v>
      </c>
      <c r="P152">
        <f t="shared" ref="P152:P163" si="123">ROUND((ROUND((AC152*AW152*I152),2)*BC152),2)</f>
        <v>0</v>
      </c>
      <c r="Q152">
        <f>(ROUND((ROUND(((ET152)*AV152*I152),2)*BB152),2)+ROUND((ROUND(((AE152-(EU152))*AV152*I152),2)*BS152),2))</f>
        <v>0</v>
      </c>
      <c r="R152">
        <f t="shared" ref="R152:R163" si="124">ROUND((ROUND((AE152*AV152*I152),2)*BS152),2)</f>
        <v>0</v>
      </c>
      <c r="S152">
        <f t="shared" ref="S152:S163" si="125">ROUND((ROUND((AF152*AV152*I152),2)*BA152),2)</f>
        <v>207897.46</v>
      </c>
      <c r="T152">
        <f t="shared" ref="T152:T163" si="126">ROUND(CU152*I152,2)</f>
        <v>0</v>
      </c>
      <c r="U152">
        <f t="shared" ref="U152:U163" si="127">CV152*I152</f>
        <v>730.95100000000002</v>
      </c>
      <c r="V152">
        <f t="shared" ref="V152:V163" si="128">CW152*I152</f>
        <v>0</v>
      </c>
      <c r="W152">
        <f t="shared" ref="W152:W163" si="129">ROUND(CX152*I152,2)</f>
        <v>0</v>
      </c>
      <c r="X152">
        <f t="shared" ref="X152:X163" si="130">ROUND(CY152,2)</f>
        <v>141370.26999999999</v>
      </c>
      <c r="Y152">
        <f t="shared" ref="Y152:Y163" si="131">ROUND(CZ152,2)</f>
        <v>85237.96</v>
      </c>
      <c r="AA152">
        <v>42938047</v>
      </c>
      <c r="AB152">
        <f t="shared" ref="AB152:AB163" si="132">ROUND((AC152+AD152+AF152),6)</f>
        <v>857.51</v>
      </c>
      <c r="AC152">
        <f t="shared" ref="AC152:AC163" si="133">ROUND((ES152),6)</f>
        <v>0</v>
      </c>
      <c r="AD152">
        <f>ROUND((((ET152)-(EU152))+AE152),6)</f>
        <v>0</v>
      </c>
      <c r="AE152">
        <f>ROUND((EU152),6)</f>
        <v>0</v>
      </c>
      <c r="AF152">
        <f>ROUND((EV152),6)</f>
        <v>857.51</v>
      </c>
      <c r="AG152">
        <f t="shared" ref="AG152:AG163" si="134">ROUND((AP152),6)</f>
        <v>0</v>
      </c>
      <c r="AH152">
        <f>(EW152)</f>
        <v>76.7</v>
      </c>
      <c r="AI152">
        <f>(EX152)</f>
        <v>0</v>
      </c>
      <c r="AJ152">
        <f t="shared" ref="AJ152:AJ163" si="135">(AS152)</f>
        <v>0</v>
      </c>
      <c r="AK152">
        <v>857.51</v>
      </c>
      <c r="AL152">
        <v>0</v>
      </c>
      <c r="AM152">
        <v>0</v>
      </c>
      <c r="AN152">
        <v>0</v>
      </c>
      <c r="AO152">
        <v>857.51</v>
      </c>
      <c r="AP152">
        <v>0</v>
      </c>
      <c r="AQ152">
        <v>76.7</v>
      </c>
      <c r="AR152">
        <v>0</v>
      </c>
      <c r="AS152">
        <v>0</v>
      </c>
      <c r="AT152">
        <v>68</v>
      </c>
      <c r="AU152">
        <v>41</v>
      </c>
      <c r="AV152">
        <v>1</v>
      </c>
      <c r="AW152">
        <v>1</v>
      </c>
      <c r="AZ152">
        <v>1</v>
      </c>
      <c r="BA152">
        <v>25.44</v>
      </c>
      <c r="BB152">
        <v>1</v>
      </c>
      <c r="BC152">
        <v>1</v>
      </c>
      <c r="BD152" t="s">
        <v>3</v>
      </c>
      <c r="BE152" t="s">
        <v>3</v>
      </c>
      <c r="BF152" t="s">
        <v>3</v>
      </c>
      <c r="BG152" t="s">
        <v>3</v>
      </c>
      <c r="BH152">
        <v>0</v>
      </c>
      <c r="BI152">
        <v>1</v>
      </c>
      <c r="BJ152" t="s">
        <v>328</v>
      </c>
      <c r="BM152">
        <v>674</v>
      </c>
      <c r="BN152">
        <v>0</v>
      </c>
      <c r="BO152" t="s">
        <v>326</v>
      </c>
      <c r="BP152">
        <v>1</v>
      </c>
      <c r="BQ152">
        <v>60</v>
      </c>
      <c r="BR152">
        <v>0</v>
      </c>
      <c r="BS152">
        <v>25.44</v>
      </c>
      <c r="BT152">
        <v>1</v>
      </c>
      <c r="BU152">
        <v>1</v>
      </c>
      <c r="BV152">
        <v>1</v>
      </c>
      <c r="BW152">
        <v>1</v>
      </c>
      <c r="BX152">
        <v>1</v>
      </c>
      <c r="BY152" t="s">
        <v>3</v>
      </c>
      <c r="BZ152">
        <v>68</v>
      </c>
      <c r="CA152">
        <v>41</v>
      </c>
      <c r="CB152" t="s">
        <v>3</v>
      </c>
      <c r="CE152">
        <v>30</v>
      </c>
      <c r="CF152">
        <v>0</v>
      </c>
      <c r="CG152">
        <v>0</v>
      </c>
      <c r="CM152">
        <v>0</v>
      </c>
      <c r="CN152" t="s">
        <v>3</v>
      </c>
      <c r="CO152">
        <v>0</v>
      </c>
      <c r="CP152">
        <f t="shared" ref="CP152:CP163" si="136">(P152+Q152+S152)</f>
        <v>207897.46</v>
      </c>
      <c r="CQ152">
        <f t="shared" ref="CQ152:CQ163" si="137">ROUND((ROUND((AC152*AW152*1),2)*BC152),2)</f>
        <v>0</v>
      </c>
      <c r="CR152">
        <f>(ROUND((ROUND(((ET152)*AV152*1),2)*BB152),2)+ROUND((ROUND(((AE152-(EU152))*AV152*1),2)*BS152),2))</f>
        <v>0</v>
      </c>
      <c r="CS152">
        <f t="shared" ref="CS152:CS163" si="138">ROUND((ROUND((AE152*AV152*1),2)*BS152),2)</f>
        <v>0</v>
      </c>
      <c r="CT152">
        <f t="shared" ref="CT152:CT163" si="139">ROUND((ROUND((AF152*AV152*1),2)*BA152),2)</f>
        <v>21815.05</v>
      </c>
      <c r="CU152">
        <f t="shared" ref="CU152:CU163" si="140">AG152</f>
        <v>0</v>
      </c>
      <c r="CV152">
        <f t="shared" ref="CV152:CV163" si="141">(AH152*AV152)</f>
        <v>76.7</v>
      </c>
      <c r="CW152">
        <f t="shared" ref="CW152:CW163" si="142">AI152</f>
        <v>0</v>
      </c>
      <c r="CX152">
        <f t="shared" ref="CX152:CX163" si="143">AJ152</f>
        <v>0</v>
      </c>
      <c r="CY152">
        <f t="shared" ref="CY152:CY163" si="144">S152*(BZ152/100)</f>
        <v>141370.27280000001</v>
      </c>
      <c r="CZ152">
        <f t="shared" ref="CZ152:CZ163" si="145">S152*(CA152/100)</f>
        <v>85237.958599999998</v>
      </c>
      <c r="DC152" t="s">
        <v>3</v>
      </c>
      <c r="DD152" t="s">
        <v>3</v>
      </c>
      <c r="DE152" t="s">
        <v>3</v>
      </c>
      <c r="DF152" t="s">
        <v>3</v>
      </c>
      <c r="DG152" t="s">
        <v>3</v>
      </c>
      <c r="DH152" t="s">
        <v>3</v>
      </c>
      <c r="DI152" t="s">
        <v>3</v>
      </c>
      <c r="DJ152" t="s">
        <v>3</v>
      </c>
      <c r="DK152" t="s">
        <v>3</v>
      </c>
      <c r="DL152" t="s">
        <v>3</v>
      </c>
      <c r="DM152" t="s">
        <v>3</v>
      </c>
      <c r="DN152">
        <v>80</v>
      </c>
      <c r="DO152">
        <v>55</v>
      </c>
      <c r="DP152">
        <v>1</v>
      </c>
      <c r="DQ152">
        <v>1</v>
      </c>
      <c r="DU152">
        <v>1003</v>
      </c>
      <c r="DV152" t="s">
        <v>152</v>
      </c>
      <c r="DW152" t="s">
        <v>152</v>
      </c>
      <c r="DX152">
        <v>100</v>
      </c>
      <c r="DZ152" t="s">
        <v>3</v>
      </c>
      <c r="EA152" t="s">
        <v>3</v>
      </c>
      <c r="EB152" t="s">
        <v>3</v>
      </c>
      <c r="EC152" t="s">
        <v>3</v>
      </c>
      <c r="EE152">
        <v>43088752</v>
      </c>
      <c r="EF152">
        <v>60</v>
      </c>
      <c r="EG152" t="s">
        <v>40</v>
      </c>
      <c r="EH152">
        <v>0</v>
      </c>
      <c r="EI152" t="s">
        <v>3</v>
      </c>
      <c r="EJ152">
        <v>1</v>
      </c>
      <c r="EK152">
        <v>674</v>
      </c>
      <c r="EL152" t="s">
        <v>41</v>
      </c>
      <c r="EM152" t="s">
        <v>42</v>
      </c>
      <c r="EO152" t="s">
        <v>3</v>
      </c>
      <c r="EQ152">
        <v>0</v>
      </c>
      <c r="ER152">
        <v>857.51</v>
      </c>
      <c r="ES152">
        <v>0</v>
      </c>
      <c r="ET152">
        <v>0</v>
      </c>
      <c r="EU152">
        <v>0</v>
      </c>
      <c r="EV152">
        <v>857.51</v>
      </c>
      <c r="EW152">
        <v>76.7</v>
      </c>
      <c r="EX152">
        <v>0</v>
      </c>
      <c r="EY152">
        <v>0</v>
      </c>
      <c r="FQ152">
        <v>0</v>
      </c>
      <c r="FR152">
        <f t="shared" ref="FR152:FR163" si="146">ROUND(IF(AND(BH152=3,BI152=3),P152,0),2)</f>
        <v>0</v>
      </c>
      <c r="FS152">
        <v>0</v>
      </c>
      <c r="FX152">
        <v>80</v>
      </c>
      <c r="FY152">
        <v>55</v>
      </c>
      <c r="GA152" t="s">
        <v>3</v>
      </c>
      <c r="GD152">
        <v>0</v>
      </c>
      <c r="GF152">
        <v>-972214922</v>
      </c>
      <c r="GG152">
        <v>2</v>
      </c>
      <c r="GH152">
        <v>1</v>
      </c>
      <c r="GI152">
        <v>2</v>
      </c>
      <c r="GJ152">
        <v>0</v>
      </c>
      <c r="GK152">
        <f>ROUND(R152*(R12)/100,2)</f>
        <v>0</v>
      </c>
      <c r="GL152">
        <f t="shared" ref="GL152:GL163" si="147">ROUND(IF(AND(BH152=3,BI152=3,FS152&lt;&gt;0),P152,0),2)</f>
        <v>0</v>
      </c>
      <c r="GM152">
        <f t="shared" ref="GM152:GM163" si="148">ROUND(O152+X152+Y152+GK152,2)+GX152</f>
        <v>434505.69</v>
      </c>
      <c r="GN152">
        <f t="shared" ref="GN152:GN163" si="149">IF(OR(BI152=0,BI152=1),ROUND(O152+X152+Y152+GK152,2),0)</f>
        <v>434505.69</v>
      </c>
      <c r="GO152">
        <f t="shared" ref="GO152:GO163" si="150">IF(BI152=2,ROUND(O152+X152+Y152+GK152,2),0)</f>
        <v>0</v>
      </c>
      <c r="GP152">
        <f t="shared" ref="GP152:GP163" si="151">IF(BI152=4,ROUND(O152+X152+Y152+GK152,2)+GX152,0)</f>
        <v>0</v>
      </c>
      <c r="GR152">
        <v>0</v>
      </c>
      <c r="GS152">
        <v>3</v>
      </c>
      <c r="GT152">
        <v>0</v>
      </c>
      <c r="GU152" t="s">
        <v>3</v>
      </c>
      <c r="GV152">
        <f t="shared" ref="GV152:GV163" si="152">ROUND((GT152),6)</f>
        <v>0</v>
      </c>
      <c r="GW152">
        <v>1</v>
      </c>
      <c r="GX152">
        <f t="shared" ref="GX152:GX163" si="153">ROUND(HC152*I152,2)</f>
        <v>0</v>
      </c>
      <c r="HA152">
        <v>0</v>
      </c>
      <c r="HB152">
        <v>0</v>
      </c>
      <c r="HC152">
        <f t="shared" ref="HC152:HC163" si="154">GV152*GW152</f>
        <v>0</v>
      </c>
      <c r="HE152" t="s">
        <v>3</v>
      </c>
      <c r="HF152" t="s">
        <v>3</v>
      </c>
      <c r="HM152" t="s">
        <v>3</v>
      </c>
      <c r="IK152">
        <v>0</v>
      </c>
    </row>
    <row r="153" spans="1:245" x14ac:dyDescent="0.2">
      <c r="A153">
        <v>17</v>
      </c>
      <c r="B153">
        <v>1</v>
      </c>
      <c r="C153">
        <f>ROW(SmtRes!A142)</f>
        <v>142</v>
      </c>
      <c r="D153">
        <f>ROW(EtalonRes!A140)</f>
        <v>140</v>
      </c>
      <c r="E153" t="s">
        <v>329</v>
      </c>
      <c r="F153" t="s">
        <v>61</v>
      </c>
      <c r="G153" t="s">
        <v>330</v>
      </c>
      <c r="H153" t="s">
        <v>63</v>
      </c>
      <c r="I153">
        <f>ROUND(76.24/100,9)</f>
        <v>0.76239999999999997</v>
      </c>
      <c r="J153">
        <v>0</v>
      </c>
      <c r="K153">
        <f>ROUND(76.24/100,9)</f>
        <v>0.76239999999999997</v>
      </c>
      <c r="O153">
        <f t="shared" si="122"/>
        <v>45560.24</v>
      </c>
      <c r="P153">
        <f t="shared" si="123"/>
        <v>0</v>
      </c>
      <c r="Q153">
        <f>(ROUND((ROUND((((ET153*1.25))*AV153*I153),2)*BB153),2)+ROUND((ROUND(((AE153-((EU153*1.25)))*AV153*I153),2)*BS153),2))</f>
        <v>0</v>
      </c>
      <c r="R153">
        <f t="shared" si="124"/>
        <v>0</v>
      </c>
      <c r="S153">
        <f t="shared" si="125"/>
        <v>45560.24</v>
      </c>
      <c r="T153">
        <f t="shared" si="126"/>
        <v>0</v>
      </c>
      <c r="U153">
        <f t="shared" si="127"/>
        <v>168.95165199999997</v>
      </c>
      <c r="V153">
        <f t="shared" si="128"/>
        <v>0</v>
      </c>
      <c r="W153">
        <f t="shared" si="129"/>
        <v>0</v>
      </c>
      <c r="X153">
        <f t="shared" si="130"/>
        <v>33258.980000000003</v>
      </c>
      <c r="Y153">
        <f t="shared" si="131"/>
        <v>18679.7</v>
      </c>
      <c r="AA153">
        <v>42938047</v>
      </c>
      <c r="AB153">
        <f t="shared" si="132"/>
        <v>2349.0129999999999</v>
      </c>
      <c r="AC153">
        <f t="shared" si="133"/>
        <v>0</v>
      </c>
      <c r="AD153">
        <f>ROUND(((((ET153*1.25))-((EU153*1.25)))+AE153),6)</f>
        <v>0</v>
      </c>
      <c r="AE153">
        <f>ROUND(((EU153*1.25)),6)</f>
        <v>0</v>
      </c>
      <c r="AF153">
        <f>ROUND(((EV153*1.15)),6)</f>
        <v>2349.0129999999999</v>
      </c>
      <c r="AG153">
        <f t="shared" si="134"/>
        <v>0</v>
      </c>
      <c r="AH153">
        <f>((EW153*1.15))</f>
        <v>221.60499999999996</v>
      </c>
      <c r="AI153">
        <f>((EX153*1.25))</f>
        <v>0</v>
      </c>
      <c r="AJ153">
        <f t="shared" si="135"/>
        <v>0</v>
      </c>
      <c r="AK153">
        <v>2042.62</v>
      </c>
      <c r="AL153">
        <v>0</v>
      </c>
      <c r="AM153">
        <v>0</v>
      </c>
      <c r="AN153">
        <v>0</v>
      </c>
      <c r="AO153">
        <v>2042.62</v>
      </c>
      <c r="AP153">
        <v>0</v>
      </c>
      <c r="AQ153">
        <v>192.7</v>
      </c>
      <c r="AR153">
        <v>0</v>
      </c>
      <c r="AS153">
        <v>0</v>
      </c>
      <c r="AT153">
        <v>73</v>
      </c>
      <c r="AU153">
        <v>41</v>
      </c>
      <c r="AV153">
        <v>1</v>
      </c>
      <c r="AW153">
        <v>1</v>
      </c>
      <c r="AZ153">
        <v>1</v>
      </c>
      <c r="BA153">
        <v>25.44</v>
      </c>
      <c r="BB153">
        <v>1</v>
      </c>
      <c r="BC153">
        <v>1</v>
      </c>
      <c r="BD153" t="s">
        <v>3</v>
      </c>
      <c r="BE153" t="s">
        <v>3</v>
      </c>
      <c r="BF153" t="s">
        <v>3</v>
      </c>
      <c r="BG153" t="s">
        <v>3</v>
      </c>
      <c r="BH153">
        <v>0</v>
      </c>
      <c r="BI153">
        <v>1</v>
      </c>
      <c r="BJ153" t="s">
        <v>64</v>
      </c>
      <c r="BM153">
        <v>16</v>
      </c>
      <c r="BN153">
        <v>0</v>
      </c>
      <c r="BO153" t="s">
        <v>61</v>
      </c>
      <c r="BP153">
        <v>1</v>
      </c>
      <c r="BQ153">
        <v>30</v>
      </c>
      <c r="BR153">
        <v>0</v>
      </c>
      <c r="BS153">
        <v>25.44</v>
      </c>
      <c r="BT153">
        <v>1</v>
      </c>
      <c r="BU153">
        <v>1</v>
      </c>
      <c r="BV153">
        <v>1</v>
      </c>
      <c r="BW153">
        <v>1</v>
      </c>
      <c r="BX153">
        <v>1</v>
      </c>
      <c r="BY153" t="s">
        <v>3</v>
      </c>
      <c r="BZ153">
        <v>73</v>
      </c>
      <c r="CA153">
        <v>41</v>
      </c>
      <c r="CB153" t="s">
        <v>3</v>
      </c>
      <c r="CE153">
        <v>30</v>
      </c>
      <c r="CF153">
        <v>0</v>
      </c>
      <c r="CG153">
        <v>0</v>
      </c>
      <c r="CM153">
        <v>0</v>
      </c>
      <c r="CN153" t="s">
        <v>1584</v>
      </c>
      <c r="CO153">
        <v>0</v>
      </c>
      <c r="CP153">
        <f t="shared" si="136"/>
        <v>45560.24</v>
      </c>
      <c r="CQ153">
        <f t="shared" si="137"/>
        <v>0</v>
      </c>
      <c r="CR153">
        <f>(ROUND((ROUND((((ET153*1.25))*AV153*1),2)*BB153),2)+ROUND((ROUND(((AE153-((EU153*1.25)))*AV153*1),2)*BS153),2))</f>
        <v>0</v>
      </c>
      <c r="CS153">
        <f t="shared" si="138"/>
        <v>0</v>
      </c>
      <c r="CT153">
        <f t="shared" si="139"/>
        <v>59758.81</v>
      </c>
      <c r="CU153">
        <f t="shared" si="140"/>
        <v>0</v>
      </c>
      <c r="CV153">
        <f t="shared" si="141"/>
        <v>221.60499999999996</v>
      </c>
      <c r="CW153">
        <f t="shared" si="142"/>
        <v>0</v>
      </c>
      <c r="CX153">
        <f t="shared" si="143"/>
        <v>0</v>
      </c>
      <c r="CY153">
        <f t="shared" si="144"/>
        <v>33258.975200000001</v>
      </c>
      <c r="CZ153">
        <f t="shared" si="145"/>
        <v>18679.698399999997</v>
      </c>
      <c r="DC153" t="s">
        <v>3</v>
      </c>
      <c r="DD153" t="s">
        <v>3</v>
      </c>
      <c r="DE153" t="s">
        <v>20</v>
      </c>
      <c r="DF153" t="s">
        <v>20</v>
      </c>
      <c r="DG153" t="s">
        <v>21</v>
      </c>
      <c r="DH153" t="s">
        <v>3</v>
      </c>
      <c r="DI153" t="s">
        <v>21</v>
      </c>
      <c r="DJ153" t="s">
        <v>20</v>
      </c>
      <c r="DK153" t="s">
        <v>3</v>
      </c>
      <c r="DL153" t="s">
        <v>3</v>
      </c>
      <c r="DM153" t="s">
        <v>3</v>
      </c>
      <c r="DN153">
        <v>91</v>
      </c>
      <c r="DO153">
        <v>67</v>
      </c>
      <c r="DP153">
        <v>1</v>
      </c>
      <c r="DQ153">
        <v>1</v>
      </c>
      <c r="DU153">
        <v>1013</v>
      </c>
      <c r="DV153" t="s">
        <v>63</v>
      </c>
      <c r="DW153" t="s">
        <v>63</v>
      </c>
      <c r="DX153">
        <v>1</v>
      </c>
      <c r="DZ153" t="s">
        <v>3</v>
      </c>
      <c r="EA153" t="s">
        <v>3</v>
      </c>
      <c r="EB153" t="s">
        <v>3</v>
      </c>
      <c r="EC153" t="s">
        <v>3</v>
      </c>
      <c r="EE153">
        <v>43090095</v>
      </c>
      <c r="EF153">
        <v>30</v>
      </c>
      <c r="EG153" t="s">
        <v>22</v>
      </c>
      <c r="EH153">
        <v>0</v>
      </c>
      <c r="EI153" t="s">
        <v>3</v>
      </c>
      <c r="EJ153">
        <v>1</v>
      </c>
      <c r="EK153">
        <v>16</v>
      </c>
      <c r="EL153" t="s">
        <v>66</v>
      </c>
      <c r="EM153" t="s">
        <v>67</v>
      </c>
      <c r="EO153" t="s">
        <v>59</v>
      </c>
      <c r="EQ153">
        <v>0</v>
      </c>
      <c r="ER153">
        <v>2042.62</v>
      </c>
      <c r="ES153">
        <v>0</v>
      </c>
      <c r="ET153">
        <v>0</v>
      </c>
      <c r="EU153">
        <v>0</v>
      </c>
      <c r="EV153">
        <v>2042.62</v>
      </c>
      <c r="EW153">
        <v>192.7</v>
      </c>
      <c r="EX153">
        <v>0</v>
      </c>
      <c r="EY153">
        <v>0</v>
      </c>
      <c r="FQ153">
        <v>0</v>
      </c>
      <c r="FR153">
        <f t="shared" si="146"/>
        <v>0</v>
      </c>
      <c r="FS153">
        <v>0</v>
      </c>
      <c r="FX153">
        <v>91</v>
      </c>
      <c r="FY153">
        <v>67</v>
      </c>
      <c r="GA153" t="s">
        <v>3</v>
      </c>
      <c r="GD153">
        <v>0</v>
      </c>
      <c r="GF153">
        <v>-1632341149</v>
      </c>
      <c r="GG153">
        <v>2</v>
      </c>
      <c r="GH153">
        <v>1</v>
      </c>
      <c r="GI153">
        <v>2</v>
      </c>
      <c r="GJ153">
        <v>0</v>
      </c>
      <c r="GK153">
        <f>ROUND(R153*(R12)/100,2)</f>
        <v>0</v>
      </c>
      <c r="GL153">
        <f t="shared" si="147"/>
        <v>0</v>
      </c>
      <c r="GM153">
        <f t="shared" si="148"/>
        <v>97498.92</v>
      </c>
      <c r="GN153">
        <f t="shared" si="149"/>
        <v>97498.92</v>
      </c>
      <c r="GO153">
        <f t="shared" si="150"/>
        <v>0</v>
      </c>
      <c r="GP153">
        <f t="shared" si="151"/>
        <v>0</v>
      </c>
      <c r="GR153">
        <v>0</v>
      </c>
      <c r="GS153">
        <v>3</v>
      </c>
      <c r="GT153">
        <v>0</v>
      </c>
      <c r="GU153" t="s">
        <v>3</v>
      </c>
      <c r="GV153">
        <f t="shared" si="152"/>
        <v>0</v>
      </c>
      <c r="GW153">
        <v>1</v>
      </c>
      <c r="GX153">
        <f t="shared" si="153"/>
        <v>0</v>
      </c>
      <c r="HA153">
        <v>0</v>
      </c>
      <c r="HB153">
        <v>0</v>
      </c>
      <c r="HC153">
        <f t="shared" si="154"/>
        <v>0</v>
      </c>
      <c r="HE153" t="s">
        <v>3</v>
      </c>
      <c r="HF153" t="s">
        <v>3</v>
      </c>
      <c r="HM153" t="s">
        <v>3</v>
      </c>
      <c r="IK153">
        <v>0</v>
      </c>
    </row>
    <row r="154" spans="1:245" x14ac:dyDescent="0.2">
      <c r="A154">
        <v>17</v>
      </c>
      <c r="B154">
        <v>1</v>
      </c>
      <c r="C154">
        <f>ROW(SmtRes!A152)</f>
        <v>152</v>
      </c>
      <c r="D154">
        <f>ROW(EtalonRes!A149)</f>
        <v>149</v>
      </c>
      <c r="E154" t="s">
        <v>331</v>
      </c>
      <c r="F154" t="s">
        <v>332</v>
      </c>
      <c r="G154" t="s">
        <v>333</v>
      </c>
      <c r="H154" t="s">
        <v>334</v>
      </c>
      <c r="I154">
        <f>ROUND(953/100,9)</f>
        <v>9.5299999999999994</v>
      </c>
      <c r="J154">
        <v>0</v>
      </c>
      <c r="K154">
        <f>ROUND(953/100,9)</f>
        <v>9.5299999999999994</v>
      </c>
      <c r="O154">
        <f t="shared" si="122"/>
        <v>401370.2</v>
      </c>
      <c r="P154">
        <f t="shared" si="123"/>
        <v>199756.09</v>
      </c>
      <c r="Q154">
        <f>(ROUND((ROUND((((ET154*1.25))*AV154*I154),2)*BB154),2)+ROUND((ROUND(((AE154-((EU154*1.25)))*AV154*I154),2)*BS154),2))</f>
        <v>5886.89</v>
      </c>
      <c r="R154">
        <f t="shared" si="124"/>
        <v>2506.35</v>
      </c>
      <c r="S154">
        <f t="shared" si="125"/>
        <v>195727.22</v>
      </c>
      <c r="T154">
        <f t="shared" si="126"/>
        <v>0</v>
      </c>
      <c r="U154">
        <f t="shared" si="127"/>
        <v>695.27067999999986</v>
      </c>
      <c r="V154">
        <f t="shared" si="128"/>
        <v>0</v>
      </c>
      <c r="W154">
        <f t="shared" si="129"/>
        <v>0</v>
      </c>
      <c r="X154">
        <f t="shared" si="130"/>
        <v>219214.49</v>
      </c>
      <c r="Y154">
        <f t="shared" si="131"/>
        <v>80248.160000000003</v>
      </c>
      <c r="AA154">
        <v>42938047</v>
      </c>
      <c r="AB154">
        <f t="shared" si="132"/>
        <v>4584.1064999999999</v>
      </c>
      <c r="AC154">
        <f t="shared" si="133"/>
        <v>3709.87</v>
      </c>
      <c r="AD154">
        <f>ROUND(((((ET154*1.25))-((EU154*1.25)))+AE154),6)</f>
        <v>66.924999999999997</v>
      </c>
      <c r="AE154">
        <f>ROUND(((EU154*1.25)),6)</f>
        <v>10.3375</v>
      </c>
      <c r="AF154">
        <f>ROUND(((EV154*1.15)),6)</f>
        <v>807.31150000000002</v>
      </c>
      <c r="AG154">
        <f t="shared" si="134"/>
        <v>0</v>
      </c>
      <c r="AH154">
        <f>((EW154*1.15))</f>
        <v>72.955999999999989</v>
      </c>
      <c r="AI154">
        <f>((EX154*1.25))</f>
        <v>0</v>
      </c>
      <c r="AJ154">
        <f t="shared" si="135"/>
        <v>0</v>
      </c>
      <c r="AK154">
        <v>4465.42</v>
      </c>
      <c r="AL154">
        <v>3709.87</v>
      </c>
      <c r="AM154">
        <v>53.54</v>
      </c>
      <c r="AN154">
        <v>8.27</v>
      </c>
      <c r="AO154">
        <v>702.01</v>
      </c>
      <c r="AP154">
        <v>0</v>
      </c>
      <c r="AQ154">
        <v>63.44</v>
      </c>
      <c r="AR154">
        <v>0</v>
      </c>
      <c r="AS154">
        <v>0</v>
      </c>
      <c r="AT154">
        <v>112</v>
      </c>
      <c r="AU154">
        <v>41</v>
      </c>
      <c r="AV154">
        <v>1</v>
      </c>
      <c r="AW154">
        <v>1</v>
      </c>
      <c r="AZ154">
        <v>1</v>
      </c>
      <c r="BA154">
        <v>25.44</v>
      </c>
      <c r="BB154">
        <v>9.23</v>
      </c>
      <c r="BC154">
        <v>5.65</v>
      </c>
      <c r="BD154" t="s">
        <v>3</v>
      </c>
      <c r="BE154" t="s">
        <v>3</v>
      </c>
      <c r="BF154" t="s">
        <v>3</v>
      </c>
      <c r="BG154" t="s">
        <v>3</v>
      </c>
      <c r="BH154">
        <v>0</v>
      </c>
      <c r="BI154">
        <v>1</v>
      </c>
      <c r="BJ154" t="s">
        <v>335</v>
      </c>
      <c r="BM154">
        <v>1693</v>
      </c>
      <c r="BN154">
        <v>0</v>
      </c>
      <c r="BO154" t="s">
        <v>332</v>
      </c>
      <c r="BP154">
        <v>1</v>
      </c>
      <c r="BQ154">
        <v>30</v>
      </c>
      <c r="BR154">
        <v>0</v>
      </c>
      <c r="BS154">
        <v>25.44</v>
      </c>
      <c r="BT154">
        <v>1</v>
      </c>
      <c r="BU154">
        <v>1</v>
      </c>
      <c r="BV154">
        <v>1</v>
      </c>
      <c r="BW154">
        <v>1</v>
      </c>
      <c r="BX154">
        <v>1</v>
      </c>
      <c r="BY154" t="s">
        <v>3</v>
      </c>
      <c r="BZ154">
        <v>112</v>
      </c>
      <c r="CA154">
        <v>41</v>
      </c>
      <c r="CB154" t="s">
        <v>3</v>
      </c>
      <c r="CE154">
        <v>30</v>
      </c>
      <c r="CF154">
        <v>0</v>
      </c>
      <c r="CG154">
        <v>0</v>
      </c>
      <c r="CM154">
        <v>0</v>
      </c>
      <c r="CN154" t="s">
        <v>1584</v>
      </c>
      <c r="CO154">
        <v>0</v>
      </c>
      <c r="CP154">
        <f t="shared" si="136"/>
        <v>401370.2</v>
      </c>
      <c r="CQ154">
        <f t="shared" si="137"/>
        <v>20960.77</v>
      </c>
      <c r="CR154">
        <f>(ROUND((ROUND((((ET154*1.25))*AV154*1),2)*BB154),2)+ROUND((ROUND(((AE154-((EU154*1.25)))*AV154*1),2)*BS154),2))</f>
        <v>617.76</v>
      </c>
      <c r="CS154">
        <f t="shared" si="138"/>
        <v>263.05</v>
      </c>
      <c r="CT154">
        <f t="shared" si="139"/>
        <v>20537.97</v>
      </c>
      <c r="CU154">
        <f t="shared" si="140"/>
        <v>0</v>
      </c>
      <c r="CV154">
        <f t="shared" si="141"/>
        <v>72.955999999999989</v>
      </c>
      <c r="CW154">
        <f t="shared" si="142"/>
        <v>0</v>
      </c>
      <c r="CX154">
        <f t="shared" si="143"/>
        <v>0</v>
      </c>
      <c r="CY154">
        <f t="shared" si="144"/>
        <v>219214.48640000002</v>
      </c>
      <c r="CZ154">
        <f t="shared" si="145"/>
        <v>80248.160199999998</v>
      </c>
      <c r="DC154" t="s">
        <v>3</v>
      </c>
      <c r="DD154" t="s">
        <v>3</v>
      </c>
      <c r="DE154" t="s">
        <v>20</v>
      </c>
      <c r="DF154" t="s">
        <v>20</v>
      </c>
      <c r="DG154" t="s">
        <v>21</v>
      </c>
      <c r="DH154" t="s">
        <v>3</v>
      </c>
      <c r="DI154" t="s">
        <v>21</v>
      </c>
      <c r="DJ154" t="s">
        <v>20</v>
      </c>
      <c r="DK154" t="s">
        <v>3</v>
      </c>
      <c r="DL154" t="s">
        <v>3</v>
      </c>
      <c r="DM154" t="s">
        <v>3</v>
      </c>
      <c r="DN154">
        <v>140</v>
      </c>
      <c r="DO154">
        <v>79</v>
      </c>
      <c r="DP154">
        <v>1</v>
      </c>
      <c r="DQ154">
        <v>1</v>
      </c>
      <c r="DU154">
        <v>1013</v>
      </c>
      <c r="DV154" t="s">
        <v>334</v>
      </c>
      <c r="DW154" t="s">
        <v>334</v>
      </c>
      <c r="DX154">
        <v>1</v>
      </c>
      <c r="DZ154" t="s">
        <v>3</v>
      </c>
      <c r="EA154" t="s">
        <v>3</v>
      </c>
      <c r="EB154" t="s">
        <v>3</v>
      </c>
      <c r="EC154" t="s">
        <v>3</v>
      </c>
      <c r="EE154">
        <v>43089771</v>
      </c>
      <c r="EF154">
        <v>30</v>
      </c>
      <c r="EG154" t="s">
        <v>22</v>
      </c>
      <c r="EH154">
        <v>0</v>
      </c>
      <c r="EI154" t="s">
        <v>3</v>
      </c>
      <c r="EJ154">
        <v>1</v>
      </c>
      <c r="EK154">
        <v>1693</v>
      </c>
      <c r="EL154" t="s">
        <v>336</v>
      </c>
      <c r="EM154" t="s">
        <v>337</v>
      </c>
      <c r="EO154" t="s">
        <v>59</v>
      </c>
      <c r="EQ154">
        <v>0</v>
      </c>
      <c r="ER154">
        <v>4465.42</v>
      </c>
      <c r="ES154">
        <v>3709.87</v>
      </c>
      <c r="ET154">
        <v>53.54</v>
      </c>
      <c r="EU154">
        <v>8.27</v>
      </c>
      <c r="EV154">
        <v>702.01</v>
      </c>
      <c r="EW154">
        <v>63.44</v>
      </c>
      <c r="EX154">
        <v>0</v>
      </c>
      <c r="EY154">
        <v>0</v>
      </c>
      <c r="FQ154">
        <v>0</v>
      </c>
      <c r="FR154">
        <f t="shared" si="146"/>
        <v>0</v>
      </c>
      <c r="FS154">
        <v>0</v>
      </c>
      <c r="FX154">
        <v>140</v>
      </c>
      <c r="FY154">
        <v>79</v>
      </c>
      <c r="GA154" t="s">
        <v>3</v>
      </c>
      <c r="GD154">
        <v>0</v>
      </c>
      <c r="GF154">
        <v>574270988</v>
      </c>
      <c r="GG154">
        <v>2</v>
      </c>
      <c r="GH154">
        <v>1</v>
      </c>
      <c r="GI154">
        <v>2</v>
      </c>
      <c r="GJ154">
        <v>0</v>
      </c>
      <c r="GK154">
        <f>ROUND(R154*(R12)/100,2)</f>
        <v>3934.97</v>
      </c>
      <c r="GL154">
        <f t="shared" si="147"/>
        <v>0</v>
      </c>
      <c r="GM154">
        <f t="shared" si="148"/>
        <v>704767.82</v>
      </c>
      <c r="GN154">
        <f t="shared" si="149"/>
        <v>704767.82</v>
      </c>
      <c r="GO154">
        <f t="shared" si="150"/>
        <v>0</v>
      </c>
      <c r="GP154">
        <f t="shared" si="151"/>
        <v>0</v>
      </c>
      <c r="GR154">
        <v>0</v>
      </c>
      <c r="GS154">
        <v>3</v>
      </c>
      <c r="GT154">
        <v>0</v>
      </c>
      <c r="GU154" t="s">
        <v>3</v>
      </c>
      <c r="GV154">
        <f t="shared" si="152"/>
        <v>0</v>
      </c>
      <c r="GW154">
        <v>1</v>
      </c>
      <c r="GX154">
        <f t="shared" si="153"/>
        <v>0</v>
      </c>
      <c r="HA154">
        <v>0</v>
      </c>
      <c r="HB154">
        <v>0</v>
      </c>
      <c r="HC154">
        <f t="shared" si="154"/>
        <v>0</v>
      </c>
      <c r="HE154" t="s">
        <v>3</v>
      </c>
      <c r="HF154" t="s">
        <v>3</v>
      </c>
      <c r="HM154" t="s">
        <v>3</v>
      </c>
      <c r="IK154">
        <v>0</v>
      </c>
    </row>
    <row r="155" spans="1:245" x14ac:dyDescent="0.2">
      <c r="A155">
        <v>18</v>
      </c>
      <c r="B155">
        <v>1</v>
      </c>
      <c r="C155">
        <v>150</v>
      </c>
      <c r="E155" t="s">
        <v>338</v>
      </c>
      <c r="F155" t="s">
        <v>107</v>
      </c>
      <c r="G155" t="s">
        <v>108</v>
      </c>
      <c r="H155" t="s">
        <v>84</v>
      </c>
      <c r="I155">
        <f>I154*J155</f>
        <v>-45.743999999999993</v>
      </c>
      <c r="J155">
        <v>-4.8</v>
      </c>
      <c r="K155">
        <v>-4.8</v>
      </c>
      <c r="O155">
        <f t="shared" si="122"/>
        <v>-193789.38</v>
      </c>
      <c r="P155">
        <f t="shared" si="123"/>
        <v>-193789.38</v>
      </c>
      <c r="Q155">
        <f t="shared" ref="Q155:Q163" si="155">(ROUND((ROUND(((ET155)*AV155*I155),2)*BB155),2)+ROUND((ROUND(((AE155-(EU155))*AV155*I155),2)*BS155),2))</f>
        <v>0</v>
      </c>
      <c r="R155">
        <f t="shared" si="124"/>
        <v>0</v>
      </c>
      <c r="S155">
        <f t="shared" si="125"/>
        <v>0</v>
      </c>
      <c r="T155">
        <f t="shared" si="126"/>
        <v>0</v>
      </c>
      <c r="U155">
        <f t="shared" si="127"/>
        <v>0</v>
      </c>
      <c r="V155">
        <f t="shared" si="128"/>
        <v>0</v>
      </c>
      <c r="W155">
        <f t="shared" si="129"/>
        <v>0</v>
      </c>
      <c r="X155">
        <f t="shared" si="130"/>
        <v>0</v>
      </c>
      <c r="Y155">
        <f t="shared" si="131"/>
        <v>0</v>
      </c>
      <c r="AA155">
        <v>42938047</v>
      </c>
      <c r="AB155">
        <f t="shared" si="132"/>
        <v>704.89</v>
      </c>
      <c r="AC155">
        <f t="shared" si="133"/>
        <v>704.89</v>
      </c>
      <c r="AD155">
        <f t="shared" ref="AD155:AD163" si="156">ROUND((((ET155)-(EU155))+AE155),6)</f>
        <v>0</v>
      </c>
      <c r="AE155">
        <f t="shared" ref="AE155:AE163" si="157">ROUND((EU155),6)</f>
        <v>0</v>
      </c>
      <c r="AF155">
        <f t="shared" ref="AF155:AF163" si="158">ROUND((EV155),6)</f>
        <v>0</v>
      </c>
      <c r="AG155">
        <f t="shared" si="134"/>
        <v>0</v>
      </c>
      <c r="AH155">
        <f t="shared" ref="AH155:AH163" si="159">(EW155)</f>
        <v>0</v>
      </c>
      <c r="AI155">
        <f t="shared" ref="AI155:AI163" si="160">(EX155)</f>
        <v>0</v>
      </c>
      <c r="AJ155">
        <f t="shared" si="135"/>
        <v>0</v>
      </c>
      <c r="AK155">
        <v>704.89</v>
      </c>
      <c r="AL155">
        <v>704.89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1</v>
      </c>
      <c r="AW155">
        <v>1</v>
      </c>
      <c r="AZ155">
        <v>1</v>
      </c>
      <c r="BA155">
        <v>1</v>
      </c>
      <c r="BB155">
        <v>1</v>
      </c>
      <c r="BC155">
        <v>6.01</v>
      </c>
      <c r="BD155" t="s">
        <v>3</v>
      </c>
      <c r="BE155" t="s">
        <v>3</v>
      </c>
      <c r="BF155" t="s">
        <v>3</v>
      </c>
      <c r="BG155" t="s">
        <v>3</v>
      </c>
      <c r="BH155">
        <v>3</v>
      </c>
      <c r="BI155">
        <v>1</v>
      </c>
      <c r="BJ155" t="s">
        <v>109</v>
      </c>
      <c r="BM155">
        <v>1693</v>
      </c>
      <c r="BN155">
        <v>0</v>
      </c>
      <c r="BO155" t="s">
        <v>107</v>
      </c>
      <c r="BP155">
        <v>1</v>
      </c>
      <c r="BQ155">
        <v>30</v>
      </c>
      <c r="BR155">
        <v>1</v>
      </c>
      <c r="BS155">
        <v>1</v>
      </c>
      <c r="BT155">
        <v>1</v>
      </c>
      <c r="BU155">
        <v>1</v>
      </c>
      <c r="BV155">
        <v>1</v>
      </c>
      <c r="BW155">
        <v>1</v>
      </c>
      <c r="BX155">
        <v>1</v>
      </c>
      <c r="BY155" t="s">
        <v>3</v>
      </c>
      <c r="BZ155">
        <v>0</v>
      </c>
      <c r="CA155">
        <v>0</v>
      </c>
      <c r="CB155" t="s">
        <v>3</v>
      </c>
      <c r="CE155">
        <v>30</v>
      </c>
      <c r="CF155">
        <v>0</v>
      </c>
      <c r="CG155">
        <v>0</v>
      </c>
      <c r="CM155">
        <v>0</v>
      </c>
      <c r="CN155" t="s">
        <v>3</v>
      </c>
      <c r="CO155">
        <v>0</v>
      </c>
      <c r="CP155">
        <f t="shared" si="136"/>
        <v>-193789.38</v>
      </c>
      <c r="CQ155">
        <f t="shared" si="137"/>
        <v>4236.3900000000003</v>
      </c>
      <c r="CR155">
        <f t="shared" ref="CR155:CR163" si="161">(ROUND((ROUND(((ET155)*AV155*1),2)*BB155),2)+ROUND((ROUND(((AE155-(EU155))*AV155*1),2)*BS155),2))</f>
        <v>0</v>
      </c>
      <c r="CS155">
        <f t="shared" si="138"/>
        <v>0</v>
      </c>
      <c r="CT155">
        <f t="shared" si="139"/>
        <v>0</v>
      </c>
      <c r="CU155">
        <f t="shared" si="140"/>
        <v>0</v>
      </c>
      <c r="CV155">
        <f t="shared" si="141"/>
        <v>0</v>
      </c>
      <c r="CW155">
        <f t="shared" si="142"/>
        <v>0</v>
      </c>
      <c r="CX155">
        <f t="shared" si="143"/>
        <v>0</v>
      </c>
      <c r="CY155">
        <f t="shared" si="144"/>
        <v>0</v>
      </c>
      <c r="CZ155">
        <f t="shared" si="145"/>
        <v>0</v>
      </c>
      <c r="DC155" t="s">
        <v>3</v>
      </c>
      <c r="DD155" t="s">
        <v>3</v>
      </c>
      <c r="DE155" t="s">
        <v>3</v>
      </c>
      <c r="DF155" t="s">
        <v>3</v>
      </c>
      <c r="DG155" t="s">
        <v>3</v>
      </c>
      <c r="DH155" t="s">
        <v>3</v>
      </c>
      <c r="DI155" t="s">
        <v>3</v>
      </c>
      <c r="DJ155" t="s">
        <v>3</v>
      </c>
      <c r="DK155" t="s">
        <v>3</v>
      </c>
      <c r="DL155" t="s">
        <v>3</v>
      </c>
      <c r="DM155" t="s">
        <v>3</v>
      </c>
      <c r="DN155">
        <v>140</v>
      </c>
      <c r="DO155">
        <v>79</v>
      </c>
      <c r="DP155">
        <v>1</v>
      </c>
      <c r="DQ155">
        <v>1</v>
      </c>
      <c r="DU155">
        <v>1007</v>
      </c>
      <c r="DV155" t="s">
        <v>84</v>
      </c>
      <c r="DW155" t="s">
        <v>84</v>
      </c>
      <c r="DX155">
        <v>1</v>
      </c>
      <c r="DZ155" t="s">
        <v>3</v>
      </c>
      <c r="EA155" t="s">
        <v>3</v>
      </c>
      <c r="EB155" t="s">
        <v>3</v>
      </c>
      <c r="EC155" t="s">
        <v>3</v>
      </c>
      <c r="EE155">
        <v>43089771</v>
      </c>
      <c r="EF155">
        <v>30</v>
      </c>
      <c r="EG155" t="s">
        <v>22</v>
      </c>
      <c r="EH155">
        <v>0</v>
      </c>
      <c r="EI155" t="s">
        <v>3</v>
      </c>
      <c r="EJ155">
        <v>1</v>
      </c>
      <c r="EK155">
        <v>1693</v>
      </c>
      <c r="EL155" t="s">
        <v>336</v>
      </c>
      <c r="EM155" t="s">
        <v>337</v>
      </c>
      <c r="EO155" t="s">
        <v>3</v>
      </c>
      <c r="EQ155">
        <v>0</v>
      </c>
      <c r="ER155">
        <v>704.89</v>
      </c>
      <c r="ES155">
        <v>704.89</v>
      </c>
      <c r="ET155">
        <v>0</v>
      </c>
      <c r="EU155">
        <v>0</v>
      </c>
      <c r="EV155">
        <v>0</v>
      </c>
      <c r="EW155">
        <v>0</v>
      </c>
      <c r="EX155">
        <v>0</v>
      </c>
      <c r="FQ155">
        <v>0</v>
      </c>
      <c r="FR155">
        <f t="shared" si="146"/>
        <v>0</v>
      </c>
      <c r="FS155">
        <v>0</v>
      </c>
      <c r="FX155">
        <v>140</v>
      </c>
      <c r="FY155">
        <v>79</v>
      </c>
      <c r="GA155" t="s">
        <v>3</v>
      </c>
      <c r="GD155">
        <v>0</v>
      </c>
      <c r="GF155">
        <v>-758282629</v>
      </c>
      <c r="GG155">
        <v>2</v>
      </c>
      <c r="GH155">
        <v>1</v>
      </c>
      <c r="GI155">
        <v>2</v>
      </c>
      <c r="GJ155">
        <v>0</v>
      </c>
      <c r="GK155">
        <f>ROUND(R155*(R12)/100,2)</f>
        <v>0</v>
      </c>
      <c r="GL155">
        <f t="shared" si="147"/>
        <v>0</v>
      </c>
      <c r="GM155">
        <f t="shared" si="148"/>
        <v>-193789.38</v>
      </c>
      <c r="GN155">
        <f t="shared" si="149"/>
        <v>-193789.38</v>
      </c>
      <c r="GO155">
        <f t="shared" si="150"/>
        <v>0</v>
      </c>
      <c r="GP155">
        <f t="shared" si="151"/>
        <v>0</v>
      </c>
      <c r="GR155">
        <v>0</v>
      </c>
      <c r="GS155">
        <v>3</v>
      </c>
      <c r="GT155">
        <v>0</v>
      </c>
      <c r="GU155" t="s">
        <v>3</v>
      </c>
      <c r="GV155">
        <f t="shared" si="152"/>
        <v>0</v>
      </c>
      <c r="GW155">
        <v>1</v>
      </c>
      <c r="GX155">
        <f t="shared" si="153"/>
        <v>0</v>
      </c>
      <c r="HA155">
        <v>0</v>
      </c>
      <c r="HB155">
        <v>0</v>
      </c>
      <c r="HC155">
        <f t="shared" si="154"/>
        <v>0</v>
      </c>
      <c r="HE155" t="s">
        <v>3</v>
      </c>
      <c r="HF155" t="s">
        <v>3</v>
      </c>
      <c r="HM155" t="s">
        <v>3</v>
      </c>
      <c r="IK155">
        <v>0</v>
      </c>
    </row>
    <row r="156" spans="1:245" x14ac:dyDescent="0.2">
      <c r="A156">
        <v>18</v>
      </c>
      <c r="B156">
        <v>1</v>
      </c>
      <c r="C156">
        <v>151</v>
      </c>
      <c r="E156" t="s">
        <v>339</v>
      </c>
      <c r="F156" t="s">
        <v>107</v>
      </c>
      <c r="G156" t="s">
        <v>108</v>
      </c>
      <c r="H156" t="s">
        <v>84</v>
      </c>
      <c r="I156">
        <f>I154*J156</f>
        <v>19</v>
      </c>
      <c r="J156">
        <v>1.9937040923399791</v>
      </c>
      <c r="K156">
        <v>1.9937039999999999</v>
      </c>
      <c r="O156">
        <f t="shared" si="122"/>
        <v>80491.39</v>
      </c>
      <c r="P156">
        <f t="shared" si="123"/>
        <v>80491.39</v>
      </c>
      <c r="Q156">
        <f t="shared" si="155"/>
        <v>0</v>
      </c>
      <c r="R156">
        <f t="shared" si="124"/>
        <v>0</v>
      </c>
      <c r="S156">
        <f t="shared" si="125"/>
        <v>0</v>
      </c>
      <c r="T156">
        <f t="shared" si="126"/>
        <v>0</v>
      </c>
      <c r="U156">
        <f t="shared" si="127"/>
        <v>0</v>
      </c>
      <c r="V156">
        <f t="shared" si="128"/>
        <v>0</v>
      </c>
      <c r="W156">
        <f t="shared" si="129"/>
        <v>0</v>
      </c>
      <c r="X156">
        <f t="shared" si="130"/>
        <v>0</v>
      </c>
      <c r="Y156">
        <f t="shared" si="131"/>
        <v>0</v>
      </c>
      <c r="AA156">
        <v>42938047</v>
      </c>
      <c r="AB156">
        <f t="shared" si="132"/>
        <v>704.89</v>
      </c>
      <c r="AC156">
        <f t="shared" si="133"/>
        <v>704.89</v>
      </c>
      <c r="AD156">
        <f t="shared" si="156"/>
        <v>0</v>
      </c>
      <c r="AE156">
        <f t="shared" si="157"/>
        <v>0</v>
      </c>
      <c r="AF156">
        <f t="shared" si="158"/>
        <v>0</v>
      </c>
      <c r="AG156">
        <f t="shared" si="134"/>
        <v>0</v>
      </c>
      <c r="AH156">
        <f t="shared" si="159"/>
        <v>0</v>
      </c>
      <c r="AI156">
        <f t="shared" si="160"/>
        <v>0</v>
      </c>
      <c r="AJ156">
        <f t="shared" si="135"/>
        <v>0</v>
      </c>
      <c r="AK156">
        <v>704.89</v>
      </c>
      <c r="AL156">
        <v>704.89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1</v>
      </c>
      <c r="AW156">
        <v>1</v>
      </c>
      <c r="AZ156">
        <v>1</v>
      </c>
      <c r="BA156">
        <v>1</v>
      </c>
      <c r="BB156">
        <v>1</v>
      </c>
      <c r="BC156">
        <v>6.01</v>
      </c>
      <c r="BD156" t="s">
        <v>3</v>
      </c>
      <c r="BE156" t="s">
        <v>3</v>
      </c>
      <c r="BF156" t="s">
        <v>3</v>
      </c>
      <c r="BG156" t="s">
        <v>3</v>
      </c>
      <c r="BH156">
        <v>3</v>
      </c>
      <c r="BI156">
        <v>1</v>
      </c>
      <c r="BJ156" t="s">
        <v>109</v>
      </c>
      <c r="BM156">
        <v>1693</v>
      </c>
      <c r="BN156">
        <v>0</v>
      </c>
      <c r="BO156" t="s">
        <v>107</v>
      </c>
      <c r="BP156">
        <v>1</v>
      </c>
      <c r="BQ156">
        <v>30</v>
      </c>
      <c r="BR156">
        <v>0</v>
      </c>
      <c r="BS156">
        <v>1</v>
      </c>
      <c r="BT156">
        <v>1</v>
      </c>
      <c r="BU156">
        <v>1</v>
      </c>
      <c r="BV156">
        <v>1</v>
      </c>
      <c r="BW156">
        <v>1</v>
      </c>
      <c r="BX156">
        <v>1</v>
      </c>
      <c r="BY156" t="s">
        <v>3</v>
      </c>
      <c r="BZ156">
        <v>0</v>
      </c>
      <c r="CA156">
        <v>0</v>
      </c>
      <c r="CB156" t="s">
        <v>3</v>
      </c>
      <c r="CE156">
        <v>30</v>
      </c>
      <c r="CF156">
        <v>0</v>
      </c>
      <c r="CG156">
        <v>0</v>
      </c>
      <c r="CM156">
        <v>0</v>
      </c>
      <c r="CN156" t="s">
        <v>3</v>
      </c>
      <c r="CO156">
        <v>0</v>
      </c>
      <c r="CP156">
        <f t="shared" si="136"/>
        <v>80491.39</v>
      </c>
      <c r="CQ156">
        <f t="shared" si="137"/>
        <v>4236.3900000000003</v>
      </c>
      <c r="CR156">
        <f t="shared" si="161"/>
        <v>0</v>
      </c>
      <c r="CS156">
        <f t="shared" si="138"/>
        <v>0</v>
      </c>
      <c r="CT156">
        <f t="shared" si="139"/>
        <v>0</v>
      </c>
      <c r="CU156">
        <f t="shared" si="140"/>
        <v>0</v>
      </c>
      <c r="CV156">
        <f t="shared" si="141"/>
        <v>0</v>
      </c>
      <c r="CW156">
        <f t="shared" si="142"/>
        <v>0</v>
      </c>
      <c r="CX156">
        <f t="shared" si="143"/>
        <v>0</v>
      </c>
      <c r="CY156">
        <f t="shared" si="144"/>
        <v>0</v>
      </c>
      <c r="CZ156">
        <f t="shared" si="145"/>
        <v>0</v>
      </c>
      <c r="DC156" t="s">
        <v>3</v>
      </c>
      <c r="DD156" t="s">
        <v>3</v>
      </c>
      <c r="DE156" t="s">
        <v>3</v>
      </c>
      <c r="DF156" t="s">
        <v>3</v>
      </c>
      <c r="DG156" t="s">
        <v>3</v>
      </c>
      <c r="DH156" t="s">
        <v>3</v>
      </c>
      <c r="DI156" t="s">
        <v>3</v>
      </c>
      <c r="DJ156" t="s">
        <v>3</v>
      </c>
      <c r="DK156" t="s">
        <v>3</v>
      </c>
      <c r="DL156" t="s">
        <v>3</v>
      </c>
      <c r="DM156" t="s">
        <v>3</v>
      </c>
      <c r="DN156">
        <v>140</v>
      </c>
      <c r="DO156">
        <v>79</v>
      </c>
      <c r="DP156">
        <v>1</v>
      </c>
      <c r="DQ156">
        <v>1</v>
      </c>
      <c r="DU156">
        <v>1007</v>
      </c>
      <c r="DV156" t="s">
        <v>84</v>
      </c>
      <c r="DW156" t="s">
        <v>84</v>
      </c>
      <c r="DX156">
        <v>1</v>
      </c>
      <c r="DZ156" t="s">
        <v>3</v>
      </c>
      <c r="EA156" t="s">
        <v>3</v>
      </c>
      <c r="EB156" t="s">
        <v>3</v>
      </c>
      <c r="EC156" t="s">
        <v>3</v>
      </c>
      <c r="EE156">
        <v>43089771</v>
      </c>
      <c r="EF156">
        <v>30</v>
      </c>
      <c r="EG156" t="s">
        <v>22</v>
      </c>
      <c r="EH156">
        <v>0</v>
      </c>
      <c r="EI156" t="s">
        <v>3</v>
      </c>
      <c r="EJ156">
        <v>1</v>
      </c>
      <c r="EK156">
        <v>1693</v>
      </c>
      <c r="EL156" t="s">
        <v>336</v>
      </c>
      <c r="EM156" t="s">
        <v>337</v>
      </c>
      <c r="EO156" t="s">
        <v>3</v>
      </c>
      <c r="EQ156">
        <v>0</v>
      </c>
      <c r="ER156">
        <v>704.89</v>
      </c>
      <c r="ES156">
        <v>704.89</v>
      </c>
      <c r="ET156">
        <v>0</v>
      </c>
      <c r="EU156">
        <v>0</v>
      </c>
      <c r="EV156">
        <v>0</v>
      </c>
      <c r="EW156">
        <v>0</v>
      </c>
      <c r="EX156">
        <v>0</v>
      </c>
      <c r="FQ156">
        <v>0</v>
      </c>
      <c r="FR156">
        <f t="shared" si="146"/>
        <v>0</v>
      </c>
      <c r="FS156">
        <v>0</v>
      </c>
      <c r="FX156">
        <v>140</v>
      </c>
      <c r="FY156">
        <v>79</v>
      </c>
      <c r="GA156" t="s">
        <v>3</v>
      </c>
      <c r="GD156">
        <v>0</v>
      </c>
      <c r="GF156">
        <v>-758282629</v>
      </c>
      <c r="GG156">
        <v>2</v>
      </c>
      <c r="GH156">
        <v>1</v>
      </c>
      <c r="GI156">
        <v>2</v>
      </c>
      <c r="GJ156">
        <v>0</v>
      </c>
      <c r="GK156">
        <f>ROUND(R156*(R12)/100,2)</f>
        <v>0</v>
      </c>
      <c r="GL156">
        <f t="shared" si="147"/>
        <v>0</v>
      </c>
      <c r="GM156">
        <f t="shared" si="148"/>
        <v>80491.39</v>
      </c>
      <c r="GN156">
        <f t="shared" si="149"/>
        <v>80491.39</v>
      </c>
      <c r="GO156">
        <f t="shared" si="150"/>
        <v>0</v>
      </c>
      <c r="GP156">
        <f t="shared" si="151"/>
        <v>0</v>
      </c>
      <c r="GR156">
        <v>0</v>
      </c>
      <c r="GS156">
        <v>3</v>
      </c>
      <c r="GT156">
        <v>0</v>
      </c>
      <c r="GU156" t="s">
        <v>3</v>
      </c>
      <c r="GV156">
        <f t="shared" si="152"/>
        <v>0</v>
      </c>
      <c r="GW156">
        <v>1</v>
      </c>
      <c r="GX156">
        <f t="shared" si="153"/>
        <v>0</v>
      </c>
      <c r="HA156">
        <v>0</v>
      </c>
      <c r="HB156">
        <v>0</v>
      </c>
      <c r="HC156">
        <f t="shared" si="154"/>
        <v>0</v>
      </c>
      <c r="HE156" t="s">
        <v>3</v>
      </c>
      <c r="HF156" t="s">
        <v>3</v>
      </c>
      <c r="HM156" t="s">
        <v>3</v>
      </c>
      <c r="IK156">
        <v>0</v>
      </c>
    </row>
    <row r="157" spans="1:245" x14ac:dyDescent="0.2">
      <c r="A157">
        <v>18</v>
      </c>
      <c r="B157">
        <v>1</v>
      </c>
      <c r="C157">
        <v>148</v>
      </c>
      <c r="E157" t="s">
        <v>340</v>
      </c>
      <c r="F157" t="s">
        <v>341</v>
      </c>
      <c r="G157" t="s">
        <v>342</v>
      </c>
      <c r="H157" t="s">
        <v>84</v>
      </c>
      <c r="I157">
        <f>I154*J157</f>
        <v>20</v>
      </c>
      <c r="J157">
        <v>2.0986358866736623</v>
      </c>
      <c r="K157">
        <v>2.0986359999999999</v>
      </c>
      <c r="O157">
        <f t="shared" si="122"/>
        <v>37663.58</v>
      </c>
      <c r="P157">
        <f t="shared" si="123"/>
        <v>37663.58</v>
      </c>
      <c r="Q157">
        <f t="shared" si="155"/>
        <v>0</v>
      </c>
      <c r="R157">
        <f t="shared" si="124"/>
        <v>0</v>
      </c>
      <c r="S157">
        <f t="shared" si="125"/>
        <v>0</v>
      </c>
      <c r="T157">
        <f t="shared" si="126"/>
        <v>0</v>
      </c>
      <c r="U157">
        <f t="shared" si="127"/>
        <v>0</v>
      </c>
      <c r="V157">
        <f t="shared" si="128"/>
        <v>0</v>
      </c>
      <c r="W157">
        <f t="shared" si="129"/>
        <v>0</v>
      </c>
      <c r="X157">
        <f t="shared" si="130"/>
        <v>0</v>
      </c>
      <c r="Y157">
        <f t="shared" si="131"/>
        <v>0</v>
      </c>
      <c r="AA157">
        <v>42938047</v>
      </c>
      <c r="AB157">
        <f t="shared" si="132"/>
        <v>185.17</v>
      </c>
      <c r="AC157">
        <f t="shared" si="133"/>
        <v>185.17</v>
      </c>
      <c r="AD157">
        <f t="shared" si="156"/>
        <v>0</v>
      </c>
      <c r="AE157">
        <f t="shared" si="157"/>
        <v>0</v>
      </c>
      <c r="AF157">
        <f t="shared" si="158"/>
        <v>0</v>
      </c>
      <c r="AG157">
        <f t="shared" si="134"/>
        <v>0</v>
      </c>
      <c r="AH157">
        <f t="shared" si="159"/>
        <v>0</v>
      </c>
      <c r="AI157">
        <f t="shared" si="160"/>
        <v>0</v>
      </c>
      <c r="AJ157">
        <f t="shared" si="135"/>
        <v>0</v>
      </c>
      <c r="AK157">
        <v>185.17</v>
      </c>
      <c r="AL157">
        <v>185.17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1</v>
      </c>
      <c r="AW157">
        <v>1</v>
      </c>
      <c r="AZ157">
        <v>1</v>
      </c>
      <c r="BA157">
        <v>1</v>
      </c>
      <c r="BB157">
        <v>1</v>
      </c>
      <c r="BC157">
        <v>10.17</v>
      </c>
      <c r="BD157" t="s">
        <v>3</v>
      </c>
      <c r="BE157" t="s">
        <v>3</v>
      </c>
      <c r="BF157" t="s">
        <v>3</v>
      </c>
      <c r="BG157" t="s">
        <v>3</v>
      </c>
      <c r="BH157">
        <v>3</v>
      </c>
      <c r="BI157">
        <v>1</v>
      </c>
      <c r="BJ157" t="s">
        <v>343</v>
      </c>
      <c r="BM157">
        <v>1693</v>
      </c>
      <c r="BN157">
        <v>0</v>
      </c>
      <c r="BO157" t="s">
        <v>341</v>
      </c>
      <c r="BP157">
        <v>1</v>
      </c>
      <c r="BQ157">
        <v>30</v>
      </c>
      <c r="BR157">
        <v>0</v>
      </c>
      <c r="BS157">
        <v>1</v>
      </c>
      <c r="BT157">
        <v>1</v>
      </c>
      <c r="BU157">
        <v>1</v>
      </c>
      <c r="BV157">
        <v>1</v>
      </c>
      <c r="BW157">
        <v>1</v>
      </c>
      <c r="BX157">
        <v>1</v>
      </c>
      <c r="BY157" t="s">
        <v>3</v>
      </c>
      <c r="BZ157">
        <v>0</v>
      </c>
      <c r="CA157">
        <v>0</v>
      </c>
      <c r="CB157" t="s">
        <v>3</v>
      </c>
      <c r="CE157">
        <v>30</v>
      </c>
      <c r="CF157">
        <v>0</v>
      </c>
      <c r="CG157">
        <v>0</v>
      </c>
      <c r="CM157">
        <v>0</v>
      </c>
      <c r="CN157" t="s">
        <v>3</v>
      </c>
      <c r="CO157">
        <v>0</v>
      </c>
      <c r="CP157">
        <f t="shared" si="136"/>
        <v>37663.58</v>
      </c>
      <c r="CQ157">
        <f t="shared" si="137"/>
        <v>1883.18</v>
      </c>
      <c r="CR157">
        <f t="shared" si="161"/>
        <v>0</v>
      </c>
      <c r="CS157">
        <f t="shared" si="138"/>
        <v>0</v>
      </c>
      <c r="CT157">
        <f t="shared" si="139"/>
        <v>0</v>
      </c>
      <c r="CU157">
        <f t="shared" si="140"/>
        <v>0</v>
      </c>
      <c r="CV157">
        <f t="shared" si="141"/>
        <v>0</v>
      </c>
      <c r="CW157">
        <f t="shared" si="142"/>
        <v>0</v>
      </c>
      <c r="CX157">
        <f t="shared" si="143"/>
        <v>0</v>
      </c>
      <c r="CY157">
        <f t="shared" si="144"/>
        <v>0</v>
      </c>
      <c r="CZ157">
        <f t="shared" si="145"/>
        <v>0</v>
      </c>
      <c r="DC157" t="s">
        <v>3</v>
      </c>
      <c r="DD157" t="s">
        <v>3</v>
      </c>
      <c r="DE157" t="s">
        <v>3</v>
      </c>
      <c r="DF157" t="s">
        <v>3</v>
      </c>
      <c r="DG157" t="s">
        <v>3</v>
      </c>
      <c r="DH157" t="s">
        <v>3</v>
      </c>
      <c r="DI157" t="s">
        <v>3</v>
      </c>
      <c r="DJ157" t="s">
        <v>3</v>
      </c>
      <c r="DK157" t="s">
        <v>3</v>
      </c>
      <c r="DL157" t="s">
        <v>3</v>
      </c>
      <c r="DM157" t="s">
        <v>3</v>
      </c>
      <c r="DN157">
        <v>140</v>
      </c>
      <c r="DO157">
        <v>79</v>
      </c>
      <c r="DP157">
        <v>1</v>
      </c>
      <c r="DQ157">
        <v>1</v>
      </c>
      <c r="DU157">
        <v>1007</v>
      </c>
      <c r="DV157" t="s">
        <v>84</v>
      </c>
      <c r="DW157" t="s">
        <v>84</v>
      </c>
      <c r="DX157">
        <v>1</v>
      </c>
      <c r="DZ157" t="s">
        <v>3</v>
      </c>
      <c r="EA157" t="s">
        <v>3</v>
      </c>
      <c r="EB157" t="s">
        <v>3</v>
      </c>
      <c r="EC157" t="s">
        <v>3</v>
      </c>
      <c r="EE157">
        <v>43089771</v>
      </c>
      <c r="EF157">
        <v>30</v>
      </c>
      <c r="EG157" t="s">
        <v>22</v>
      </c>
      <c r="EH157">
        <v>0</v>
      </c>
      <c r="EI157" t="s">
        <v>3</v>
      </c>
      <c r="EJ157">
        <v>1</v>
      </c>
      <c r="EK157">
        <v>1693</v>
      </c>
      <c r="EL157" t="s">
        <v>336</v>
      </c>
      <c r="EM157" t="s">
        <v>337</v>
      </c>
      <c r="EO157" t="s">
        <v>3</v>
      </c>
      <c r="EQ157">
        <v>0</v>
      </c>
      <c r="ER157">
        <v>185.17</v>
      </c>
      <c r="ES157">
        <v>185.17</v>
      </c>
      <c r="ET157">
        <v>0</v>
      </c>
      <c r="EU157">
        <v>0</v>
      </c>
      <c r="EV157">
        <v>0</v>
      </c>
      <c r="EW157">
        <v>0</v>
      </c>
      <c r="EX157">
        <v>0</v>
      </c>
      <c r="FQ157">
        <v>0</v>
      </c>
      <c r="FR157">
        <f t="shared" si="146"/>
        <v>0</v>
      </c>
      <c r="FS157">
        <v>0</v>
      </c>
      <c r="FX157">
        <v>140</v>
      </c>
      <c r="FY157">
        <v>79</v>
      </c>
      <c r="GA157" t="s">
        <v>3</v>
      </c>
      <c r="GD157">
        <v>0</v>
      </c>
      <c r="GF157">
        <v>-1030024616</v>
      </c>
      <c r="GG157">
        <v>2</v>
      </c>
      <c r="GH157">
        <v>1</v>
      </c>
      <c r="GI157">
        <v>2</v>
      </c>
      <c r="GJ157">
        <v>0</v>
      </c>
      <c r="GK157">
        <f>ROUND(R157*(R12)/100,2)</f>
        <v>0</v>
      </c>
      <c r="GL157">
        <f t="shared" si="147"/>
        <v>0</v>
      </c>
      <c r="GM157">
        <f t="shared" si="148"/>
        <v>37663.58</v>
      </c>
      <c r="GN157">
        <f t="shared" si="149"/>
        <v>37663.58</v>
      </c>
      <c r="GO157">
        <f t="shared" si="150"/>
        <v>0</v>
      </c>
      <c r="GP157">
        <f t="shared" si="151"/>
        <v>0</v>
      </c>
      <c r="GR157">
        <v>0</v>
      </c>
      <c r="GS157">
        <v>3</v>
      </c>
      <c r="GT157">
        <v>0</v>
      </c>
      <c r="GU157" t="s">
        <v>3</v>
      </c>
      <c r="GV157">
        <f t="shared" si="152"/>
        <v>0</v>
      </c>
      <c r="GW157">
        <v>1</v>
      </c>
      <c r="GX157">
        <f t="shared" si="153"/>
        <v>0</v>
      </c>
      <c r="HA157">
        <v>0</v>
      </c>
      <c r="HB157">
        <v>0</v>
      </c>
      <c r="HC157">
        <f t="shared" si="154"/>
        <v>0</v>
      </c>
      <c r="HE157" t="s">
        <v>3</v>
      </c>
      <c r="HF157" t="s">
        <v>3</v>
      </c>
      <c r="HM157" t="s">
        <v>3</v>
      </c>
      <c r="IK157">
        <v>0</v>
      </c>
    </row>
    <row r="158" spans="1:245" x14ac:dyDescent="0.2">
      <c r="A158">
        <v>17</v>
      </c>
      <c r="B158">
        <v>1</v>
      </c>
      <c r="E158" t="s">
        <v>344</v>
      </c>
      <c r="F158" t="s">
        <v>118</v>
      </c>
      <c r="G158" t="s">
        <v>345</v>
      </c>
      <c r="H158" t="s">
        <v>169</v>
      </c>
      <c r="I158">
        <v>1906</v>
      </c>
      <c r="J158">
        <v>0</v>
      </c>
      <c r="K158">
        <v>1906</v>
      </c>
      <c r="O158">
        <f t="shared" si="122"/>
        <v>194432.2</v>
      </c>
      <c r="P158">
        <f t="shared" si="123"/>
        <v>194432.2</v>
      </c>
      <c r="Q158">
        <f t="shared" si="155"/>
        <v>0</v>
      </c>
      <c r="R158">
        <f t="shared" si="124"/>
        <v>0</v>
      </c>
      <c r="S158">
        <f t="shared" si="125"/>
        <v>0</v>
      </c>
      <c r="T158">
        <f t="shared" si="126"/>
        <v>0</v>
      </c>
      <c r="U158">
        <f t="shared" si="127"/>
        <v>0</v>
      </c>
      <c r="V158">
        <f t="shared" si="128"/>
        <v>0</v>
      </c>
      <c r="W158">
        <f t="shared" si="129"/>
        <v>0</v>
      </c>
      <c r="X158">
        <f t="shared" si="130"/>
        <v>0</v>
      </c>
      <c r="Y158">
        <f t="shared" si="131"/>
        <v>0</v>
      </c>
      <c r="AA158">
        <v>42938047</v>
      </c>
      <c r="AB158">
        <f t="shared" si="132"/>
        <v>16.09</v>
      </c>
      <c r="AC158">
        <f t="shared" si="133"/>
        <v>16.09</v>
      </c>
      <c r="AD158">
        <f t="shared" si="156"/>
        <v>0</v>
      </c>
      <c r="AE158">
        <f t="shared" si="157"/>
        <v>0</v>
      </c>
      <c r="AF158">
        <f t="shared" si="158"/>
        <v>0</v>
      </c>
      <c r="AG158">
        <f t="shared" si="134"/>
        <v>0</v>
      </c>
      <c r="AH158">
        <f t="shared" si="159"/>
        <v>0</v>
      </c>
      <c r="AI158">
        <f t="shared" si="160"/>
        <v>0</v>
      </c>
      <c r="AJ158">
        <f t="shared" si="135"/>
        <v>0</v>
      </c>
      <c r="AK158">
        <v>16.09</v>
      </c>
      <c r="AL158">
        <v>16.09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1</v>
      </c>
      <c r="AW158">
        <v>1</v>
      </c>
      <c r="AZ158">
        <v>1</v>
      </c>
      <c r="BA158">
        <v>1</v>
      </c>
      <c r="BB158">
        <v>1</v>
      </c>
      <c r="BC158">
        <v>6.34</v>
      </c>
      <c r="BD158" t="s">
        <v>3</v>
      </c>
      <c r="BE158" t="s">
        <v>3</v>
      </c>
      <c r="BF158" t="s">
        <v>3</v>
      </c>
      <c r="BG158" t="s">
        <v>3</v>
      </c>
      <c r="BH158">
        <v>3</v>
      </c>
      <c r="BI158">
        <v>1</v>
      </c>
      <c r="BJ158" t="s">
        <v>3</v>
      </c>
      <c r="BM158">
        <v>400002</v>
      </c>
      <c r="BN158">
        <v>0</v>
      </c>
      <c r="BO158" t="s">
        <v>3</v>
      </c>
      <c r="BP158">
        <v>0</v>
      </c>
      <c r="BQ158">
        <v>202</v>
      </c>
      <c r="BR158">
        <v>0</v>
      </c>
      <c r="BS158">
        <v>1</v>
      </c>
      <c r="BT158">
        <v>1</v>
      </c>
      <c r="BU158">
        <v>1</v>
      </c>
      <c r="BV158">
        <v>1</v>
      </c>
      <c r="BW158">
        <v>1</v>
      </c>
      <c r="BX158">
        <v>1</v>
      </c>
      <c r="BY158" t="s">
        <v>3</v>
      </c>
      <c r="BZ158">
        <v>0</v>
      </c>
      <c r="CA158">
        <v>0</v>
      </c>
      <c r="CB158" t="s">
        <v>3</v>
      </c>
      <c r="CE158">
        <v>30</v>
      </c>
      <c r="CF158">
        <v>0</v>
      </c>
      <c r="CG158">
        <v>0</v>
      </c>
      <c r="CM158">
        <v>0</v>
      </c>
      <c r="CN158" t="s">
        <v>3</v>
      </c>
      <c r="CO158">
        <v>0</v>
      </c>
      <c r="CP158">
        <f t="shared" si="136"/>
        <v>194432.2</v>
      </c>
      <c r="CQ158">
        <f t="shared" si="137"/>
        <v>102.01</v>
      </c>
      <c r="CR158">
        <f t="shared" si="161"/>
        <v>0</v>
      </c>
      <c r="CS158">
        <f t="shared" si="138"/>
        <v>0</v>
      </c>
      <c r="CT158">
        <f t="shared" si="139"/>
        <v>0</v>
      </c>
      <c r="CU158">
        <f t="shared" si="140"/>
        <v>0</v>
      </c>
      <c r="CV158">
        <f t="shared" si="141"/>
        <v>0</v>
      </c>
      <c r="CW158">
        <f t="shared" si="142"/>
        <v>0</v>
      </c>
      <c r="CX158">
        <f t="shared" si="143"/>
        <v>0</v>
      </c>
      <c r="CY158">
        <f t="shared" si="144"/>
        <v>0</v>
      </c>
      <c r="CZ158">
        <f t="shared" si="145"/>
        <v>0</v>
      </c>
      <c r="DC158" t="s">
        <v>3</v>
      </c>
      <c r="DD158" t="s">
        <v>3</v>
      </c>
      <c r="DE158" t="s">
        <v>3</v>
      </c>
      <c r="DF158" t="s">
        <v>3</v>
      </c>
      <c r="DG158" t="s">
        <v>3</v>
      </c>
      <c r="DH158" t="s">
        <v>3</v>
      </c>
      <c r="DI158" t="s">
        <v>3</v>
      </c>
      <c r="DJ158" t="s">
        <v>3</v>
      </c>
      <c r="DK158" t="s">
        <v>3</v>
      </c>
      <c r="DL158" t="s">
        <v>3</v>
      </c>
      <c r="DM158" t="s">
        <v>3</v>
      </c>
      <c r="DN158">
        <v>0</v>
      </c>
      <c r="DO158">
        <v>0</v>
      </c>
      <c r="DP158">
        <v>1</v>
      </c>
      <c r="DQ158">
        <v>1</v>
      </c>
      <c r="DU158">
        <v>1010</v>
      </c>
      <c r="DV158" t="s">
        <v>169</v>
      </c>
      <c r="DW158" t="s">
        <v>169</v>
      </c>
      <c r="DX158">
        <v>1</v>
      </c>
      <c r="DZ158" t="s">
        <v>3</v>
      </c>
      <c r="EA158" t="s">
        <v>3</v>
      </c>
      <c r="EB158" t="s">
        <v>3</v>
      </c>
      <c r="EC158" t="s">
        <v>3</v>
      </c>
      <c r="EE158">
        <v>43090149</v>
      </c>
      <c r="EF158">
        <v>202</v>
      </c>
      <c r="EG158" t="s">
        <v>346</v>
      </c>
      <c r="EH158">
        <v>0</v>
      </c>
      <c r="EI158" t="s">
        <v>3</v>
      </c>
      <c r="EJ158">
        <v>1</v>
      </c>
      <c r="EK158">
        <v>400002</v>
      </c>
      <c r="EL158" t="s">
        <v>347</v>
      </c>
      <c r="EM158" t="s">
        <v>346</v>
      </c>
      <c r="EO158" t="s">
        <v>3</v>
      </c>
      <c r="EQ158">
        <v>0</v>
      </c>
      <c r="ER158">
        <v>102</v>
      </c>
      <c r="ES158">
        <v>16.09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5</v>
      </c>
      <c r="FC158">
        <v>1</v>
      </c>
      <c r="FD158">
        <v>18</v>
      </c>
      <c r="FF158">
        <v>120</v>
      </c>
      <c r="FQ158">
        <v>0</v>
      </c>
      <c r="FR158">
        <f t="shared" si="146"/>
        <v>0</v>
      </c>
      <c r="FS158">
        <v>0</v>
      </c>
      <c r="FX158">
        <v>0</v>
      </c>
      <c r="FY158">
        <v>0</v>
      </c>
      <c r="GA158" t="s">
        <v>348</v>
      </c>
      <c r="GD158">
        <v>0</v>
      </c>
      <c r="GF158">
        <v>518373888</v>
      </c>
      <c r="GG158">
        <v>2</v>
      </c>
      <c r="GH158">
        <v>3</v>
      </c>
      <c r="GI158">
        <v>3</v>
      </c>
      <c r="GJ158">
        <v>0</v>
      </c>
      <c r="GK158">
        <f>ROUND(R158*(R12)/100,2)</f>
        <v>0</v>
      </c>
      <c r="GL158">
        <f t="shared" si="147"/>
        <v>0</v>
      </c>
      <c r="GM158">
        <f t="shared" si="148"/>
        <v>194432.2</v>
      </c>
      <c r="GN158">
        <f t="shared" si="149"/>
        <v>194432.2</v>
      </c>
      <c r="GO158">
        <f t="shared" si="150"/>
        <v>0</v>
      </c>
      <c r="GP158">
        <f t="shared" si="151"/>
        <v>0</v>
      </c>
      <c r="GR158">
        <v>1</v>
      </c>
      <c r="GS158">
        <v>1</v>
      </c>
      <c r="GT158">
        <v>0</v>
      </c>
      <c r="GU158" t="s">
        <v>3</v>
      </c>
      <c r="GV158">
        <f t="shared" si="152"/>
        <v>0</v>
      </c>
      <c r="GW158">
        <v>1</v>
      </c>
      <c r="GX158">
        <f t="shared" si="153"/>
        <v>0</v>
      </c>
      <c r="HA158">
        <v>0</v>
      </c>
      <c r="HB158">
        <v>0</v>
      </c>
      <c r="HC158">
        <f t="shared" si="154"/>
        <v>0</v>
      </c>
      <c r="HE158" t="s">
        <v>26</v>
      </c>
      <c r="HF158" t="s">
        <v>122</v>
      </c>
      <c r="HM158" t="s">
        <v>3</v>
      </c>
      <c r="IK158">
        <v>0</v>
      </c>
    </row>
    <row r="159" spans="1:245" x14ac:dyDescent="0.2">
      <c r="A159">
        <v>17</v>
      </c>
      <c r="B159">
        <v>1</v>
      </c>
      <c r="C159">
        <f>ROW(SmtRes!A153)</f>
        <v>153</v>
      </c>
      <c r="D159">
        <f>ROW(EtalonRes!A150)</f>
        <v>150</v>
      </c>
      <c r="E159" t="s">
        <v>349</v>
      </c>
      <c r="F159" t="s">
        <v>180</v>
      </c>
      <c r="G159" t="s">
        <v>350</v>
      </c>
      <c r="H159" t="s">
        <v>182</v>
      </c>
      <c r="I159">
        <v>99.302999999999997</v>
      </c>
      <c r="J159">
        <v>0</v>
      </c>
      <c r="K159">
        <v>99.302999999999997</v>
      </c>
      <c r="O159">
        <f t="shared" si="122"/>
        <v>8023.96</v>
      </c>
      <c r="P159">
        <f t="shared" si="123"/>
        <v>0</v>
      </c>
      <c r="Q159">
        <f t="shared" si="155"/>
        <v>8023.96</v>
      </c>
      <c r="R159">
        <f t="shared" si="124"/>
        <v>3738.92</v>
      </c>
      <c r="S159">
        <f t="shared" si="125"/>
        <v>0</v>
      </c>
      <c r="T159">
        <f t="shared" si="126"/>
        <v>0</v>
      </c>
      <c r="U159">
        <f t="shared" si="127"/>
        <v>0</v>
      </c>
      <c r="V159">
        <f t="shared" si="128"/>
        <v>0</v>
      </c>
      <c r="W159">
        <f t="shared" si="129"/>
        <v>0</v>
      </c>
      <c r="X159">
        <f t="shared" si="130"/>
        <v>0</v>
      </c>
      <c r="Y159">
        <f t="shared" si="131"/>
        <v>0</v>
      </c>
      <c r="AA159">
        <v>42938047</v>
      </c>
      <c r="AB159">
        <f t="shared" si="132"/>
        <v>8.86</v>
      </c>
      <c r="AC159">
        <f t="shared" si="133"/>
        <v>0</v>
      </c>
      <c r="AD159">
        <f t="shared" si="156"/>
        <v>8.86</v>
      </c>
      <c r="AE159">
        <f t="shared" si="157"/>
        <v>1.48</v>
      </c>
      <c r="AF159">
        <f t="shared" si="158"/>
        <v>0</v>
      </c>
      <c r="AG159">
        <f t="shared" si="134"/>
        <v>0</v>
      </c>
      <c r="AH159">
        <f t="shared" si="159"/>
        <v>0</v>
      </c>
      <c r="AI159">
        <f t="shared" si="160"/>
        <v>0</v>
      </c>
      <c r="AJ159">
        <f t="shared" si="135"/>
        <v>0</v>
      </c>
      <c r="AK159">
        <v>8.86</v>
      </c>
      <c r="AL159">
        <v>0</v>
      </c>
      <c r="AM159">
        <v>8.86</v>
      </c>
      <c r="AN159">
        <v>1.48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73</v>
      </c>
      <c r="AU159">
        <v>41</v>
      </c>
      <c r="AV159">
        <v>1</v>
      </c>
      <c r="AW159">
        <v>1</v>
      </c>
      <c r="AZ159">
        <v>1</v>
      </c>
      <c r="BA159">
        <v>25.44</v>
      </c>
      <c r="BB159">
        <v>9.1199999999999992</v>
      </c>
      <c r="BC159">
        <v>1</v>
      </c>
      <c r="BD159" t="s">
        <v>3</v>
      </c>
      <c r="BE159" t="s">
        <v>3</v>
      </c>
      <c r="BF159" t="s">
        <v>3</v>
      </c>
      <c r="BG159" t="s">
        <v>3</v>
      </c>
      <c r="BH159">
        <v>0</v>
      </c>
      <c r="BI159">
        <v>1</v>
      </c>
      <c r="BJ159" t="s">
        <v>183</v>
      </c>
      <c r="BM159">
        <v>658</v>
      </c>
      <c r="BN159">
        <v>0</v>
      </c>
      <c r="BO159" t="s">
        <v>180</v>
      </c>
      <c r="BP159">
        <v>1</v>
      </c>
      <c r="BQ159">
        <v>60</v>
      </c>
      <c r="BR159">
        <v>0</v>
      </c>
      <c r="BS159">
        <v>25.44</v>
      </c>
      <c r="BT159">
        <v>1</v>
      </c>
      <c r="BU159">
        <v>1</v>
      </c>
      <c r="BV159">
        <v>1</v>
      </c>
      <c r="BW159">
        <v>1</v>
      </c>
      <c r="BX159">
        <v>1</v>
      </c>
      <c r="BY159" t="s">
        <v>3</v>
      </c>
      <c r="BZ159">
        <v>73</v>
      </c>
      <c r="CA159">
        <v>41</v>
      </c>
      <c r="CB159" t="s">
        <v>3</v>
      </c>
      <c r="CE159">
        <v>30</v>
      </c>
      <c r="CF159">
        <v>0</v>
      </c>
      <c r="CG159">
        <v>0</v>
      </c>
      <c r="CM159">
        <v>0</v>
      </c>
      <c r="CN159" t="s">
        <v>3</v>
      </c>
      <c r="CO159">
        <v>0</v>
      </c>
      <c r="CP159">
        <f t="shared" si="136"/>
        <v>8023.96</v>
      </c>
      <c r="CQ159">
        <f t="shared" si="137"/>
        <v>0</v>
      </c>
      <c r="CR159">
        <f t="shared" si="161"/>
        <v>80.8</v>
      </c>
      <c r="CS159">
        <f t="shared" si="138"/>
        <v>37.65</v>
      </c>
      <c r="CT159">
        <f t="shared" si="139"/>
        <v>0</v>
      </c>
      <c r="CU159">
        <f t="shared" si="140"/>
        <v>0</v>
      </c>
      <c r="CV159">
        <f t="shared" si="141"/>
        <v>0</v>
      </c>
      <c r="CW159">
        <f t="shared" si="142"/>
        <v>0</v>
      </c>
      <c r="CX159">
        <f t="shared" si="143"/>
        <v>0</v>
      </c>
      <c r="CY159">
        <f t="shared" si="144"/>
        <v>0</v>
      </c>
      <c r="CZ159">
        <f t="shared" si="145"/>
        <v>0</v>
      </c>
      <c r="DC159" t="s">
        <v>3</v>
      </c>
      <c r="DD159" t="s">
        <v>3</v>
      </c>
      <c r="DE159" t="s">
        <v>3</v>
      </c>
      <c r="DF159" t="s">
        <v>3</v>
      </c>
      <c r="DG159" t="s">
        <v>3</v>
      </c>
      <c r="DH159" t="s">
        <v>3</v>
      </c>
      <c r="DI159" t="s">
        <v>3</v>
      </c>
      <c r="DJ159" t="s">
        <v>3</v>
      </c>
      <c r="DK159" t="s">
        <v>3</v>
      </c>
      <c r="DL159" t="s">
        <v>3</v>
      </c>
      <c r="DM159" t="s">
        <v>3</v>
      </c>
      <c r="DN159">
        <v>91</v>
      </c>
      <c r="DO159">
        <v>70</v>
      </c>
      <c r="DP159">
        <v>1</v>
      </c>
      <c r="DQ159">
        <v>1</v>
      </c>
      <c r="DU159">
        <v>1013</v>
      </c>
      <c r="DV159" t="s">
        <v>182</v>
      </c>
      <c r="DW159" t="s">
        <v>182</v>
      </c>
      <c r="DX159">
        <v>1</v>
      </c>
      <c r="DZ159" t="s">
        <v>3</v>
      </c>
      <c r="EA159" t="s">
        <v>3</v>
      </c>
      <c r="EB159" t="s">
        <v>3</v>
      </c>
      <c r="EC159" t="s">
        <v>3</v>
      </c>
      <c r="EE159">
        <v>43088736</v>
      </c>
      <c r="EF159">
        <v>60</v>
      </c>
      <c r="EG159" t="s">
        <v>40</v>
      </c>
      <c r="EH159">
        <v>0</v>
      </c>
      <c r="EI159" t="s">
        <v>3</v>
      </c>
      <c r="EJ159">
        <v>1</v>
      </c>
      <c r="EK159">
        <v>658</v>
      </c>
      <c r="EL159" t="s">
        <v>184</v>
      </c>
      <c r="EM159" t="s">
        <v>185</v>
      </c>
      <c r="EO159" t="s">
        <v>3</v>
      </c>
      <c r="EQ159">
        <v>0</v>
      </c>
      <c r="ER159">
        <v>8.86</v>
      </c>
      <c r="ES159">
        <v>0</v>
      </c>
      <c r="ET159">
        <v>8.86</v>
      </c>
      <c r="EU159">
        <v>1.48</v>
      </c>
      <c r="EV159">
        <v>0</v>
      </c>
      <c r="EW159">
        <v>0</v>
      </c>
      <c r="EX159">
        <v>0</v>
      </c>
      <c r="EY159">
        <v>0</v>
      </c>
      <c r="FQ159">
        <v>0</v>
      </c>
      <c r="FR159">
        <f t="shared" si="146"/>
        <v>0</v>
      </c>
      <c r="FS159">
        <v>0</v>
      </c>
      <c r="FX159">
        <v>91</v>
      </c>
      <c r="FY159">
        <v>70</v>
      </c>
      <c r="GA159" t="s">
        <v>3</v>
      </c>
      <c r="GD159">
        <v>0</v>
      </c>
      <c r="GF159">
        <v>-807685189</v>
      </c>
      <c r="GG159">
        <v>2</v>
      </c>
      <c r="GH159">
        <v>1</v>
      </c>
      <c r="GI159">
        <v>2</v>
      </c>
      <c r="GJ159">
        <v>0</v>
      </c>
      <c r="GK159">
        <f>ROUND(R159*(R12)/100,2)</f>
        <v>5870.1</v>
      </c>
      <c r="GL159">
        <f t="shared" si="147"/>
        <v>0</v>
      </c>
      <c r="GM159">
        <f t="shared" si="148"/>
        <v>13894.06</v>
      </c>
      <c r="GN159">
        <f t="shared" si="149"/>
        <v>13894.06</v>
      </c>
      <c r="GO159">
        <f t="shared" si="150"/>
        <v>0</v>
      </c>
      <c r="GP159">
        <f t="shared" si="151"/>
        <v>0</v>
      </c>
      <c r="GR159">
        <v>0</v>
      </c>
      <c r="GS159">
        <v>3</v>
      </c>
      <c r="GT159">
        <v>0</v>
      </c>
      <c r="GU159" t="s">
        <v>3</v>
      </c>
      <c r="GV159">
        <f t="shared" si="152"/>
        <v>0</v>
      </c>
      <c r="GW159">
        <v>1</v>
      </c>
      <c r="GX159">
        <f t="shared" si="153"/>
        <v>0</v>
      </c>
      <c r="HA159">
        <v>0</v>
      </c>
      <c r="HB159">
        <v>0</v>
      </c>
      <c r="HC159">
        <f t="shared" si="154"/>
        <v>0</v>
      </c>
      <c r="HE159" t="s">
        <v>3</v>
      </c>
      <c r="HF159" t="s">
        <v>3</v>
      </c>
      <c r="HM159" t="s">
        <v>3</v>
      </c>
      <c r="IK159">
        <v>0</v>
      </c>
    </row>
    <row r="160" spans="1:245" x14ac:dyDescent="0.2">
      <c r="A160">
        <v>17</v>
      </c>
      <c r="B160">
        <v>1</v>
      </c>
      <c r="C160">
        <f>ROW(SmtRes!A154)</f>
        <v>154</v>
      </c>
      <c r="D160">
        <f>ROW(EtalonRes!A151)</f>
        <v>151</v>
      </c>
      <c r="E160" t="s">
        <v>351</v>
      </c>
      <c r="F160" t="s">
        <v>187</v>
      </c>
      <c r="G160" t="s">
        <v>188</v>
      </c>
      <c r="H160" t="s">
        <v>104</v>
      </c>
      <c r="I160">
        <v>99.302999999999997</v>
      </c>
      <c r="J160">
        <v>0</v>
      </c>
      <c r="K160">
        <v>99.302999999999997</v>
      </c>
      <c r="O160">
        <f t="shared" si="122"/>
        <v>44987.09</v>
      </c>
      <c r="P160">
        <f t="shared" si="123"/>
        <v>0</v>
      </c>
      <c r="Q160">
        <f t="shared" si="155"/>
        <v>44987.09</v>
      </c>
      <c r="R160">
        <f t="shared" si="124"/>
        <v>0</v>
      </c>
      <c r="S160">
        <f t="shared" si="125"/>
        <v>0</v>
      </c>
      <c r="T160">
        <f t="shared" si="126"/>
        <v>0</v>
      </c>
      <c r="U160">
        <f t="shared" si="127"/>
        <v>0</v>
      </c>
      <c r="V160">
        <f t="shared" si="128"/>
        <v>0</v>
      </c>
      <c r="W160">
        <f t="shared" si="129"/>
        <v>0</v>
      </c>
      <c r="X160">
        <f t="shared" si="130"/>
        <v>0</v>
      </c>
      <c r="Y160">
        <f t="shared" si="131"/>
        <v>0</v>
      </c>
      <c r="AA160">
        <v>42938047</v>
      </c>
      <c r="AB160">
        <f t="shared" si="132"/>
        <v>38.92</v>
      </c>
      <c r="AC160">
        <f t="shared" si="133"/>
        <v>0</v>
      </c>
      <c r="AD160">
        <f t="shared" si="156"/>
        <v>38.92</v>
      </c>
      <c r="AE160">
        <f t="shared" si="157"/>
        <v>0</v>
      </c>
      <c r="AF160">
        <f t="shared" si="158"/>
        <v>0</v>
      </c>
      <c r="AG160">
        <f t="shared" si="134"/>
        <v>0</v>
      </c>
      <c r="AH160">
        <f t="shared" si="159"/>
        <v>0</v>
      </c>
      <c r="AI160">
        <f t="shared" si="160"/>
        <v>0</v>
      </c>
      <c r="AJ160">
        <f t="shared" si="135"/>
        <v>0</v>
      </c>
      <c r="AK160">
        <v>38.92</v>
      </c>
      <c r="AL160">
        <v>0</v>
      </c>
      <c r="AM160">
        <v>38.92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93</v>
      </c>
      <c r="AU160">
        <v>64</v>
      </c>
      <c r="AV160">
        <v>1</v>
      </c>
      <c r="AW160">
        <v>1</v>
      </c>
      <c r="AZ160">
        <v>1</v>
      </c>
      <c r="BA160">
        <v>1</v>
      </c>
      <c r="BB160">
        <v>11.64</v>
      </c>
      <c r="BC160">
        <v>1</v>
      </c>
      <c r="BD160" t="s">
        <v>3</v>
      </c>
      <c r="BE160" t="s">
        <v>3</v>
      </c>
      <c r="BF160" t="s">
        <v>3</v>
      </c>
      <c r="BG160" t="s">
        <v>3</v>
      </c>
      <c r="BH160">
        <v>0</v>
      </c>
      <c r="BI160">
        <v>4</v>
      </c>
      <c r="BJ160" t="s">
        <v>189</v>
      </c>
      <c r="BM160">
        <v>1113</v>
      </c>
      <c r="BN160">
        <v>0</v>
      </c>
      <c r="BO160" t="s">
        <v>187</v>
      </c>
      <c r="BP160">
        <v>1</v>
      </c>
      <c r="BQ160">
        <v>150</v>
      </c>
      <c r="BR160">
        <v>0</v>
      </c>
      <c r="BS160">
        <v>1</v>
      </c>
      <c r="BT160">
        <v>1</v>
      </c>
      <c r="BU160">
        <v>1</v>
      </c>
      <c r="BV160">
        <v>1</v>
      </c>
      <c r="BW160">
        <v>1</v>
      </c>
      <c r="BX160">
        <v>1</v>
      </c>
      <c r="BY160" t="s">
        <v>3</v>
      </c>
      <c r="BZ160">
        <v>93</v>
      </c>
      <c r="CA160">
        <v>64</v>
      </c>
      <c r="CB160" t="s">
        <v>3</v>
      </c>
      <c r="CE160">
        <v>30</v>
      </c>
      <c r="CF160">
        <v>0</v>
      </c>
      <c r="CG160">
        <v>0</v>
      </c>
      <c r="CM160">
        <v>0</v>
      </c>
      <c r="CN160" t="s">
        <v>3</v>
      </c>
      <c r="CO160">
        <v>0</v>
      </c>
      <c r="CP160">
        <f t="shared" si="136"/>
        <v>44987.09</v>
      </c>
      <c r="CQ160">
        <f t="shared" si="137"/>
        <v>0</v>
      </c>
      <c r="CR160">
        <f t="shared" si="161"/>
        <v>453.03</v>
      </c>
      <c r="CS160">
        <f t="shared" si="138"/>
        <v>0</v>
      </c>
      <c r="CT160">
        <f t="shared" si="139"/>
        <v>0</v>
      </c>
      <c r="CU160">
        <f t="shared" si="140"/>
        <v>0</v>
      </c>
      <c r="CV160">
        <f t="shared" si="141"/>
        <v>0</v>
      </c>
      <c r="CW160">
        <f t="shared" si="142"/>
        <v>0</v>
      </c>
      <c r="CX160">
        <f t="shared" si="143"/>
        <v>0</v>
      </c>
      <c r="CY160">
        <f t="shared" si="144"/>
        <v>0</v>
      </c>
      <c r="CZ160">
        <f t="shared" si="145"/>
        <v>0</v>
      </c>
      <c r="DC160" t="s">
        <v>3</v>
      </c>
      <c r="DD160" t="s">
        <v>3</v>
      </c>
      <c r="DE160" t="s">
        <v>3</v>
      </c>
      <c r="DF160" t="s">
        <v>3</v>
      </c>
      <c r="DG160" t="s">
        <v>3</v>
      </c>
      <c r="DH160" t="s">
        <v>3</v>
      </c>
      <c r="DI160" t="s">
        <v>3</v>
      </c>
      <c r="DJ160" t="s">
        <v>3</v>
      </c>
      <c r="DK160" t="s">
        <v>3</v>
      </c>
      <c r="DL160" t="s">
        <v>3</v>
      </c>
      <c r="DM160" t="s">
        <v>3</v>
      </c>
      <c r="DN160">
        <v>0</v>
      </c>
      <c r="DO160">
        <v>0</v>
      </c>
      <c r="DP160">
        <v>1</v>
      </c>
      <c r="DQ160">
        <v>1</v>
      </c>
      <c r="DU160">
        <v>1009</v>
      </c>
      <c r="DV160" t="s">
        <v>104</v>
      </c>
      <c r="DW160" t="s">
        <v>104</v>
      </c>
      <c r="DX160">
        <v>1000</v>
      </c>
      <c r="DZ160" t="s">
        <v>3</v>
      </c>
      <c r="EA160" t="s">
        <v>3</v>
      </c>
      <c r="EB160" t="s">
        <v>3</v>
      </c>
      <c r="EC160" t="s">
        <v>3</v>
      </c>
      <c r="EE160">
        <v>43089191</v>
      </c>
      <c r="EF160">
        <v>150</v>
      </c>
      <c r="EG160" t="s">
        <v>190</v>
      </c>
      <c r="EH160">
        <v>0</v>
      </c>
      <c r="EI160" t="s">
        <v>3</v>
      </c>
      <c r="EJ160">
        <v>4</v>
      </c>
      <c r="EK160">
        <v>1113</v>
      </c>
      <c r="EL160" t="s">
        <v>191</v>
      </c>
      <c r="EM160" t="s">
        <v>192</v>
      </c>
      <c r="EO160" t="s">
        <v>3</v>
      </c>
      <c r="EQ160">
        <v>0</v>
      </c>
      <c r="ER160">
        <v>38.92</v>
      </c>
      <c r="ES160">
        <v>0</v>
      </c>
      <c r="ET160">
        <v>38.92</v>
      </c>
      <c r="EU160">
        <v>0</v>
      </c>
      <c r="EV160">
        <v>0</v>
      </c>
      <c r="EW160">
        <v>0</v>
      </c>
      <c r="EX160">
        <v>0</v>
      </c>
      <c r="EY160">
        <v>0</v>
      </c>
      <c r="FQ160">
        <v>0</v>
      </c>
      <c r="FR160">
        <f t="shared" si="146"/>
        <v>0</v>
      </c>
      <c r="FS160">
        <v>0</v>
      </c>
      <c r="FX160">
        <v>0</v>
      </c>
      <c r="FY160">
        <v>0</v>
      </c>
      <c r="GA160" t="s">
        <v>3</v>
      </c>
      <c r="GD160">
        <v>0</v>
      </c>
      <c r="GF160">
        <v>733232356</v>
      </c>
      <c r="GG160">
        <v>2</v>
      </c>
      <c r="GH160">
        <v>1</v>
      </c>
      <c r="GI160">
        <v>2</v>
      </c>
      <c r="GJ160">
        <v>0</v>
      </c>
      <c r="GK160">
        <f>ROUND(R160*(R12)/100,2)</f>
        <v>0</v>
      </c>
      <c r="GL160">
        <f t="shared" si="147"/>
        <v>0</v>
      </c>
      <c r="GM160">
        <f t="shared" si="148"/>
        <v>44987.09</v>
      </c>
      <c r="GN160">
        <f t="shared" si="149"/>
        <v>0</v>
      </c>
      <c r="GO160">
        <f t="shared" si="150"/>
        <v>0</v>
      </c>
      <c r="GP160">
        <f t="shared" si="151"/>
        <v>44987.09</v>
      </c>
      <c r="GR160">
        <v>0</v>
      </c>
      <c r="GS160">
        <v>3</v>
      </c>
      <c r="GT160">
        <v>0</v>
      </c>
      <c r="GU160" t="s">
        <v>3</v>
      </c>
      <c r="GV160">
        <f t="shared" si="152"/>
        <v>0</v>
      </c>
      <c r="GW160">
        <v>1</v>
      </c>
      <c r="GX160">
        <f t="shared" si="153"/>
        <v>0</v>
      </c>
      <c r="HA160">
        <v>0</v>
      </c>
      <c r="HB160">
        <v>0</v>
      </c>
      <c r="HC160">
        <f t="shared" si="154"/>
        <v>0</v>
      </c>
      <c r="HE160" t="s">
        <v>3</v>
      </c>
      <c r="HF160" t="s">
        <v>3</v>
      </c>
      <c r="HM160" t="s">
        <v>3</v>
      </c>
      <c r="IK160">
        <v>0</v>
      </c>
    </row>
    <row r="161" spans="1:245" x14ac:dyDescent="0.2">
      <c r="A161">
        <v>17</v>
      </c>
      <c r="B161">
        <v>1</v>
      </c>
      <c r="C161">
        <f>ROW(SmtRes!A155)</f>
        <v>155</v>
      </c>
      <c r="D161">
        <f>ROW(EtalonRes!A152)</f>
        <v>152</v>
      </c>
      <c r="E161" t="s">
        <v>352</v>
      </c>
      <c r="F161" t="s">
        <v>319</v>
      </c>
      <c r="G161" t="s">
        <v>320</v>
      </c>
      <c r="H161" t="s">
        <v>182</v>
      </c>
      <c r="I161">
        <v>99.302999999999997</v>
      </c>
      <c r="J161">
        <v>0</v>
      </c>
      <c r="K161">
        <v>99.302999999999997</v>
      </c>
      <c r="O161">
        <f t="shared" si="122"/>
        <v>16449.29</v>
      </c>
      <c r="P161">
        <f t="shared" si="123"/>
        <v>0</v>
      </c>
      <c r="Q161">
        <f t="shared" si="155"/>
        <v>16449.29</v>
      </c>
      <c r="R161">
        <f t="shared" si="124"/>
        <v>0</v>
      </c>
      <c r="S161">
        <f t="shared" si="125"/>
        <v>0</v>
      </c>
      <c r="T161">
        <f t="shared" si="126"/>
        <v>0</v>
      </c>
      <c r="U161">
        <f t="shared" si="127"/>
        <v>0</v>
      </c>
      <c r="V161">
        <f t="shared" si="128"/>
        <v>0</v>
      </c>
      <c r="W161">
        <f t="shared" si="129"/>
        <v>0</v>
      </c>
      <c r="X161">
        <f t="shared" si="130"/>
        <v>0</v>
      </c>
      <c r="Y161">
        <f t="shared" si="131"/>
        <v>0</v>
      </c>
      <c r="AA161">
        <v>42938047</v>
      </c>
      <c r="AB161">
        <f t="shared" si="132"/>
        <v>21.71</v>
      </c>
      <c r="AC161">
        <f t="shared" si="133"/>
        <v>0</v>
      </c>
      <c r="AD161">
        <f t="shared" si="156"/>
        <v>21.71</v>
      </c>
      <c r="AE161">
        <f t="shared" si="157"/>
        <v>0</v>
      </c>
      <c r="AF161">
        <f t="shared" si="158"/>
        <v>0</v>
      </c>
      <c r="AG161">
        <f t="shared" si="134"/>
        <v>0</v>
      </c>
      <c r="AH161">
        <f t="shared" si="159"/>
        <v>0</v>
      </c>
      <c r="AI161">
        <f t="shared" si="160"/>
        <v>0</v>
      </c>
      <c r="AJ161">
        <f t="shared" si="135"/>
        <v>0</v>
      </c>
      <c r="AK161">
        <v>21.71</v>
      </c>
      <c r="AL161">
        <v>0</v>
      </c>
      <c r="AM161">
        <v>21.71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93</v>
      </c>
      <c r="AU161">
        <v>64</v>
      </c>
      <c r="AV161">
        <v>1</v>
      </c>
      <c r="AW161">
        <v>1</v>
      </c>
      <c r="AZ161">
        <v>1</v>
      </c>
      <c r="BA161">
        <v>1</v>
      </c>
      <c r="BB161">
        <v>7.63</v>
      </c>
      <c r="BC161">
        <v>1</v>
      </c>
      <c r="BD161" t="s">
        <v>3</v>
      </c>
      <c r="BE161" t="s">
        <v>3</v>
      </c>
      <c r="BF161" t="s">
        <v>3</v>
      </c>
      <c r="BG161" t="s">
        <v>3</v>
      </c>
      <c r="BH161">
        <v>0</v>
      </c>
      <c r="BI161">
        <v>4</v>
      </c>
      <c r="BJ161" t="s">
        <v>321</v>
      </c>
      <c r="BM161">
        <v>1113</v>
      </c>
      <c r="BN161">
        <v>0</v>
      </c>
      <c r="BO161" t="s">
        <v>319</v>
      </c>
      <c r="BP161">
        <v>1</v>
      </c>
      <c r="BQ161">
        <v>150</v>
      </c>
      <c r="BR161">
        <v>0</v>
      </c>
      <c r="BS161">
        <v>1</v>
      </c>
      <c r="BT161">
        <v>1</v>
      </c>
      <c r="BU161">
        <v>1</v>
      </c>
      <c r="BV161">
        <v>1</v>
      </c>
      <c r="BW161">
        <v>1</v>
      </c>
      <c r="BX161">
        <v>1</v>
      </c>
      <c r="BY161" t="s">
        <v>3</v>
      </c>
      <c r="BZ161">
        <v>93</v>
      </c>
      <c r="CA161">
        <v>64</v>
      </c>
      <c r="CB161" t="s">
        <v>3</v>
      </c>
      <c r="CE161">
        <v>30</v>
      </c>
      <c r="CF161">
        <v>0</v>
      </c>
      <c r="CG161">
        <v>0</v>
      </c>
      <c r="CM161">
        <v>0</v>
      </c>
      <c r="CN161" t="s">
        <v>3</v>
      </c>
      <c r="CO161">
        <v>0</v>
      </c>
      <c r="CP161">
        <f t="shared" si="136"/>
        <v>16449.29</v>
      </c>
      <c r="CQ161">
        <f t="shared" si="137"/>
        <v>0</v>
      </c>
      <c r="CR161">
        <f t="shared" si="161"/>
        <v>165.65</v>
      </c>
      <c r="CS161">
        <f t="shared" si="138"/>
        <v>0</v>
      </c>
      <c r="CT161">
        <f t="shared" si="139"/>
        <v>0</v>
      </c>
      <c r="CU161">
        <f t="shared" si="140"/>
        <v>0</v>
      </c>
      <c r="CV161">
        <f t="shared" si="141"/>
        <v>0</v>
      </c>
      <c r="CW161">
        <f t="shared" si="142"/>
        <v>0</v>
      </c>
      <c r="CX161">
        <f t="shared" si="143"/>
        <v>0</v>
      </c>
      <c r="CY161">
        <f t="shared" si="144"/>
        <v>0</v>
      </c>
      <c r="CZ161">
        <f t="shared" si="145"/>
        <v>0</v>
      </c>
      <c r="DC161" t="s">
        <v>3</v>
      </c>
      <c r="DD161" t="s">
        <v>3</v>
      </c>
      <c r="DE161" t="s">
        <v>3</v>
      </c>
      <c r="DF161" t="s">
        <v>3</v>
      </c>
      <c r="DG161" t="s">
        <v>3</v>
      </c>
      <c r="DH161" t="s">
        <v>3</v>
      </c>
      <c r="DI161" t="s">
        <v>3</v>
      </c>
      <c r="DJ161" t="s">
        <v>3</v>
      </c>
      <c r="DK161" t="s">
        <v>3</v>
      </c>
      <c r="DL161" t="s">
        <v>3</v>
      </c>
      <c r="DM161" t="s">
        <v>3</v>
      </c>
      <c r="DN161">
        <v>0</v>
      </c>
      <c r="DO161">
        <v>0</v>
      </c>
      <c r="DP161">
        <v>1</v>
      </c>
      <c r="DQ161">
        <v>1</v>
      </c>
      <c r="DU161">
        <v>1013</v>
      </c>
      <c r="DV161" t="s">
        <v>182</v>
      </c>
      <c r="DW161" t="s">
        <v>182</v>
      </c>
      <c r="DX161">
        <v>1</v>
      </c>
      <c r="DZ161" t="s">
        <v>3</v>
      </c>
      <c r="EA161" t="s">
        <v>3</v>
      </c>
      <c r="EB161" t="s">
        <v>3</v>
      </c>
      <c r="EC161" t="s">
        <v>3</v>
      </c>
      <c r="EE161">
        <v>43089191</v>
      </c>
      <c r="EF161">
        <v>150</v>
      </c>
      <c r="EG161" t="s">
        <v>190</v>
      </c>
      <c r="EH161">
        <v>0</v>
      </c>
      <c r="EI161" t="s">
        <v>3</v>
      </c>
      <c r="EJ161">
        <v>4</v>
      </c>
      <c r="EK161">
        <v>1113</v>
      </c>
      <c r="EL161" t="s">
        <v>191</v>
      </c>
      <c r="EM161" t="s">
        <v>192</v>
      </c>
      <c r="EO161" t="s">
        <v>3</v>
      </c>
      <c r="EQ161">
        <v>0</v>
      </c>
      <c r="ER161">
        <v>21.71</v>
      </c>
      <c r="ES161">
        <v>0</v>
      </c>
      <c r="ET161">
        <v>21.71</v>
      </c>
      <c r="EU161">
        <v>0</v>
      </c>
      <c r="EV161">
        <v>0</v>
      </c>
      <c r="EW161">
        <v>0</v>
      </c>
      <c r="EX161">
        <v>0</v>
      </c>
      <c r="EY161">
        <v>0</v>
      </c>
      <c r="FQ161">
        <v>0</v>
      </c>
      <c r="FR161">
        <f t="shared" si="146"/>
        <v>0</v>
      </c>
      <c r="FS161">
        <v>0</v>
      </c>
      <c r="FX161">
        <v>0</v>
      </c>
      <c r="FY161">
        <v>0</v>
      </c>
      <c r="GA161" t="s">
        <v>3</v>
      </c>
      <c r="GD161">
        <v>0</v>
      </c>
      <c r="GF161">
        <v>1080444953</v>
      </c>
      <c r="GG161">
        <v>2</v>
      </c>
      <c r="GH161">
        <v>1</v>
      </c>
      <c r="GI161">
        <v>2</v>
      </c>
      <c r="GJ161">
        <v>0</v>
      </c>
      <c r="GK161">
        <f>ROUND(R161*(R12)/100,2)</f>
        <v>0</v>
      </c>
      <c r="GL161">
        <f t="shared" si="147"/>
        <v>0</v>
      </c>
      <c r="GM161">
        <f t="shared" si="148"/>
        <v>16449.29</v>
      </c>
      <c r="GN161">
        <f t="shared" si="149"/>
        <v>0</v>
      </c>
      <c r="GO161">
        <f t="shared" si="150"/>
        <v>0</v>
      </c>
      <c r="GP161">
        <f t="shared" si="151"/>
        <v>16449.29</v>
      </c>
      <c r="GR161">
        <v>0</v>
      </c>
      <c r="GS161">
        <v>3</v>
      </c>
      <c r="GT161">
        <v>0</v>
      </c>
      <c r="GU161" t="s">
        <v>3</v>
      </c>
      <c r="GV161">
        <f t="shared" si="152"/>
        <v>0</v>
      </c>
      <c r="GW161">
        <v>1</v>
      </c>
      <c r="GX161">
        <f t="shared" si="153"/>
        <v>0</v>
      </c>
      <c r="HA161">
        <v>0</v>
      </c>
      <c r="HB161">
        <v>0</v>
      </c>
      <c r="HC161">
        <f t="shared" si="154"/>
        <v>0</v>
      </c>
      <c r="HE161" t="s">
        <v>3</v>
      </c>
      <c r="HF161" t="s">
        <v>3</v>
      </c>
      <c r="HM161" t="s">
        <v>3</v>
      </c>
      <c r="IK161">
        <v>0</v>
      </c>
    </row>
    <row r="162" spans="1:245" x14ac:dyDescent="0.2">
      <c r="A162">
        <v>17</v>
      </c>
      <c r="B162">
        <v>1</v>
      </c>
      <c r="C162">
        <f>ROW(SmtRes!A156)</f>
        <v>156</v>
      </c>
      <c r="D162">
        <f>ROW(EtalonRes!A153)</f>
        <v>153</v>
      </c>
      <c r="E162" t="s">
        <v>353</v>
      </c>
      <c r="F162" t="s">
        <v>204</v>
      </c>
      <c r="G162" t="s">
        <v>205</v>
      </c>
      <c r="H162" t="s">
        <v>104</v>
      </c>
      <c r="I162">
        <v>83.86</v>
      </c>
      <c r="J162">
        <v>0</v>
      </c>
      <c r="K162">
        <v>83.86</v>
      </c>
      <c r="O162">
        <f t="shared" si="122"/>
        <v>47100.81</v>
      </c>
      <c r="P162">
        <f t="shared" si="123"/>
        <v>0</v>
      </c>
      <c r="Q162">
        <f t="shared" si="155"/>
        <v>47100.81</v>
      </c>
      <c r="R162">
        <f t="shared" si="124"/>
        <v>0</v>
      </c>
      <c r="S162">
        <f t="shared" si="125"/>
        <v>0</v>
      </c>
      <c r="T162">
        <f t="shared" si="126"/>
        <v>0</v>
      </c>
      <c r="U162">
        <f t="shared" si="127"/>
        <v>0</v>
      </c>
      <c r="V162">
        <f t="shared" si="128"/>
        <v>0</v>
      </c>
      <c r="W162">
        <f t="shared" si="129"/>
        <v>0</v>
      </c>
      <c r="X162">
        <f t="shared" si="130"/>
        <v>0</v>
      </c>
      <c r="Y162">
        <f t="shared" si="131"/>
        <v>0</v>
      </c>
      <c r="AA162">
        <v>42938047</v>
      </c>
      <c r="AB162">
        <f t="shared" si="132"/>
        <v>46</v>
      </c>
      <c r="AC162">
        <f t="shared" si="133"/>
        <v>0</v>
      </c>
      <c r="AD162">
        <f t="shared" si="156"/>
        <v>46</v>
      </c>
      <c r="AE162">
        <f t="shared" si="157"/>
        <v>0</v>
      </c>
      <c r="AF162">
        <f t="shared" si="158"/>
        <v>0</v>
      </c>
      <c r="AG162">
        <f t="shared" si="134"/>
        <v>0</v>
      </c>
      <c r="AH162">
        <f t="shared" si="159"/>
        <v>0</v>
      </c>
      <c r="AI162">
        <f t="shared" si="160"/>
        <v>0</v>
      </c>
      <c r="AJ162">
        <f t="shared" si="135"/>
        <v>0</v>
      </c>
      <c r="AK162">
        <v>46</v>
      </c>
      <c r="AL162">
        <v>0</v>
      </c>
      <c r="AM162">
        <v>46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93</v>
      </c>
      <c r="AU162">
        <v>64</v>
      </c>
      <c r="AV162">
        <v>1</v>
      </c>
      <c r="AW162">
        <v>1</v>
      </c>
      <c r="AZ162">
        <v>1</v>
      </c>
      <c r="BA162">
        <v>1</v>
      </c>
      <c r="BB162">
        <v>12.21</v>
      </c>
      <c r="BC162">
        <v>1</v>
      </c>
      <c r="BD162" t="s">
        <v>3</v>
      </c>
      <c r="BE162" t="s">
        <v>3</v>
      </c>
      <c r="BF162" t="s">
        <v>3</v>
      </c>
      <c r="BG162" t="s">
        <v>3</v>
      </c>
      <c r="BH162">
        <v>0</v>
      </c>
      <c r="BI162">
        <v>4</v>
      </c>
      <c r="BJ162" t="s">
        <v>206</v>
      </c>
      <c r="BM162">
        <v>1111</v>
      </c>
      <c r="BN162">
        <v>0</v>
      </c>
      <c r="BO162" t="s">
        <v>204</v>
      </c>
      <c r="BP162">
        <v>1</v>
      </c>
      <c r="BQ162">
        <v>150</v>
      </c>
      <c r="BR162">
        <v>0</v>
      </c>
      <c r="BS162">
        <v>1</v>
      </c>
      <c r="BT162">
        <v>1</v>
      </c>
      <c r="BU162">
        <v>1</v>
      </c>
      <c r="BV162">
        <v>1</v>
      </c>
      <c r="BW162">
        <v>1</v>
      </c>
      <c r="BX162">
        <v>1</v>
      </c>
      <c r="BY162" t="s">
        <v>3</v>
      </c>
      <c r="BZ162">
        <v>93</v>
      </c>
      <c r="CA162">
        <v>64</v>
      </c>
      <c r="CB162" t="s">
        <v>3</v>
      </c>
      <c r="CE162">
        <v>30</v>
      </c>
      <c r="CF162">
        <v>0</v>
      </c>
      <c r="CG162">
        <v>0</v>
      </c>
      <c r="CM162">
        <v>0</v>
      </c>
      <c r="CN162" t="s">
        <v>3</v>
      </c>
      <c r="CO162">
        <v>0</v>
      </c>
      <c r="CP162">
        <f t="shared" si="136"/>
        <v>47100.81</v>
      </c>
      <c r="CQ162">
        <f t="shared" si="137"/>
        <v>0</v>
      </c>
      <c r="CR162">
        <f t="shared" si="161"/>
        <v>561.66</v>
      </c>
      <c r="CS162">
        <f t="shared" si="138"/>
        <v>0</v>
      </c>
      <c r="CT162">
        <f t="shared" si="139"/>
        <v>0</v>
      </c>
      <c r="CU162">
        <f t="shared" si="140"/>
        <v>0</v>
      </c>
      <c r="CV162">
        <f t="shared" si="141"/>
        <v>0</v>
      </c>
      <c r="CW162">
        <f t="shared" si="142"/>
        <v>0</v>
      </c>
      <c r="CX162">
        <f t="shared" si="143"/>
        <v>0</v>
      </c>
      <c r="CY162">
        <f t="shared" si="144"/>
        <v>0</v>
      </c>
      <c r="CZ162">
        <f t="shared" si="145"/>
        <v>0</v>
      </c>
      <c r="DC162" t="s">
        <v>3</v>
      </c>
      <c r="DD162" t="s">
        <v>3</v>
      </c>
      <c r="DE162" t="s">
        <v>3</v>
      </c>
      <c r="DF162" t="s">
        <v>3</v>
      </c>
      <c r="DG162" t="s">
        <v>3</v>
      </c>
      <c r="DH162" t="s">
        <v>3</v>
      </c>
      <c r="DI162" t="s">
        <v>3</v>
      </c>
      <c r="DJ162" t="s">
        <v>3</v>
      </c>
      <c r="DK162" t="s">
        <v>3</v>
      </c>
      <c r="DL162" t="s">
        <v>3</v>
      </c>
      <c r="DM162" t="s">
        <v>3</v>
      </c>
      <c r="DN162">
        <v>0</v>
      </c>
      <c r="DO162">
        <v>0</v>
      </c>
      <c r="DP162">
        <v>1</v>
      </c>
      <c r="DQ162">
        <v>1</v>
      </c>
      <c r="DU162">
        <v>1009</v>
      </c>
      <c r="DV162" t="s">
        <v>104</v>
      </c>
      <c r="DW162" t="s">
        <v>104</v>
      </c>
      <c r="DX162">
        <v>1000</v>
      </c>
      <c r="DZ162" t="s">
        <v>3</v>
      </c>
      <c r="EA162" t="s">
        <v>3</v>
      </c>
      <c r="EB162" t="s">
        <v>3</v>
      </c>
      <c r="EC162" t="s">
        <v>3</v>
      </c>
      <c r="EE162">
        <v>43089189</v>
      </c>
      <c r="EF162">
        <v>150</v>
      </c>
      <c r="EG162" t="s">
        <v>190</v>
      </c>
      <c r="EH162">
        <v>0</v>
      </c>
      <c r="EI162" t="s">
        <v>3</v>
      </c>
      <c r="EJ162">
        <v>4</v>
      </c>
      <c r="EK162">
        <v>1111</v>
      </c>
      <c r="EL162" t="s">
        <v>207</v>
      </c>
      <c r="EM162" t="s">
        <v>208</v>
      </c>
      <c r="EO162" t="s">
        <v>3</v>
      </c>
      <c r="EQ162">
        <v>0</v>
      </c>
      <c r="ER162">
        <v>46</v>
      </c>
      <c r="ES162">
        <v>0</v>
      </c>
      <c r="ET162">
        <v>46</v>
      </c>
      <c r="EU162">
        <v>0</v>
      </c>
      <c r="EV162">
        <v>0</v>
      </c>
      <c r="EW162">
        <v>0</v>
      </c>
      <c r="EX162">
        <v>0</v>
      </c>
      <c r="EY162">
        <v>0</v>
      </c>
      <c r="FQ162">
        <v>0</v>
      </c>
      <c r="FR162">
        <f t="shared" si="146"/>
        <v>0</v>
      </c>
      <c r="FS162">
        <v>0</v>
      </c>
      <c r="FX162">
        <v>0</v>
      </c>
      <c r="FY162">
        <v>0</v>
      </c>
      <c r="GA162" t="s">
        <v>3</v>
      </c>
      <c r="GD162">
        <v>0</v>
      </c>
      <c r="GF162">
        <v>1570066743</v>
      </c>
      <c r="GG162">
        <v>2</v>
      </c>
      <c r="GH162">
        <v>1</v>
      </c>
      <c r="GI162">
        <v>2</v>
      </c>
      <c r="GJ162">
        <v>0</v>
      </c>
      <c r="GK162">
        <f>ROUND(R162*(R12)/100,2)</f>
        <v>0</v>
      </c>
      <c r="GL162">
        <f t="shared" si="147"/>
        <v>0</v>
      </c>
      <c r="GM162">
        <f t="shared" si="148"/>
        <v>47100.81</v>
      </c>
      <c r="GN162">
        <f t="shared" si="149"/>
        <v>0</v>
      </c>
      <c r="GO162">
        <f t="shared" si="150"/>
        <v>0</v>
      </c>
      <c r="GP162">
        <f t="shared" si="151"/>
        <v>47100.81</v>
      </c>
      <c r="GR162">
        <v>0</v>
      </c>
      <c r="GS162">
        <v>3</v>
      </c>
      <c r="GT162">
        <v>0</v>
      </c>
      <c r="GU162" t="s">
        <v>3</v>
      </c>
      <c r="GV162">
        <f t="shared" si="152"/>
        <v>0</v>
      </c>
      <c r="GW162">
        <v>1</v>
      </c>
      <c r="GX162">
        <f t="shared" si="153"/>
        <v>0</v>
      </c>
      <c r="HA162">
        <v>0</v>
      </c>
      <c r="HB162">
        <v>0</v>
      </c>
      <c r="HC162">
        <f t="shared" si="154"/>
        <v>0</v>
      </c>
      <c r="HE162" t="s">
        <v>3</v>
      </c>
      <c r="HF162" t="s">
        <v>3</v>
      </c>
      <c r="HM162" t="s">
        <v>3</v>
      </c>
      <c r="IK162">
        <v>0</v>
      </c>
    </row>
    <row r="163" spans="1:245" x14ac:dyDescent="0.2">
      <c r="A163">
        <v>17</v>
      </c>
      <c r="B163">
        <v>1</v>
      </c>
      <c r="C163">
        <f>ROW(SmtRes!A157)</f>
        <v>157</v>
      </c>
      <c r="D163">
        <f>ROW(EtalonRes!A154)</f>
        <v>154</v>
      </c>
      <c r="E163" t="s">
        <v>354</v>
      </c>
      <c r="F163" t="s">
        <v>210</v>
      </c>
      <c r="G163" t="s">
        <v>211</v>
      </c>
      <c r="H163" t="s">
        <v>182</v>
      </c>
      <c r="I163">
        <v>83.86</v>
      </c>
      <c r="J163">
        <v>0</v>
      </c>
      <c r="K163">
        <v>83.86</v>
      </c>
      <c r="O163">
        <f t="shared" si="122"/>
        <v>8068.5</v>
      </c>
      <c r="P163">
        <f t="shared" si="123"/>
        <v>0</v>
      </c>
      <c r="Q163">
        <f t="shared" si="155"/>
        <v>8068.5</v>
      </c>
      <c r="R163">
        <f t="shared" si="124"/>
        <v>0</v>
      </c>
      <c r="S163">
        <f t="shared" si="125"/>
        <v>0</v>
      </c>
      <c r="T163">
        <f t="shared" si="126"/>
        <v>0</v>
      </c>
      <c r="U163">
        <f t="shared" si="127"/>
        <v>0</v>
      </c>
      <c r="V163">
        <f t="shared" si="128"/>
        <v>0</v>
      </c>
      <c r="W163">
        <f t="shared" si="129"/>
        <v>0</v>
      </c>
      <c r="X163">
        <f t="shared" si="130"/>
        <v>0</v>
      </c>
      <c r="Y163">
        <f t="shared" si="131"/>
        <v>0</v>
      </c>
      <c r="AA163">
        <v>42938047</v>
      </c>
      <c r="AB163">
        <f t="shared" si="132"/>
        <v>12.61</v>
      </c>
      <c r="AC163">
        <f t="shared" si="133"/>
        <v>0</v>
      </c>
      <c r="AD163">
        <f t="shared" si="156"/>
        <v>12.61</v>
      </c>
      <c r="AE163">
        <f t="shared" si="157"/>
        <v>0</v>
      </c>
      <c r="AF163">
        <f t="shared" si="158"/>
        <v>0</v>
      </c>
      <c r="AG163">
        <f t="shared" si="134"/>
        <v>0</v>
      </c>
      <c r="AH163">
        <f t="shared" si="159"/>
        <v>0</v>
      </c>
      <c r="AI163">
        <f t="shared" si="160"/>
        <v>0</v>
      </c>
      <c r="AJ163">
        <f t="shared" si="135"/>
        <v>0</v>
      </c>
      <c r="AK163">
        <v>12.61</v>
      </c>
      <c r="AL163">
        <v>0</v>
      </c>
      <c r="AM163">
        <v>12.61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93</v>
      </c>
      <c r="AU163">
        <v>64</v>
      </c>
      <c r="AV163">
        <v>1</v>
      </c>
      <c r="AW163">
        <v>1</v>
      </c>
      <c r="AZ163">
        <v>1</v>
      </c>
      <c r="BA163">
        <v>1</v>
      </c>
      <c r="BB163">
        <v>7.63</v>
      </c>
      <c r="BC163">
        <v>1</v>
      </c>
      <c r="BD163" t="s">
        <v>3</v>
      </c>
      <c r="BE163" t="s">
        <v>3</v>
      </c>
      <c r="BF163" t="s">
        <v>3</v>
      </c>
      <c r="BG163" t="s">
        <v>3</v>
      </c>
      <c r="BH163">
        <v>0</v>
      </c>
      <c r="BI163">
        <v>4</v>
      </c>
      <c r="BJ163" t="s">
        <v>212</v>
      </c>
      <c r="BM163">
        <v>1113</v>
      </c>
      <c r="BN163">
        <v>0</v>
      </c>
      <c r="BO163" t="s">
        <v>210</v>
      </c>
      <c r="BP163">
        <v>1</v>
      </c>
      <c r="BQ163">
        <v>150</v>
      </c>
      <c r="BR163">
        <v>0</v>
      </c>
      <c r="BS163">
        <v>1</v>
      </c>
      <c r="BT163">
        <v>1</v>
      </c>
      <c r="BU163">
        <v>1</v>
      </c>
      <c r="BV163">
        <v>1</v>
      </c>
      <c r="BW163">
        <v>1</v>
      </c>
      <c r="BX163">
        <v>1</v>
      </c>
      <c r="BY163" t="s">
        <v>3</v>
      </c>
      <c r="BZ163">
        <v>93</v>
      </c>
      <c r="CA163">
        <v>64</v>
      </c>
      <c r="CB163" t="s">
        <v>3</v>
      </c>
      <c r="CE163">
        <v>30</v>
      </c>
      <c r="CF163">
        <v>0</v>
      </c>
      <c r="CG163">
        <v>0</v>
      </c>
      <c r="CM163">
        <v>0</v>
      </c>
      <c r="CN163" t="s">
        <v>3</v>
      </c>
      <c r="CO163">
        <v>0</v>
      </c>
      <c r="CP163">
        <f t="shared" si="136"/>
        <v>8068.5</v>
      </c>
      <c r="CQ163">
        <f t="shared" si="137"/>
        <v>0</v>
      </c>
      <c r="CR163">
        <f t="shared" si="161"/>
        <v>96.21</v>
      </c>
      <c r="CS163">
        <f t="shared" si="138"/>
        <v>0</v>
      </c>
      <c r="CT163">
        <f t="shared" si="139"/>
        <v>0</v>
      </c>
      <c r="CU163">
        <f t="shared" si="140"/>
        <v>0</v>
      </c>
      <c r="CV163">
        <f t="shared" si="141"/>
        <v>0</v>
      </c>
      <c r="CW163">
        <f t="shared" si="142"/>
        <v>0</v>
      </c>
      <c r="CX163">
        <f t="shared" si="143"/>
        <v>0</v>
      </c>
      <c r="CY163">
        <f t="shared" si="144"/>
        <v>0</v>
      </c>
      <c r="CZ163">
        <f t="shared" si="145"/>
        <v>0</v>
      </c>
      <c r="DC163" t="s">
        <v>3</v>
      </c>
      <c r="DD163" t="s">
        <v>3</v>
      </c>
      <c r="DE163" t="s">
        <v>3</v>
      </c>
      <c r="DF163" t="s">
        <v>3</v>
      </c>
      <c r="DG163" t="s">
        <v>3</v>
      </c>
      <c r="DH163" t="s">
        <v>3</v>
      </c>
      <c r="DI163" t="s">
        <v>3</v>
      </c>
      <c r="DJ163" t="s">
        <v>3</v>
      </c>
      <c r="DK163" t="s">
        <v>3</v>
      </c>
      <c r="DL163" t="s">
        <v>3</v>
      </c>
      <c r="DM163" t="s">
        <v>3</v>
      </c>
      <c r="DN163">
        <v>0</v>
      </c>
      <c r="DO163">
        <v>0</v>
      </c>
      <c r="DP163">
        <v>1</v>
      </c>
      <c r="DQ163">
        <v>1</v>
      </c>
      <c r="DU163">
        <v>1013</v>
      </c>
      <c r="DV163" t="s">
        <v>182</v>
      </c>
      <c r="DW163" t="s">
        <v>182</v>
      </c>
      <c r="DX163">
        <v>1</v>
      </c>
      <c r="DZ163" t="s">
        <v>3</v>
      </c>
      <c r="EA163" t="s">
        <v>3</v>
      </c>
      <c r="EB163" t="s">
        <v>3</v>
      </c>
      <c r="EC163" t="s">
        <v>3</v>
      </c>
      <c r="EE163">
        <v>43089191</v>
      </c>
      <c r="EF163">
        <v>150</v>
      </c>
      <c r="EG163" t="s">
        <v>190</v>
      </c>
      <c r="EH163">
        <v>0</v>
      </c>
      <c r="EI163" t="s">
        <v>3</v>
      </c>
      <c r="EJ163">
        <v>4</v>
      </c>
      <c r="EK163">
        <v>1113</v>
      </c>
      <c r="EL163" t="s">
        <v>191</v>
      </c>
      <c r="EM163" t="s">
        <v>192</v>
      </c>
      <c r="EO163" t="s">
        <v>3</v>
      </c>
      <c r="EQ163">
        <v>0</v>
      </c>
      <c r="ER163">
        <v>12.61</v>
      </c>
      <c r="ES163">
        <v>0</v>
      </c>
      <c r="ET163">
        <v>12.61</v>
      </c>
      <c r="EU163">
        <v>0</v>
      </c>
      <c r="EV163">
        <v>0</v>
      </c>
      <c r="EW163">
        <v>0</v>
      </c>
      <c r="EX163">
        <v>0</v>
      </c>
      <c r="EY163">
        <v>0</v>
      </c>
      <c r="FQ163">
        <v>0</v>
      </c>
      <c r="FR163">
        <f t="shared" si="146"/>
        <v>0</v>
      </c>
      <c r="FS163">
        <v>0</v>
      </c>
      <c r="FX163">
        <v>0</v>
      </c>
      <c r="FY163">
        <v>0</v>
      </c>
      <c r="GA163" t="s">
        <v>3</v>
      </c>
      <c r="GD163">
        <v>0</v>
      </c>
      <c r="GF163">
        <v>-1630031867</v>
      </c>
      <c r="GG163">
        <v>2</v>
      </c>
      <c r="GH163">
        <v>1</v>
      </c>
      <c r="GI163">
        <v>2</v>
      </c>
      <c r="GJ163">
        <v>0</v>
      </c>
      <c r="GK163">
        <f>ROUND(R163*(R12)/100,2)</f>
        <v>0</v>
      </c>
      <c r="GL163">
        <f t="shared" si="147"/>
        <v>0</v>
      </c>
      <c r="GM163">
        <f t="shared" si="148"/>
        <v>8068.5</v>
      </c>
      <c r="GN163">
        <f t="shared" si="149"/>
        <v>0</v>
      </c>
      <c r="GO163">
        <f t="shared" si="150"/>
        <v>0</v>
      </c>
      <c r="GP163">
        <f t="shared" si="151"/>
        <v>8068.5</v>
      </c>
      <c r="GR163">
        <v>0</v>
      </c>
      <c r="GS163">
        <v>3</v>
      </c>
      <c r="GT163">
        <v>0</v>
      </c>
      <c r="GU163" t="s">
        <v>3</v>
      </c>
      <c r="GV163">
        <f t="shared" si="152"/>
        <v>0</v>
      </c>
      <c r="GW163">
        <v>1</v>
      </c>
      <c r="GX163">
        <f t="shared" si="153"/>
        <v>0</v>
      </c>
      <c r="HA163">
        <v>0</v>
      </c>
      <c r="HB163">
        <v>0</v>
      </c>
      <c r="HC163">
        <f t="shared" si="154"/>
        <v>0</v>
      </c>
      <c r="HE163" t="s">
        <v>3</v>
      </c>
      <c r="HF163" t="s">
        <v>3</v>
      </c>
      <c r="HM163" t="s">
        <v>3</v>
      </c>
      <c r="IK163">
        <v>0</v>
      </c>
    </row>
    <row r="165" spans="1:245" x14ac:dyDescent="0.2">
      <c r="A165" s="2">
        <v>51</v>
      </c>
      <c r="B165" s="2">
        <f>B148</f>
        <v>1</v>
      </c>
      <c r="C165" s="2">
        <f>A148</f>
        <v>4</v>
      </c>
      <c r="D165" s="2">
        <f>ROW(A148)</f>
        <v>148</v>
      </c>
      <c r="E165" s="2"/>
      <c r="F165" s="2" t="str">
        <f>IF(F148&lt;&gt;"",F148,"")</f>
        <v>Новый раздел</v>
      </c>
      <c r="G165" s="2" t="str">
        <f>IF(G148&lt;&gt;"",G148,"")</f>
        <v>Замена борткамня 953 пог.м</v>
      </c>
      <c r="H165" s="2">
        <v>0</v>
      </c>
      <c r="I165" s="2"/>
      <c r="J165" s="2"/>
      <c r="K165" s="2"/>
      <c r="L165" s="2"/>
      <c r="M165" s="2"/>
      <c r="N165" s="2"/>
      <c r="O165" s="2">
        <f t="shared" ref="O165:T165" si="162">ROUND(AB165,2)</f>
        <v>898255.34</v>
      </c>
      <c r="P165" s="2">
        <f t="shared" si="162"/>
        <v>318553.88</v>
      </c>
      <c r="Q165" s="2">
        <f t="shared" si="162"/>
        <v>130516.54</v>
      </c>
      <c r="R165" s="2">
        <f t="shared" si="162"/>
        <v>6245.27</v>
      </c>
      <c r="S165" s="2">
        <f t="shared" si="162"/>
        <v>449184.92</v>
      </c>
      <c r="T165" s="2">
        <f t="shared" si="162"/>
        <v>0</v>
      </c>
      <c r="U165" s="2">
        <f>AH165</f>
        <v>1595.1733319999998</v>
      </c>
      <c r="V165" s="2">
        <f>AI165</f>
        <v>0</v>
      </c>
      <c r="W165" s="2">
        <f>ROUND(AJ165,2)</f>
        <v>0</v>
      </c>
      <c r="X165" s="2">
        <f>ROUND(AK165,2)</f>
        <v>393843.74</v>
      </c>
      <c r="Y165" s="2">
        <f>ROUND(AL165,2)</f>
        <v>184165.82</v>
      </c>
      <c r="Z165" s="2"/>
      <c r="AA165" s="2"/>
      <c r="AB165" s="2">
        <f>ROUND(SUMIF(AA152:AA163,"=42938047",O152:O163),2)</f>
        <v>898255.34</v>
      </c>
      <c r="AC165" s="2">
        <f>ROUND(SUMIF(AA152:AA163,"=42938047",P152:P163),2)</f>
        <v>318553.88</v>
      </c>
      <c r="AD165" s="2">
        <f>ROUND(SUMIF(AA152:AA163,"=42938047",Q152:Q163),2)</f>
        <v>130516.54</v>
      </c>
      <c r="AE165" s="2">
        <f>ROUND(SUMIF(AA152:AA163,"=42938047",R152:R163),2)</f>
        <v>6245.27</v>
      </c>
      <c r="AF165" s="2">
        <f>ROUND(SUMIF(AA152:AA163,"=42938047",S152:S163),2)</f>
        <v>449184.92</v>
      </c>
      <c r="AG165" s="2">
        <f>ROUND(SUMIF(AA152:AA163,"=42938047",T152:T163),2)</f>
        <v>0</v>
      </c>
      <c r="AH165" s="2">
        <f>SUMIF(AA152:AA163,"=42938047",U152:U163)</f>
        <v>1595.1733319999998</v>
      </c>
      <c r="AI165" s="2">
        <f>SUMIF(AA152:AA163,"=42938047",V152:V163)</f>
        <v>0</v>
      </c>
      <c r="AJ165" s="2">
        <f>ROUND(SUMIF(AA152:AA163,"=42938047",W152:W163),2)</f>
        <v>0</v>
      </c>
      <c r="AK165" s="2">
        <f>ROUND(SUMIF(AA152:AA163,"=42938047",X152:X163),2)</f>
        <v>393843.74</v>
      </c>
      <c r="AL165" s="2">
        <f>ROUND(SUMIF(AA152:AA163,"=42938047",Y152:Y163),2)</f>
        <v>184165.82</v>
      </c>
      <c r="AM165" s="2"/>
      <c r="AN165" s="2"/>
      <c r="AO165" s="2">
        <f t="shared" ref="AO165:BD165" si="163">ROUND(BX165,2)</f>
        <v>0</v>
      </c>
      <c r="AP165" s="2">
        <f t="shared" si="163"/>
        <v>0</v>
      </c>
      <c r="AQ165" s="2">
        <f t="shared" si="163"/>
        <v>0</v>
      </c>
      <c r="AR165" s="2">
        <f t="shared" si="163"/>
        <v>1486069.97</v>
      </c>
      <c r="AS165" s="2">
        <f t="shared" si="163"/>
        <v>1369464.28</v>
      </c>
      <c r="AT165" s="2">
        <f t="shared" si="163"/>
        <v>0</v>
      </c>
      <c r="AU165" s="2">
        <f t="shared" si="163"/>
        <v>116605.69</v>
      </c>
      <c r="AV165" s="2">
        <f t="shared" si="163"/>
        <v>318553.88</v>
      </c>
      <c r="AW165" s="2">
        <f t="shared" si="163"/>
        <v>318553.88</v>
      </c>
      <c r="AX165" s="2">
        <f t="shared" si="163"/>
        <v>0</v>
      </c>
      <c r="AY165" s="2">
        <f t="shared" si="163"/>
        <v>318553.88</v>
      </c>
      <c r="AZ165" s="2">
        <f t="shared" si="163"/>
        <v>0</v>
      </c>
      <c r="BA165" s="2">
        <f t="shared" si="163"/>
        <v>0</v>
      </c>
      <c r="BB165" s="2">
        <f t="shared" si="163"/>
        <v>0</v>
      </c>
      <c r="BC165" s="2">
        <f t="shared" si="163"/>
        <v>0</v>
      </c>
      <c r="BD165" s="2">
        <f t="shared" si="163"/>
        <v>0</v>
      </c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>
        <f>ROUND(SUMIF(AA152:AA163,"=42938047",FQ152:FQ163),2)</f>
        <v>0</v>
      </c>
      <c r="BY165" s="2">
        <f>ROUND(SUMIF(AA152:AA163,"=42938047",FR152:FR163),2)</f>
        <v>0</v>
      </c>
      <c r="BZ165" s="2">
        <f>ROUND(SUMIF(AA152:AA163,"=42938047",GL152:GL163),2)</f>
        <v>0</v>
      </c>
      <c r="CA165" s="2">
        <f>ROUND(SUMIF(AA152:AA163,"=42938047",GM152:GM163),2)</f>
        <v>1486069.97</v>
      </c>
      <c r="CB165" s="2">
        <f>ROUND(SUMIF(AA152:AA163,"=42938047",GN152:GN163),2)</f>
        <v>1369464.28</v>
      </c>
      <c r="CC165" s="2">
        <f>ROUND(SUMIF(AA152:AA163,"=42938047",GO152:GO163),2)</f>
        <v>0</v>
      </c>
      <c r="CD165" s="2">
        <f>ROUND(SUMIF(AA152:AA163,"=42938047",GP152:GP163),2)</f>
        <v>116605.69</v>
      </c>
      <c r="CE165" s="2">
        <f>AC165-BX165</f>
        <v>318553.88</v>
      </c>
      <c r="CF165" s="2">
        <f>AC165-BY165</f>
        <v>318553.88</v>
      </c>
      <c r="CG165" s="2">
        <f>BX165-BZ165</f>
        <v>0</v>
      </c>
      <c r="CH165" s="2">
        <f>AC165-BX165-BY165+BZ165</f>
        <v>318553.88</v>
      </c>
      <c r="CI165" s="2">
        <f>BY165-BZ165</f>
        <v>0</v>
      </c>
      <c r="CJ165" s="2">
        <f>ROUND(SUMIF(AA152:AA163,"=42938047",GX152:GX163),2)</f>
        <v>0</v>
      </c>
      <c r="CK165" s="2">
        <f>ROUND(SUMIF(AA152:AA163,"=42938047",GY152:GY163),2)</f>
        <v>0</v>
      </c>
      <c r="CL165" s="2">
        <f>ROUND(SUMIF(AA152:AA163,"=42938047",GZ152:GZ163),2)</f>
        <v>0</v>
      </c>
      <c r="CM165" s="2">
        <f>ROUND(SUMIF(AA152:AA163,"=42938047",HD152:HD163),2)</f>
        <v>0</v>
      </c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  <c r="DU165" s="3"/>
      <c r="DV165" s="3"/>
      <c r="DW165" s="3"/>
      <c r="DX165" s="3"/>
      <c r="DY165" s="3"/>
      <c r="DZ165" s="3"/>
      <c r="EA165" s="3"/>
      <c r="EB165" s="3"/>
      <c r="EC165" s="3"/>
      <c r="ED165" s="3"/>
      <c r="EE165" s="3"/>
      <c r="EF165" s="3"/>
      <c r="EG165" s="3"/>
      <c r="EH165" s="3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  <c r="EY165" s="3"/>
      <c r="EZ165" s="3"/>
      <c r="FA165" s="3"/>
      <c r="FB165" s="3"/>
      <c r="FC165" s="3"/>
      <c r="FD165" s="3"/>
      <c r="FE165" s="3"/>
      <c r="FF165" s="3"/>
      <c r="FG165" s="3"/>
      <c r="FH165" s="3"/>
      <c r="FI165" s="3"/>
      <c r="FJ165" s="3"/>
      <c r="FK165" s="3"/>
      <c r="FL165" s="3"/>
      <c r="FM165" s="3"/>
      <c r="FN165" s="3"/>
      <c r="FO165" s="3"/>
      <c r="FP165" s="3"/>
      <c r="FQ165" s="3"/>
      <c r="FR165" s="3"/>
      <c r="FS165" s="3"/>
      <c r="FT165" s="3"/>
      <c r="FU165" s="3"/>
      <c r="FV165" s="3"/>
      <c r="FW165" s="3"/>
      <c r="FX165" s="3"/>
      <c r="FY165" s="3"/>
      <c r="FZ165" s="3"/>
      <c r="GA165" s="3"/>
      <c r="GB165" s="3"/>
      <c r="GC165" s="3"/>
      <c r="GD165" s="3"/>
      <c r="GE165" s="3"/>
      <c r="GF165" s="3"/>
      <c r="GG165" s="3"/>
      <c r="GH165" s="3"/>
      <c r="GI165" s="3"/>
      <c r="GJ165" s="3"/>
      <c r="GK165" s="3"/>
      <c r="GL165" s="3"/>
      <c r="GM165" s="3"/>
      <c r="GN165" s="3"/>
      <c r="GO165" s="3"/>
      <c r="GP165" s="3"/>
      <c r="GQ165" s="3"/>
      <c r="GR165" s="3"/>
      <c r="GS165" s="3"/>
      <c r="GT165" s="3"/>
      <c r="GU165" s="3"/>
      <c r="GV165" s="3"/>
      <c r="GW165" s="3"/>
      <c r="GX165" s="3">
        <v>0</v>
      </c>
    </row>
    <row r="167" spans="1:245" x14ac:dyDescent="0.2">
      <c r="A167" s="4">
        <v>50</v>
      </c>
      <c r="B167" s="4">
        <v>0</v>
      </c>
      <c r="C167" s="4">
        <v>0</v>
      </c>
      <c r="D167" s="4">
        <v>1</v>
      </c>
      <c r="E167" s="4">
        <v>201</v>
      </c>
      <c r="F167" s="4">
        <f>ROUND(Source!O165,O167)</f>
        <v>898255.34</v>
      </c>
      <c r="G167" s="4" t="s">
        <v>213</v>
      </c>
      <c r="H167" s="4" t="s">
        <v>214</v>
      </c>
      <c r="I167" s="4"/>
      <c r="J167" s="4"/>
      <c r="K167" s="4">
        <v>201</v>
      </c>
      <c r="L167" s="4">
        <v>1</v>
      </c>
      <c r="M167" s="4">
        <v>3</v>
      </c>
      <c r="N167" s="4" t="s">
        <v>3</v>
      </c>
      <c r="O167" s="4">
        <v>2</v>
      </c>
      <c r="P167" s="4"/>
      <c r="Q167" s="4"/>
      <c r="R167" s="4"/>
      <c r="S167" s="4"/>
      <c r="T167" s="4"/>
      <c r="U167" s="4"/>
      <c r="V167" s="4"/>
      <c r="W167" s="4"/>
    </row>
    <row r="168" spans="1:245" x14ac:dyDescent="0.2">
      <c r="A168" s="4">
        <v>50</v>
      </c>
      <c r="B168" s="4">
        <v>0</v>
      </c>
      <c r="C168" s="4">
        <v>0</v>
      </c>
      <c r="D168" s="4">
        <v>1</v>
      </c>
      <c r="E168" s="4">
        <v>202</v>
      </c>
      <c r="F168" s="4">
        <f>ROUND(Source!P165,O168)</f>
        <v>318553.88</v>
      </c>
      <c r="G168" s="4" t="s">
        <v>215</v>
      </c>
      <c r="H168" s="4" t="s">
        <v>216</v>
      </c>
      <c r="I168" s="4"/>
      <c r="J168" s="4"/>
      <c r="K168" s="4">
        <v>202</v>
      </c>
      <c r="L168" s="4">
        <v>2</v>
      </c>
      <c r="M168" s="4">
        <v>3</v>
      </c>
      <c r="N168" s="4" t="s">
        <v>3</v>
      </c>
      <c r="O168" s="4">
        <v>2</v>
      </c>
      <c r="P168" s="4"/>
      <c r="Q168" s="4"/>
      <c r="R168" s="4"/>
      <c r="S168" s="4"/>
      <c r="T168" s="4"/>
      <c r="U168" s="4"/>
      <c r="V168" s="4"/>
      <c r="W168" s="4"/>
    </row>
    <row r="169" spans="1:245" x14ac:dyDescent="0.2">
      <c r="A169" s="4">
        <v>50</v>
      </c>
      <c r="B169" s="4">
        <v>0</v>
      </c>
      <c r="C169" s="4">
        <v>0</v>
      </c>
      <c r="D169" s="4">
        <v>1</v>
      </c>
      <c r="E169" s="4">
        <v>222</v>
      </c>
      <c r="F169" s="4">
        <f>ROUND(Source!AO165,O169)</f>
        <v>0</v>
      </c>
      <c r="G169" s="4" t="s">
        <v>217</v>
      </c>
      <c r="H169" s="4" t="s">
        <v>218</v>
      </c>
      <c r="I169" s="4"/>
      <c r="J169" s="4"/>
      <c r="K169" s="4">
        <v>222</v>
      </c>
      <c r="L169" s="4">
        <v>3</v>
      </c>
      <c r="M169" s="4">
        <v>3</v>
      </c>
      <c r="N169" s="4" t="s">
        <v>3</v>
      </c>
      <c r="O169" s="4">
        <v>2</v>
      </c>
      <c r="P169" s="4"/>
      <c r="Q169" s="4"/>
      <c r="R169" s="4"/>
      <c r="S169" s="4"/>
      <c r="T169" s="4"/>
      <c r="U169" s="4"/>
      <c r="V169" s="4"/>
      <c r="W169" s="4"/>
    </row>
    <row r="170" spans="1:245" x14ac:dyDescent="0.2">
      <c r="A170" s="4">
        <v>50</v>
      </c>
      <c r="B170" s="4">
        <v>0</v>
      </c>
      <c r="C170" s="4">
        <v>0</v>
      </c>
      <c r="D170" s="4">
        <v>1</v>
      </c>
      <c r="E170" s="4">
        <v>225</v>
      </c>
      <c r="F170" s="4">
        <f>ROUND(Source!AV165,O170)</f>
        <v>318553.88</v>
      </c>
      <c r="G170" s="4" t="s">
        <v>219</v>
      </c>
      <c r="H170" s="4" t="s">
        <v>220</v>
      </c>
      <c r="I170" s="4"/>
      <c r="J170" s="4"/>
      <c r="K170" s="4">
        <v>225</v>
      </c>
      <c r="L170" s="4">
        <v>4</v>
      </c>
      <c r="M170" s="4">
        <v>3</v>
      </c>
      <c r="N170" s="4" t="s">
        <v>3</v>
      </c>
      <c r="O170" s="4">
        <v>2</v>
      </c>
      <c r="P170" s="4"/>
      <c r="Q170" s="4"/>
      <c r="R170" s="4"/>
      <c r="S170" s="4"/>
      <c r="T170" s="4"/>
      <c r="U170" s="4"/>
      <c r="V170" s="4"/>
      <c r="W170" s="4"/>
    </row>
    <row r="171" spans="1:245" x14ac:dyDescent="0.2">
      <c r="A171" s="4">
        <v>50</v>
      </c>
      <c r="B171" s="4">
        <v>0</v>
      </c>
      <c r="C171" s="4">
        <v>0</v>
      </c>
      <c r="D171" s="4">
        <v>1</v>
      </c>
      <c r="E171" s="4">
        <v>226</v>
      </c>
      <c r="F171" s="4">
        <f>ROUND(Source!AW165,O171)</f>
        <v>318553.88</v>
      </c>
      <c r="G171" s="4" t="s">
        <v>221</v>
      </c>
      <c r="H171" s="4" t="s">
        <v>222</v>
      </c>
      <c r="I171" s="4"/>
      <c r="J171" s="4"/>
      <c r="K171" s="4">
        <v>226</v>
      </c>
      <c r="L171" s="4">
        <v>5</v>
      </c>
      <c r="M171" s="4">
        <v>3</v>
      </c>
      <c r="N171" s="4" t="s">
        <v>3</v>
      </c>
      <c r="O171" s="4">
        <v>2</v>
      </c>
      <c r="P171" s="4"/>
      <c r="Q171" s="4"/>
      <c r="R171" s="4"/>
      <c r="S171" s="4"/>
      <c r="T171" s="4"/>
      <c r="U171" s="4"/>
      <c r="V171" s="4"/>
      <c r="W171" s="4"/>
    </row>
    <row r="172" spans="1:245" x14ac:dyDescent="0.2">
      <c r="A172" s="4">
        <v>50</v>
      </c>
      <c r="B172" s="4">
        <v>0</v>
      </c>
      <c r="C172" s="4">
        <v>0</v>
      </c>
      <c r="D172" s="4">
        <v>1</v>
      </c>
      <c r="E172" s="4">
        <v>227</v>
      </c>
      <c r="F172" s="4">
        <f>ROUND(Source!AX165,O172)</f>
        <v>0</v>
      </c>
      <c r="G172" s="4" t="s">
        <v>223</v>
      </c>
      <c r="H172" s="4" t="s">
        <v>224</v>
      </c>
      <c r="I172" s="4"/>
      <c r="J172" s="4"/>
      <c r="K172" s="4">
        <v>227</v>
      </c>
      <c r="L172" s="4">
        <v>6</v>
      </c>
      <c r="M172" s="4">
        <v>3</v>
      </c>
      <c r="N172" s="4" t="s">
        <v>3</v>
      </c>
      <c r="O172" s="4">
        <v>2</v>
      </c>
      <c r="P172" s="4"/>
      <c r="Q172" s="4"/>
      <c r="R172" s="4"/>
      <c r="S172" s="4"/>
      <c r="T172" s="4"/>
      <c r="U172" s="4"/>
      <c r="V172" s="4"/>
      <c r="W172" s="4"/>
    </row>
    <row r="173" spans="1:245" x14ac:dyDescent="0.2">
      <c r="A173" s="4">
        <v>50</v>
      </c>
      <c r="B173" s="4">
        <v>0</v>
      </c>
      <c r="C173" s="4">
        <v>0</v>
      </c>
      <c r="D173" s="4">
        <v>1</v>
      </c>
      <c r="E173" s="4">
        <v>228</v>
      </c>
      <c r="F173" s="4">
        <f>ROUND(Source!AY165,O173)</f>
        <v>318553.88</v>
      </c>
      <c r="G173" s="4" t="s">
        <v>225</v>
      </c>
      <c r="H173" s="4" t="s">
        <v>226</v>
      </c>
      <c r="I173" s="4"/>
      <c r="J173" s="4"/>
      <c r="K173" s="4">
        <v>228</v>
      </c>
      <c r="L173" s="4">
        <v>7</v>
      </c>
      <c r="M173" s="4">
        <v>3</v>
      </c>
      <c r="N173" s="4" t="s">
        <v>3</v>
      </c>
      <c r="O173" s="4">
        <v>2</v>
      </c>
      <c r="P173" s="4"/>
      <c r="Q173" s="4"/>
      <c r="R173" s="4"/>
      <c r="S173" s="4"/>
      <c r="T173" s="4"/>
      <c r="U173" s="4"/>
      <c r="V173" s="4"/>
      <c r="W173" s="4"/>
    </row>
    <row r="174" spans="1:245" x14ac:dyDescent="0.2">
      <c r="A174" s="4">
        <v>50</v>
      </c>
      <c r="B174" s="4">
        <v>0</v>
      </c>
      <c r="C174" s="4">
        <v>0</v>
      </c>
      <c r="D174" s="4">
        <v>1</v>
      </c>
      <c r="E174" s="4">
        <v>216</v>
      </c>
      <c r="F174" s="4">
        <f>ROUND(Source!AP165,O174)</f>
        <v>0</v>
      </c>
      <c r="G174" s="4" t="s">
        <v>227</v>
      </c>
      <c r="H174" s="4" t="s">
        <v>228</v>
      </c>
      <c r="I174" s="4"/>
      <c r="J174" s="4"/>
      <c r="K174" s="4">
        <v>216</v>
      </c>
      <c r="L174" s="4">
        <v>8</v>
      </c>
      <c r="M174" s="4">
        <v>3</v>
      </c>
      <c r="N174" s="4" t="s">
        <v>3</v>
      </c>
      <c r="O174" s="4">
        <v>2</v>
      </c>
      <c r="P174" s="4"/>
      <c r="Q174" s="4"/>
      <c r="R174" s="4"/>
      <c r="S174" s="4"/>
      <c r="T174" s="4"/>
      <c r="U174" s="4"/>
      <c r="V174" s="4"/>
      <c r="W174" s="4"/>
    </row>
    <row r="175" spans="1:245" x14ac:dyDescent="0.2">
      <c r="A175" s="4">
        <v>50</v>
      </c>
      <c r="B175" s="4">
        <v>0</v>
      </c>
      <c r="C175" s="4">
        <v>0</v>
      </c>
      <c r="D175" s="4">
        <v>1</v>
      </c>
      <c r="E175" s="4">
        <v>223</v>
      </c>
      <c r="F175" s="4">
        <f>ROUND(Source!AQ165,O175)</f>
        <v>0</v>
      </c>
      <c r="G175" s="4" t="s">
        <v>229</v>
      </c>
      <c r="H175" s="4" t="s">
        <v>230</v>
      </c>
      <c r="I175" s="4"/>
      <c r="J175" s="4"/>
      <c r="K175" s="4">
        <v>223</v>
      </c>
      <c r="L175" s="4">
        <v>9</v>
      </c>
      <c r="M175" s="4">
        <v>3</v>
      </c>
      <c r="N175" s="4" t="s">
        <v>3</v>
      </c>
      <c r="O175" s="4">
        <v>2</v>
      </c>
      <c r="P175" s="4"/>
      <c r="Q175" s="4"/>
      <c r="R175" s="4"/>
      <c r="S175" s="4"/>
      <c r="T175" s="4"/>
      <c r="U175" s="4"/>
      <c r="V175" s="4"/>
      <c r="W175" s="4"/>
    </row>
    <row r="176" spans="1:245" x14ac:dyDescent="0.2">
      <c r="A176" s="4">
        <v>50</v>
      </c>
      <c r="B176" s="4">
        <v>0</v>
      </c>
      <c r="C176" s="4">
        <v>0</v>
      </c>
      <c r="D176" s="4">
        <v>1</v>
      </c>
      <c r="E176" s="4">
        <v>229</v>
      </c>
      <c r="F176" s="4">
        <f>ROUND(Source!AZ165,O176)</f>
        <v>0</v>
      </c>
      <c r="G176" s="4" t="s">
        <v>231</v>
      </c>
      <c r="H176" s="4" t="s">
        <v>232</v>
      </c>
      <c r="I176" s="4"/>
      <c r="J176" s="4"/>
      <c r="K176" s="4">
        <v>229</v>
      </c>
      <c r="L176" s="4">
        <v>10</v>
      </c>
      <c r="M176" s="4">
        <v>3</v>
      </c>
      <c r="N176" s="4" t="s">
        <v>3</v>
      </c>
      <c r="O176" s="4">
        <v>2</v>
      </c>
      <c r="P176" s="4"/>
      <c r="Q176" s="4"/>
      <c r="R176" s="4"/>
      <c r="S176" s="4"/>
      <c r="T176" s="4"/>
      <c r="U176" s="4"/>
      <c r="V176" s="4"/>
      <c r="W176" s="4"/>
    </row>
    <row r="177" spans="1:23" x14ac:dyDescent="0.2">
      <c r="A177" s="4">
        <v>50</v>
      </c>
      <c r="B177" s="4">
        <v>0</v>
      </c>
      <c r="C177" s="4">
        <v>0</v>
      </c>
      <c r="D177" s="4">
        <v>1</v>
      </c>
      <c r="E177" s="4">
        <v>203</v>
      </c>
      <c r="F177" s="4">
        <f>ROUND(Source!Q165,O177)</f>
        <v>130516.54</v>
      </c>
      <c r="G177" s="4" t="s">
        <v>233</v>
      </c>
      <c r="H177" s="4" t="s">
        <v>234</v>
      </c>
      <c r="I177" s="4"/>
      <c r="J177" s="4"/>
      <c r="K177" s="4">
        <v>203</v>
      </c>
      <c r="L177" s="4">
        <v>11</v>
      </c>
      <c r="M177" s="4">
        <v>3</v>
      </c>
      <c r="N177" s="4" t="s">
        <v>3</v>
      </c>
      <c r="O177" s="4">
        <v>2</v>
      </c>
      <c r="P177" s="4"/>
      <c r="Q177" s="4"/>
      <c r="R177" s="4"/>
      <c r="S177" s="4"/>
      <c r="T177" s="4"/>
      <c r="U177" s="4"/>
      <c r="V177" s="4"/>
      <c r="W177" s="4"/>
    </row>
    <row r="178" spans="1:23" x14ac:dyDescent="0.2">
      <c r="A178" s="4">
        <v>50</v>
      </c>
      <c r="B178" s="4">
        <v>0</v>
      </c>
      <c r="C178" s="4">
        <v>0</v>
      </c>
      <c r="D178" s="4">
        <v>1</v>
      </c>
      <c r="E178" s="4">
        <v>231</v>
      </c>
      <c r="F178" s="4">
        <f>ROUND(Source!BB165,O178)</f>
        <v>0</v>
      </c>
      <c r="G178" s="4" t="s">
        <v>235</v>
      </c>
      <c r="H178" s="4" t="s">
        <v>236</v>
      </c>
      <c r="I178" s="4"/>
      <c r="J178" s="4"/>
      <c r="K178" s="4">
        <v>231</v>
      </c>
      <c r="L178" s="4">
        <v>12</v>
      </c>
      <c r="M178" s="4">
        <v>3</v>
      </c>
      <c r="N178" s="4" t="s">
        <v>3</v>
      </c>
      <c r="O178" s="4">
        <v>2</v>
      </c>
      <c r="P178" s="4"/>
      <c r="Q178" s="4"/>
      <c r="R178" s="4"/>
      <c r="S178" s="4"/>
      <c r="T178" s="4"/>
      <c r="U178" s="4"/>
      <c r="V178" s="4"/>
      <c r="W178" s="4"/>
    </row>
    <row r="179" spans="1:23" x14ac:dyDescent="0.2">
      <c r="A179" s="4">
        <v>50</v>
      </c>
      <c r="B179" s="4">
        <v>0</v>
      </c>
      <c r="C179" s="4">
        <v>0</v>
      </c>
      <c r="D179" s="4">
        <v>1</v>
      </c>
      <c r="E179" s="4">
        <v>204</v>
      </c>
      <c r="F179" s="4">
        <f>ROUND(Source!R165,O179)</f>
        <v>6245.27</v>
      </c>
      <c r="G179" s="4" t="s">
        <v>237</v>
      </c>
      <c r="H179" s="4" t="s">
        <v>238</v>
      </c>
      <c r="I179" s="4"/>
      <c r="J179" s="4"/>
      <c r="K179" s="4">
        <v>204</v>
      </c>
      <c r="L179" s="4">
        <v>13</v>
      </c>
      <c r="M179" s="4">
        <v>3</v>
      </c>
      <c r="N179" s="4" t="s">
        <v>3</v>
      </c>
      <c r="O179" s="4">
        <v>2</v>
      </c>
      <c r="P179" s="4"/>
      <c r="Q179" s="4"/>
      <c r="R179" s="4"/>
      <c r="S179" s="4"/>
      <c r="T179" s="4"/>
      <c r="U179" s="4"/>
      <c r="V179" s="4"/>
      <c r="W179" s="4"/>
    </row>
    <row r="180" spans="1:23" x14ac:dyDescent="0.2">
      <c r="A180" s="4">
        <v>50</v>
      </c>
      <c r="B180" s="4">
        <v>0</v>
      </c>
      <c r="C180" s="4">
        <v>0</v>
      </c>
      <c r="D180" s="4">
        <v>1</v>
      </c>
      <c r="E180" s="4">
        <v>205</v>
      </c>
      <c r="F180" s="4">
        <f>ROUND(Source!S165,O180)</f>
        <v>449184.92</v>
      </c>
      <c r="G180" s="4" t="s">
        <v>239</v>
      </c>
      <c r="H180" s="4" t="s">
        <v>240</v>
      </c>
      <c r="I180" s="4"/>
      <c r="J180" s="4"/>
      <c r="K180" s="4">
        <v>205</v>
      </c>
      <c r="L180" s="4">
        <v>14</v>
      </c>
      <c r="M180" s="4">
        <v>3</v>
      </c>
      <c r="N180" s="4" t="s">
        <v>3</v>
      </c>
      <c r="O180" s="4">
        <v>2</v>
      </c>
      <c r="P180" s="4"/>
      <c r="Q180" s="4"/>
      <c r="R180" s="4"/>
      <c r="S180" s="4"/>
      <c r="T180" s="4"/>
      <c r="U180" s="4"/>
      <c r="V180" s="4"/>
      <c r="W180" s="4"/>
    </row>
    <row r="181" spans="1:23" x14ac:dyDescent="0.2">
      <c r="A181" s="4">
        <v>50</v>
      </c>
      <c r="B181" s="4">
        <v>0</v>
      </c>
      <c r="C181" s="4">
        <v>0</v>
      </c>
      <c r="D181" s="4">
        <v>1</v>
      </c>
      <c r="E181" s="4">
        <v>232</v>
      </c>
      <c r="F181" s="4">
        <f>ROUND(Source!BC165,O181)</f>
        <v>0</v>
      </c>
      <c r="G181" s="4" t="s">
        <v>241</v>
      </c>
      <c r="H181" s="4" t="s">
        <v>242</v>
      </c>
      <c r="I181" s="4"/>
      <c r="J181" s="4"/>
      <c r="K181" s="4">
        <v>232</v>
      </c>
      <c r="L181" s="4">
        <v>15</v>
      </c>
      <c r="M181" s="4">
        <v>3</v>
      </c>
      <c r="N181" s="4" t="s">
        <v>3</v>
      </c>
      <c r="O181" s="4">
        <v>2</v>
      </c>
      <c r="P181" s="4"/>
      <c r="Q181" s="4"/>
      <c r="R181" s="4"/>
      <c r="S181" s="4"/>
      <c r="T181" s="4"/>
      <c r="U181" s="4"/>
      <c r="V181" s="4"/>
      <c r="W181" s="4"/>
    </row>
    <row r="182" spans="1:23" x14ac:dyDescent="0.2">
      <c r="A182" s="4">
        <v>50</v>
      </c>
      <c r="B182" s="4">
        <v>0</v>
      </c>
      <c r="C182" s="4">
        <v>0</v>
      </c>
      <c r="D182" s="4">
        <v>1</v>
      </c>
      <c r="E182" s="4">
        <v>214</v>
      </c>
      <c r="F182" s="4">
        <f>ROUND(Source!AS165,O182)</f>
        <v>1369464.28</v>
      </c>
      <c r="G182" s="4" t="s">
        <v>243</v>
      </c>
      <c r="H182" s="4" t="s">
        <v>244</v>
      </c>
      <c r="I182" s="4"/>
      <c r="J182" s="4"/>
      <c r="K182" s="4">
        <v>214</v>
      </c>
      <c r="L182" s="4">
        <v>16</v>
      </c>
      <c r="M182" s="4">
        <v>3</v>
      </c>
      <c r="N182" s="4" t="s">
        <v>3</v>
      </c>
      <c r="O182" s="4">
        <v>2</v>
      </c>
      <c r="P182" s="4"/>
      <c r="Q182" s="4"/>
      <c r="R182" s="4"/>
      <c r="S182" s="4"/>
      <c r="T182" s="4"/>
      <c r="U182" s="4"/>
      <c r="V182" s="4"/>
      <c r="W182" s="4"/>
    </row>
    <row r="183" spans="1:23" x14ac:dyDescent="0.2">
      <c r="A183" s="4">
        <v>50</v>
      </c>
      <c r="B183" s="4">
        <v>0</v>
      </c>
      <c r="C183" s="4">
        <v>0</v>
      </c>
      <c r="D183" s="4">
        <v>1</v>
      </c>
      <c r="E183" s="4">
        <v>215</v>
      </c>
      <c r="F183" s="4">
        <f>ROUND(Source!AT165,O183)</f>
        <v>0</v>
      </c>
      <c r="G183" s="4" t="s">
        <v>245</v>
      </c>
      <c r="H183" s="4" t="s">
        <v>246</v>
      </c>
      <c r="I183" s="4"/>
      <c r="J183" s="4"/>
      <c r="K183" s="4">
        <v>215</v>
      </c>
      <c r="L183" s="4">
        <v>17</v>
      </c>
      <c r="M183" s="4">
        <v>3</v>
      </c>
      <c r="N183" s="4" t="s">
        <v>3</v>
      </c>
      <c r="O183" s="4">
        <v>2</v>
      </c>
      <c r="P183" s="4"/>
      <c r="Q183" s="4"/>
      <c r="R183" s="4"/>
      <c r="S183" s="4"/>
      <c r="T183" s="4"/>
      <c r="U183" s="4"/>
      <c r="V183" s="4"/>
      <c r="W183" s="4"/>
    </row>
    <row r="184" spans="1:23" x14ac:dyDescent="0.2">
      <c r="A184" s="4">
        <v>50</v>
      </c>
      <c r="B184" s="4">
        <v>0</v>
      </c>
      <c r="C184" s="4">
        <v>0</v>
      </c>
      <c r="D184" s="4">
        <v>1</v>
      </c>
      <c r="E184" s="4">
        <v>217</v>
      </c>
      <c r="F184" s="4">
        <f>ROUND(Source!AU165,O184)</f>
        <v>116605.69</v>
      </c>
      <c r="G184" s="4" t="s">
        <v>247</v>
      </c>
      <c r="H184" s="4" t="s">
        <v>248</v>
      </c>
      <c r="I184" s="4"/>
      <c r="J184" s="4"/>
      <c r="K184" s="4">
        <v>217</v>
      </c>
      <c r="L184" s="4">
        <v>18</v>
      </c>
      <c r="M184" s="4">
        <v>3</v>
      </c>
      <c r="N184" s="4" t="s">
        <v>3</v>
      </c>
      <c r="O184" s="4">
        <v>2</v>
      </c>
      <c r="P184" s="4"/>
      <c r="Q184" s="4"/>
      <c r="R184" s="4"/>
      <c r="S184" s="4"/>
      <c r="T184" s="4"/>
      <c r="U184" s="4"/>
      <c r="V184" s="4"/>
      <c r="W184" s="4"/>
    </row>
    <row r="185" spans="1:23" x14ac:dyDescent="0.2">
      <c r="A185" s="4">
        <v>50</v>
      </c>
      <c r="B185" s="4">
        <v>0</v>
      </c>
      <c r="C185" s="4">
        <v>0</v>
      </c>
      <c r="D185" s="4">
        <v>1</v>
      </c>
      <c r="E185" s="4">
        <v>230</v>
      </c>
      <c r="F185" s="4">
        <f>ROUND(Source!BA165,O185)</f>
        <v>0</v>
      </c>
      <c r="G185" s="4" t="s">
        <v>249</v>
      </c>
      <c r="H185" s="4" t="s">
        <v>250</v>
      </c>
      <c r="I185" s="4"/>
      <c r="J185" s="4"/>
      <c r="K185" s="4">
        <v>230</v>
      </c>
      <c r="L185" s="4">
        <v>19</v>
      </c>
      <c r="M185" s="4">
        <v>3</v>
      </c>
      <c r="N185" s="4" t="s">
        <v>3</v>
      </c>
      <c r="O185" s="4">
        <v>2</v>
      </c>
      <c r="P185" s="4"/>
      <c r="Q185" s="4"/>
      <c r="R185" s="4"/>
      <c r="S185" s="4"/>
      <c r="T185" s="4"/>
      <c r="U185" s="4"/>
      <c r="V185" s="4"/>
      <c r="W185" s="4"/>
    </row>
    <row r="186" spans="1:23" x14ac:dyDescent="0.2">
      <c r="A186" s="4">
        <v>50</v>
      </c>
      <c r="B186" s="4">
        <v>0</v>
      </c>
      <c r="C186" s="4">
        <v>0</v>
      </c>
      <c r="D186" s="4">
        <v>1</v>
      </c>
      <c r="E186" s="4">
        <v>206</v>
      </c>
      <c r="F186" s="4">
        <f>ROUND(Source!T165,O186)</f>
        <v>0</v>
      </c>
      <c r="G186" s="4" t="s">
        <v>251</v>
      </c>
      <c r="H186" s="4" t="s">
        <v>252</v>
      </c>
      <c r="I186" s="4"/>
      <c r="J186" s="4"/>
      <c r="K186" s="4">
        <v>206</v>
      </c>
      <c r="L186" s="4">
        <v>20</v>
      </c>
      <c r="M186" s="4">
        <v>3</v>
      </c>
      <c r="N186" s="4" t="s">
        <v>3</v>
      </c>
      <c r="O186" s="4">
        <v>2</v>
      </c>
      <c r="P186" s="4"/>
      <c r="Q186" s="4"/>
      <c r="R186" s="4"/>
      <c r="S186" s="4"/>
      <c r="T186" s="4"/>
      <c r="U186" s="4"/>
      <c r="V186" s="4"/>
      <c r="W186" s="4"/>
    </row>
    <row r="187" spans="1:23" x14ac:dyDescent="0.2">
      <c r="A187" s="4">
        <v>50</v>
      </c>
      <c r="B187" s="4">
        <v>0</v>
      </c>
      <c r="C187" s="4">
        <v>0</v>
      </c>
      <c r="D187" s="4">
        <v>1</v>
      </c>
      <c r="E187" s="4">
        <v>207</v>
      </c>
      <c r="F187" s="4">
        <f>Source!U165</f>
        <v>1595.1733319999998</v>
      </c>
      <c r="G187" s="4" t="s">
        <v>253</v>
      </c>
      <c r="H187" s="4" t="s">
        <v>254</v>
      </c>
      <c r="I187" s="4"/>
      <c r="J187" s="4"/>
      <c r="K187" s="4">
        <v>207</v>
      </c>
      <c r="L187" s="4">
        <v>21</v>
      </c>
      <c r="M187" s="4">
        <v>3</v>
      </c>
      <c r="N187" s="4" t="s">
        <v>3</v>
      </c>
      <c r="O187" s="4">
        <v>-1</v>
      </c>
      <c r="P187" s="4"/>
      <c r="Q187" s="4"/>
      <c r="R187" s="4"/>
      <c r="S187" s="4"/>
      <c r="T187" s="4"/>
      <c r="U187" s="4"/>
      <c r="V187" s="4"/>
      <c r="W187" s="4"/>
    </row>
    <row r="188" spans="1:23" x14ac:dyDescent="0.2">
      <c r="A188" s="4">
        <v>50</v>
      </c>
      <c r="B188" s="4">
        <v>0</v>
      </c>
      <c r="C188" s="4">
        <v>0</v>
      </c>
      <c r="D188" s="4">
        <v>1</v>
      </c>
      <c r="E188" s="4">
        <v>208</v>
      </c>
      <c r="F188" s="4">
        <f>Source!V165</f>
        <v>0</v>
      </c>
      <c r="G188" s="4" t="s">
        <v>255</v>
      </c>
      <c r="H188" s="4" t="s">
        <v>256</v>
      </c>
      <c r="I188" s="4"/>
      <c r="J188" s="4"/>
      <c r="K188" s="4">
        <v>208</v>
      </c>
      <c r="L188" s="4">
        <v>22</v>
      </c>
      <c r="M188" s="4">
        <v>3</v>
      </c>
      <c r="N188" s="4" t="s">
        <v>3</v>
      </c>
      <c r="O188" s="4">
        <v>-1</v>
      </c>
      <c r="P188" s="4"/>
      <c r="Q188" s="4"/>
      <c r="R188" s="4"/>
      <c r="S188" s="4"/>
      <c r="T188" s="4"/>
      <c r="U188" s="4"/>
      <c r="V188" s="4"/>
      <c r="W188" s="4"/>
    </row>
    <row r="189" spans="1:23" x14ac:dyDescent="0.2">
      <c r="A189" s="4">
        <v>50</v>
      </c>
      <c r="B189" s="4">
        <v>0</v>
      </c>
      <c r="C189" s="4">
        <v>0</v>
      </c>
      <c r="D189" s="4">
        <v>1</v>
      </c>
      <c r="E189" s="4">
        <v>209</v>
      </c>
      <c r="F189" s="4">
        <f>ROUND(Source!W165,O189)</f>
        <v>0</v>
      </c>
      <c r="G189" s="4" t="s">
        <v>257</v>
      </c>
      <c r="H189" s="4" t="s">
        <v>258</v>
      </c>
      <c r="I189" s="4"/>
      <c r="J189" s="4"/>
      <c r="K189" s="4">
        <v>209</v>
      </c>
      <c r="L189" s="4">
        <v>23</v>
      </c>
      <c r="M189" s="4">
        <v>3</v>
      </c>
      <c r="N189" s="4" t="s">
        <v>3</v>
      </c>
      <c r="O189" s="4">
        <v>2</v>
      </c>
      <c r="P189" s="4"/>
      <c r="Q189" s="4"/>
      <c r="R189" s="4"/>
      <c r="S189" s="4"/>
      <c r="T189" s="4"/>
      <c r="U189" s="4"/>
      <c r="V189" s="4"/>
      <c r="W189" s="4"/>
    </row>
    <row r="190" spans="1:23" x14ac:dyDescent="0.2">
      <c r="A190" s="4">
        <v>50</v>
      </c>
      <c r="B190" s="4">
        <v>0</v>
      </c>
      <c r="C190" s="4">
        <v>0</v>
      </c>
      <c r="D190" s="4">
        <v>1</v>
      </c>
      <c r="E190" s="4">
        <v>233</v>
      </c>
      <c r="F190" s="4">
        <f>ROUND(Source!BD165,O190)</f>
        <v>0</v>
      </c>
      <c r="G190" s="4" t="s">
        <v>259</v>
      </c>
      <c r="H190" s="4" t="s">
        <v>260</v>
      </c>
      <c r="I190" s="4"/>
      <c r="J190" s="4"/>
      <c r="K190" s="4">
        <v>233</v>
      </c>
      <c r="L190" s="4">
        <v>24</v>
      </c>
      <c r="M190" s="4">
        <v>3</v>
      </c>
      <c r="N190" s="4" t="s">
        <v>3</v>
      </c>
      <c r="O190" s="4">
        <v>2</v>
      </c>
      <c r="P190" s="4"/>
      <c r="Q190" s="4"/>
      <c r="R190" s="4"/>
      <c r="S190" s="4"/>
      <c r="T190" s="4"/>
      <c r="U190" s="4"/>
      <c r="V190" s="4"/>
      <c r="W190" s="4"/>
    </row>
    <row r="191" spans="1:23" x14ac:dyDescent="0.2">
      <c r="A191" s="4">
        <v>50</v>
      </c>
      <c r="B191" s="4">
        <v>0</v>
      </c>
      <c r="C191" s="4">
        <v>0</v>
      </c>
      <c r="D191" s="4">
        <v>1</v>
      </c>
      <c r="E191" s="4">
        <v>210</v>
      </c>
      <c r="F191" s="4">
        <f>ROUND(Source!X165,O191)</f>
        <v>393843.74</v>
      </c>
      <c r="G191" s="4" t="s">
        <v>261</v>
      </c>
      <c r="H191" s="4" t="s">
        <v>262</v>
      </c>
      <c r="I191" s="4"/>
      <c r="J191" s="4"/>
      <c r="K191" s="4">
        <v>210</v>
      </c>
      <c r="L191" s="4">
        <v>25</v>
      </c>
      <c r="M191" s="4">
        <v>3</v>
      </c>
      <c r="N191" s="4" t="s">
        <v>3</v>
      </c>
      <c r="O191" s="4">
        <v>2</v>
      </c>
      <c r="P191" s="4"/>
      <c r="Q191" s="4"/>
      <c r="R191" s="4"/>
      <c r="S191" s="4"/>
      <c r="T191" s="4"/>
      <c r="U191" s="4"/>
      <c r="V191" s="4"/>
      <c r="W191" s="4"/>
    </row>
    <row r="192" spans="1:23" x14ac:dyDescent="0.2">
      <c r="A192" s="4">
        <v>50</v>
      </c>
      <c r="B192" s="4">
        <v>0</v>
      </c>
      <c r="C192" s="4">
        <v>0</v>
      </c>
      <c r="D192" s="4">
        <v>1</v>
      </c>
      <c r="E192" s="4">
        <v>211</v>
      </c>
      <c r="F192" s="4">
        <f>ROUND(Source!Y165,O192)</f>
        <v>184165.82</v>
      </c>
      <c r="G192" s="4" t="s">
        <v>263</v>
      </c>
      <c r="H192" s="4" t="s">
        <v>264</v>
      </c>
      <c r="I192" s="4"/>
      <c r="J192" s="4"/>
      <c r="K192" s="4">
        <v>211</v>
      </c>
      <c r="L192" s="4">
        <v>26</v>
      </c>
      <c r="M192" s="4">
        <v>3</v>
      </c>
      <c r="N192" s="4" t="s">
        <v>3</v>
      </c>
      <c r="O192" s="4">
        <v>2</v>
      </c>
      <c r="P192" s="4"/>
      <c r="Q192" s="4"/>
      <c r="R192" s="4"/>
      <c r="S192" s="4"/>
      <c r="T192" s="4"/>
      <c r="U192" s="4"/>
      <c r="V192" s="4"/>
      <c r="W192" s="4"/>
    </row>
    <row r="193" spans="1:245" x14ac:dyDescent="0.2">
      <c r="A193" s="4">
        <v>50</v>
      </c>
      <c r="B193" s="4">
        <v>0</v>
      </c>
      <c r="C193" s="4">
        <v>0</v>
      </c>
      <c r="D193" s="4">
        <v>1</v>
      </c>
      <c r="E193" s="4">
        <v>224</v>
      </c>
      <c r="F193" s="4">
        <f>ROUND(Source!AR165,O193)</f>
        <v>1486069.97</v>
      </c>
      <c r="G193" s="4" t="s">
        <v>265</v>
      </c>
      <c r="H193" s="4" t="s">
        <v>266</v>
      </c>
      <c r="I193" s="4"/>
      <c r="J193" s="4"/>
      <c r="K193" s="4">
        <v>224</v>
      </c>
      <c r="L193" s="4">
        <v>27</v>
      </c>
      <c r="M193" s="4">
        <v>3</v>
      </c>
      <c r="N193" s="4" t="s">
        <v>3</v>
      </c>
      <c r="O193" s="4">
        <v>2</v>
      </c>
      <c r="P193" s="4"/>
      <c r="Q193" s="4"/>
      <c r="R193" s="4"/>
      <c r="S193" s="4"/>
      <c r="T193" s="4"/>
      <c r="U193" s="4"/>
      <c r="V193" s="4"/>
      <c r="W193" s="4"/>
    </row>
    <row r="195" spans="1:245" x14ac:dyDescent="0.2">
      <c r="A195" s="1">
        <v>4</v>
      </c>
      <c r="B195" s="1">
        <v>1</v>
      </c>
      <c r="C195" s="1"/>
      <c r="D195" s="1">
        <f>ROW(A215)</f>
        <v>215</v>
      </c>
      <c r="E195" s="1"/>
      <c r="F195" s="1" t="s">
        <v>13</v>
      </c>
      <c r="G195" s="1" t="s">
        <v>355</v>
      </c>
      <c r="H195" s="1" t="s">
        <v>3</v>
      </c>
      <c r="I195" s="1">
        <v>0</v>
      </c>
      <c r="J195" s="1"/>
      <c r="K195" s="1">
        <v>0</v>
      </c>
      <c r="L195" s="1"/>
      <c r="M195" s="1" t="s">
        <v>3</v>
      </c>
      <c r="N195" s="1"/>
      <c r="O195" s="1"/>
      <c r="P195" s="1"/>
      <c r="Q195" s="1"/>
      <c r="R195" s="1"/>
      <c r="S195" s="1">
        <v>0</v>
      </c>
      <c r="T195" s="1"/>
      <c r="U195" s="1" t="s">
        <v>3</v>
      </c>
      <c r="V195" s="1">
        <v>0</v>
      </c>
      <c r="W195" s="1"/>
      <c r="X195" s="1"/>
      <c r="Y195" s="1"/>
      <c r="Z195" s="1"/>
      <c r="AA195" s="1"/>
      <c r="AB195" s="1" t="s">
        <v>3</v>
      </c>
      <c r="AC195" s="1" t="s">
        <v>3</v>
      </c>
      <c r="AD195" s="1" t="s">
        <v>3</v>
      </c>
      <c r="AE195" s="1" t="s">
        <v>3</v>
      </c>
      <c r="AF195" s="1" t="s">
        <v>3</v>
      </c>
      <c r="AG195" s="1" t="s">
        <v>3</v>
      </c>
      <c r="AH195" s="1"/>
      <c r="AI195" s="1"/>
      <c r="AJ195" s="1"/>
      <c r="AK195" s="1"/>
      <c r="AL195" s="1"/>
      <c r="AM195" s="1"/>
      <c r="AN195" s="1"/>
      <c r="AO195" s="1"/>
      <c r="AP195" s="1" t="s">
        <v>3</v>
      </c>
      <c r="AQ195" s="1" t="s">
        <v>3</v>
      </c>
      <c r="AR195" s="1" t="s">
        <v>3</v>
      </c>
      <c r="AS195" s="1"/>
      <c r="AT195" s="1"/>
      <c r="AU195" s="1"/>
      <c r="AV195" s="1"/>
      <c r="AW195" s="1"/>
      <c r="AX195" s="1"/>
      <c r="AY195" s="1"/>
      <c r="AZ195" s="1" t="s">
        <v>3</v>
      </c>
      <c r="BA195" s="1"/>
      <c r="BB195" s="1" t="s">
        <v>3</v>
      </c>
      <c r="BC195" s="1" t="s">
        <v>3</v>
      </c>
      <c r="BD195" s="1" t="s">
        <v>3</v>
      </c>
      <c r="BE195" s="1" t="s">
        <v>3</v>
      </c>
      <c r="BF195" s="1" t="s">
        <v>3</v>
      </c>
      <c r="BG195" s="1" t="s">
        <v>3</v>
      </c>
      <c r="BH195" s="1" t="s">
        <v>3</v>
      </c>
      <c r="BI195" s="1" t="s">
        <v>3</v>
      </c>
      <c r="BJ195" s="1" t="s">
        <v>3</v>
      </c>
      <c r="BK195" s="1" t="s">
        <v>3</v>
      </c>
      <c r="BL195" s="1" t="s">
        <v>3</v>
      </c>
      <c r="BM195" s="1" t="s">
        <v>3</v>
      </c>
      <c r="BN195" s="1" t="s">
        <v>3</v>
      </c>
      <c r="BO195" s="1" t="s">
        <v>3</v>
      </c>
      <c r="BP195" s="1" t="s">
        <v>3</v>
      </c>
      <c r="BQ195" s="1"/>
      <c r="BR195" s="1"/>
      <c r="BS195" s="1"/>
      <c r="BT195" s="1"/>
      <c r="BU195" s="1"/>
      <c r="BV195" s="1"/>
      <c r="BW195" s="1"/>
      <c r="BX195" s="1">
        <v>0</v>
      </c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>
        <v>0</v>
      </c>
    </row>
    <row r="197" spans="1:245" x14ac:dyDescent="0.2">
      <c r="A197" s="2">
        <v>52</v>
      </c>
      <c r="B197" s="2">
        <f t="shared" ref="B197:G197" si="164">B215</f>
        <v>1</v>
      </c>
      <c r="C197" s="2">
        <f t="shared" si="164"/>
        <v>4</v>
      </c>
      <c r="D197" s="2">
        <f t="shared" si="164"/>
        <v>195</v>
      </c>
      <c r="E197" s="2">
        <f t="shared" si="164"/>
        <v>0</v>
      </c>
      <c r="F197" s="2" t="str">
        <f t="shared" si="164"/>
        <v>Новый раздел</v>
      </c>
      <c r="G197" s="2" t="str">
        <f t="shared" si="164"/>
        <v>Устройство декоративной гравийной отсыпки (мраморный щебень)</v>
      </c>
      <c r="H197" s="2"/>
      <c r="I197" s="2"/>
      <c r="J197" s="2"/>
      <c r="K197" s="2"/>
      <c r="L197" s="2"/>
      <c r="M197" s="2"/>
      <c r="N197" s="2"/>
      <c r="O197" s="2">
        <f t="shared" ref="O197:AT197" si="165">O215</f>
        <v>220688.01</v>
      </c>
      <c r="P197" s="2">
        <f t="shared" si="165"/>
        <v>189335.3</v>
      </c>
      <c r="Q197" s="2">
        <f t="shared" si="165"/>
        <v>13855.85</v>
      </c>
      <c r="R197" s="2">
        <f t="shared" si="165"/>
        <v>629.13</v>
      </c>
      <c r="S197" s="2">
        <f t="shared" si="165"/>
        <v>17496.86</v>
      </c>
      <c r="T197" s="2">
        <f t="shared" si="165"/>
        <v>0</v>
      </c>
      <c r="U197" s="2">
        <f t="shared" si="165"/>
        <v>64.14085</v>
      </c>
      <c r="V197" s="2">
        <f t="shared" si="165"/>
        <v>0</v>
      </c>
      <c r="W197" s="2">
        <f t="shared" si="165"/>
        <v>0</v>
      </c>
      <c r="X197" s="2">
        <f t="shared" si="165"/>
        <v>15837.82</v>
      </c>
      <c r="Y197" s="2">
        <f t="shared" si="165"/>
        <v>7173.71</v>
      </c>
      <c r="Z197" s="2">
        <f t="shared" si="165"/>
        <v>0</v>
      </c>
      <c r="AA197" s="2">
        <f t="shared" si="165"/>
        <v>0</v>
      </c>
      <c r="AB197" s="2">
        <f t="shared" si="165"/>
        <v>220688.01</v>
      </c>
      <c r="AC197" s="2">
        <f t="shared" si="165"/>
        <v>189335.3</v>
      </c>
      <c r="AD197" s="2">
        <f t="shared" si="165"/>
        <v>13855.85</v>
      </c>
      <c r="AE197" s="2">
        <f t="shared" si="165"/>
        <v>629.13</v>
      </c>
      <c r="AF197" s="2">
        <f t="shared" si="165"/>
        <v>17496.86</v>
      </c>
      <c r="AG197" s="2">
        <f t="shared" si="165"/>
        <v>0</v>
      </c>
      <c r="AH197" s="2">
        <f t="shared" si="165"/>
        <v>64.14085</v>
      </c>
      <c r="AI197" s="2">
        <f t="shared" si="165"/>
        <v>0</v>
      </c>
      <c r="AJ197" s="2">
        <f t="shared" si="165"/>
        <v>0</v>
      </c>
      <c r="AK197" s="2">
        <f t="shared" si="165"/>
        <v>15837.82</v>
      </c>
      <c r="AL197" s="2">
        <f t="shared" si="165"/>
        <v>7173.71</v>
      </c>
      <c r="AM197" s="2">
        <f t="shared" si="165"/>
        <v>0</v>
      </c>
      <c r="AN197" s="2">
        <f t="shared" si="165"/>
        <v>0</v>
      </c>
      <c r="AO197" s="2">
        <f t="shared" si="165"/>
        <v>0</v>
      </c>
      <c r="AP197" s="2">
        <f t="shared" si="165"/>
        <v>0</v>
      </c>
      <c r="AQ197" s="2">
        <f t="shared" si="165"/>
        <v>0</v>
      </c>
      <c r="AR197" s="2">
        <f t="shared" si="165"/>
        <v>244687.27</v>
      </c>
      <c r="AS197" s="2">
        <f t="shared" si="165"/>
        <v>232352.1</v>
      </c>
      <c r="AT197" s="2">
        <f t="shared" si="165"/>
        <v>0</v>
      </c>
      <c r="AU197" s="2">
        <f t="shared" ref="AU197:BZ197" si="166">AU215</f>
        <v>12335.17</v>
      </c>
      <c r="AV197" s="2">
        <f t="shared" si="166"/>
        <v>189335.3</v>
      </c>
      <c r="AW197" s="2">
        <f t="shared" si="166"/>
        <v>189335.3</v>
      </c>
      <c r="AX197" s="2">
        <f t="shared" si="166"/>
        <v>0</v>
      </c>
      <c r="AY197" s="2">
        <f t="shared" si="166"/>
        <v>189335.3</v>
      </c>
      <c r="AZ197" s="2">
        <f t="shared" si="166"/>
        <v>0</v>
      </c>
      <c r="BA197" s="2">
        <f t="shared" si="166"/>
        <v>0</v>
      </c>
      <c r="BB197" s="2">
        <f t="shared" si="166"/>
        <v>0</v>
      </c>
      <c r="BC197" s="2">
        <f t="shared" si="166"/>
        <v>0</v>
      </c>
      <c r="BD197" s="2">
        <f t="shared" si="166"/>
        <v>0</v>
      </c>
      <c r="BE197" s="2">
        <f t="shared" si="166"/>
        <v>0</v>
      </c>
      <c r="BF197" s="2">
        <f t="shared" si="166"/>
        <v>0</v>
      </c>
      <c r="BG197" s="2">
        <f t="shared" si="166"/>
        <v>0</v>
      </c>
      <c r="BH197" s="2">
        <f t="shared" si="166"/>
        <v>0</v>
      </c>
      <c r="BI197" s="2">
        <f t="shared" si="166"/>
        <v>0</v>
      </c>
      <c r="BJ197" s="2">
        <f t="shared" si="166"/>
        <v>0</v>
      </c>
      <c r="BK197" s="2">
        <f t="shared" si="166"/>
        <v>0</v>
      </c>
      <c r="BL197" s="2">
        <f t="shared" si="166"/>
        <v>0</v>
      </c>
      <c r="BM197" s="2">
        <f t="shared" si="166"/>
        <v>0</v>
      </c>
      <c r="BN197" s="2">
        <f t="shared" si="166"/>
        <v>0</v>
      </c>
      <c r="BO197" s="2">
        <f t="shared" si="166"/>
        <v>0</v>
      </c>
      <c r="BP197" s="2">
        <f t="shared" si="166"/>
        <v>0</v>
      </c>
      <c r="BQ197" s="2">
        <f t="shared" si="166"/>
        <v>0</v>
      </c>
      <c r="BR197" s="2">
        <f t="shared" si="166"/>
        <v>0</v>
      </c>
      <c r="BS197" s="2">
        <f t="shared" si="166"/>
        <v>0</v>
      </c>
      <c r="BT197" s="2">
        <f t="shared" si="166"/>
        <v>0</v>
      </c>
      <c r="BU197" s="2">
        <f t="shared" si="166"/>
        <v>0</v>
      </c>
      <c r="BV197" s="2">
        <f t="shared" si="166"/>
        <v>0</v>
      </c>
      <c r="BW197" s="2">
        <f t="shared" si="166"/>
        <v>0</v>
      </c>
      <c r="BX197" s="2">
        <f t="shared" si="166"/>
        <v>0</v>
      </c>
      <c r="BY197" s="2">
        <f t="shared" si="166"/>
        <v>0</v>
      </c>
      <c r="BZ197" s="2">
        <f t="shared" si="166"/>
        <v>0</v>
      </c>
      <c r="CA197" s="2">
        <f t="shared" ref="CA197:DF197" si="167">CA215</f>
        <v>244687.27</v>
      </c>
      <c r="CB197" s="2">
        <f t="shared" si="167"/>
        <v>232352.1</v>
      </c>
      <c r="CC197" s="2">
        <f t="shared" si="167"/>
        <v>0</v>
      </c>
      <c r="CD197" s="2">
        <f t="shared" si="167"/>
        <v>12335.17</v>
      </c>
      <c r="CE197" s="2">
        <f t="shared" si="167"/>
        <v>189335.3</v>
      </c>
      <c r="CF197" s="2">
        <f t="shared" si="167"/>
        <v>189335.3</v>
      </c>
      <c r="CG197" s="2">
        <f t="shared" si="167"/>
        <v>0</v>
      </c>
      <c r="CH197" s="2">
        <f t="shared" si="167"/>
        <v>189335.3</v>
      </c>
      <c r="CI197" s="2">
        <f t="shared" si="167"/>
        <v>0</v>
      </c>
      <c r="CJ197" s="2">
        <f t="shared" si="167"/>
        <v>0</v>
      </c>
      <c r="CK197" s="2">
        <f t="shared" si="167"/>
        <v>0</v>
      </c>
      <c r="CL197" s="2">
        <f t="shared" si="167"/>
        <v>0</v>
      </c>
      <c r="CM197" s="2">
        <f t="shared" si="167"/>
        <v>0</v>
      </c>
      <c r="CN197" s="2">
        <f t="shared" si="167"/>
        <v>0</v>
      </c>
      <c r="CO197" s="2">
        <f t="shared" si="167"/>
        <v>0</v>
      </c>
      <c r="CP197" s="2">
        <f t="shared" si="167"/>
        <v>0</v>
      </c>
      <c r="CQ197" s="2">
        <f t="shared" si="167"/>
        <v>0</v>
      </c>
      <c r="CR197" s="2">
        <f t="shared" si="167"/>
        <v>0</v>
      </c>
      <c r="CS197" s="2">
        <f t="shared" si="167"/>
        <v>0</v>
      </c>
      <c r="CT197" s="2">
        <f t="shared" si="167"/>
        <v>0</v>
      </c>
      <c r="CU197" s="2">
        <f t="shared" si="167"/>
        <v>0</v>
      </c>
      <c r="CV197" s="2">
        <f t="shared" si="167"/>
        <v>0</v>
      </c>
      <c r="CW197" s="2">
        <f t="shared" si="167"/>
        <v>0</v>
      </c>
      <c r="CX197" s="2">
        <f t="shared" si="167"/>
        <v>0</v>
      </c>
      <c r="CY197" s="2">
        <f t="shared" si="167"/>
        <v>0</v>
      </c>
      <c r="CZ197" s="2">
        <f t="shared" si="167"/>
        <v>0</v>
      </c>
      <c r="DA197" s="2">
        <f t="shared" si="167"/>
        <v>0</v>
      </c>
      <c r="DB197" s="2">
        <f t="shared" si="167"/>
        <v>0</v>
      </c>
      <c r="DC197" s="2">
        <f t="shared" si="167"/>
        <v>0</v>
      </c>
      <c r="DD197" s="2">
        <f t="shared" si="167"/>
        <v>0</v>
      </c>
      <c r="DE197" s="2">
        <f t="shared" si="167"/>
        <v>0</v>
      </c>
      <c r="DF197" s="2">
        <f t="shared" si="167"/>
        <v>0</v>
      </c>
      <c r="DG197" s="3">
        <f t="shared" ref="DG197:EL197" si="168">DG215</f>
        <v>0</v>
      </c>
      <c r="DH197" s="3">
        <f t="shared" si="168"/>
        <v>0</v>
      </c>
      <c r="DI197" s="3">
        <f t="shared" si="168"/>
        <v>0</v>
      </c>
      <c r="DJ197" s="3">
        <f t="shared" si="168"/>
        <v>0</v>
      </c>
      <c r="DK197" s="3">
        <f t="shared" si="168"/>
        <v>0</v>
      </c>
      <c r="DL197" s="3">
        <f t="shared" si="168"/>
        <v>0</v>
      </c>
      <c r="DM197" s="3">
        <f t="shared" si="168"/>
        <v>0</v>
      </c>
      <c r="DN197" s="3">
        <f t="shared" si="168"/>
        <v>0</v>
      </c>
      <c r="DO197" s="3">
        <f t="shared" si="168"/>
        <v>0</v>
      </c>
      <c r="DP197" s="3">
        <f t="shared" si="168"/>
        <v>0</v>
      </c>
      <c r="DQ197" s="3">
        <f t="shared" si="168"/>
        <v>0</v>
      </c>
      <c r="DR197" s="3">
        <f t="shared" si="168"/>
        <v>0</v>
      </c>
      <c r="DS197" s="3">
        <f t="shared" si="168"/>
        <v>0</v>
      </c>
      <c r="DT197" s="3">
        <f t="shared" si="168"/>
        <v>0</v>
      </c>
      <c r="DU197" s="3">
        <f t="shared" si="168"/>
        <v>0</v>
      </c>
      <c r="DV197" s="3">
        <f t="shared" si="168"/>
        <v>0</v>
      </c>
      <c r="DW197" s="3">
        <f t="shared" si="168"/>
        <v>0</v>
      </c>
      <c r="DX197" s="3">
        <f t="shared" si="168"/>
        <v>0</v>
      </c>
      <c r="DY197" s="3">
        <f t="shared" si="168"/>
        <v>0</v>
      </c>
      <c r="DZ197" s="3">
        <f t="shared" si="168"/>
        <v>0</v>
      </c>
      <c r="EA197" s="3">
        <f t="shared" si="168"/>
        <v>0</v>
      </c>
      <c r="EB197" s="3">
        <f t="shared" si="168"/>
        <v>0</v>
      </c>
      <c r="EC197" s="3">
        <f t="shared" si="168"/>
        <v>0</v>
      </c>
      <c r="ED197" s="3">
        <f t="shared" si="168"/>
        <v>0</v>
      </c>
      <c r="EE197" s="3">
        <f t="shared" si="168"/>
        <v>0</v>
      </c>
      <c r="EF197" s="3">
        <f t="shared" si="168"/>
        <v>0</v>
      </c>
      <c r="EG197" s="3">
        <f t="shared" si="168"/>
        <v>0</v>
      </c>
      <c r="EH197" s="3">
        <f t="shared" si="168"/>
        <v>0</v>
      </c>
      <c r="EI197" s="3">
        <f t="shared" si="168"/>
        <v>0</v>
      </c>
      <c r="EJ197" s="3">
        <f t="shared" si="168"/>
        <v>0</v>
      </c>
      <c r="EK197" s="3">
        <f t="shared" si="168"/>
        <v>0</v>
      </c>
      <c r="EL197" s="3">
        <f t="shared" si="168"/>
        <v>0</v>
      </c>
      <c r="EM197" s="3">
        <f t="shared" ref="EM197:FR197" si="169">EM215</f>
        <v>0</v>
      </c>
      <c r="EN197" s="3">
        <f t="shared" si="169"/>
        <v>0</v>
      </c>
      <c r="EO197" s="3">
        <f t="shared" si="169"/>
        <v>0</v>
      </c>
      <c r="EP197" s="3">
        <f t="shared" si="169"/>
        <v>0</v>
      </c>
      <c r="EQ197" s="3">
        <f t="shared" si="169"/>
        <v>0</v>
      </c>
      <c r="ER197" s="3">
        <f t="shared" si="169"/>
        <v>0</v>
      </c>
      <c r="ES197" s="3">
        <f t="shared" si="169"/>
        <v>0</v>
      </c>
      <c r="ET197" s="3">
        <f t="shared" si="169"/>
        <v>0</v>
      </c>
      <c r="EU197" s="3">
        <f t="shared" si="169"/>
        <v>0</v>
      </c>
      <c r="EV197" s="3">
        <f t="shared" si="169"/>
        <v>0</v>
      </c>
      <c r="EW197" s="3">
        <f t="shared" si="169"/>
        <v>0</v>
      </c>
      <c r="EX197" s="3">
        <f t="shared" si="169"/>
        <v>0</v>
      </c>
      <c r="EY197" s="3">
        <f t="shared" si="169"/>
        <v>0</v>
      </c>
      <c r="EZ197" s="3">
        <f t="shared" si="169"/>
        <v>0</v>
      </c>
      <c r="FA197" s="3">
        <f t="shared" si="169"/>
        <v>0</v>
      </c>
      <c r="FB197" s="3">
        <f t="shared" si="169"/>
        <v>0</v>
      </c>
      <c r="FC197" s="3">
        <f t="shared" si="169"/>
        <v>0</v>
      </c>
      <c r="FD197" s="3">
        <f t="shared" si="169"/>
        <v>0</v>
      </c>
      <c r="FE197" s="3">
        <f t="shared" si="169"/>
        <v>0</v>
      </c>
      <c r="FF197" s="3">
        <f t="shared" si="169"/>
        <v>0</v>
      </c>
      <c r="FG197" s="3">
        <f t="shared" si="169"/>
        <v>0</v>
      </c>
      <c r="FH197" s="3">
        <f t="shared" si="169"/>
        <v>0</v>
      </c>
      <c r="FI197" s="3">
        <f t="shared" si="169"/>
        <v>0</v>
      </c>
      <c r="FJ197" s="3">
        <f t="shared" si="169"/>
        <v>0</v>
      </c>
      <c r="FK197" s="3">
        <f t="shared" si="169"/>
        <v>0</v>
      </c>
      <c r="FL197" s="3">
        <f t="shared" si="169"/>
        <v>0</v>
      </c>
      <c r="FM197" s="3">
        <f t="shared" si="169"/>
        <v>0</v>
      </c>
      <c r="FN197" s="3">
        <f t="shared" si="169"/>
        <v>0</v>
      </c>
      <c r="FO197" s="3">
        <f t="shared" si="169"/>
        <v>0</v>
      </c>
      <c r="FP197" s="3">
        <f t="shared" si="169"/>
        <v>0</v>
      </c>
      <c r="FQ197" s="3">
        <f t="shared" si="169"/>
        <v>0</v>
      </c>
      <c r="FR197" s="3">
        <f t="shared" si="169"/>
        <v>0</v>
      </c>
      <c r="FS197" s="3">
        <f t="shared" ref="FS197:GX197" si="170">FS215</f>
        <v>0</v>
      </c>
      <c r="FT197" s="3">
        <f t="shared" si="170"/>
        <v>0</v>
      </c>
      <c r="FU197" s="3">
        <f t="shared" si="170"/>
        <v>0</v>
      </c>
      <c r="FV197" s="3">
        <f t="shared" si="170"/>
        <v>0</v>
      </c>
      <c r="FW197" s="3">
        <f t="shared" si="170"/>
        <v>0</v>
      </c>
      <c r="FX197" s="3">
        <f t="shared" si="170"/>
        <v>0</v>
      </c>
      <c r="FY197" s="3">
        <f t="shared" si="170"/>
        <v>0</v>
      </c>
      <c r="FZ197" s="3">
        <f t="shared" si="170"/>
        <v>0</v>
      </c>
      <c r="GA197" s="3">
        <f t="shared" si="170"/>
        <v>0</v>
      </c>
      <c r="GB197" s="3">
        <f t="shared" si="170"/>
        <v>0</v>
      </c>
      <c r="GC197" s="3">
        <f t="shared" si="170"/>
        <v>0</v>
      </c>
      <c r="GD197" s="3">
        <f t="shared" si="170"/>
        <v>0</v>
      </c>
      <c r="GE197" s="3">
        <f t="shared" si="170"/>
        <v>0</v>
      </c>
      <c r="GF197" s="3">
        <f t="shared" si="170"/>
        <v>0</v>
      </c>
      <c r="GG197" s="3">
        <f t="shared" si="170"/>
        <v>0</v>
      </c>
      <c r="GH197" s="3">
        <f t="shared" si="170"/>
        <v>0</v>
      </c>
      <c r="GI197" s="3">
        <f t="shared" si="170"/>
        <v>0</v>
      </c>
      <c r="GJ197" s="3">
        <f t="shared" si="170"/>
        <v>0</v>
      </c>
      <c r="GK197" s="3">
        <f t="shared" si="170"/>
        <v>0</v>
      </c>
      <c r="GL197" s="3">
        <f t="shared" si="170"/>
        <v>0</v>
      </c>
      <c r="GM197" s="3">
        <f t="shared" si="170"/>
        <v>0</v>
      </c>
      <c r="GN197" s="3">
        <f t="shared" si="170"/>
        <v>0</v>
      </c>
      <c r="GO197" s="3">
        <f t="shared" si="170"/>
        <v>0</v>
      </c>
      <c r="GP197" s="3">
        <f t="shared" si="170"/>
        <v>0</v>
      </c>
      <c r="GQ197" s="3">
        <f t="shared" si="170"/>
        <v>0</v>
      </c>
      <c r="GR197" s="3">
        <f t="shared" si="170"/>
        <v>0</v>
      </c>
      <c r="GS197" s="3">
        <f t="shared" si="170"/>
        <v>0</v>
      </c>
      <c r="GT197" s="3">
        <f t="shared" si="170"/>
        <v>0</v>
      </c>
      <c r="GU197" s="3">
        <f t="shared" si="170"/>
        <v>0</v>
      </c>
      <c r="GV197" s="3">
        <f t="shared" si="170"/>
        <v>0</v>
      </c>
      <c r="GW197" s="3">
        <f t="shared" si="170"/>
        <v>0</v>
      </c>
      <c r="GX197" s="3">
        <f t="shared" si="170"/>
        <v>0</v>
      </c>
    </row>
    <row r="199" spans="1:245" x14ac:dyDescent="0.2">
      <c r="A199">
        <v>17</v>
      </c>
      <c r="B199">
        <v>1</v>
      </c>
      <c r="C199">
        <f>ROW(SmtRes!A158)</f>
        <v>158</v>
      </c>
      <c r="D199">
        <f>ROW(EtalonRes!A155)</f>
        <v>155</v>
      </c>
      <c r="E199" t="s">
        <v>356</v>
      </c>
      <c r="F199" t="s">
        <v>357</v>
      </c>
      <c r="G199" t="s">
        <v>1586</v>
      </c>
      <c r="H199" t="s">
        <v>358</v>
      </c>
      <c r="I199">
        <v>12.5</v>
      </c>
      <c r="J199">
        <v>0</v>
      </c>
      <c r="K199">
        <v>12.5</v>
      </c>
      <c r="O199">
        <f t="shared" ref="O199:O213" si="171">ROUND(CP199,2)</f>
        <v>9124.31</v>
      </c>
      <c r="P199">
        <f t="shared" ref="P199:P213" si="172">ROUND((ROUND((AC199*AW199*I199),2)*BC199),2)</f>
        <v>0</v>
      </c>
      <c r="Q199">
        <f>(ROUND((ROUND((((ET199*1.25))*AV199*I199),2)*BB199),2)+ROUND((ROUND(((AE199-((EU199*1.25)))*AV199*I199),2)*BS199),2))</f>
        <v>0</v>
      </c>
      <c r="R199">
        <f t="shared" ref="R199:R213" si="173">ROUND((ROUND((AE199*AV199*I199),2)*BS199),2)</f>
        <v>0</v>
      </c>
      <c r="S199">
        <f t="shared" ref="S199:S213" si="174">ROUND((ROUND((AF199*AV199*I199),2)*BA199),2)</f>
        <v>9124.31</v>
      </c>
      <c r="T199">
        <f t="shared" ref="T199:T213" si="175">ROUND(CU199*I199,2)</f>
        <v>0</v>
      </c>
      <c r="U199">
        <f t="shared" ref="U199:U213" si="176">CV199*I199</f>
        <v>33.206249999999997</v>
      </c>
      <c r="V199">
        <f t="shared" ref="V199:V213" si="177">CW199*I199</f>
        <v>0</v>
      </c>
      <c r="W199">
        <f t="shared" ref="W199:W213" si="178">ROUND(CX199*I199,2)</f>
        <v>0</v>
      </c>
      <c r="X199">
        <f t="shared" ref="X199:X213" si="179">ROUND(CY199,2)</f>
        <v>8211.8799999999992</v>
      </c>
      <c r="Y199">
        <f t="shared" ref="Y199:Y213" si="180">ROUND(CZ199,2)</f>
        <v>3740.97</v>
      </c>
      <c r="AA199">
        <v>42938047</v>
      </c>
      <c r="AB199">
        <f t="shared" ref="AB199:AB213" si="181">ROUND((AC199+AD199+AF199),6)</f>
        <v>28.692499999999999</v>
      </c>
      <c r="AC199">
        <f t="shared" ref="AC199:AC208" si="182">ROUND((ES199),6)</f>
        <v>0</v>
      </c>
      <c r="AD199">
        <f>ROUND(((((ET199*1.25))-((EU199*1.25)))+AE199),6)</f>
        <v>0</v>
      </c>
      <c r="AE199">
        <f>ROUND(((EU199*1.25)),6)</f>
        <v>0</v>
      </c>
      <c r="AF199">
        <f>ROUND(((EV199*1.15)),6)</f>
        <v>28.692499999999999</v>
      </c>
      <c r="AG199">
        <f t="shared" ref="AG199:AG213" si="183">ROUND((AP199),6)</f>
        <v>0</v>
      </c>
      <c r="AH199">
        <f>((EW199*1.15))</f>
        <v>2.6564999999999999</v>
      </c>
      <c r="AI199">
        <f>((EX199*1.25))</f>
        <v>0</v>
      </c>
      <c r="AJ199">
        <f t="shared" ref="AJ199:AJ213" si="184">(AS199)</f>
        <v>0</v>
      </c>
      <c r="AK199">
        <v>24.95</v>
      </c>
      <c r="AL199">
        <v>0</v>
      </c>
      <c r="AM199">
        <v>0</v>
      </c>
      <c r="AN199">
        <v>0</v>
      </c>
      <c r="AO199">
        <v>24.95</v>
      </c>
      <c r="AP199">
        <v>0</v>
      </c>
      <c r="AQ199">
        <v>2.31</v>
      </c>
      <c r="AR199">
        <v>0</v>
      </c>
      <c r="AS199">
        <v>0</v>
      </c>
      <c r="AT199">
        <v>90</v>
      </c>
      <c r="AU199">
        <v>41</v>
      </c>
      <c r="AV199">
        <v>1</v>
      </c>
      <c r="AW199">
        <v>1</v>
      </c>
      <c r="AZ199">
        <v>1</v>
      </c>
      <c r="BA199">
        <v>25.44</v>
      </c>
      <c r="BB199">
        <v>1</v>
      </c>
      <c r="BC199">
        <v>1</v>
      </c>
      <c r="BD199" t="s">
        <v>3</v>
      </c>
      <c r="BE199" t="s">
        <v>3</v>
      </c>
      <c r="BF199" t="s">
        <v>3</v>
      </c>
      <c r="BG199" t="s">
        <v>3</v>
      </c>
      <c r="BH199">
        <v>0</v>
      </c>
      <c r="BI199">
        <v>1</v>
      </c>
      <c r="BJ199" t="s">
        <v>359</v>
      </c>
      <c r="BM199">
        <v>295</v>
      </c>
      <c r="BN199">
        <v>0</v>
      </c>
      <c r="BO199" t="s">
        <v>357</v>
      </c>
      <c r="BP199">
        <v>1</v>
      </c>
      <c r="BQ199">
        <v>30</v>
      </c>
      <c r="BR199">
        <v>0</v>
      </c>
      <c r="BS199">
        <v>25.44</v>
      </c>
      <c r="BT199">
        <v>1</v>
      </c>
      <c r="BU199">
        <v>1</v>
      </c>
      <c r="BV199">
        <v>1</v>
      </c>
      <c r="BW199">
        <v>1</v>
      </c>
      <c r="BX199">
        <v>1</v>
      </c>
      <c r="BY199" t="s">
        <v>3</v>
      </c>
      <c r="BZ199">
        <v>90</v>
      </c>
      <c r="CA199">
        <v>41</v>
      </c>
      <c r="CB199" t="s">
        <v>3</v>
      </c>
      <c r="CE199">
        <v>30</v>
      </c>
      <c r="CF199">
        <v>0</v>
      </c>
      <c r="CG199">
        <v>0</v>
      </c>
      <c r="CM199">
        <v>0</v>
      </c>
      <c r="CN199" t="s">
        <v>1584</v>
      </c>
      <c r="CO199">
        <v>0</v>
      </c>
      <c r="CP199">
        <f t="shared" ref="CP199:CP213" si="185">(P199+Q199+S199)</f>
        <v>9124.31</v>
      </c>
      <c r="CQ199">
        <f t="shared" ref="CQ199:CQ213" si="186">ROUND((ROUND((AC199*AW199*1),2)*BC199),2)</f>
        <v>0</v>
      </c>
      <c r="CR199">
        <f>(ROUND((ROUND((((ET199*1.25))*AV199*1),2)*BB199),2)+ROUND((ROUND(((AE199-((EU199*1.25)))*AV199*1),2)*BS199),2))</f>
        <v>0</v>
      </c>
      <c r="CS199">
        <f t="shared" ref="CS199:CS213" si="187">ROUND((ROUND((AE199*AV199*1),2)*BS199),2)</f>
        <v>0</v>
      </c>
      <c r="CT199">
        <f t="shared" ref="CT199:CT213" si="188">ROUND((ROUND((AF199*AV199*1),2)*BA199),2)</f>
        <v>729.87</v>
      </c>
      <c r="CU199">
        <f t="shared" ref="CU199:CU213" si="189">AG199</f>
        <v>0</v>
      </c>
      <c r="CV199">
        <f t="shared" ref="CV199:CV213" si="190">(AH199*AV199)</f>
        <v>2.6564999999999999</v>
      </c>
      <c r="CW199">
        <f t="shared" ref="CW199:CW213" si="191">AI199</f>
        <v>0</v>
      </c>
      <c r="CX199">
        <f t="shared" ref="CX199:CX213" si="192">AJ199</f>
        <v>0</v>
      </c>
      <c r="CY199">
        <f t="shared" ref="CY199:CY213" si="193">S199*(BZ199/100)</f>
        <v>8211.878999999999</v>
      </c>
      <c r="CZ199">
        <f t="shared" ref="CZ199:CZ213" si="194">S199*(CA199/100)</f>
        <v>3740.9670999999994</v>
      </c>
      <c r="DC199" t="s">
        <v>3</v>
      </c>
      <c r="DD199" t="s">
        <v>3</v>
      </c>
      <c r="DE199" t="s">
        <v>20</v>
      </c>
      <c r="DF199" t="s">
        <v>20</v>
      </c>
      <c r="DG199" t="s">
        <v>21</v>
      </c>
      <c r="DH199" t="s">
        <v>3</v>
      </c>
      <c r="DI199" t="s">
        <v>21</v>
      </c>
      <c r="DJ199" t="s">
        <v>20</v>
      </c>
      <c r="DK199" t="s">
        <v>3</v>
      </c>
      <c r="DL199" t="s">
        <v>3</v>
      </c>
      <c r="DM199" t="s">
        <v>3</v>
      </c>
      <c r="DN199">
        <v>156</v>
      </c>
      <c r="DO199">
        <v>84</v>
      </c>
      <c r="DP199">
        <v>1</v>
      </c>
      <c r="DQ199">
        <v>1</v>
      </c>
      <c r="DU199">
        <v>1013</v>
      </c>
      <c r="DV199" t="s">
        <v>358</v>
      </c>
      <c r="DW199" t="s">
        <v>358</v>
      </c>
      <c r="DX199">
        <v>1</v>
      </c>
      <c r="DZ199" t="s">
        <v>3</v>
      </c>
      <c r="EA199" t="s">
        <v>3</v>
      </c>
      <c r="EB199" t="s">
        <v>3</v>
      </c>
      <c r="EC199" t="s">
        <v>3</v>
      </c>
      <c r="EE199">
        <v>43088373</v>
      </c>
      <c r="EF199">
        <v>30</v>
      </c>
      <c r="EG199" t="s">
        <v>22</v>
      </c>
      <c r="EH199">
        <v>0</v>
      </c>
      <c r="EI199" t="s">
        <v>3</v>
      </c>
      <c r="EJ199">
        <v>1</v>
      </c>
      <c r="EK199">
        <v>295</v>
      </c>
      <c r="EL199" t="s">
        <v>360</v>
      </c>
      <c r="EM199" t="s">
        <v>361</v>
      </c>
      <c r="EO199" t="s">
        <v>59</v>
      </c>
      <c r="EQ199">
        <v>0</v>
      </c>
      <c r="ER199">
        <v>24.95</v>
      </c>
      <c r="ES199">
        <v>0</v>
      </c>
      <c r="ET199">
        <v>0</v>
      </c>
      <c r="EU199">
        <v>0</v>
      </c>
      <c r="EV199">
        <v>24.95</v>
      </c>
      <c r="EW199">
        <v>2.31</v>
      </c>
      <c r="EX199">
        <v>0</v>
      </c>
      <c r="EY199">
        <v>0</v>
      </c>
      <c r="FQ199">
        <v>0</v>
      </c>
      <c r="FR199">
        <f t="shared" ref="FR199:FR213" si="195">ROUND(IF(AND(BH199=3,BI199=3),P199,0),2)</f>
        <v>0</v>
      </c>
      <c r="FS199">
        <v>0</v>
      </c>
      <c r="FX199">
        <v>156</v>
      </c>
      <c r="FY199">
        <v>84</v>
      </c>
      <c r="GA199" t="s">
        <v>3</v>
      </c>
      <c r="GD199">
        <v>0</v>
      </c>
      <c r="GF199">
        <v>-1744522535</v>
      </c>
      <c r="GG199">
        <v>2</v>
      </c>
      <c r="GH199">
        <v>1</v>
      </c>
      <c r="GI199">
        <v>2</v>
      </c>
      <c r="GJ199">
        <v>0</v>
      </c>
      <c r="GK199">
        <f>ROUND(R199*(R12)/100,2)</f>
        <v>0</v>
      </c>
      <c r="GL199">
        <f t="shared" ref="GL199:GL213" si="196">ROUND(IF(AND(BH199=3,BI199=3,FS199&lt;&gt;0),P199,0),2)</f>
        <v>0</v>
      </c>
      <c r="GM199">
        <f t="shared" ref="GM199:GM213" si="197">ROUND(O199+X199+Y199+GK199,2)+GX199</f>
        <v>21077.16</v>
      </c>
      <c r="GN199">
        <f t="shared" ref="GN199:GN213" si="198">IF(OR(BI199=0,BI199=1),ROUND(O199+X199+Y199+GK199,2),0)</f>
        <v>21077.16</v>
      </c>
      <c r="GO199">
        <f t="shared" ref="GO199:GO213" si="199">IF(BI199=2,ROUND(O199+X199+Y199+GK199,2),0)</f>
        <v>0</v>
      </c>
      <c r="GP199">
        <f t="shared" ref="GP199:GP213" si="200">IF(BI199=4,ROUND(O199+X199+Y199+GK199,2)+GX199,0)</f>
        <v>0</v>
      </c>
      <c r="GR199">
        <v>0</v>
      </c>
      <c r="GS199">
        <v>3</v>
      </c>
      <c r="GT199">
        <v>0</v>
      </c>
      <c r="GU199" t="s">
        <v>3</v>
      </c>
      <c r="GV199">
        <f t="shared" ref="GV199:GV213" si="201">ROUND((GT199),6)</f>
        <v>0</v>
      </c>
      <c r="GW199">
        <v>1</v>
      </c>
      <c r="GX199">
        <f t="shared" ref="GX199:GX213" si="202">ROUND(HC199*I199,2)</f>
        <v>0</v>
      </c>
      <c r="HA199">
        <v>0</v>
      </c>
      <c r="HB199">
        <v>0</v>
      </c>
      <c r="HC199">
        <f t="shared" ref="HC199:HC213" si="203">GV199*GW199</f>
        <v>0</v>
      </c>
      <c r="HE199" t="s">
        <v>3</v>
      </c>
      <c r="HF199" t="s">
        <v>3</v>
      </c>
      <c r="HM199" t="s">
        <v>3</v>
      </c>
      <c r="IK199">
        <v>0</v>
      </c>
    </row>
    <row r="200" spans="1:245" x14ac:dyDescent="0.2">
      <c r="A200">
        <v>17</v>
      </c>
      <c r="B200">
        <v>1</v>
      </c>
      <c r="C200">
        <f>ROW(SmtRes!A163)</f>
        <v>163</v>
      </c>
      <c r="D200">
        <f>ROW(EtalonRes!A160)</f>
        <v>160</v>
      </c>
      <c r="E200" t="s">
        <v>362</v>
      </c>
      <c r="F200" t="s">
        <v>111</v>
      </c>
      <c r="G200" t="s">
        <v>112</v>
      </c>
      <c r="H200" t="s">
        <v>113</v>
      </c>
      <c r="I200">
        <f>ROUND(125/1000,9)</f>
        <v>0.125</v>
      </c>
      <c r="J200">
        <v>0</v>
      </c>
      <c r="K200">
        <f>ROUND(125/1000,9)</f>
        <v>0.125</v>
      </c>
      <c r="O200">
        <f t="shared" si="171"/>
        <v>1963.3</v>
      </c>
      <c r="P200">
        <f t="shared" si="172"/>
        <v>0.39</v>
      </c>
      <c r="Q200">
        <f>(ROUND((ROUND((((ET200*1.25))*AV200*I200),2)*BB200),2)+ROUND((ROUND(((AE200-((EU200*1.25)))*AV200*I200),2)*BS200),2))</f>
        <v>919.62</v>
      </c>
      <c r="R200">
        <f t="shared" si="173"/>
        <v>247.53</v>
      </c>
      <c r="S200">
        <f t="shared" si="174"/>
        <v>1043.29</v>
      </c>
      <c r="T200">
        <f t="shared" si="175"/>
        <v>0</v>
      </c>
      <c r="U200">
        <f t="shared" si="176"/>
        <v>3.9818749999999996</v>
      </c>
      <c r="V200">
        <f t="shared" si="177"/>
        <v>0</v>
      </c>
      <c r="W200">
        <f t="shared" si="178"/>
        <v>0</v>
      </c>
      <c r="X200">
        <f t="shared" si="179"/>
        <v>1168.48</v>
      </c>
      <c r="Y200">
        <f t="shared" si="180"/>
        <v>427.75</v>
      </c>
      <c r="AA200">
        <v>42938047</v>
      </c>
      <c r="AB200">
        <f t="shared" si="181"/>
        <v>1166.5340000000001</v>
      </c>
      <c r="AC200">
        <f t="shared" si="182"/>
        <v>0.49</v>
      </c>
      <c r="AD200">
        <f>ROUND(((((ET200*1.25))-((EU200*1.25)))+AE200),6)</f>
        <v>837.9375</v>
      </c>
      <c r="AE200">
        <f>ROUND(((EU200*1.25)),6)</f>
        <v>77.862499999999997</v>
      </c>
      <c r="AF200">
        <f>ROUND(((EV200*1.15)),6)</f>
        <v>328.10649999999998</v>
      </c>
      <c r="AG200">
        <f t="shared" si="183"/>
        <v>0</v>
      </c>
      <c r="AH200">
        <f>((EW200*1.15))</f>
        <v>31.854999999999997</v>
      </c>
      <c r="AI200">
        <f>((EX200*1.25))</f>
        <v>0</v>
      </c>
      <c r="AJ200">
        <f t="shared" si="184"/>
        <v>0</v>
      </c>
      <c r="AK200">
        <v>956.15</v>
      </c>
      <c r="AL200">
        <v>0.49</v>
      </c>
      <c r="AM200">
        <v>670.35</v>
      </c>
      <c r="AN200">
        <v>62.29</v>
      </c>
      <c r="AO200">
        <v>285.31</v>
      </c>
      <c r="AP200">
        <v>0</v>
      </c>
      <c r="AQ200">
        <v>27.7</v>
      </c>
      <c r="AR200">
        <v>0</v>
      </c>
      <c r="AS200">
        <v>0</v>
      </c>
      <c r="AT200">
        <v>112</v>
      </c>
      <c r="AU200">
        <v>41</v>
      </c>
      <c r="AV200">
        <v>1</v>
      </c>
      <c r="AW200">
        <v>1</v>
      </c>
      <c r="AZ200">
        <v>1</v>
      </c>
      <c r="BA200">
        <v>25.44</v>
      </c>
      <c r="BB200">
        <v>8.7799999999999994</v>
      </c>
      <c r="BC200">
        <v>6.57</v>
      </c>
      <c r="BD200" t="s">
        <v>3</v>
      </c>
      <c r="BE200" t="s">
        <v>3</v>
      </c>
      <c r="BF200" t="s">
        <v>3</v>
      </c>
      <c r="BG200" t="s">
        <v>3</v>
      </c>
      <c r="BH200">
        <v>0</v>
      </c>
      <c r="BI200">
        <v>1</v>
      </c>
      <c r="BJ200" t="s">
        <v>114</v>
      </c>
      <c r="BM200">
        <v>166</v>
      </c>
      <c r="BN200">
        <v>0</v>
      </c>
      <c r="BO200" t="s">
        <v>111</v>
      </c>
      <c r="BP200">
        <v>1</v>
      </c>
      <c r="BQ200">
        <v>30</v>
      </c>
      <c r="BR200">
        <v>0</v>
      </c>
      <c r="BS200">
        <v>25.44</v>
      </c>
      <c r="BT200">
        <v>1</v>
      </c>
      <c r="BU200">
        <v>1</v>
      </c>
      <c r="BV200">
        <v>1</v>
      </c>
      <c r="BW200">
        <v>1</v>
      </c>
      <c r="BX200">
        <v>1</v>
      </c>
      <c r="BY200" t="s">
        <v>3</v>
      </c>
      <c r="BZ200">
        <v>112</v>
      </c>
      <c r="CA200">
        <v>41</v>
      </c>
      <c r="CB200" t="s">
        <v>3</v>
      </c>
      <c r="CE200">
        <v>30</v>
      </c>
      <c r="CF200">
        <v>0</v>
      </c>
      <c r="CG200">
        <v>0</v>
      </c>
      <c r="CM200">
        <v>0</v>
      </c>
      <c r="CN200" t="s">
        <v>1584</v>
      </c>
      <c r="CO200">
        <v>0</v>
      </c>
      <c r="CP200">
        <f t="shared" si="185"/>
        <v>1963.3</v>
      </c>
      <c r="CQ200">
        <f t="shared" si="186"/>
        <v>3.22</v>
      </c>
      <c r="CR200">
        <f>(ROUND((ROUND((((ET200*1.25))*AV200*1),2)*BB200),2)+ROUND((ROUND(((AE200-((EU200*1.25)))*AV200*1),2)*BS200),2))</f>
        <v>7357.11</v>
      </c>
      <c r="CS200">
        <f t="shared" si="187"/>
        <v>1980.76</v>
      </c>
      <c r="CT200">
        <f t="shared" si="188"/>
        <v>8347.1200000000008</v>
      </c>
      <c r="CU200">
        <f t="shared" si="189"/>
        <v>0</v>
      </c>
      <c r="CV200">
        <f t="shared" si="190"/>
        <v>31.854999999999997</v>
      </c>
      <c r="CW200">
        <f t="shared" si="191"/>
        <v>0</v>
      </c>
      <c r="CX200">
        <f t="shared" si="192"/>
        <v>0</v>
      </c>
      <c r="CY200">
        <f t="shared" si="193"/>
        <v>1168.4848000000002</v>
      </c>
      <c r="CZ200">
        <f t="shared" si="194"/>
        <v>427.74889999999994</v>
      </c>
      <c r="DC200" t="s">
        <v>3</v>
      </c>
      <c r="DD200" t="s">
        <v>3</v>
      </c>
      <c r="DE200" t="s">
        <v>20</v>
      </c>
      <c r="DF200" t="s">
        <v>20</v>
      </c>
      <c r="DG200" t="s">
        <v>21</v>
      </c>
      <c r="DH200" t="s">
        <v>3</v>
      </c>
      <c r="DI200" t="s">
        <v>21</v>
      </c>
      <c r="DJ200" t="s">
        <v>20</v>
      </c>
      <c r="DK200" t="s">
        <v>3</v>
      </c>
      <c r="DL200" t="s">
        <v>3</v>
      </c>
      <c r="DM200" t="s">
        <v>3</v>
      </c>
      <c r="DN200">
        <v>140</v>
      </c>
      <c r="DO200">
        <v>79</v>
      </c>
      <c r="DP200">
        <v>1</v>
      </c>
      <c r="DQ200">
        <v>1</v>
      </c>
      <c r="DU200">
        <v>1005</v>
      </c>
      <c r="DV200" t="s">
        <v>113</v>
      </c>
      <c r="DW200" t="s">
        <v>113</v>
      </c>
      <c r="DX200">
        <v>1000</v>
      </c>
      <c r="DZ200" t="s">
        <v>3</v>
      </c>
      <c r="EA200" t="s">
        <v>3</v>
      </c>
      <c r="EB200" t="s">
        <v>3</v>
      </c>
      <c r="EC200" t="s">
        <v>3</v>
      </c>
      <c r="EE200">
        <v>43088244</v>
      </c>
      <c r="EF200">
        <v>30</v>
      </c>
      <c r="EG200" t="s">
        <v>22</v>
      </c>
      <c r="EH200">
        <v>0</v>
      </c>
      <c r="EI200" t="s">
        <v>3</v>
      </c>
      <c r="EJ200">
        <v>1</v>
      </c>
      <c r="EK200">
        <v>166</v>
      </c>
      <c r="EL200" t="s">
        <v>115</v>
      </c>
      <c r="EM200" t="s">
        <v>116</v>
      </c>
      <c r="EO200" t="s">
        <v>59</v>
      </c>
      <c r="EQ200">
        <v>0</v>
      </c>
      <c r="ER200">
        <v>956.15</v>
      </c>
      <c r="ES200">
        <v>0.49</v>
      </c>
      <c r="ET200">
        <v>670.35</v>
      </c>
      <c r="EU200">
        <v>62.29</v>
      </c>
      <c r="EV200">
        <v>285.31</v>
      </c>
      <c r="EW200">
        <v>27.7</v>
      </c>
      <c r="EX200">
        <v>0</v>
      </c>
      <c r="EY200">
        <v>0</v>
      </c>
      <c r="FQ200">
        <v>0</v>
      </c>
      <c r="FR200">
        <f t="shared" si="195"/>
        <v>0</v>
      </c>
      <c r="FS200">
        <v>0</v>
      </c>
      <c r="FX200">
        <v>140</v>
      </c>
      <c r="FY200">
        <v>79</v>
      </c>
      <c r="GA200" t="s">
        <v>3</v>
      </c>
      <c r="GD200">
        <v>0</v>
      </c>
      <c r="GF200">
        <v>-1588331883</v>
      </c>
      <c r="GG200">
        <v>2</v>
      </c>
      <c r="GH200">
        <v>1</v>
      </c>
      <c r="GI200">
        <v>2</v>
      </c>
      <c r="GJ200">
        <v>0</v>
      </c>
      <c r="GK200">
        <f>ROUND(R200*(R12)/100,2)</f>
        <v>388.62</v>
      </c>
      <c r="GL200">
        <f t="shared" si="196"/>
        <v>0</v>
      </c>
      <c r="GM200">
        <f t="shared" si="197"/>
        <v>3948.15</v>
      </c>
      <c r="GN200">
        <f t="shared" si="198"/>
        <v>3948.15</v>
      </c>
      <c r="GO200">
        <f t="shared" si="199"/>
        <v>0</v>
      </c>
      <c r="GP200">
        <f t="shared" si="200"/>
        <v>0</v>
      </c>
      <c r="GR200">
        <v>0</v>
      </c>
      <c r="GS200">
        <v>3</v>
      </c>
      <c r="GT200">
        <v>0</v>
      </c>
      <c r="GU200" t="s">
        <v>3</v>
      </c>
      <c r="GV200">
        <f t="shared" si="201"/>
        <v>0</v>
      </c>
      <c r="GW200">
        <v>1</v>
      </c>
      <c r="GX200">
        <f t="shared" si="202"/>
        <v>0</v>
      </c>
      <c r="HA200">
        <v>0</v>
      </c>
      <c r="HB200">
        <v>0</v>
      </c>
      <c r="HC200">
        <f t="shared" si="203"/>
        <v>0</v>
      </c>
      <c r="HE200" t="s">
        <v>3</v>
      </c>
      <c r="HF200" t="s">
        <v>3</v>
      </c>
      <c r="HM200" t="s">
        <v>3</v>
      </c>
      <c r="IK200">
        <v>0</v>
      </c>
    </row>
    <row r="201" spans="1:245" x14ac:dyDescent="0.2">
      <c r="A201">
        <v>18</v>
      </c>
      <c r="B201">
        <v>1</v>
      </c>
      <c r="C201">
        <v>162</v>
      </c>
      <c r="E201" t="s">
        <v>363</v>
      </c>
      <c r="F201" t="s">
        <v>294</v>
      </c>
      <c r="G201" t="s">
        <v>295</v>
      </c>
      <c r="H201" t="s">
        <v>120</v>
      </c>
      <c r="I201">
        <f>I200*J201</f>
        <v>136.71875</v>
      </c>
      <c r="J201">
        <v>1093.75</v>
      </c>
      <c r="K201">
        <v>1093.75</v>
      </c>
      <c r="O201">
        <f t="shared" si="171"/>
        <v>8078.2</v>
      </c>
      <c r="P201">
        <f t="shared" si="172"/>
        <v>8078.2</v>
      </c>
      <c r="Q201">
        <f>(ROUND((ROUND(((ET201)*AV201*I201),2)*BB201),2)+ROUND((ROUND(((AE201-(EU201))*AV201*I201),2)*BS201),2))</f>
        <v>0</v>
      </c>
      <c r="R201">
        <f t="shared" si="173"/>
        <v>0</v>
      </c>
      <c r="S201">
        <f t="shared" si="174"/>
        <v>0</v>
      </c>
      <c r="T201">
        <f t="shared" si="175"/>
        <v>0</v>
      </c>
      <c r="U201">
        <f t="shared" si="176"/>
        <v>0</v>
      </c>
      <c r="V201">
        <f t="shared" si="177"/>
        <v>0</v>
      </c>
      <c r="W201">
        <f t="shared" si="178"/>
        <v>0</v>
      </c>
      <c r="X201">
        <f t="shared" si="179"/>
        <v>0</v>
      </c>
      <c r="Y201">
        <f t="shared" si="180"/>
        <v>0</v>
      </c>
      <c r="AA201">
        <v>42938047</v>
      </c>
      <c r="AB201">
        <f t="shared" si="181"/>
        <v>13.87</v>
      </c>
      <c r="AC201">
        <f t="shared" si="182"/>
        <v>13.87</v>
      </c>
      <c r="AD201">
        <f>ROUND((((ET201)-(EU201))+AE201),6)</f>
        <v>0</v>
      </c>
      <c r="AE201">
        <f>ROUND((EU201),6)</f>
        <v>0</v>
      </c>
      <c r="AF201">
        <f>ROUND((EV201),6)</f>
        <v>0</v>
      </c>
      <c r="AG201">
        <f t="shared" si="183"/>
        <v>0</v>
      </c>
      <c r="AH201">
        <f>(EW201)</f>
        <v>0</v>
      </c>
      <c r="AI201">
        <f>(EX201)</f>
        <v>0</v>
      </c>
      <c r="AJ201">
        <f t="shared" si="184"/>
        <v>0</v>
      </c>
      <c r="AK201">
        <v>13.87</v>
      </c>
      <c r="AL201">
        <v>13.87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1</v>
      </c>
      <c r="AW201">
        <v>1</v>
      </c>
      <c r="AZ201">
        <v>1</v>
      </c>
      <c r="BA201">
        <v>1</v>
      </c>
      <c r="BB201">
        <v>1</v>
      </c>
      <c r="BC201">
        <v>4.26</v>
      </c>
      <c r="BD201" t="s">
        <v>3</v>
      </c>
      <c r="BE201" t="s">
        <v>3</v>
      </c>
      <c r="BF201" t="s">
        <v>3</v>
      </c>
      <c r="BG201" t="s">
        <v>3</v>
      </c>
      <c r="BH201">
        <v>3</v>
      </c>
      <c r="BI201">
        <v>1</v>
      </c>
      <c r="BJ201" t="s">
        <v>296</v>
      </c>
      <c r="BM201">
        <v>166</v>
      </c>
      <c r="BN201">
        <v>0</v>
      </c>
      <c r="BO201" t="s">
        <v>294</v>
      </c>
      <c r="BP201">
        <v>1</v>
      </c>
      <c r="BQ201">
        <v>30</v>
      </c>
      <c r="BR201">
        <v>0</v>
      </c>
      <c r="BS201">
        <v>1</v>
      </c>
      <c r="BT201">
        <v>1</v>
      </c>
      <c r="BU201">
        <v>1</v>
      </c>
      <c r="BV201">
        <v>1</v>
      </c>
      <c r="BW201">
        <v>1</v>
      </c>
      <c r="BX201">
        <v>1</v>
      </c>
      <c r="BY201" t="s">
        <v>3</v>
      </c>
      <c r="BZ201">
        <v>0</v>
      </c>
      <c r="CA201">
        <v>0</v>
      </c>
      <c r="CB201" t="s">
        <v>3</v>
      </c>
      <c r="CE201">
        <v>30</v>
      </c>
      <c r="CF201">
        <v>0</v>
      </c>
      <c r="CG201">
        <v>0</v>
      </c>
      <c r="CM201">
        <v>0</v>
      </c>
      <c r="CN201" t="s">
        <v>3</v>
      </c>
      <c r="CO201">
        <v>0</v>
      </c>
      <c r="CP201">
        <f t="shared" si="185"/>
        <v>8078.2</v>
      </c>
      <c r="CQ201">
        <f t="shared" si="186"/>
        <v>59.09</v>
      </c>
      <c r="CR201">
        <f>(ROUND((ROUND(((ET201)*AV201*1),2)*BB201),2)+ROUND((ROUND(((AE201-(EU201))*AV201*1),2)*BS201),2))</f>
        <v>0</v>
      </c>
      <c r="CS201">
        <f t="shared" si="187"/>
        <v>0</v>
      </c>
      <c r="CT201">
        <f t="shared" si="188"/>
        <v>0</v>
      </c>
      <c r="CU201">
        <f t="shared" si="189"/>
        <v>0</v>
      </c>
      <c r="CV201">
        <f t="shared" si="190"/>
        <v>0</v>
      </c>
      <c r="CW201">
        <f t="shared" si="191"/>
        <v>0</v>
      </c>
      <c r="CX201">
        <f t="shared" si="192"/>
        <v>0</v>
      </c>
      <c r="CY201">
        <f t="shared" si="193"/>
        <v>0</v>
      </c>
      <c r="CZ201">
        <f t="shared" si="194"/>
        <v>0</v>
      </c>
      <c r="DC201" t="s">
        <v>3</v>
      </c>
      <c r="DD201" t="s">
        <v>3</v>
      </c>
      <c r="DE201" t="s">
        <v>3</v>
      </c>
      <c r="DF201" t="s">
        <v>3</v>
      </c>
      <c r="DG201" t="s">
        <v>3</v>
      </c>
      <c r="DH201" t="s">
        <v>3</v>
      </c>
      <c r="DI201" t="s">
        <v>3</v>
      </c>
      <c r="DJ201" t="s">
        <v>3</v>
      </c>
      <c r="DK201" t="s">
        <v>3</v>
      </c>
      <c r="DL201" t="s">
        <v>3</v>
      </c>
      <c r="DM201" t="s">
        <v>3</v>
      </c>
      <c r="DN201">
        <v>140</v>
      </c>
      <c r="DO201">
        <v>79</v>
      </c>
      <c r="DP201">
        <v>1</v>
      </c>
      <c r="DQ201">
        <v>1</v>
      </c>
      <c r="DU201">
        <v>1005</v>
      </c>
      <c r="DV201" t="s">
        <v>120</v>
      </c>
      <c r="DW201" t="s">
        <v>120</v>
      </c>
      <c r="DX201">
        <v>1</v>
      </c>
      <c r="DZ201" t="s">
        <v>3</v>
      </c>
      <c r="EA201" t="s">
        <v>3</v>
      </c>
      <c r="EB201" t="s">
        <v>3</v>
      </c>
      <c r="EC201" t="s">
        <v>3</v>
      </c>
      <c r="EE201">
        <v>43088244</v>
      </c>
      <c r="EF201">
        <v>30</v>
      </c>
      <c r="EG201" t="s">
        <v>22</v>
      </c>
      <c r="EH201">
        <v>0</v>
      </c>
      <c r="EI201" t="s">
        <v>3</v>
      </c>
      <c r="EJ201">
        <v>1</v>
      </c>
      <c r="EK201">
        <v>166</v>
      </c>
      <c r="EL201" t="s">
        <v>115</v>
      </c>
      <c r="EM201" t="s">
        <v>116</v>
      </c>
      <c r="EO201" t="s">
        <v>3</v>
      </c>
      <c r="EQ201">
        <v>0</v>
      </c>
      <c r="ER201">
        <v>13.87</v>
      </c>
      <c r="ES201">
        <v>13.87</v>
      </c>
      <c r="ET201">
        <v>0</v>
      </c>
      <c r="EU201">
        <v>0</v>
      </c>
      <c r="EV201">
        <v>0</v>
      </c>
      <c r="EW201">
        <v>0</v>
      </c>
      <c r="EX201">
        <v>0</v>
      </c>
      <c r="FQ201">
        <v>0</v>
      </c>
      <c r="FR201">
        <f t="shared" si="195"/>
        <v>0</v>
      </c>
      <c r="FS201">
        <v>0</v>
      </c>
      <c r="FX201">
        <v>140</v>
      </c>
      <c r="FY201">
        <v>79</v>
      </c>
      <c r="GA201" t="s">
        <v>3</v>
      </c>
      <c r="GD201">
        <v>0</v>
      </c>
      <c r="GF201">
        <v>544087257</v>
      </c>
      <c r="GG201">
        <v>2</v>
      </c>
      <c r="GH201">
        <v>1</v>
      </c>
      <c r="GI201">
        <v>2</v>
      </c>
      <c r="GJ201">
        <v>0</v>
      </c>
      <c r="GK201">
        <f>ROUND(R201*(R12)/100,2)</f>
        <v>0</v>
      </c>
      <c r="GL201">
        <f t="shared" si="196"/>
        <v>0</v>
      </c>
      <c r="GM201">
        <f t="shared" si="197"/>
        <v>8078.2</v>
      </c>
      <c r="GN201">
        <f t="shared" si="198"/>
        <v>8078.2</v>
      </c>
      <c r="GO201">
        <f t="shared" si="199"/>
        <v>0</v>
      </c>
      <c r="GP201">
        <f t="shared" si="200"/>
        <v>0</v>
      </c>
      <c r="GR201">
        <v>0</v>
      </c>
      <c r="GS201">
        <v>3</v>
      </c>
      <c r="GT201">
        <v>0</v>
      </c>
      <c r="GU201" t="s">
        <v>3</v>
      </c>
      <c r="GV201">
        <f t="shared" si="201"/>
        <v>0</v>
      </c>
      <c r="GW201">
        <v>1</v>
      </c>
      <c r="GX201">
        <f t="shared" si="202"/>
        <v>0</v>
      </c>
      <c r="HA201">
        <v>0</v>
      </c>
      <c r="HB201">
        <v>0</v>
      </c>
      <c r="HC201">
        <f t="shared" si="203"/>
        <v>0</v>
      </c>
      <c r="HE201" t="s">
        <v>3</v>
      </c>
      <c r="HF201" t="s">
        <v>3</v>
      </c>
      <c r="HM201" t="s">
        <v>3</v>
      </c>
      <c r="IK201">
        <v>0</v>
      </c>
    </row>
    <row r="202" spans="1:245" x14ac:dyDescent="0.2">
      <c r="A202">
        <v>17</v>
      </c>
      <c r="B202">
        <v>1</v>
      </c>
      <c r="C202">
        <f>ROW(SmtRes!A168)</f>
        <v>168</v>
      </c>
      <c r="D202">
        <f>ROW(EtalonRes!A165)</f>
        <v>165</v>
      </c>
      <c r="E202" t="s">
        <v>364</v>
      </c>
      <c r="F202" t="s">
        <v>365</v>
      </c>
      <c r="G202" t="s">
        <v>366</v>
      </c>
      <c r="H202" t="s">
        <v>367</v>
      </c>
      <c r="I202">
        <f>ROUND(111/100,9)</f>
        <v>1.1100000000000001</v>
      </c>
      <c r="J202">
        <v>0</v>
      </c>
      <c r="K202">
        <f>ROUND(111/100,9)</f>
        <v>1.1100000000000001</v>
      </c>
      <c r="O202">
        <f t="shared" si="171"/>
        <v>2906.74</v>
      </c>
      <c r="P202">
        <f t="shared" si="172"/>
        <v>42.53</v>
      </c>
      <c r="Q202">
        <f>(ROUND((ROUND((((ET202*1.25))*AV202*I202),2)*BB202),2)+ROUND((ROUND(((AE202-((EU202*1.25)))*AV202*I202),2)*BS202),2))</f>
        <v>86.67</v>
      </c>
      <c r="R202">
        <f t="shared" si="173"/>
        <v>49.86</v>
      </c>
      <c r="S202">
        <f t="shared" si="174"/>
        <v>2777.54</v>
      </c>
      <c r="T202">
        <f t="shared" si="175"/>
        <v>0</v>
      </c>
      <c r="U202">
        <f t="shared" si="176"/>
        <v>9.7652250000000009</v>
      </c>
      <c r="V202">
        <f t="shared" si="177"/>
        <v>0</v>
      </c>
      <c r="W202">
        <f t="shared" si="178"/>
        <v>0</v>
      </c>
      <c r="X202">
        <f t="shared" si="179"/>
        <v>2360.91</v>
      </c>
      <c r="Y202">
        <f t="shared" si="180"/>
        <v>1138.79</v>
      </c>
      <c r="AA202">
        <v>42938047</v>
      </c>
      <c r="AB202">
        <f t="shared" si="181"/>
        <v>110.6495</v>
      </c>
      <c r="AC202">
        <f t="shared" si="182"/>
        <v>4.84</v>
      </c>
      <c r="AD202">
        <f>ROUND(((((ET202*1.25))-((EU202*1.25)))+AE202),6)</f>
        <v>7.45</v>
      </c>
      <c r="AE202">
        <f>ROUND(((EU202*1.25)),6)</f>
        <v>1.7625</v>
      </c>
      <c r="AF202">
        <f>ROUND(((EV202*1.15)),6)</f>
        <v>98.359499999999997</v>
      </c>
      <c r="AG202">
        <f t="shared" si="183"/>
        <v>0</v>
      </c>
      <c r="AH202">
        <f>((EW202*1.15))</f>
        <v>8.7974999999999994</v>
      </c>
      <c r="AI202">
        <f>((EX202*1.25))</f>
        <v>0</v>
      </c>
      <c r="AJ202">
        <f t="shared" si="184"/>
        <v>0</v>
      </c>
      <c r="AK202">
        <v>96.33</v>
      </c>
      <c r="AL202">
        <v>4.84</v>
      </c>
      <c r="AM202">
        <v>5.96</v>
      </c>
      <c r="AN202">
        <v>1.41</v>
      </c>
      <c r="AO202">
        <v>85.53</v>
      </c>
      <c r="AP202">
        <v>0</v>
      </c>
      <c r="AQ202">
        <v>7.65</v>
      </c>
      <c r="AR202">
        <v>0</v>
      </c>
      <c r="AS202">
        <v>0</v>
      </c>
      <c r="AT202">
        <v>85</v>
      </c>
      <c r="AU202">
        <v>41</v>
      </c>
      <c r="AV202">
        <v>1</v>
      </c>
      <c r="AW202">
        <v>1</v>
      </c>
      <c r="AZ202">
        <v>1</v>
      </c>
      <c r="BA202">
        <v>25.44</v>
      </c>
      <c r="BB202">
        <v>10.48</v>
      </c>
      <c r="BC202">
        <v>7.92</v>
      </c>
      <c r="BD202" t="s">
        <v>3</v>
      </c>
      <c r="BE202" t="s">
        <v>3</v>
      </c>
      <c r="BF202" t="s">
        <v>3</v>
      </c>
      <c r="BG202" t="s">
        <v>3</v>
      </c>
      <c r="BH202">
        <v>0</v>
      </c>
      <c r="BI202">
        <v>1</v>
      </c>
      <c r="BJ202" t="s">
        <v>368</v>
      </c>
      <c r="BM202">
        <v>91</v>
      </c>
      <c r="BN202">
        <v>0</v>
      </c>
      <c r="BO202" t="s">
        <v>365</v>
      </c>
      <c r="BP202">
        <v>1</v>
      </c>
      <c r="BQ202">
        <v>30</v>
      </c>
      <c r="BR202">
        <v>0</v>
      </c>
      <c r="BS202">
        <v>25.44</v>
      </c>
      <c r="BT202">
        <v>1</v>
      </c>
      <c r="BU202">
        <v>1</v>
      </c>
      <c r="BV202">
        <v>1</v>
      </c>
      <c r="BW202">
        <v>1</v>
      </c>
      <c r="BX202">
        <v>1</v>
      </c>
      <c r="BY202" t="s">
        <v>3</v>
      </c>
      <c r="BZ202">
        <v>85</v>
      </c>
      <c r="CA202">
        <v>41</v>
      </c>
      <c r="CB202" t="s">
        <v>3</v>
      </c>
      <c r="CE202">
        <v>30</v>
      </c>
      <c r="CF202">
        <v>0</v>
      </c>
      <c r="CG202">
        <v>0</v>
      </c>
      <c r="CM202">
        <v>0</v>
      </c>
      <c r="CN202" t="s">
        <v>1584</v>
      </c>
      <c r="CO202">
        <v>0</v>
      </c>
      <c r="CP202">
        <f t="shared" si="185"/>
        <v>2906.74</v>
      </c>
      <c r="CQ202">
        <f t="shared" si="186"/>
        <v>38.33</v>
      </c>
      <c r="CR202">
        <f>(ROUND((ROUND((((ET202*1.25))*AV202*1),2)*BB202),2)+ROUND((ROUND(((AE202-((EU202*1.25)))*AV202*1),2)*BS202),2))</f>
        <v>78.08</v>
      </c>
      <c r="CS202">
        <f t="shared" si="187"/>
        <v>44.77</v>
      </c>
      <c r="CT202">
        <f t="shared" si="188"/>
        <v>2502.2800000000002</v>
      </c>
      <c r="CU202">
        <f t="shared" si="189"/>
        <v>0</v>
      </c>
      <c r="CV202">
        <f t="shared" si="190"/>
        <v>8.7974999999999994</v>
      </c>
      <c r="CW202">
        <f t="shared" si="191"/>
        <v>0</v>
      </c>
      <c r="CX202">
        <f t="shared" si="192"/>
        <v>0</v>
      </c>
      <c r="CY202">
        <f t="shared" si="193"/>
        <v>2360.9090000000001</v>
      </c>
      <c r="CZ202">
        <f t="shared" si="194"/>
        <v>1138.7913999999998</v>
      </c>
      <c r="DC202" t="s">
        <v>3</v>
      </c>
      <c r="DD202" t="s">
        <v>3</v>
      </c>
      <c r="DE202" t="s">
        <v>20</v>
      </c>
      <c r="DF202" t="s">
        <v>20</v>
      </c>
      <c r="DG202" t="s">
        <v>21</v>
      </c>
      <c r="DH202" t="s">
        <v>3</v>
      </c>
      <c r="DI202" t="s">
        <v>21</v>
      </c>
      <c r="DJ202" t="s">
        <v>20</v>
      </c>
      <c r="DK202" t="s">
        <v>3</v>
      </c>
      <c r="DL202" t="s">
        <v>3</v>
      </c>
      <c r="DM202" t="s">
        <v>3</v>
      </c>
      <c r="DN202">
        <v>104</v>
      </c>
      <c r="DO202">
        <v>70</v>
      </c>
      <c r="DP202">
        <v>1</v>
      </c>
      <c r="DQ202">
        <v>1</v>
      </c>
      <c r="DU202">
        <v>1013</v>
      </c>
      <c r="DV202" t="s">
        <v>367</v>
      </c>
      <c r="DW202" t="s">
        <v>367</v>
      </c>
      <c r="DX202">
        <v>1</v>
      </c>
      <c r="DZ202" t="s">
        <v>3</v>
      </c>
      <c r="EA202" t="s">
        <v>3</v>
      </c>
      <c r="EB202" t="s">
        <v>3</v>
      </c>
      <c r="EC202" t="s">
        <v>3</v>
      </c>
      <c r="EE202">
        <v>43088169</v>
      </c>
      <c r="EF202">
        <v>30</v>
      </c>
      <c r="EG202" t="s">
        <v>22</v>
      </c>
      <c r="EH202">
        <v>0</v>
      </c>
      <c r="EI202" t="s">
        <v>3</v>
      </c>
      <c r="EJ202">
        <v>1</v>
      </c>
      <c r="EK202">
        <v>91</v>
      </c>
      <c r="EL202" t="s">
        <v>369</v>
      </c>
      <c r="EM202" t="s">
        <v>370</v>
      </c>
      <c r="EO202" t="s">
        <v>59</v>
      </c>
      <c r="EQ202">
        <v>0</v>
      </c>
      <c r="ER202">
        <v>96.33</v>
      </c>
      <c r="ES202">
        <v>4.84</v>
      </c>
      <c r="ET202">
        <v>5.96</v>
      </c>
      <c r="EU202">
        <v>1.41</v>
      </c>
      <c r="EV202">
        <v>85.53</v>
      </c>
      <c r="EW202">
        <v>7.65</v>
      </c>
      <c r="EX202">
        <v>0</v>
      </c>
      <c r="EY202">
        <v>0</v>
      </c>
      <c r="FQ202">
        <v>0</v>
      </c>
      <c r="FR202">
        <f t="shared" si="195"/>
        <v>0</v>
      </c>
      <c r="FS202">
        <v>0</v>
      </c>
      <c r="FX202">
        <v>104</v>
      </c>
      <c r="FY202">
        <v>70</v>
      </c>
      <c r="GA202" t="s">
        <v>3</v>
      </c>
      <c r="GD202">
        <v>0</v>
      </c>
      <c r="GF202">
        <v>-1274525647</v>
      </c>
      <c r="GG202">
        <v>2</v>
      </c>
      <c r="GH202">
        <v>1</v>
      </c>
      <c r="GI202">
        <v>2</v>
      </c>
      <c r="GJ202">
        <v>0</v>
      </c>
      <c r="GK202">
        <f>ROUND(R202*(R12)/100,2)</f>
        <v>78.28</v>
      </c>
      <c r="GL202">
        <f t="shared" si="196"/>
        <v>0</v>
      </c>
      <c r="GM202">
        <f t="shared" si="197"/>
        <v>6484.72</v>
      </c>
      <c r="GN202">
        <f t="shared" si="198"/>
        <v>6484.72</v>
      </c>
      <c r="GO202">
        <f t="shared" si="199"/>
        <v>0</v>
      </c>
      <c r="GP202">
        <f t="shared" si="200"/>
        <v>0</v>
      </c>
      <c r="GR202">
        <v>0</v>
      </c>
      <c r="GS202">
        <v>3</v>
      </c>
      <c r="GT202">
        <v>0</v>
      </c>
      <c r="GU202" t="s">
        <v>3</v>
      </c>
      <c r="GV202">
        <f t="shared" si="201"/>
        <v>0</v>
      </c>
      <c r="GW202">
        <v>1</v>
      </c>
      <c r="GX202">
        <f t="shared" si="202"/>
        <v>0</v>
      </c>
      <c r="HA202">
        <v>0</v>
      </c>
      <c r="HB202">
        <v>0</v>
      </c>
      <c r="HC202">
        <f t="shared" si="203"/>
        <v>0</v>
      </c>
      <c r="HE202" t="s">
        <v>3</v>
      </c>
      <c r="HF202" t="s">
        <v>3</v>
      </c>
      <c r="HM202" t="s">
        <v>3</v>
      </c>
      <c r="IK202">
        <v>0</v>
      </c>
    </row>
    <row r="203" spans="1:245" x14ac:dyDescent="0.2">
      <c r="A203">
        <v>18</v>
      </c>
      <c r="B203">
        <v>1</v>
      </c>
      <c r="C203">
        <v>166</v>
      </c>
      <c r="E203" t="s">
        <v>371</v>
      </c>
      <c r="F203" t="s">
        <v>372</v>
      </c>
      <c r="G203" t="s">
        <v>373</v>
      </c>
      <c r="H203" t="s">
        <v>104</v>
      </c>
      <c r="I203">
        <f>I202*J203</f>
        <v>-4.66E-4</v>
      </c>
      <c r="J203">
        <v>-4.1981981981981976E-4</v>
      </c>
      <c r="K203">
        <v>-4.2000000000000002E-4</v>
      </c>
      <c r="O203">
        <f t="shared" si="171"/>
        <v>-27.21</v>
      </c>
      <c r="P203">
        <f t="shared" si="172"/>
        <v>-27.21</v>
      </c>
      <c r="Q203">
        <f t="shared" ref="Q203:Q208" si="204">(ROUND((ROUND(((ET203)*AV203*I203),2)*BB203),2)+ROUND((ROUND(((AE203-(EU203))*AV203*I203),2)*BS203),2))</f>
        <v>0</v>
      </c>
      <c r="R203">
        <f t="shared" si="173"/>
        <v>0</v>
      </c>
      <c r="S203">
        <f t="shared" si="174"/>
        <v>0</v>
      </c>
      <c r="T203">
        <f t="shared" si="175"/>
        <v>0</v>
      </c>
      <c r="U203">
        <f t="shared" si="176"/>
        <v>0</v>
      </c>
      <c r="V203">
        <f t="shared" si="177"/>
        <v>0</v>
      </c>
      <c r="W203">
        <f t="shared" si="178"/>
        <v>0</v>
      </c>
      <c r="X203">
        <f t="shared" si="179"/>
        <v>0</v>
      </c>
      <c r="Y203">
        <f t="shared" si="180"/>
        <v>0</v>
      </c>
      <c r="AA203">
        <v>42938047</v>
      </c>
      <c r="AB203">
        <f t="shared" si="181"/>
        <v>6521.42</v>
      </c>
      <c r="AC203">
        <f t="shared" si="182"/>
        <v>6521.42</v>
      </c>
      <c r="AD203">
        <f t="shared" ref="AD203:AD208" si="205">ROUND((((ET203)-(EU203))+AE203),6)</f>
        <v>0</v>
      </c>
      <c r="AE203">
        <f t="shared" ref="AE203:AF208" si="206">ROUND((EU203),6)</f>
        <v>0</v>
      </c>
      <c r="AF203">
        <f t="shared" si="206"/>
        <v>0</v>
      </c>
      <c r="AG203">
        <f t="shared" si="183"/>
        <v>0</v>
      </c>
      <c r="AH203">
        <f t="shared" ref="AH203:AI208" si="207">(EW203)</f>
        <v>0</v>
      </c>
      <c r="AI203">
        <f t="shared" si="207"/>
        <v>0</v>
      </c>
      <c r="AJ203">
        <f t="shared" si="184"/>
        <v>0</v>
      </c>
      <c r="AK203">
        <v>6521.42</v>
      </c>
      <c r="AL203">
        <v>6521.42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1</v>
      </c>
      <c r="AW203">
        <v>1</v>
      </c>
      <c r="AZ203">
        <v>1</v>
      </c>
      <c r="BA203">
        <v>1</v>
      </c>
      <c r="BB203">
        <v>1</v>
      </c>
      <c r="BC203">
        <v>8.9499999999999993</v>
      </c>
      <c r="BD203" t="s">
        <v>3</v>
      </c>
      <c r="BE203" t="s">
        <v>3</v>
      </c>
      <c r="BF203" t="s">
        <v>3</v>
      </c>
      <c r="BG203" t="s">
        <v>3</v>
      </c>
      <c r="BH203">
        <v>3</v>
      </c>
      <c r="BI203">
        <v>1</v>
      </c>
      <c r="BJ203" t="s">
        <v>374</v>
      </c>
      <c r="BM203">
        <v>91</v>
      </c>
      <c r="BN203">
        <v>0</v>
      </c>
      <c r="BO203" t="s">
        <v>372</v>
      </c>
      <c r="BP203">
        <v>1</v>
      </c>
      <c r="BQ203">
        <v>30</v>
      </c>
      <c r="BR203">
        <v>1</v>
      </c>
      <c r="BS203">
        <v>1</v>
      </c>
      <c r="BT203">
        <v>1</v>
      </c>
      <c r="BU203">
        <v>1</v>
      </c>
      <c r="BV203">
        <v>1</v>
      </c>
      <c r="BW203">
        <v>1</v>
      </c>
      <c r="BX203">
        <v>1</v>
      </c>
      <c r="BY203" t="s">
        <v>3</v>
      </c>
      <c r="BZ203">
        <v>0</v>
      </c>
      <c r="CA203">
        <v>0</v>
      </c>
      <c r="CB203" t="s">
        <v>3</v>
      </c>
      <c r="CE203">
        <v>30</v>
      </c>
      <c r="CF203">
        <v>0</v>
      </c>
      <c r="CG203">
        <v>0</v>
      </c>
      <c r="CM203">
        <v>0</v>
      </c>
      <c r="CN203" t="s">
        <v>3</v>
      </c>
      <c r="CO203">
        <v>0</v>
      </c>
      <c r="CP203">
        <f t="shared" si="185"/>
        <v>-27.21</v>
      </c>
      <c r="CQ203">
        <f t="shared" si="186"/>
        <v>58366.71</v>
      </c>
      <c r="CR203">
        <f t="shared" ref="CR203:CR208" si="208">(ROUND((ROUND(((ET203)*AV203*1),2)*BB203),2)+ROUND((ROUND(((AE203-(EU203))*AV203*1),2)*BS203),2))</f>
        <v>0</v>
      </c>
      <c r="CS203">
        <f t="shared" si="187"/>
        <v>0</v>
      </c>
      <c r="CT203">
        <f t="shared" si="188"/>
        <v>0</v>
      </c>
      <c r="CU203">
        <f t="shared" si="189"/>
        <v>0</v>
      </c>
      <c r="CV203">
        <f t="shared" si="190"/>
        <v>0</v>
      </c>
      <c r="CW203">
        <f t="shared" si="191"/>
        <v>0</v>
      </c>
      <c r="CX203">
        <f t="shared" si="192"/>
        <v>0</v>
      </c>
      <c r="CY203">
        <f t="shared" si="193"/>
        <v>0</v>
      </c>
      <c r="CZ203">
        <f t="shared" si="194"/>
        <v>0</v>
      </c>
      <c r="DC203" t="s">
        <v>3</v>
      </c>
      <c r="DD203" t="s">
        <v>3</v>
      </c>
      <c r="DE203" t="s">
        <v>3</v>
      </c>
      <c r="DF203" t="s">
        <v>3</v>
      </c>
      <c r="DG203" t="s">
        <v>3</v>
      </c>
      <c r="DH203" t="s">
        <v>3</v>
      </c>
      <c r="DI203" t="s">
        <v>3</v>
      </c>
      <c r="DJ203" t="s">
        <v>3</v>
      </c>
      <c r="DK203" t="s">
        <v>3</v>
      </c>
      <c r="DL203" t="s">
        <v>3</v>
      </c>
      <c r="DM203" t="s">
        <v>3</v>
      </c>
      <c r="DN203">
        <v>104</v>
      </c>
      <c r="DO203">
        <v>70</v>
      </c>
      <c r="DP203">
        <v>1</v>
      </c>
      <c r="DQ203">
        <v>1</v>
      </c>
      <c r="DU203">
        <v>1009</v>
      </c>
      <c r="DV203" t="s">
        <v>104</v>
      </c>
      <c r="DW203" t="s">
        <v>104</v>
      </c>
      <c r="DX203">
        <v>1000</v>
      </c>
      <c r="DZ203" t="s">
        <v>3</v>
      </c>
      <c r="EA203" t="s">
        <v>3</v>
      </c>
      <c r="EB203" t="s">
        <v>3</v>
      </c>
      <c r="EC203" t="s">
        <v>3</v>
      </c>
      <c r="EE203">
        <v>43088169</v>
      </c>
      <c r="EF203">
        <v>30</v>
      </c>
      <c r="EG203" t="s">
        <v>22</v>
      </c>
      <c r="EH203">
        <v>0</v>
      </c>
      <c r="EI203" t="s">
        <v>3</v>
      </c>
      <c r="EJ203">
        <v>1</v>
      </c>
      <c r="EK203">
        <v>91</v>
      </c>
      <c r="EL203" t="s">
        <v>369</v>
      </c>
      <c r="EM203" t="s">
        <v>370</v>
      </c>
      <c r="EO203" t="s">
        <v>3</v>
      </c>
      <c r="EQ203">
        <v>0</v>
      </c>
      <c r="ER203">
        <v>6521.42</v>
      </c>
      <c r="ES203">
        <v>6521.42</v>
      </c>
      <c r="ET203">
        <v>0</v>
      </c>
      <c r="EU203">
        <v>0</v>
      </c>
      <c r="EV203">
        <v>0</v>
      </c>
      <c r="EW203">
        <v>0</v>
      </c>
      <c r="EX203">
        <v>0</v>
      </c>
      <c r="FQ203">
        <v>0</v>
      </c>
      <c r="FR203">
        <f t="shared" si="195"/>
        <v>0</v>
      </c>
      <c r="FS203">
        <v>0</v>
      </c>
      <c r="FX203">
        <v>104</v>
      </c>
      <c r="FY203">
        <v>70</v>
      </c>
      <c r="GA203" t="s">
        <v>3</v>
      </c>
      <c r="GD203">
        <v>0</v>
      </c>
      <c r="GF203">
        <v>563176784</v>
      </c>
      <c r="GG203">
        <v>2</v>
      </c>
      <c r="GH203">
        <v>1</v>
      </c>
      <c r="GI203">
        <v>2</v>
      </c>
      <c r="GJ203">
        <v>0</v>
      </c>
      <c r="GK203">
        <f>ROUND(R203*(R12)/100,2)</f>
        <v>0</v>
      </c>
      <c r="GL203">
        <f t="shared" si="196"/>
        <v>0</v>
      </c>
      <c r="GM203">
        <f t="shared" si="197"/>
        <v>-27.21</v>
      </c>
      <c r="GN203">
        <f t="shared" si="198"/>
        <v>-27.21</v>
      </c>
      <c r="GO203">
        <f t="shared" si="199"/>
        <v>0</v>
      </c>
      <c r="GP203">
        <f t="shared" si="200"/>
        <v>0</v>
      </c>
      <c r="GR203">
        <v>0</v>
      </c>
      <c r="GS203">
        <v>3</v>
      </c>
      <c r="GT203">
        <v>0</v>
      </c>
      <c r="GU203" t="s">
        <v>3</v>
      </c>
      <c r="GV203">
        <f t="shared" si="201"/>
        <v>0</v>
      </c>
      <c r="GW203">
        <v>1</v>
      </c>
      <c r="GX203">
        <f t="shared" si="202"/>
        <v>0</v>
      </c>
      <c r="HA203">
        <v>0</v>
      </c>
      <c r="HB203">
        <v>0</v>
      </c>
      <c r="HC203">
        <f t="shared" si="203"/>
        <v>0</v>
      </c>
      <c r="HE203" t="s">
        <v>3</v>
      </c>
      <c r="HF203" t="s">
        <v>3</v>
      </c>
      <c r="HM203" t="s">
        <v>3</v>
      </c>
      <c r="IK203">
        <v>0</v>
      </c>
    </row>
    <row r="204" spans="1:245" x14ac:dyDescent="0.2">
      <c r="A204">
        <v>18</v>
      </c>
      <c r="B204">
        <v>1</v>
      </c>
      <c r="C204">
        <v>167</v>
      </c>
      <c r="E204" t="s">
        <v>375</v>
      </c>
      <c r="F204" t="s">
        <v>118</v>
      </c>
      <c r="G204" t="s">
        <v>376</v>
      </c>
      <c r="H204" t="s">
        <v>136</v>
      </c>
      <c r="I204">
        <f>I202*J204</f>
        <v>111</v>
      </c>
      <c r="J204">
        <v>99.999999999999986</v>
      </c>
      <c r="K204">
        <v>100</v>
      </c>
      <c r="O204">
        <f t="shared" si="171"/>
        <v>20436.61</v>
      </c>
      <c r="P204">
        <f t="shared" si="172"/>
        <v>20436.61</v>
      </c>
      <c r="Q204">
        <f t="shared" si="204"/>
        <v>0</v>
      </c>
      <c r="R204">
        <f t="shared" si="173"/>
        <v>0</v>
      </c>
      <c r="S204">
        <f t="shared" si="174"/>
        <v>0</v>
      </c>
      <c r="T204">
        <f t="shared" si="175"/>
        <v>0</v>
      </c>
      <c r="U204">
        <f t="shared" si="176"/>
        <v>0</v>
      </c>
      <c r="V204">
        <f t="shared" si="177"/>
        <v>0</v>
      </c>
      <c r="W204">
        <f t="shared" si="178"/>
        <v>0</v>
      </c>
      <c r="X204">
        <f t="shared" si="179"/>
        <v>0</v>
      </c>
      <c r="Y204">
        <f t="shared" si="180"/>
        <v>0</v>
      </c>
      <c r="AA204">
        <v>42938047</v>
      </c>
      <c r="AB204">
        <f t="shared" si="181"/>
        <v>29.04</v>
      </c>
      <c r="AC204">
        <f t="shared" si="182"/>
        <v>29.04</v>
      </c>
      <c r="AD204">
        <f t="shared" si="205"/>
        <v>0</v>
      </c>
      <c r="AE204">
        <f t="shared" si="206"/>
        <v>0</v>
      </c>
      <c r="AF204">
        <f t="shared" si="206"/>
        <v>0</v>
      </c>
      <c r="AG204">
        <f t="shared" si="183"/>
        <v>0</v>
      </c>
      <c r="AH204">
        <f t="shared" si="207"/>
        <v>0</v>
      </c>
      <c r="AI204">
        <f t="shared" si="207"/>
        <v>0</v>
      </c>
      <c r="AJ204">
        <f t="shared" si="184"/>
        <v>0</v>
      </c>
      <c r="AK204">
        <v>29.04</v>
      </c>
      <c r="AL204">
        <v>29.04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1</v>
      </c>
      <c r="AW204">
        <v>1</v>
      </c>
      <c r="AZ204">
        <v>1</v>
      </c>
      <c r="BA204">
        <v>1</v>
      </c>
      <c r="BB204">
        <v>1</v>
      </c>
      <c r="BC204">
        <v>6.34</v>
      </c>
      <c r="BD204" t="s">
        <v>3</v>
      </c>
      <c r="BE204" t="s">
        <v>3</v>
      </c>
      <c r="BF204" t="s">
        <v>3</v>
      </c>
      <c r="BG204" t="s">
        <v>3</v>
      </c>
      <c r="BH204">
        <v>3</v>
      </c>
      <c r="BI204">
        <v>1</v>
      </c>
      <c r="BJ204" t="s">
        <v>3</v>
      </c>
      <c r="BM204">
        <v>91</v>
      </c>
      <c r="BN204">
        <v>0</v>
      </c>
      <c r="BO204" t="s">
        <v>3</v>
      </c>
      <c r="BP204">
        <v>0</v>
      </c>
      <c r="BQ204">
        <v>30</v>
      </c>
      <c r="BR204">
        <v>0</v>
      </c>
      <c r="BS204">
        <v>1</v>
      </c>
      <c r="BT204">
        <v>1</v>
      </c>
      <c r="BU204">
        <v>1</v>
      </c>
      <c r="BV204">
        <v>1</v>
      </c>
      <c r="BW204">
        <v>1</v>
      </c>
      <c r="BX204">
        <v>1</v>
      </c>
      <c r="BY204" t="s">
        <v>3</v>
      </c>
      <c r="BZ204">
        <v>0</v>
      </c>
      <c r="CA204">
        <v>0</v>
      </c>
      <c r="CB204" t="s">
        <v>3</v>
      </c>
      <c r="CE204">
        <v>30</v>
      </c>
      <c r="CF204">
        <v>0</v>
      </c>
      <c r="CG204">
        <v>0</v>
      </c>
      <c r="CM204">
        <v>0</v>
      </c>
      <c r="CN204" t="s">
        <v>3</v>
      </c>
      <c r="CO204">
        <v>0</v>
      </c>
      <c r="CP204">
        <f t="shared" si="185"/>
        <v>20436.61</v>
      </c>
      <c r="CQ204">
        <f t="shared" si="186"/>
        <v>184.11</v>
      </c>
      <c r="CR204">
        <f t="shared" si="208"/>
        <v>0</v>
      </c>
      <c r="CS204">
        <f t="shared" si="187"/>
        <v>0</v>
      </c>
      <c r="CT204">
        <f t="shared" si="188"/>
        <v>0</v>
      </c>
      <c r="CU204">
        <f t="shared" si="189"/>
        <v>0</v>
      </c>
      <c r="CV204">
        <f t="shared" si="190"/>
        <v>0</v>
      </c>
      <c r="CW204">
        <f t="shared" si="191"/>
        <v>0</v>
      </c>
      <c r="CX204">
        <f t="shared" si="192"/>
        <v>0</v>
      </c>
      <c r="CY204">
        <f t="shared" si="193"/>
        <v>0</v>
      </c>
      <c r="CZ204">
        <f t="shared" si="194"/>
        <v>0</v>
      </c>
      <c r="DC204" t="s">
        <v>3</v>
      </c>
      <c r="DD204" t="s">
        <v>3</v>
      </c>
      <c r="DE204" t="s">
        <v>3</v>
      </c>
      <c r="DF204" t="s">
        <v>3</v>
      </c>
      <c r="DG204" t="s">
        <v>3</v>
      </c>
      <c r="DH204" t="s">
        <v>3</v>
      </c>
      <c r="DI204" t="s">
        <v>3</v>
      </c>
      <c r="DJ204" t="s">
        <v>3</v>
      </c>
      <c r="DK204" t="s">
        <v>3</v>
      </c>
      <c r="DL204" t="s">
        <v>3</v>
      </c>
      <c r="DM204" t="s">
        <v>3</v>
      </c>
      <c r="DN204">
        <v>104</v>
      </c>
      <c r="DO204">
        <v>70</v>
      </c>
      <c r="DP204">
        <v>1</v>
      </c>
      <c r="DQ204">
        <v>1</v>
      </c>
      <c r="DU204">
        <v>1003</v>
      </c>
      <c r="DV204" t="s">
        <v>136</v>
      </c>
      <c r="DW204" t="s">
        <v>136</v>
      </c>
      <c r="DX204">
        <v>1</v>
      </c>
      <c r="DZ204" t="s">
        <v>3</v>
      </c>
      <c r="EA204" t="s">
        <v>3</v>
      </c>
      <c r="EB204" t="s">
        <v>3</v>
      </c>
      <c r="EC204" t="s">
        <v>3</v>
      </c>
      <c r="EE204">
        <v>43088169</v>
      </c>
      <c r="EF204">
        <v>30</v>
      </c>
      <c r="EG204" t="s">
        <v>22</v>
      </c>
      <c r="EH204">
        <v>0</v>
      </c>
      <c r="EI204" t="s">
        <v>3</v>
      </c>
      <c r="EJ204">
        <v>1</v>
      </c>
      <c r="EK204">
        <v>91</v>
      </c>
      <c r="EL204" t="s">
        <v>369</v>
      </c>
      <c r="EM204" t="s">
        <v>370</v>
      </c>
      <c r="EO204" t="s">
        <v>3</v>
      </c>
      <c r="EQ204">
        <v>0</v>
      </c>
      <c r="ER204">
        <v>29.04</v>
      </c>
      <c r="ES204">
        <v>29.04</v>
      </c>
      <c r="ET204">
        <v>0</v>
      </c>
      <c r="EU204">
        <v>0</v>
      </c>
      <c r="EV204">
        <v>0</v>
      </c>
      <c r="EW204">
        <v>0</v>
      </c>
      <c r="EX204">
        <v>0</v>
      </c>
      <c r="EZ204">
        <v>5</v>
      </c>
      <c r="FC204">
        <v>1</v>
      </c>
      <c r="FD204">
        <v>18</v>
      </c>
      <c r="FF204">
        <v>216.6</v>
      </c>
      <c r="FQ204">
        <v>0</v>
      </c>
      <c r="FR204">
        <f t="shared" si="195"/>
        <v>0</v>
      </c>
      <c r="FS204">
        <v>0</v>
      </c>
      <c r="FX204">
        <v>104</v>
      </c>
      <c r="FY204">
        <v>70</v>
      </c>
      <c r="GA204" t="s">
        <v>377</v>
      </c>
      <c r="GD204">
        <v>0</v>
      </c>
      <c r="GF204">
        <v>1078315712</v>
      </c>
      <c r="GG204">
        <v>2</v>
      </c>
      <c r="GH204">
        <v>3</v>
      </c>
      <c r="GI204">
        <v>3</v>
      </c>
      <c r="GJ204">
        <v>0</v>
      </c>
      <c r="GK204">
        <f>ROUND(R204*(R12)/100,2)</f>
        <v>0</v>
      </c>
      <c r="GL204">
        <f t="shared" si="196"/>
        <v>0</v>
      </c>
      <c r="GM204">
        <f t="shared" si="197"/>
        <v>20436.61</v>
      </c>
      <c r="GN204">
        <f t="shared" si="198"/>
        <v>20436.61</v>
      </c>
      <c r="GO204">
        <f t="shared" si="199"/>
        <v>0</v>
      </c>
      <c r="GP204">
        <f t="shared" si="200"/>
        <v>0</v>
      </c>
      <c r="GR204">
        <v>1</v>
      </c>
      <c r="GS204">
        <v>1</v>
      </c>
      <c r="GT204">
        <v>0</v>
      </c>
      <c r="GU204" t="s">
        <v>3</v>
      </c>
      <c r="GV204">
        <f t="shared" si="201"/>
        <v>0</v>
      </c>
      <c r="GW204">
        <v>1</v>
      </c>
      <c r="GX204">
        <f t="shared" si="202"/>
        <v>0</v>
      </c>
      <c r="HA204">
        <v>0</v>
      </c>
      <c r="HB204">
        <v>0</v>
      </c>
      <c r="HC204">
        <f t="shared" si="203"/>
        <v>0</v>
      </c>
      <c r="HE204" t="s">
        <v>26</v>
      </c>
      <c r="HF204" t="s">
        <v>122</v>
      </c>
      <c r="HM204" t="s">
        <v>3</v>
      </c>
      <c r="IK204">
        <v>0</v>
      </c>
    </row>
    <row r="205" spans="1:245" x14ac:dyDescent="0.2">
      <c r="A205">
        <v>18</v>
      </c>
      <c r="B205">
        <v>1</v>
      </c>
      <c r="C205">
        <v>168</v>
      </c>
      <c r="E205" t="s">
        <v>378</v>
      </c>
      <c r="F205" t="s">
        <v>118</v>
      </c>
      <c r="G205" t="s">
        <v>379</v>
      </c>
      <c r="H205" t="s">
        <v>169</v>
      </c>
      <c r="I205">
        <f>I202*J205</f>
        <v>111</v>
      </c>
      <c r="J205">
        <v>99.999999999999986</v>
      </c>
      <c r="K205">
        <v>100</v>
      </c>
      <c r="O205">
        <f t="shared" si="171"/>
        <v>1886.02</v>
      </c>
      <c r="P205">
        <f t="shared" si="172"/>
        <v>1886.02</v>
      </c>
      <c r="Q205">
        <f t="shared" si="204"/>
        <v>0</v>
      </c>
      <c r="R205">
        <f t="shared" si="173"/>
        <v>0</v>
      </c>
      <c r="S205">
        <f t="shared" si="174"/>
        <v>0</v>
      </c>
      <c r="T205">
        <f t="shared" si="175"/>
        <v>0</v>
      </c>
      <c r="U205">
        <f t="shared" si="176"/>
        <v>0</v>
      </c>
      <c r="V205">
        <f t="shared" si="177"/>
        <v>0</v>
      </c>
      <c r="W205">
        <f t="shared" si="178"/>
        <v>0</v>
      </c>
      <c r="X205">
        <f t="shared" si="179"/>
        <v>0</v>
      </c>
      <c r="Y205">
        <f t="shared" si="180"/>
        <v>0</v>
      </c>
      <c r="AA205">
        <v>42938047</v>
      </c>
      <c r="AB205">
        <f t="shared" si="181"/>
        <v>2.68</v>
      </c>
      <c r="AC205">
        <f t="shared" si="182"/>
        <v>2.68</v>
      </c>
      <c r="AD205">
        <f t="shared" si="205"/>
        <v>0</v>
      </c>
      <c r="AE205">
        <f t="shared" si="206"/>
        <v>0</v>
      </c>
      <c r="AF205">
        <f t="shared" si="206"/>
        <v>0</v>
      </c>
      <c r="AG205">
        <f t="shared" si="183"/>
        <v>0</v>
      </c>
      <c r="AH205">
        <f t="shared" si="207"/>
        <v>0</v>
      </c>
      <c r="AI205">
        <f t="shared" si="207"/>
        <v>0</v>
      </c>
      <c r="AJ205">
        <f t="shared" si="184"/>
        <v>0</v>
      </c>
      <c r="AK205">
        <v>2.6799999999999997</v>
      </c>
      <c r="AL205">
        <v>2.6799999999999997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1</v>
      </c>
      <c r="AW205">
        <v>1</v>
      </c>
      <c r="AZ205">
        <v>1</v>
      </c>
      <c r="BA205">
        <v>1</v>
      </c>
      <c r="BB205">
        <v>1</v>
      </c>
      <c r="BC205">
        <v>6.34</v>
      </c>
      <c r="BD205" t="s">
        <v>3</v>
      </c>
      <c r="BE205" t="s">
        <v>3</v>
      </c>
      <c r="BF205" t="s">
        <v>3</v>
      </c>
      <c r="BG205" t="s">
        <v>3</v>
      </c>
      <c r="BH205">
        <v>3</v>
      </c>
      <c r="BI205">
        <v>1</v>
      </c>
      <c r="BJ205" t="s">
        <v>3</v>
      </c>
      <c r="BM205">
        <v>91</v>
      </c>
      <c r="BN205">
        <v>0</v>
      </c>
      <c r="BO205" t="s">
        <v>3</v>
      </c>
      <c r="BP205">
        <v>0</v>
      </c>
      <c r="BQ205">
        <v>30</v>
      </c>
      <c r="BR205">
        <v>0</v>
      </c>
      <c r="BS205">
        <v>1</v>
      </c>
      <c r="BT205">
        <v>1</v>
      </c>
      <c r="BU205">
        <v>1</v>
      </c>
      <c r="BV205">
        <v>1</v>
      </c>
      <c r="BW205">
        <v>1</v>
      </c>
      <c r="BX205">
        <v>1</v>
      </c>
      <c r="BY205" t="s">
        <v>3</v>
      </c>
      <c r="BZ205">
        <v>0</v>
      </c>
      <c r="CA205">
        <v>0</v>
      </c>
      <c r="CB205" t="s">
        <v>3</v>
      </c>
      <c r="CE205">
        <v>30</v>
      </c>
      <c r="CF205">
        <v>0</v>
      </c>
      <c r="CG205">
        <v>0</v>
      </c>
      <c r="CM205">
        <v>0</v>
      </c>
      <c r="CN205" t="s">
        <v>3</v>
      </c>
      <c r="CO205">
        <v>0</v>
      </c>
      <c r="CP205">
        <f t="shared" si="185"/>
        <v>1886.02</v>
      </c>
      <c r="CQ205">
        <f t="shared" si="186"/>
        <v>16.989999999999998</v>
      </c>
      <c r="CR205">
        <f t="shared" si="208"/>
        <v>0</v>
      </c>
      <c r="CS205">
        <f t="shared" si="187"/>
        <v>0</v>
      </c>
      <c r="CT205">
        <f t="shared" si="188"/>
        <v>0</v>
      </c>
      <c r="CU205">
        <f t="shared" si="189"/>
        <v>0</v>
      </c>
      <c r="CV205">
        <f t="shared" si="190"/>
        <v>0</v>
      </c>
      <c r="CW205">
        <f t="shared" si="191"/>
        <v>0</v>
      </c>
      <c r="CX205">
        <f t="shared" si="192"/>
        <v>0</v>
      </c>
      <c r="CY205">
        <f t="shared" si="193"/>
        <v>0</v>
      </c>
      <c r="CZ205">
        <f t="shared" si="194"/>
        <v>0</v>
      </c>
      <c r="DC205" t="s">
        <v>3</v>
      </c>
      <c r="DD205" t="s">
        <v>3</v>
      </c>
      <c r="DE205" t="s">
        <v>3</v>
      </c>
      <c r="DF205" t="s">
        <v>3</v>
      </c>
      <c r="DG205" t="s">
        <v>3</v>
      </c>
      <c r="DH205" t="s">
        <v>3</v>
      </c>
      <c r="DI205" t="s">
        <v>3</v>
      </c>
      <c r="DJ205" t="s">
        <v>3</v>
      </c>
      <c r="DK205" t="s">
        <v>3</v>
      </c>
      <c r="DL205" t="s">
        <v>3</v>
      </c>
      <c r="DM205" t="s">
        <v>3</v>
      </c>
      <c r="DN205">
        <v>104</v>
      </c>
      <c r="DO205">
        <v>70</v>
      </c>
      <c r="DP205">
        <v>1</v>
      </c>
      <c r="DQ205">
        <v>1</v>
      </c>
      <c r="DU205">
        <v>1010</v>
      </c>
      <c r="DV205" t="s">
        <v>169</v>
      </c>
      <c r="DW205" t="s">
        <v>169</v>
      </c>
      <c r="DX205">
        <v>1</v>
      </c>
      <c r="DZ205" t="s">
        <v>3</v>
      </c>
      <c r="EA205" t="s">
        <v>3</v>
      </c>
      <c r="EB205" t="s">
        <v>3</v>
      </c>
      <c r="EC205" t="s">
        <v>3</v>
      </c>
      <c r="EE205">
        <v>43088169</v>
      </c>
      <c r="EF205">
        <v>30</v>
      </c>
      <c r="EG205" t="s">
        <v>22</v>
      </c>
      <c r="EH205">
        <v>0</v>
      </c>
      <c r="EI205" t="s">
        <v>3</v>
      </c>
      <c r="EJ205">
        <v>1</v>
      </c>
      <c r="EK205">
        <v>91</v>
      </c>
      <c r="EL205" t="s">
        <v>369</v>
      </c>
      <c r="EM205" t="s">
        <v>370</v>
      </c>
      <c r="EO205" t="s">
        <v>3</v>
      </c>
      <c r="EQ205">
        <v>0</v>
      </c>
      <c r="ER205">
        <v>2.6799999999999997</v>
      </c>
      <c r="ES205">
        <v>2.6799999999999997</v>
      </c>
      <c r="ET205">
        <v>0</v>
      </c>
      <c r="EU205">
        <v>0</v>
      </c>
      <c r="EV205">
        <v>0</v>
      </c>
      <c r="EW205">
        <v>0</v>
      </c>
      <c r="EX205">
        <v>0</v>
      </c>
      <c r="EZ205">
        <v>5</v>
      </c>
      <c r="FC205">
        <v>1</v>
      </c>
      <c r="FD205">
        <v>18</v>
      </c>
      <c r="FF205">
        <v>20</v>
      </c>
      <c r="FQ205">
        <v>0</v>
      </c>
      <c r="FR205">
        <f t="shared" si="195"/>
        <v>0</v>
      </c>
      <c r="FS205">
        <v>0</v>
      </c>
      <c r="FX205">
        <v>104</v>
      </c>
      <c r="FY205">
        <v>70</v>
      </c>
      <c r="GA205" t="s">
        <v>380</v>
      </c>
      <c r="GD205">
        <v>0</v>
      </c>
      <c r="GF205">
        <v>2056681691</v>
      </c>
      <c r="GG205">
        <v>2</v>
      </c>
      <c r="GH205">
        <v>3</v>
      </c>
      <c r="GI205">
        <v>3</v>
      </c>
      <c r="GJ205">
        <v>0</v>
      </c>
      <c r="GK205">
        <f>ROUND(R205*(R12)/100,2)</f>
        <v>0</v>
      </c>
      <c r="GL205">
        <f t="shared" si="196"/>
        <v>0</v>
      </c>
      <c r="GM205">
        <f t="shared" si="197"/>
        <v>1886.02</v>
      </c>
      <c r="GN205">
        <f t="shared" si="198"/>
        <v>1886.02</v>
      </c>
      <c r="GO205">
        <f t="shared" si="199"/>
        <v>0</v>
      </c>
      <c r="GP205">
        <f t="shared" si="200"/>
        <v>0</v>
      </c>
      <c r="GR205">
        <v>1</v>
      </c>
      <c r="GS205">
        <v>1</v>
      </c>
      <c r="GT205">
        <v>0</v>
      </c>
      <c r="GU205" t="s">
        <v>3</v>
      </c>
      <c r="GV205">
        <f t="shared" si="201"/>
        <v>0</v>
      </c>
      <c r="GW205">
        <v>1</v>
      </c>
      <c r="GX205">
        <f t="shared" si="202"/>
        <v>0</v>
      </c>
      <c r="HA205">
        <v>0</v>
      </c>
      <c r="HB205">
        <v>0</v>
      </c>
      <c r="HC205">
        <f t="shared" si="203"/>
        <v>0</v>
      </c>
      <c r="HE205" t="s">
        <v>26</v>
      </c>
      <c r="HF205" t="s">
        <v>122</v>
      </c>
      <c r="HM205" t="s">
        <v>3</v>
      </c>
      <c r="IK205">
        <v>0</v>
      </c>
    </row>
    <row r="206" spans="1:245" x14ac:dyDescent="0.2">
      <c r="A206">
        <v>17</v>
      </c>
      <c r="B206">
        <v>1</v>
      </c>
      <c r="C206">
        <f>ROW(SmtRes!A172)</f>
        <v>172</v>
      </c>
      <c r="D206">
        <f>ROW(EtalonRes!A168)</f>
        <v>168</v>
      </c>
      <c r="E206" t="s">
        <v>381</v>
      </c>
      <c r="F206" t="s">
        <v>382</v>
      </c>
      <c r="G206" t="s">
        <v>383</v>
      </c>
      <c r="H206" t="s">
        <v>18</v>
      </c>
      <c r="I206">
        <f>ROUND(125/100,9)</f>
        <v>1.25</v>
      </c>
      <c r="J206">
        <v>0</v>
      </c>
      <c r="K206">
        <f>ROUND(125/100,9)</f>
        <v>1.25</v>
      </c>
      <c r="O206">
        <f t="shared" si="171"/>
        <v>18415.75</v>
      </c>
      <c r="P206">
        <f t="shared" si="172"/>
        <v>15253.06</v>
      </c>
      <c r="Q206">
        <f t="shared" si="204"/>
        <v>514.39</v>
      </c>
      <c r="R206">
        <f t="shared" si="173"/>
        <v>331.74</v>
      </c>
      <c r="S206">
        <f t="shared" si="174"/>
        <v>2648.3</v>
      </c>
      <c r="T206">
        <f t="shared" si="175"/>
        <v>0</v>
      </c>
      <c r="U206">
        <f t="shared" si="176"/>
        <v>10</v>
      </c>
      <c r="V206">
        <f t="shared" si="177"/>
        <v>0</v>
      </c>
      <c r="W206">
        <f t="shared" si="178"/>
        <v>0</v>
      </c>
      <c r="X206">
        <f t="shared" si="179"/>
        <v>2383.4699999999998</v>
      </c>
      <c r="Y206">
        <f t="shared" si="180"/>
        <v>1085.8</v>
      </c>
      <c r="AA206">
        <v>42938047</v>
      </c>
      <c r="AB206">
        <f t="shared" si="181"/>
        <v>1655.49</v>
      </c>
      <c r="AC206">
        <f t="shared" si="182"/>
        <v>1536.83</v>
      </c>
      <c r="AD206">
        <f t="shared" si="205"/>
        <v>35.380000000000003</v>
      </c>
      <c r="AE206">
        <f t="shared" si="206"/>
        <v>10.43</v>
      </c>
      <c r="AF206">
        <f t="shared" si="206"/>
        <v>83.28</v>
      </c>
      <c r="AG206">
        <f t="shared" si="183"/>
        <v>0</v>
      </c>
      <c r="AH206">
        <f t="shared" si="207"/>
        <v>8</v>
      </c>
      <c r="AI206">
        <f t="shared" si="207"/>
        <v>0</v>
      </c>
      <c r="AJ206">
        <f t="shared" si="184"/>
        <v>0</v>
      </c>
      <c r="AK206">
        <v>1655.49</v>
      </c>
      <c r="AL206">
        <v>1536.83</v>
      </c>
      <c r="AM206">
        <v>35.380000000000003</v>
      </c>
      <c r="AN206">
        <v>10.43</v>
      </c>
      <c r="AO206">
        <v>83.28</v>
      </c>
      <c r="AP206">
        <v>0</v>
      </c>
      <c r="AQ206">
        <v>8</v>
      </c>
      <c r="AR206">
        <v>0</v>
      </c>
      <c r="AS206">
        <v>0</v>
      </c>
      <c r="AT206">
        <v>90</v>
      </c>
      <c r="AU206">
        <v>41</v>
      </c>
      <c r="AV206">
        <v>1</v>
      </c>
      <c r="AW206">
        <v>1</v>
      </c>
      <c r="AZ206">
        <v>1</v>
      </c>
      <c r="BA206">
        <v>25.44</v>
      </c>
      <c r="BB206">
        <v>11.63</v>
      </c>
      <c r="BC206">
        <v>7.94</v>
      </c>
      <c r="BD206" t="s">
        <v>3</v>
      </c>
      <c r="BE206" t="s">
        <v>3</v>
      </c>
      <c r="BF206" t="s">
        <v>3</v>
      </c>
      <c r="BG206" t="s">
        <v>3</v>
      </c>
      <c r="BH206">
        <v>0</v>
      </c>
      <c r="BI206">
        <v>1</v>
      </c>
      <c r="BJ206" t="s">
        <v>384</v>
      </c>
      <c r="BM206">
        <v>300</v>
      </c>
      <c r="BN206">
        <v>0</v>
      </c>
      <c r="BO206" t="s">
        <v>382</v>
      </c>
      <c r="BP206">
        <v>1</v>
      </c>
      <c r="BQ206">
        <v>30</v>
      </c>
      <c r="BR206">
        <v>0</v>
      </c>
      <c r="BS206">
        <v>25.44</v>
      </c>
      <c r="BT206">
        <v>1</v>
      </c>
      <c r="BU206">
        <v>1</v>
      </c>
      <c r="BV206">
        <v>1</v>
      </c>
      <c r="BW206">
        <v>1</v>
      </c>
      <c r="BX206">
        <v>1</v>
      </c>
      <c r="BY206" t="s">
        <v>3</v>
      </c>
      <c r="BZ206">
        <v>90</v>
      </c>
      <c r="CA206">
        <v>41</v>
      </c>
      <c r="CB206" t="s">
        <v>3</v>
      </c>
      <c r="CE206">
        <v>30</v>
      </c>
      <c r="CF206">
        <v>0</v>
      </c>
      <c r="CG206">
        <v>0</v>
      </c>
      <c r="CM206">
        <v>0</v>
      </c>
      <c r="CN206" t="s">
        <v>3</v>
      </c>
      <c r="CO206">
        <v>0</v>
      </c>
      <c r="CP206">
        <f t="shared" si="185"/>
        <v>18415.75</v>
      </c>
      <c r="CQ206">
        <f t="shared" si="186"/>
        <v>12202.43</v>
      </c>
      <c r="CR206">
        <f t="shared" si="208"/>
        <v>411.47</v>
      </c>
      <c r="CS206">
        <f t="shared" si="187"/>
        <v>265.33999999999997</v>
      </c>
      <c r="CT206">
        <f t="shared" si="188"/>
        <v>2118.64</v>
      </c>
      <c r="CU206">
        <f t="shared" si="189"/>
        <v>0</v>
      </c>
      <c r="CV206">
        <f t="shared" si="190"/>
        <v>8</v>
      </c>
      <c r="CW206">
        <f t="shared" si="191"/>
        <v>0</v>
      </c>
      <c r="CX206">
        <f t="shared" si="192"/>
        <v>0</v>
      </c>
      <c r="CY206">
        <f t="shared" si="193"/>
        <v>2383.4700000000003</v>
      </c>
      <c r="CZ206">
        <f t="shared" si="194"/>
        <v>1085.8030000000001</v>
      </c>
      <c r="DC206" t="s">
        <v>3</v>
      </c>
      <c r="DD206" t="s">
        <v>3</v>
      </c>
      <c r="DE206" t="s">
        <v>3</v>
      </c>
      <c r="DF206" t="s">
        <v>3</v>
      </c>
      <c r="DG206" t="s">
        <v>3</v>
      </c>
      <c r="DH206" t="s">
        <v>3</v>
      </c>
      <c r="DI206" t="s">
        <v>3</v>
      </c>
      <c r="DJ206" t="s">
        <v>3</v>
      </c>
      <c r="DK206" t="s">
        <v>3</v>
      </c>
      <c r="DL206" t="s">
        <v>3</v>
      </c>
      <c r="DM206" t="s">
        <v>3</v>
      </c>
      <c r="DN206">
        <v>156</v>
      </c>
      <c r="DO206">
        <v>84</v>
      </c>
      <c r="DP206">
        <v>1</v>
      </c>
      <c r="DQ206">
        <v>1</v>
      </c>
      <c r="DU206">
        <v>1005</v>
      </c>
      <c r="DV206" t="s">
        <v>18</v>
      </c>
      <c r="DW206" t="s">
        <v>18</v>
      </c>
      <c r="DX206">
        <v>100</v>
      </c>
      <c r="DZ206" t="s">
        <v>3</v>
      </c>
      <c r="EA206" t="s">
        <v>3</v>
      </c>
      <c r="EB206" t="s">
        <v>3</v>
      </c>
      <c r="EC206" t="s">
        <v>3</v>
      </c>
      <c r="EE206">
        <v>43088378</v>
      </c>
      <c r="EF206">
        <v>30</v>
      </c>
      <c r="EG206" t="s">
        <v>22</v>
      </c>
      <c r="EH206">
        <v>0</v>
      </c>
      <c r="EI206" t="s">
        <v>3</v>
      </c>
      <c r="EJ206">
        <v>1</v>
      </c>
      <c r="EK206">
        <v>300</v>
      </c>
      <c r="EL206" t="s">
        <v>385</v>
      </c>
      <c r="EM206" t="s">
        <v>386</v>
      </c>
      <c r="EO206" t="s">
        <v>3</v>
      </c>
      <c r="EQ206">
        <v>0</v>
      </c>
      <c r="ER206">
        <v>1655.49</v>
      </c>
      <c r="ES206">
        <v>1536.83</v>
      </c>
      <c r="ET206">
        <v>35.380000000000003</v>
      </c>
      <c r="EU206">
        <v>10.43</v>
      </c>
      <c r="EV206">
        <v>83.28</v>
      </c>
      <c r="EW206">
        <v>8</v>
      </c>
      <c r="EX206">
        <v>0</v>
      </c>
      <c r="EY206">
        <v>0</v>
      </c>
      <c r="FQ206">
        <v>0</v>
      </c>
      <c r="FR206">
        <f t="shared" si="195"/>
        <v>0</v>
      </c>
      <c r="FS206">
        <v>0</v>
      </c>
      <c r="FX206">
        <v>156</v>
      </c>
      <c r="FY206">
        <v>84</v>
      </c>
      <c r="GA206" t="s">
        <v>3</v>
      </c>
      <c r="GD206">
        <v>0</v>
      </c>
      <c r="GF206">
        <v>-185527279</v>
      </c>
      <c r="GG206">
        <v>2</v>
      </c>
      <c r="GH206">
        <v>1</v>
      </c>
      <c r="GI206">
        <v>2</v>
      </c>
      <c r="GJ206">
        <v>0</v>
      </c>
      <c r="GK206">
        <f>ROUND(R206*(R12)/100,2)</f>
        <v>520.83000000000004</v>
      </c>
      <c r="GL206">
        <f t="shared" si="196"/>
        <v>0</v>
      </c>
      <c r="GM206">
        <f t="shared" si="197"/>
        <v>22405.85</v>
      </c>
      <c r="GN206">
        <f t="shared" si="198"/>
        <v>22405.85</v>
      </c>
      <c r="GO206">
        <f t="shared" si="199"/>
        <v>0</v>
      </c>
      <c r="GP206">
        <f t="shared" si="200"/>
        <v>0</v>
      </c>
      <c r="GR206">
        <v>0</v>
      </c>
      <c r="GS206">
        <v>3</v>
      </c>
      <c r="GT206">
        <v>0</v>
      </c>
      <c r="GU206" t="s">
        <v>3</v>
      </c>
      <c r="GV206">
        <f t="shared" si="201"/>
        <v>0</v>
      </c>
      <c r="GW206">
        <v>1</v>
      </c>
      <c r="GX206">
        <f t="shared" si="202"/>
        <v>0</v>
      </c>
      <c r="HA206">
        <v>0</v>
      </c>
      <c r="HB206">
        <v>0</v>
      </c>
      <c r="HC206">
        <f t="shared" si="203"/>
        <v>0</v>
      </c>
      <c r="HE206" t="s">
        <v>3</v>
      </c>
      <c r="HF206" t="s">
        <v>3</v>
      </c>
      <c r="HM206" t="s">
        <v>3</v>
      </c>
      <c r="IK206">
        <v>0</v>
      </c>
    </row>
    <row r="207" spans="1:245" x14ac:dyDescent="0.2">
      <c r="A207">
        <v>18</v>
      </c>
      <c r="B207">
        <v>1</v>
      </c>
      <c r="C207">
        <v>171</v>
      </c>
      <c r="E207" t="s">
        <v>387</v>
      </c>
      <c r="F207" t="s">
        <v>388</v>
      </c>
      <c r="G207" t="s">
        <v>389</v>
      </c>
      <c r="H207" t="s">
        <v>84</v>
      </c>
      <c r="I207">
        <f>I206*J207</f>
        <v>-7.25</v>
      </c>
      <c r="J207">
        <v>-5.8</v>
      </c>
      <c r="K207">
        <v>-5.8</v>
      </c>
      <c r="O207">
        <f t="shared" si="171"/>
        <v>-15252.98</v>
      </c>
      <c r="P207">
        <f t="shared" si="172"/>
        <v>-15252.98</v>
      </c>
      <c r="Q207">
        <f t="shared" si="204"/>
        <v>0</v>
      </c>
      <c r="R207">
        <f t="shared" si="173"/>
        <v>0</v>
      </c>
      <c r="S207">
        <f t="shared" si="174"/>
        <v>0</v>
      </c>
      <c r="T207">
        <f t="shared" si="175"/>
        <v>0</v>
      </c>
      <c r="U207">
        <f t="shared" si="176"/>
        <v>0</v>
      </c>
      <c r="V207">
        <f t="shared" si="177"/>
        <v>0</v>
      </c>
      <c r="W207">
        <f t="shared" si="178"/>
        <v>0</v>
      </c>
      <c r="X207">
        <f t="shared" si="179"/>
        <v>0</v>
      </c>
      <c r="Y207">
        <f t="shared" si="180"/>
        <v>0</v>
      </c>
      <c r="AA207">
        <v>42938047</v>
      </c>
      <c r="AB207">
        <f t="shared" si="181"/>
        <v>264.97000000000003</v>
      </c>
      <c r="AC207">
        <f t="shared" si="182"/>
        <v>264.97000000000003</v>
      </c>
      <c r="AD207">
        <f t="shared" si="205"/>
        <v>0</v>
      </c>
      <c r="AE207">
        <f t="shared" si="206"/>
        <v>0</v>
      </c>
      <c r="AF207">
        <f t="shared" si="206"/>
        <v>0</v>
      </c>
      <c r="AG207">
        <f t="shared" si="183"/>
        <v>0</v>
      </c>
      <c r="AH207">
        <f t="shared" si="207"/>
        <v>0</v>
      </c>
      <c r="AI207">
        <f t="shared" si="207"/>
        <v>0</v>
      </c>
      <c r="AJ207">
        <f t="shared" si="184"/>
        <v>0</v>
      </c>
      <c r="AK207">
        <v>264.97000000000003</v>
      </c>
      <c r="AL207">
        <v>264.97000000000003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1</v>
      </c>
      <c r="AW207">
        <v>1</v>
      </c>
      <c r="AZ207">
        <v>1</v>
      </c>
      <c r="BA207">
        <v>1</v>
      </c>
      <c r="BB207">
        <v>1</v>
      </c>
      <c r="BC207">
        <v>7.94</v>
      </c>
      <c r="BD207" t="s">
        <v>3</v>
      </c>
      <c r="BE207" t="s">
        <v>3</v>
      </c>
      <c r="BF207" t="s">
        <v>3</v>
      </c>
      <c r="BG207" t="s">
        <v>3</v>
      </c>
      <c r="BH207">
        <v>3</v>
      </c>
      <c r="BI207">
        <v>1</v>
      </c>
      <c r="BJ207" t="s">
        <v>390</v>
      </c>
      <c r="BM207">
        <v>300</v>
      </c>
      <c r="BN207">
        <v>0</v>
      </c>
      <c r="BO207" t="s">
        <v>388</v>
      </c>
      <c r="BP207">
        <v>1</v>
      </c>
      <c r="BQ207">
        <v>30</v>
      </c>
      <c r="BR207">
        <v>1</v>
      </c>
      <c r="BS207">
        <v>1</v>
      </c>
      <c r="BT207">
        <v>1</v>
      </c>
      <c r="BU207">
        <v>1</v>
      </c>
      <c r="BV207">
        <v>1</v>
      </c>
      <c r="BW207">
        <v>1</v>
      </c>
      <c r="BX207">
        <v>1</v>
      </c>
      <c r="BY207" t="s">
        <v>3</v>
      </c>
      <c r="BZ207">
        <v>0</v>
      </c>
      <c r="CA207">
        <v>0</v>
      </c>
      <c r="CB207" t="s">
        <v>3</v>
      </c>
      <c r="CE207">
        <v>30</v>
      </c>
      <c r="CF207">
        <v>0</v>
      </c>
      <c r="CG207">
        <v>0</v>
      </c>
      <c r="CM207">
        <v>0</v>
      </c>
      <c r="CN207" t="s">
        <v>3</v>
      </c>
      <c r="CO207">
        <v>0</v>
      </c>
      <c r="CP207">
        <f t="shared" si="185"/>
        <v>-15252.98</v>
      </c>
      <c r="CQ207">
        <f t="shared" si="186"/>
        <v>2103.86</v>
      </c>
      <c r="CR207">
        <f t="shared" si="208"/>
        <v>0</v>
      </c>
      <c r="CS207">
        <f t="shared" si="187"/>
        <v>0</v>
      </c>
      <c r="CT207">
        <f t="shared" si="188"/>
        <v>0</v>
      </c>
      <c r="CU207">
        <f t="shared" si="189"/>
        <v>0</v>
      </c>
      <c r="CV207">
        <f t="shared" si="190"/>
        <v>0</v>
      </c>
      <c r="CW207">
        <f t="shared" si="191"/>
        <v>0</v>
      </c>
      <c r="CX207">
        <f t="shared" si="192"/>
        <v>0</v>
      </c>
      <c r="CY207">
        <f t="shared" si="193"/>
        <v>0</v>
      </c>
      <c r="CZ207">
        <f t="shared" si="194"/>
        <v>0</v>
      </c>
      <c r="DC207" t="s">
        <v>3</v>
      </c>
      <c r="DD207" t="s">
        <v>3</v>
      </c>
      <c r="DE207" t="s">
        <v>3</v>
      </c>
      <c r="DF207" t="s">
        <v>3</v>
      </c>
      <c r="DG207" t="s">
        <v>3</v>
      </c>
      <c r="DH207" t="s">
        <v>3</v>
      </c>
      <c r="DI207" t="s">
        <v>3</v>
      </c>
      <c r="DJ207" t="s">
        <v>3</v>
      </c>
      <c r="DK207" t="s">
        <v>3</v>
      </c>
      <c r="DL207" t="s">
        <v>3</v>
      </c>
      <c r="DM207" t="s">
        <v>3</v>
      </c>
      <c r="DN207">
        <v>156</v>
      </c>
      <c r="DO207">
        <v>84</v>
      </c>
      <c r="DP207">
        <v>1</v>
      </c>
      <c r="DQ207">
        <v>1</v>
      </c>
      <c r="DU207">
        <v>1007</v>
      </c>
      <c r="DV207" t="s">
        <v>84</v>
      </c>
      <c r="DW207" t="s">
        <v>84</v>
      </c>
      <c r="DX207">
        <v>1</v>
      </c>
      <c r="DZ207" t="s">
        <v>3</v>
      </c>
      <c r="EA207" t="s">
        <v>3</v>
      </c>
      <c r="EB207" t="s">
        <v>3</v>
      </c>
      <c r="EC207" t="s">
        <v>3</v>
      </c>
      <c r="EE207">
        <v>43088378</v>
      </c>
      <c r="EF207">
        <v>30</v>
      </c>
      <c r="EG207" t="s">
        <v>22</v>
      </c>
      <c r="EH207">
        <v>0</v>
      </c>
      <c r="EI207" t="s">
        <v>3</v>
      </c>
      <c r="EJ207">
        <v>1</v>
      </c>
      <c r="EK207">
        <v>300</v>
      </c>
      <c r="EL207" t="s">
        <v>385</v>
      </c>
      <c r="EM207" t="s">
        <v>386</v>
      </c>
      <c r="EO207" t="s">
        <v>3</v>
      </c>
      <c r="EQ207">
        <v>0</v>
      </c>
      <c r="ER207">
        <v>264.97000000000003</v>
      </c>
      <c r="ES207">
        <v>264.97000000000003</v>
      </c>
      <c r="ET207">
        <v>0</v>
      </c>
      <c r="EU207">
        <v>0</v>
      </c>
      <c r="EV207">
        <v>0</v>
      </c>
      <c r="EW207">
        <v>0</v>
      </c>
      <c r="EX207">
        <v>0</v>
      </c>
      <c r="FQ207">
        <v>0</v>
      </c>
      <c r="FR207">
        <f t="shared" si="195"/>
        <v>0</v>
      </c>
      <c r="FS207">
        <v>0</v>
      </c>
      <c r="FX207">
        <v>156</v>
      </c>
      <c r="FY207">
        <v>84</v>
      </c>
      <c r="GA207" t="s">
        <v>3</v>
      </c>
      <c r="GD207">
        <v>0</v>
      </c>
      <c r="GF207">
        <v>-1664154218</v>
      </c>
      <c r="GG207">
        <v>2</v>
      </c>
      <c r="GH207">
        <v>1</v>
      </c>
      <c r="GI207">
        <v>2</v>
      </c>
      <c r="GJ207">
        <v>0</v>
      </c>
      <c r="GK207">
        <f>ROUND(R207*(R12)/100,2)</f>
        <v>0</v>
      </c>
      <c r="GL207">
        <f t="shared" si="196"/>
        <v>0</v>
      </c>
      <c r="GM207">
        <f t="shared" si="197"/>
        <v>-15252.98</v>
      </c>
      <c r="GN207">
        <f t="shared" si="198"/>
        <v>-15252.98</v>
      </c>
      <c r="GO207">
        <f t="shared" si="199"/>
        <v>0</v>
      </c>
      <c r="GP207">
        <f t="shared" si="200"/>
        <v>0</v>
      </c>
      <c r="GR207">
        <v>0</v>
      </c>
      <c r="GS207">
        <v>3</v>
      </c>
      <c r="GT207">
        <v>0</v>
      </c>
      <c r="GU207" t="s">
        <v>3</v>
      </c>
      <c r="GV207">
        <f t="shared" si="201"/>
        <v>0</v>
      </c>
      <c r="GW207">
        <v>1</v>
      </c>
      <c r="GX207">
        <f t="shared" si="202"/>
        <v>0</v>
      </c>
      <c r="HA207">
        <v>0</v>
      </c>
      <c r="HB207">
        <v>0</v>
      </c>
      <c r="HC207">
        <f t="shared" si="203"/>
        <v>0</v>
      </c>
      <c r="HE207" t="s">
        <v>3</v>
      </c>
      <c r="HF207" t="s">
        <v>3</v>
      </c>
      <c r="HM207" t="s">
        <v>3</v>
      </c>
      <c r="IK207">
        <v>0</v>
      </c>
    </row>
    <row r="208" spans="1:245" x14ac:dyDescent="0.2">
      <c r="A208">
        <v>18</v>
      </c>
      <c r="B208">
        <v>1</v>
      </c>
      <c r="C208">
        <v>172</v>
      </c>
      <c r="E208" t="s">
        <v>391</v>
      </c>
      <c r="F208" t="s">
        <v>118</v>
      </c>
      <c r="G208" t="s">
        <v>392</v>
      </c>
      <c r="H208" t="s">
        <v>84</v>
      </c>
      <c r="I208">
        <f>I206*J208</f>
        <v>7.25</v>
      </c>
      <c r="J208">
        <v>5.8</v>
      </c>
      <c r="K208">
        <v>5.8</v>
      </c>
      <c r="O208">
        <f t="shared" si="171"/>
        <v>79459.22</v>
      </c>
      <c r="P208">
        <f t="shared" si="172"/>
        <v>79459.22</v>
      </c>
      <c r="Q208">
        <f t="shared" si="204"/>
        <v>0</v>
      </c>
      <c r="R208">
        <f t="shared" si="173"/>
        <v>0</v>
      </c>
      <c r="S208">
        <f t="shared" si="174"/>
        <v>0</v>
      </c>
      <c r="T208">
        <f t="shared" si="175"/>
        <v>0</v>
      </c>
      <c r="U208">
        <f t="shared" si="176"/>
        <v>0</v>
      </c>
      <c r="V208">
        <f t="shared" si="177"/>
        <v>0</v>
      </c>
      <c r="W208">
        <f t="shared" si="178"/>
        <v>0</v>
      </c>
      <c r="X208">
        <f t="shared" si="179"/>
        <v>0</v>
      </c>
      <c r="Y208">
        <f t="shared" si="180"/>
        <v>0</v>
      </c>
      <c r="AA208">
        <v>42938047</v>
      </c>
      <c r="AB208">
        <f t="shared" si="181"/>
        <v>1728.69</v>
      </c>
      <c r="AC208">
        <f t="shared" si="182"/>
        <v>1728.69</v>
      </c>
      <c r="AD208">
        <f t="shared" si="205"/>
        <v>0</v>
      </c>
      <c r="AE208">
        <f t="shared" si="206"/>
        <v>0</v>
      </c>
      <c r="AF208">
        <f t="shared" si="206"/>
        <v>0</v>
      </c>
      <c r="AG208">
        <f t="shared" si="183"/>
        <v>0</v>
      </c>
      <c r="AH208">
        <f t="shared" si="207"/>
        <v>0</v>
      </c>
      <c r="AI208">
        <f t="shared" si="207"/>
        <v>0</v>
      </c>
      <c r="AJ208">
        <f t="shared" si="184"/>
        <v>0</v>
      </c>
      <c r="AK208">
        <v>1728.69</v>
      </c>
      <c r="AL208">
        <v>1728.69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1</v>
      </c>
      <c r="AW208">
        <v>1</v>
      </c>
      <c r="AZ208">
        <v>1</v>
      </c>
      <c r="BA208">
        <v>1</v>
      </c>
      <c r="BB208">
        <v>1</v>
      </c>
      <c r="BC208">
        <v>6.34</v>
      </c>
      <c r="BD208" t="s">
        <v>3</v>
      </c>
      <c r="BE208" t="s">
        <v>3</v>
      </c>
      <c r="BF208" t="s">
        <v>3</v>
      </c>
      <c r="BG208" t="s">
        <v>3</v>
      </c>
      <c r="BH208">
        <v>3</v>
      </c>
      <c r="BI208">
        <v>1</v>
      </c>
      <c r="BJ208" t="s">
        <v>3</v>
      </c>
      <c r="BM208">
        <v>300</v>
      </c>
      <c r="BN208">
        <v>0</v>
      </c>
      <c r="BO208" t="s">
        <v>3</v>
      </c>
      <c r="BP208">
        <v>0</v>
      </c>
      <c r="BQ208">
        <v>30</v>
      </c>
      <c r="BR208">
        <v>0</v>
      </c>
      <c r="BS208">
        <v>1</v>
      </c>
      <c r="BT208">
        <v>1</v>
      </c>
      <c r="BU208">
        <v>1</v>
      </c>
      <c r="BV208">
        <v>1</v>
      </c>
      <c r="BW208">
        <v>1</v>
      </c>
      <c r="BX208">
        <v>1</v>
      </c>
      <c r="BY208" t="s">
        <v>3</v>
      </c>
      <c r="BZ208">
        <v>0</v>
      </c>
      <c r="CA208">
        <v>0</v>
      </c>
      <c r="CB208" t="s">
        <v>3</v>
      </c>
      <c r="CE208">
        <v>30</v>
      </c>
      <c r="CF208">
        <v>0</v>
      </c>
      <c r="CG208">
        <v>0</v>
      </c>
      <c r="CM208">
        <v>0</v>
      </c>
      <c r="CN208" t="s">
        <v>3</v>
      </c>
      <c r="CO208">
        <v>0</v>
      </c>
      <c r="CP208">
        <f t="shared" si="185"/>
        <v>79459.22</v>
      </c>
      <c r="CQ208">
        <f t="shared" si="186"/>
        <v>10959.89</v>
      </c>
      <c r="CR208">
        <f t="shared" si="208"/>
        <v>0</v>
      </c>
      <c r="CS208">
        <f t="shared" si="187"/>
        <v>0</v>
      </c>
      <c r="CT208">
        <f t="shared" si="188"/>
        <v>0</v>
      </c>
      <c r="CU208">
        <f t="shared" si="189"/>
        <v>0</v>
      </c>
      <c r="CV208">
        <f t="shared" si="190"/>
        <v>0</v>
      </c>
      <c r="CW208">
        <f t="shared" si="191"/>
        <v>0</v>
      </c>
      <c r="CX208">
        <f t="shared" si="192"/>
        <v>0</v>
      </c>
      <c r="CY208">
        <f t="shared" si="193"/>
        <v>0</v>
      </c>
      <c r="CZ208">
        <f t="shared" si="194"/>
        <v>0</v>
      </c>
      <c r="DC208" t="s">
        <v>3</v>
      </c>
      <c r="DD208" t="s">
        <v>3</v>
      </c>
      <c r="DE208" t="s">
        <v>3</v>
      </c>
      <c r="DF208" t="s">
        <v>3</v>
      </c>
      <c r="DG208" t="s">
        <v>3</v>
      </c>
      <c r="DH208" t="s">
        <v>3</v>
      </c>
      <c r="DI208" t="s">
        <v>3</v>
      </c>
      <c r="DJ208" t="s">
        <v>3</v>
      </c>
      <c r="DK208" t="s">
        <v>3</v>
      </c>
      <c r="DL208" t="s">
        <v>3</v>
      </c>
      <c r="DM208" t="s">
        <v>3</v>
      </c>
      <c r="DN208">
        <v>156</v>
      </c>
      <c r="DO208">
        <v>84</v>
      </c>
      <c r="DP208">
        <v>1</v>
      </c>
      <c r="DQ208">
        <v>1</v>
      </c>
      <c r="DU208">
        <v>1007</v>
      </c>
      <c r="DV208" t="s">
        <v>84</v>
      </c>
      <c r="DW208" t="s">
        <v>84</v>
      </c>
      <c r="DX208">
        <v>1</v>
      </c>
      <c r="DZ208" t="s">
        <v>3</v>
      </c>
      <c r="EA208" t="s">
        <v>3</v>
      </c>
      <c r="EB208" t="s">
        <v>3</v>
      </c>
      <c r="EC208" t="s">
        <v>3</v>
      </c>
      <c r="EE208">
        <v>43088378</v>
      </c>
      <c r="EF208">
        <v>30</v>
      </c>
      <c r="EG208" t="s">
        <v>22</v>
      </c>
      <c r="EH208">
        <v>0</v>
      </c>
      <c r="EI208" t="s">
        <v>3</v>
      </c>
      <c r="EJ208">
        <v>1</v>
      </c>
      <c r="EK208">
        <v>300</v>
      </c>
      <c r="EL208" t="s">
        <v>385</v>
      </c>
      <c r="EM208" t="s">
        <v>386</v>
      </c>
      <c r="EO208" t="s">
        <v>3</v>
      </c>
      <c r="EQ208">
        <v>0</v>
      </c>
      <c r="ER208">
        <v>1728.69</v>
      </c>
      <c r="ES208">
        <v>1728.69</v>
      </c>
      <c r="ET208">
        <v>0</v>
      </c>
      <c r="EU208">
        <v>0</v>
      </c>
      <c r="EV208">
        <v>0</v>
      </c>
      <c r="EW208">
        <v>0</v>
      </c>
      <c r="EX208">
        <v>0</v>
      </c>
      <c r="EZ208">
        <v>5</v>
      </c>
      <c r="FC208">
        <v>1</v>
      </c>
      <c r="FD208">
        <v>18</v>
      </c>
      <c r="FF208">
        <v>12894</v>
      </c>
      <c r="FQ208">
        <v>0</v>
      </c>
      <c r="FR208">
        <f t="shared" si="195"/>
        <v>0</v>
      </c>
      <c r="FS208">
        <v>0</v>
      </c>
      <c r="FX208">
        <v>156</v>
      </c>
      <c r="FY208">
        <v>84</v>
      </c>
      <c r="GA208" t="s">
        <v>393</v>
      </c>
      <c r="GD208">
        <v>0</v>
      </c>
      <c r="GF208">
        <v>324134868</v>
      </c>
      <c r="GG208">
        <v>2</v>
      </c>
      <c r="GH208">
        <v>3</v>
      </c>
      <c r="GI208">
        <v>3</v>
      </c>
      <c r="GJ208">
        <v>0</v>
      </c>
      <c r="GK208">
        <f>ROUND(R208*(R12)/100,2)</f>
        <v>0</v>
      </c>
      <c r="GL208">
        <f t="shared" si="196"/>
        <v>0</v>
      </c>
      <c r="GM208">
        <f t="shared" si="197"/>
        <v>79459.22</v>
      </c>
      <c r="GN208">
        <f t="shared" si="198"/>
        <v>79459.22</v>
      </c>
      <c r="GO208">
        <f t="shared" si="199"/>
        <v>0</v>
      </c>
      <c r="GP208">
        <f t="shared" si="200"/>
        <v>0</v>
      </c>
      <c r="GR208">
        <v>1</v>
      </c>
      <c r="GS208">
        <v>1</v>
      </c>
      <c r="GT208">
        <v>0</v>
      </c>
      <c r="GU208" t="s">
        <v>3</v>
      </c>
      <c r="GV208">
        <f t="shared" si="201"/>
        <v>0</v>
      </c>
      <c r="GW208">
        <v>1</v>
      </c>
      <c r="GX208">
        <f t="shared" si="202"/>
        <v>0</v>
      </c>
      <c r="HA208">
        <v>0</v>
      </c>
      <c r="HB208">
        <v>0</v>
      </c>
      <c r="HC208">
        <f t="shared" si="203"/>
        <v>0</v>
      </c>
      <c r="HE208" t="s">
        <v>26</v>
      </c>
      <c r="HF208" t="s">
        <v>122</v>
      </c>
      <c r="HM208" t="s">
        <v>3</v>
      </c>
      <c r="IK208">
        <v>0</v>
      </c>
    </row>
    <row r="209" spans="1:245" x14ac:dyDescent="0.2">
      <c r="A209">
        <v>17</v>
      </c>
      <c r="B209">
        <v>1</v>
      </c>
      <c r="C209">
        <f>ROW(SmtRes!A175)</f>
        <v>175</v>
      </c>
      <c r="D209">
        <f>ROW(EtalonRes!A170)</f>
        <v>170</v>
      </c>
      <c r="E209" t="s">
        <v>394</v>
      </c>
      <c r="F209" t="s">
        <v>395</v>
      </c>
      <c r="G209" t="s">
        <v>396</v>
      </c>
      <c r="H209" t="s">
        <v>18</v>
      </c>
      <c r="I209">
        <f>ROUND(125/100,9)</f>
        <v>1.25</v>
      </c>
      <c r="J209">
        <v>0</v>
      </c>
      <c r="K209">
        <f>ROUND(125/100,9)</f>
        <v>1.25</v>
      </c>
      <c r="O209">
        <f t="shared" si="171"/>
        <v>17156.64</v>
      </c>
      <c r="P209">
        <f t="shared" si="172"/>
        <v>15253.22</v>
      </c>
      <c r="Q209">
        <f>(ROUND((ROUND((((ET209*1.25*5))*AV209*I209),2)*BB209),2)+ROUND((ROUND(((AE209-((EU209*1.25*5)))*AV209*I209),2)*BS209),2))</f>
        <v>0</v>
      </c>
      <c r="R209">
        <f t="shared" si="173"/>
        <v>0</v>
      </c>
      <c r="S209">
        <f t="shared" si="174"/>
        <v>1903.42</v>
      </c>
      <c r="T209">
        <f t="shared" si="175"/>
        <v>0</v>
      </c>
      <c r="U209">
        <f t="shared" si="176"/>
        <v>7.1875</v>
      </c>
      <c r="V209">
        <f t="shared" si="177"/>
        <v>0</v>
      </c>
      <c r="W209">
        <f t="shared" si="178"/>
        <v>0</v>
      </c>
      <c r="X209">
        <f t="shared" si="179"/>
        <v>1713.08</v>
      </c>
      <c r="Y209">
        <f t="shared" si="180"/>
        <v>780.4</v>
      </c>
      <c r="AA209">
        <v>42938047</v>
      </c>
      <c r="AB209">
        <f t="shared" si="181"/>
        <v>1596.7075</v>
      </c>
      <c r="AC209">
        <f>ROUND(((ES209*5)),6)</f>
        <v>1536.85</v>
      </c>
      <c r="AD209">
        <f>ROUND(((((ET209*1.25*5))-((EU209*1.25*5)))+AE209),6)</f>
        <v>0</v>
      </c>
      <c r="AE209">
        <f>ROUND(((EU209*1.25*5)),6)</f>
        <v>0</v>
      </c>
      <c r="AF209">
        <f>ROUND(((EV209*1.15*5)),6)</f>
        <v>59.857500000000002</v>
      </c>
      <c r="AG209">
        <f t="shared" si="183"/>
        <v>0</v>
      </c>
      <c r="AH209">
        <f>((EW209*1.15*5))</f>
        <v>5.75</v>
      </c>
      <c r="AI209">
        <f>((EX209*1.25*5))</f>
        <v>0</v>
      </c>
      <c r="AJ209">
        <f t="shared" si="184"/>
        <v>0</v>
      </c>
      <c r="AK209">
        <v>317.77999999999997</v>
      </c>
      <c r="AL209">
        <v>307.37</v>
      </c>
      <c r="AM209">
        <v>0</v>
      </c>
      <c r="AN209">
        <v>0</v>
      </c>
      <c r="AO209">
        <v>10.41</v>
      </c>
      <c r="AP209">
        <v>0</v>
      </c>
      <c r="AQ209">
        <v>1</v>
      </c>
      <c r="AR209">
        <v>0</v>
      </c>
      <c r="AS209">
        <v>0</v>
      </c>
      <c r="AT209">
        <v>90</v>
      </c>
      <c r="AU209">
        <v>41</v>
      </c>
      <c r="AV209">
        <v>1</v>
      </c>
      <c r="AW209">
        <v>1</v>
      </c>
      <c r="AZ209">
        <v>1</v>
      </c>
      <c r="BA209">
        <v>25.44</v>
      </c>
      <c r="BB209">
        <v>1</v>
      </c>
      <c r="BC209">
        <v>7.94</v>
      </c>
      <c r="BD209" t="s">
        <v>3</v>
      </c>
      <c r="BE209" t="s">
        <v>3</v>
      </c>
      <c r="BF209" t="s">
        <v>3</v>
      </c>
      <c r="BG209" t="s">
        <v>3</v>
      </c>
      <c r="BH209">
        <v>0</v>
      </c>
      <c r="BI209">
        <v>1</v>
      </c>
      <c r="BJ209" t="s">
        <v>397</v>
      </c>
      <c r="BM209">
        <v>300</v>
      </c>
      <c r="BN209">
        <v>0</v>
      </c>
      <c r="BO209" t="s">
        <v>395</v>
      </c>
      <c r="BP209">
        <v>1</v>
      </c>
      <c r="BQ209">
        <v>30</v>
      </c>
      <c r="BR209">
        <v>0</v>
      </c>
      <c r="BS209">
        <v>25.44</v>
      </c>
      <c r="BT209">
        <v>1</v>
      </c>
      <c r="BU209">
        <v>1</v>
      </c>
      <c r="BV209">
        <v>1</v>
      </c>
      <c r="BW209">
        <v>1</v>
      </c>
      <c r="BX209">
        <v>1</v>
      </c>
      <c r="BY209" t="s">
        <v>3</v>
      </c>
      <c r="BZ209">
        <v>90</v>
      </c>
      <c r="CA209">
        <v>41</v>
      </c>
      <c r="CB209" t="s">
        <v>3</v>
      </c>
      <c r="CE209">
        <v>30</v>
      </c>
      <c r="CF209">
        <v>0</v>
      </c>
      <c r="CG209">
        <v>0</v>
      </c>
      <c r="CM209">
        <v>0</v>
      </c>
      <c r="CN209" t="s">
        <v>1584</v>
      </c>
      <c r="CO209">
        <v>0</v>
      </c>
      <c r="CP209">
        <f t="shared" si="185"/>
        <v>17156.64</v>
      </c>
      <c r="CQ209">
        <f t="shared" si="186"/>
        <v>12202.59</v>
      </c>
      <c r="CR209">
        <f>(ROUND((ROUND((((ET209*1.25*5))*AV209*1),2)*BB209),2)+ROUND((ROUND(((AE209-((EU209*1.25*5)))*AV209*1),2)*BS209),2))</f>
        <v>0</v>
      </c>
      <c r="CS209">
        <f t="shared" si="187"/>
        <v>0</v>
      </c>
      <c r="CT209">
        <f t="shared" si="188"/>
        <v>1522.84</v>
      </c>
      <c r="CU209">
        <f t="shared" si="189"/>
        <v>0</v>
      </c>
      <c r="CV209">
        <f t="shared" si="190"/>
        <v>5.75</v>
      </c>
      <c r="CW209">
        <f t="shared" si="191"/>
        <v>0</v>
      </c>
      <c r="CX209">
        <f t="shared" si="192"/>
        <v>0</v>
      </c>
      <c r="CY209">
        <f t="shared" si="193"/>
        <v>1713.0780000000002</v>
      </c>
      <c r="CZ209">
        <f t="shared" si="194"/>
        <v>780.40219999999999</v>
      </c>
      <c r="DC209" t="s">
        <v>3</v>
      </c>
      <c r="DD209" t="s">
        <v>398</v>
      </c>
      <c r="DE209" t="s">
        <v>399</v>
      </c>
      <c r="DF209" t="s">
        <v>399</v>
      </c>
      <c r="DG209" t="s">
        <v>400</v>
      </c>
      <c r="DH209" t="s">
        <v>3</v>
      </c>
      <c r="DI209" t="s">
        <v>400</v>
      </c>
      <c r="DJ209" t="s">
        <v>399</v>
      </c>
      <c r="DK209" t="s">
        <v>3</v>
      </c>
      <c r="DL209" t="s">
        <v>3</v>
      </c>
      <c r="DM209" t="s">
        <v>3</v>
      </c>
      <c r="DN209">
        <v>156</v>
      </c>
      <c r="DO209">
        <v>84</v>
      </c>
      <c r="DP209">
        <v>1</v>
      </c>
      <c r="DQ209">
        <v>1</v>
      </c>
      <c r="DU209">
        <v>1005</v>
      </c>
      <c r="DV209" t="s">
        <v>18</v>
      </c>
      <c r="DW209" t="s">
        <v>18</v>
      </c>
      <c r="DX209">
        <v>100</v>
      </c>
      <c r="DZ209" t="s">
        <v>3</v>
      </c>
      <c r="EA209" t="s">
        <v>3</v>
      </c>
      <c r="EB209" t="s">
        <v>3</v>
      </c>
      <c r="EC209" t="s">
        <v>3</v>
      </c>
      <c r="EE209">
        <v>43088378</v>
      </c>
      <c r="EF209">
        <v>30</v>
      </c>
      <c r="EG209" t="s">
        <v>22</v>
      </c>
      <c r="EH209">
        <v>0</v>
      </c>
      <c r="EI209" t="s">
        <v>3</v>
      </c>
      <c r="EJ209">
        <v>1</v>
      </c>
      <c r="EK209">
        <v>300</v>
      </c>
      <c r="EL209" t="s">
        <v>385</v>
      </c>
      <c r="EM209" t="s">
        <v>386</v>
      </c>
      <c r="EO209" t="s">
        <v>59</v>
      </c>
      <c r="EQ209">
        <v>0</v>
      </c>
      <c r="ER209">
        <v>317.77999999999997</v>
      </c>
      <c r="ES209">
        <v>307.37</v>
      </c>
      <c r="ET209">
        <v>0</v>
      </c>
      <c r="EU209">
        <v>0</v>
      </c>
      <c r="EV209">
        <v>10.41</v>
      </c>
      <c r="EW209">
        <v>1</v>
      </c>
      <c r="EX209">
        <v>0</v>
      </c>
      <c r="EY209">
        <v>0</v>
      </c>
      <c r="FQ209">
        <v>0</v>
      </c>
      <c r="FR209">
        <f t="shared" si="195"/>
        <v>0</v>
      </c>
      <c r="FS209">
        <v>0</v>
      </c>
      <c r="FX209">
        <v>156</v>
      </c>
      <c r="FY209">
        <v>84</v>
      </c>
      <c r="GA209" t="s">
        <v>3</v>
      </c>
      <c r="GD209">
        <v>0</v>
      </c>
      <c r="GF209">
        <v>900807910</v>
      </c>
      <c r="GG209">
        <v>2</v>
      </c>
      <c r="GH209">
        <v>1</v>
      </c>
      <c r="GI209">
        <v>2</v>
      </c>
      <c r="GJ209">
        <v>0</v>
      </c>
      <c r="GK209">
        <f>ROUND(R209*(R12)/100,2)</f>
        <v>0</v>
      </c>
      <c r="GL209">
        <f t="shared" si="196"/>
        <v>0</v>
      </c>
      <c r="GM209">
        <f t="shared" si="197"/>
        <v>19650.12</v>
      </c>
      <c r="GN209">
        <f t="shared" si="198"/>
        <v>19650.12</v>
      </c>
      <c r="GO209">
        <f t="shared" si="199"/>
        <v>0</v>
      </c>
      <c r="GP209">
        <f t="shared" si="200"/>
        <v>0</v>
      </c>
      <c r="GR209">
        <v>0</v>
      </c>
      <c r="GS209">
        <v>3</v>
      </c>
      <c r="GT209">
        <v>0</v>
      </c>
      <c r="GU209" t="s">
        <v>3</v>
      </c>
      <c r="GV209">
        <f t="shared" si="201"/>
        <v>0</v>
      </c>
      <c r="GW209">
        <v>1</v>
      </c>
      <c r="GX209">
        <f t="shared" si="202"/>
        <v>0</v>
      </c>
      <c r="HA209">
        <v>0</v>
      </c>
      <c r="HB209">
        <v>0</v>
      </c>
      <c r="HC209">
        <f t="shared" si="203"/>
        <v>0</v>
      </c>
      <c r="HE209" t="s">
        <v>3</v>
      </c>
      <c r="HF209" t="s">
        <v>3</v>
      </c>
      <c r="HM209" t="s">
        <v>3</v>
      </c>
      <c r="IK209">
        <v>0</v>
      </c>
    </row>
    <row r="210" spans="1:245" x14ac:dyDescent="0.2">
      <c r="A210">
        <v>18</v>
      </c>
      <c r="B210">
        <v>1</v>
      </c>
      <c r="C210">
        <v>174</v>
      </c>
      <c r="E210" t="s">
        <v>401</v>
      </c>
      <c r="F210" t="s">
        <v>388</v>
      </c>
      <c r="G210" t="s">
        <v>389</v>
      </c>
      <c r="H210" t="s">
        <v>84</v>
      </c>
      <c r="I210">
        <f>I209*J210</f>
        <v>-7.25</v>
      </c>
      <c r="J210">
        <v>-5.8</v>
      </c>
      <c r="K210">
        <v>-1.1599999999999999</v>
      </c>
      <c r="O210">
        <f t="shared" si="171"/>
        <v>-15252.98</v>
      </c>
      <c r="P210">
        <f t="shared" si="172"/>
        <v>-15252.98</v>
      </c>
      <c r="Q210">
        <f>(ROUND((ROUND(((ET210)*AV210*I210),2)*BB210),2)+ROUND((ROUND(((AE210-(EU210))*AV210*I210),2)*BS210),2))</f>
        <v>0</v>
      </c>
      <c r="R210">
        <f t="shared" si="173"/>
        <v>0</v>
      </c>
      <c r="S210">
        <f t="shared" si="174"/>
        <v>0</v>
      </c>
      <c r="T210">
        <f t="shared" si="175"/>
        <v>0</v>
      </c>
      <c r="U210">
        <f t="shared" si="176"/>
        <v>0</v>
      </c>
      <c r="V210">
        <f t="shared" si="177"/>
        <v>0</v>
      </c>
      <c r="W210">
        <f t="shared" si="178"/>
        <v>0</v>
      </c>
      <c r="X210">
        <f t="shared" si="179"/>
        <v>0</v>
      </c>
      <c r="Y210">
        <f t="shared" si="180"/>
        <v>0</v>
      </c>
      <c r="AA210">
        <v>42938047</v>
      </c>
      <c r="AB210">
        <f t="shared" si="181"/>
        <v>264.97000000000003</v>
      </c>
      <c r="AC210">
        <f>ROUND((ES210),6)</f>
        <v>264.97000000000003</v>
      </c>
      <c r="AD210">
        <f>ROUND((((ET210)-(EU210))+AE210),6)</f>
        <v>0</v>
      </c>
      <c r="AE210">
        <f t="shared" ref="AE210:AF213" si="209">ROUND((EU210),6)</f>
        <v>0</v>
      </c>
      <c r="AF210">
        <f t="shared" si="209"/>
        <v>0</v>
      </c>
      <c r="AG210">
        <f t="shared" si="183"/>
        <v>0</v>
      </c>
      <c r="AH210">
        <f t="shared" ref="AH210:AI213" si="210">(EW210)</f>
        <v>0</v>
      </c>
      <c r="AI210">
        <f t="shared" si="210"/>
        <v>0</v>
      </c>
      <c r="AJ210">
        <f t="shared" si="184"/>
        <v>0</v>
      </c>
      <c r="AK210">
        <v>264.97000000000003</v>
      </c>
      <c r="AL210">
        <v>264.97000000000003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1</v>
      </c>
      <c r="AW210">
        <v>1</v>
      </c>
      <c r="AZ210">
        <v>1</v>
      </c>
      <c r="BA210">
        <v>1</v>
      </c>
      <c r="BB210">
        <v>1</v>
      </c>
      <c r="BC210">
        <v>7.94</v>
      </c>
      <c r="BD210" t="s">
        <v>3</v>
      </c>
      <c r="BE210" t="s">
        <v>3</v>
      </c>
      <c r="BF210" t="s">
        <v>3</v>
      </c>
      <c r="BG210" t="s">
        <v>3</v>
      </c>
      <c r="BH210">
        <v>3</v>
      </c>
      <c r="BI210">
        <v>1</v>
      </c>
      <c r="BJ210" t="s">
        <v>390</v>
      </c>
      <c r="BM210">
        <v>300</v>
      </c>
      <c r="BN210">
        <v>0</v>
      </c>
      <c r="BO210" t="s">
        <v>388</v>
      </c>
      <c r="BP210">
        <v>1</v>
      </c>
      <c r="BQ210">
        <v>30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1</v>
      </c>
      <c r="BY210" t="s">
        <v>3</v>
      </c>
      <c r="BZ210">
        <v>0</v>
      </c>
      <c r="CA210">
        <v>0</v>
      </c>
      <c r="CB210" t="s">
        <v>3</v>
      </c>
      <c r="CE210">
        <v>30</v>
      </c>
      <c r="CF210">
        <v>0</v>
      </c>
      <c r="CG210">
        <v>0</v>
      </c>
      <c r="CM210">
        <v>0</v>
      </c>
      <c r="CN210" t="s">
        <v>1584</v>
      </c>
      <c r="CO210">
        <v>0</v>
      </c>
      <c r="CP210">
        <f t="shared" si="185"/>
        <v>-15252.98</v>
      </c>
      <c r="CQ210">
        <f t="shared" si="186"/>
        <v>2103.86</v>
      </c>
      <c r="CR210">
        <f>(ROUND((ROUND(((ET210)*AV210*1),2)*BB210),2)+ROUND((ROUND(((AE210-(EU210))*AV210*1),2)*BS210),2))</f>
        <v>0</v>
      </c>
      <c r="CS210">
        <f t="shared" si="187"/>
        <v>0</v>
      </c>
      <c r="CT210">
        <f t="shared" si="188"/>
        <v>0</v>
      </c>
      <c r="CU210">
        <f t="shared" si="189"/>
        <v>0</v>
      </c>
      <c r="CV210">
        <f t="shared" si="190"/>
        <v>0</v>
      </c>
      <c r="CW210">
        <f t="shared" si="191"/>
        <v>0</v>
      </c>
      <c r="CX210">
        <f t="shared" si="192"/>
        <v>0</v>
      </c>
      <c r="CY210">
        <f t="shared" si="193"/>
        <v>0</v>
      </c>
      <c r="CZ210">
        <f t="shared" si="194"/>
        <v>0</v>
      </c>
      <c r="DC210" t="s">
        <v>3</v>
      </c>
      <c r="DD210" t="s">
        <v>3</v>
      </c>
      <c r="DE210" t="s">
        <v>3</v>
      </c>
      <c r="DF210" t="s">
        <v>3</v>
      </c>
      <c r="DG210" t="s">
        <v>3</v>
      </c>
      <c r="DH210" t="s">
        <v>3</v>
      </c>
      <c r="DI210" t="s">
        <v>3</v>
      </c>
      <c r="DJ210" t="s">
        <v>3</v>
      </c>
      <c r="DK210" t="s">
        <v>3</v>
      </c>
      <c r="DL210" t="s">
        <v>3</v>
      </c>
      <c r="DM210" t="s">
        <v>3</v>
      </c>
      <c r="DN210">
        <v>156</v>
      </c>
      <c r="DO210">
        <v>84</v>
      </c>
      <c r="DP210">
        <v>1</v>
      </c>
      <c r="DQ210">
        <v>1</v>
      </c>
      <c r="DU210">
        <v>1007</v>
      </c>
      <c r="DV210" t="s">
        <v>84</v>
      </c>
      <c r="DW210" t="s">
        <v>84</v>
      </c>
      <c r="DX210">
        <v>1</v>
      </c>
      <c r="DZ210" t="s">
        <v>3</v>
      </c>
      <c r="EA210" t="s">
        <v>3</v>
      </c>
      <c r="EB210" t="s">
        <v>3</v>
      </c>
      <c r="EC210" t="s">
        <v>3</v>
      </c>
      <c r="EE210">
        <v>43088378</v>
      </c>
      <c r="EF210">
        <v>30</v>
      </c>
      <c r="EG210" t="s">
        <v>22</v>
      </c>
      <c r="EH210">
        <v>0</v>
      </c>
      <c r="EI210" t="s">
        <v>3</v>
      </c>
      <c r="EJ210">
        <v>1</v>
      </c>
      <c r="EK210">
        <v>300</v>
      </c>
      <c r="EL210" t="s">
        <v>385</v>
      </c>
      <c r="EM210" t="s">
        <v>386</v>
      </c>
      <c r="EO210" t="s">
        <v>59</v>
      </c>
      <c r="EQ210">
        <v>0</v>
      </c>
      <c r="ER210">
        <v>264.97000000000003</v>
      </c>
      <c r="ES210">
        <v>264.97000000000003</v>
      </c>
      <c r="ET210">
        <v>0</v>
      </c>
      <c r="EU210">
        <v>0</v>
      </c>
      <c r="EV210">
        <v>0</v>
      </c>
      <c r="EW210">
        <v>0</v>
      </c>
      <c r="EX210">
        <v>0</v>
      </c>
      <c r="FQ210">
        <v>0</v>
      </c>
      <c r="FR210">
        <f t="shared" si="195"/>
        <v>0</v>
      </c>
      <c r="FS210">
        <v>0</v>
      </c>
      <c r="FX210">
        <v>156</v>
      </c>
      <c r="FY210">
        <v>84</v>
      </c>
      <c r="GA210" t="s">
        <v>3</v>
      </c>
      <c r="GD210">
        <v>0</v>
      </c>
      <c r="GF210">
        <v>-1664154218</v>
      </c>
      <c r="GG210">
        <v>2</v>
      </c>
      <c r="GH210">
        <v>1</v>
      </c>
      <c r="GI210">
        <v>2</v>
      </c>
      <c r="GJ210">
        <v>0</v>
      </c>
      <c r="GK210">
        <f>ROUND(R210*(R12)/100,2)</f>
        <v>0</v>
      </c>
      <c r="GL210">
        <f t="shared" si="196"/>
        <v>0</v>
      </c>
      <c r="GM210">
        <f t="shared" si="197"/>
        <v>-15252.98</v>
      </c>
      <c r="GN210">
        <f t="shared" si="198"/>
        <v>-15252.98</v>
      </c>
      <c r="GO210">
        <f t="shared" si="199"/>
        <v>0</v>
      </c>
      <c r="GP210">
        <f t="shared" si="200"/>
        <v>0</v>
      </c>
      <c r="GR210">
        <v>0</v>
      </c>
      <c r="GS210">
        <v>3</v>
      </c>
      <c r="GT210">
        <v>0</v>
      </c>
      <c r="GU210" t="s">
        <v>3</v>
      </c>
      <c r="GV210">
        <f t="shared" si="201"/>
        <v>0</v>
      </c>
      <c r="GW210">
        <v>1</v>
      </c>
      <c r="GX210">
        <f t="shared" si="202"/>
        <v>0</v>
      </c>
      <c r="HA210">
        <v>0</v>
      </c>
      <c r="HB210">
        <v>0</v>
      </c>
      <c r="HC210">
        <f t="shared" si="203"/>
        <v>0</v>
      </c>
      <c r="HE210" t="s">
        <v>3</v>
      </c>
      <c r="HF210" t="s">
        <v>3</v>
      </c>
      <c r="HM210" t="s">
        <v>398</v>
      </c>
      <c r="IK210">
        <v>0</v>
      </c>
    </row>
    <row r="211" spans="1:245" x14ac:dyDescent="0.2">
      <c r="A211">
        <v>18</v>
      </c>
      <c r="B211">
        <v>1</v>
      </c>
      <c r="C211">
        <v>175</v>
      </c>
      <c r="E211" t="s">
        <v>402</v>
      </c>
      <c r="F211" t="s">
        <v>118</v>
      </c>
      <c r="G211" t="s">
        <v>392</v>
      </c>
      <c r="H211" t="s">
        <v>84</v>
      </c>
      <c r="I211">
        <f>I209*J211</f>
        <v>7.25</v>
      </c>
      <c r="J211">
        <v>5.8</v>
      </c>
      <c r="K211">
        <v>1.1599999999999999</v>
      </c>
      <c r="O211">
        <f t="shared" si="171"/>
        <v>79459.22</v>
      </c>
      <c r="P211">
        <f t="shared" si="172"/>
        <v>79459.22</v>
      </c>
      <c r="Q211">
        <f>(ROUND((ROUND(((ET211)*AV211*I211),2)*BB211),2)+ROUND((ROUND(((AE211-(EU211))*AV211*I211),2)*BS211),2))</f>
        <v>0</v>
      </c>
      <c r="R211">
        <f t="shared" si="173"/>
        <v>0</v>
      </c>
      <c r="S211">
        <f t="shared" si="174"/>
        <v>0</v>
      </c>
      <c r="T211">
        <f t="shared" si="175"/>
        <v>0</v>
      </c>
      <c r="U211">
        <f t="shared" si="176"/>
        <v>0</v>
      </c>
      <c r="V211">
        <f t="shared" si="177"/>
        <v>0</v>
      </c>
      <c r="W211">
        <f t="shared" si="178"/>
        <v>0</v>
      </c>
      <c r="X211">
        <f t="shared" si="179"/>
        <v>0</v>
      </c>
      <c r="Y211">
        <f t="shared" si="180"/>
        <v>0</v>
      </c>
      <c r="AA211">
        <v>42938047</v>
      </c>
      <c r="AB211">
        <f t="shared" si="181"/>
        <v>1728.69</v>
      </c>
      <c r="AC211">
        <f>ROUND((ES211),6)</f>
        <v>1728.69</v>
      </c>
      <c r="AD211">
        <f>ROUND((((ET211)-(EU211))+AE211),6)</f>
        <v>0</v>
      </c>
      <c r="AE211">
        <f t="shared" si="209"/>
        <v>0</v>
      </c>
      <c r="AF211">
        <f t="shared" si="209"/>
        <v>0</v>
      </c>
      <c r="AG211">
        <f t="shared" si="183"/>
        <v>0</v>
      </c>
      <c r="AH211">
        <f t="shared" si="210"/>
        <v>0</v>
      </c>
      <c r="AI211">
        <f t="shared" si="210"/>
        <v>0</v>
      </c>
      <c r="AJ211">
        <f t="shared" si="184"/>
        <v>0</v>
      </c>
      <c r="AK211">
        <v>1728.69</v>
      </c>
      <c r="AL211">
        <v>1728.69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1</v>
      </c>
      <c r="AW211">
        <v>1</v>
      </c>
      <c r="AZ211">
        <v>1</v>
      </c>
      <c r="BA211">
        <v>1</v>
      </c>
      <c r="BB211">
        <v>1</v>
      </c>
      <c r="BC211">
        <v>6.34</v>
      </c>
      <c r="BD211" t="s">
        <v>3</v>
      </c>
      <c r="BE211" t="s">
        <v>3</v>
      </c>
      <c r="BF211" t="s">
        <v>3</v>
      </c>
      <c r="BG211" t="s">
        <v>3</v>
      </c>
      <c r="BH211">
        <v>3</v>
      </c>
      <c r="BI211">
        <v>1</v>
      </c>
      <c r="BJ211" t="s">
        <v>3</v>
      </c>
      <c r="BM211">
        <v>300</v>
      </c>
      <c r="BN211">
        <v>0</v>
      </c>
      <c r="BO211" t="s">
        <v>3</v>
      </c>
      <c r="BP211">
        <v>0</v>
      </c>
      <c r="BQ211">
        <v>30</v>
      </c>
      <c r="BR211">
        <v>0</v>
      </c>
      <c r="BS211">
        <v>1</v>
      </c>
      <c r="BT211">
        <v>1</v>
      </c>
      <c r="BU211">
        <v>1</v>
      </c>
      <c r="BV211">
        <v>1</v>
      </c>
      <c r="BW211">
        <v>1</v>
      </c>
      <c r="BX211">
        <v>1</v>
      </c>
      <c r="BY211" t="s">
        <v>3</v>
      </c>
      <c r="BZ211">
        <v>0</v>
      </c>
      <c r="CA211">
        <v>0</v>
      </c>
      <c r="CB211" t="s">
        <v>3</v>
      </c>
      <c r="CE211">
        <v>30</v>
      </c>
      <c r="CF211">
        <v>0</v>
      </c>
      <c r="CG211">
        <v>0</v>
      </c>
      <c r="CM211">
        <v>0</v>
      </c>
      <c r="CN211" t="s">
        <v>1584</v>
      </c>
      <c r="CO211">
        <v>0</v>
      </c>
      <c r="CP211">
        <f t="shared" si="185"/>
        <v>79459.22</v>
      </c>
      <c r="CQ211">
        <f t="shared" si="186"/>
        <v>10959.89</v>
      </c>
      <c r="CR211">
        <f>(ROUND((ROUND(((ET211)*AV211*1),2)*BB211),2)+ROUND((ROUND(((AE211-(EU211))*AV211*1),2)*BS211),2))</f>
        <v>0</v>
      </c>
      <c r="CS211">
        <f t="shared" si="187"/>
        <v>0</v>
      </c>
      <c r="CT211">
        <f t="shared" si="188"/>
        <v>0</v>
      </c>
      <c r="CU211">
        <f t="shared" si="189"/>
        <v>0</v>
      </c>
      <c r="CV211">
        <f t="shared" si="190"/>
        <v>0</v>
      </c>
      <c r="CW211">
        <f t="shared" si="191"/>
        <v>0</v>
      </c>
      <c r="CX211">
        <f t="shared" si="192"/>
        <v>0</v>
      </c>
      <c r="CY211">
        <f t="shared" si="193"/>
        <v>0</v>
      </c>
      <c r="CZ211">
        <f t="shared" si="194"/>
        <v>0</v>
      </c>
      <c r="DC211" t="s">
        <v>3</v>
      </c>
      <c r="DD211" t="s">
        <v>3</v>
      </c>
      <c r="DE211" t="s">
        <v>3</v>
      </c>
      <c r="DF211" t="s">
        <v>3</v>
      </c>
      <c r="DG211" t="s">
        <v>3</v>
      </c>
      <c r="DH211" t="s">
        <v>3</v>
      </c>
      <c r="DI211" t="s">
        <v>3</v>
      </c>
      <c r="DJ211" t="s">
        <v>3</v>
      </c>
      <c r="DK211" t="s">
        <v>3</v>
      </c>
      <c r="DL211" t="s">
        <v>3</v>
      </c>
      <c r="DM211" t="s">
        <v>3</v>
      </c>
      <c r="DN211">
        <v>156</v>
      </c>
      <c r="DO211">
        <v>84</v>
      </c>
      <c r="DP211">
        <v>1</v>
      </c>
      <c r="DQ211">
        <v>1</v>
      </c>
      <c r="DU211">
        <v>1007</v>
      </c>
      <c r="DV211" t="s">
        <v>84</v>
      </c>
      <c r="DW211" t="s">
        <v>84</v>
      </c>
      <c r="DX211">
        <v>1</v>
      </c>
      <c r="DZ211" t="s">
        <v>3</v>
      </c>
      <c r="EA211" t="s">
        <v>3</v>
      </c>
      <c r="EB211" t="s">
        <v>3</v>
      </c>
      <c r="EC211" t="s">
        <v>3</v>
      </c>
      <c r="EE211">
        <v>43088378</v>
      </c>
      <c r="EF211">
        <v>30</v>
      </c>
      <c r="EG211" t="s">
        <v>22</v>
      </c>
      <c r="EH211">
        <v>0</v>
      </c>
      <c r="EI211" t="s">
        <v>3</v>
      </c>
      <c r="EJ211">
        <v>1</v>
      </c>
      <c r="EK211">
        <v>300</v>
      </c>
      <c r="EL211" t="s">
        <v>385</v>
      </c>
      <c r="EM211" t="s">
        <v>386</v>
      </c>
      <c r="EO211" t="s">
        <v>59</v>
      </c>
      <c r="EQ211">
        <v>0</v>
      </c>
      <c r="ER211">
        <v>10959.9</v>
      </c>
      <c r="ES211">
        <v>1728.69</v>
      </c>
      <c r="ET211">
        <v>0</v>
      </c>
      <c r="EU211">
        <v>0</v>
      </c>
      <c r="EV211">
        <v>0</v>
      </c>
      <c r="EW211">
        <v>0</v>
      </c>
      <c r="EX211">
        <v>0</v>
      </c>
      <c r="EZ211">
        <v>5</v>
      </c>
      <c r="FC211">
        <v>1</v>
      </c>
      <c r="FD211">
        <v>18</v>
      </c>
      <c r="FF211">
        <v>12894</v>
      </c>
      <c r="FQ211">
        <v>0</v>
      </c>
      <c r="FR211">
        <f t="shared" si="195"/>
        <v>0</v>
      </c>
      <c r="FS211">
        <v>0</v>
      </c>
      <c r="FX211">
        <v>156</v>
      </c>
      <c r="FY211">
        <v>84</v>
      </c>
      <c r="GA211" t="s">
        <v>393</v>
      </c>
      <c r="GD211">
        <v>0</v>
      </c>
      <c r="GF211">
        <v>324134868</v>
      </c>
      <c r="GG211">
        <v>2</v>
      </c>
      <c r="GH211">
        <v>3</v>
      </c>
      <c r="GI211">
        <v>3</v>
      </c>
      <c r="GJ211">
        <v>0</v>
      </c>
      <c r="GK211">
        <f>ROUND(R211*(R12)/100,2)</f>
        <v>0</v>
      </c>
      <c r="GL211">
        <f t="shared" si="196"/>
        <v>0</v>
      </c>
      <c r="GM211">
        <f t="shared" si="197"/>
        <v>79459.22</v>
      </c>
      <c r="GN211">
        <f t="shared" si="198"/>
        <v>79459.22</v>
      </c>
      <c r="GO211">
        <f t="shared" si="199"/>
        <v>0</v>
      </c>
      <c r="GP211">
        <f t="shared" si="200"/>
        <v>0</v>
      </c>
      <c r="GR211">
        <v>1</v>
      </c>
      <c r="GS211">
        <v>1</v>
      </c>
      <c r="GT211">
        <v>0</v>
      </c>
      <c r="GU211" t="s">
        <v>3</v>
      </c>
      <c r="GV211">
        <f t="shared" si="201"/>
        <v>0</v>
      </c>
      <c r="GW211">
        <v>1</v>
      </c>
      <c r="GX211">
        <f t="shared" si="202"/>
        <v>0</v>
      </c>
      <c r="HA211">
        <v>0</v>
      </c>
      <c r="HB211">
        <v>0</v>
      </c>
      <c r="HC211">
        <f t="shared" si="203"/>
        <v>0</v>
      </c>
      <c r="HE211" t="s">
        <v>26</v>
      </c>
      <c r="HF211" t="s">
        <v>122</v>
      </c>
      <c r="HM211" t="s">
        <v>398</v>
      </c>
      <c r="IK211">
        <v>0</v>
      </c>
    </row>
    <row r="212" spans="1:245" x14ac:dyDescent="0.2">
      <c r="A212">
        <v>17</v>
      </c>
      <c r="B212">
        <v>1</v>
      </c>
      <c r="C212">
        <f>ROW(SmtRes!A176)</f>
        <v>176</v>
      </c>
      <c r="D212">
        <f>ROW(EtalonRes!A171)</f>
        <v>171</v>
      </c>
      <c r="E212" t="s">
        <v>403</v>
      </c>
      <c r="F212" t="s">
        <v>204</v>
      </c>
      <c r="G212" t="s">
        <v>205</v>
      </c>
      <c r="H212" t="s">
        <v>104</v>
      </c>
      <c r="I212">
        <v>18.75</v>
      </c>
      <c r="J212">
        <v>0</v>
      </c>
      <c r="K212">
        <v>18.75</v>
      </c>
      <c r="O212">
        <f t="shared" si="171"/>
        <v>10531.13</v>
      </c>
      <c r="P212">
        <f t="shared" si="172"/>
        <v>0</v>
      </c>
      <c r="Q212">
        <f>(ROUND((ROUND(((ET212)*AV212*I212),2)*BB212),2)+ROUND((ROUND(((AE212-(EU212))*AV212*I212),2)*BS212),2))</f>
        <v>10531.13</v>
      </c>
      <c r="R212">
        <f t="shared" si="173"/>
        <v>0</v>
      </c>
      <c r="S212">
        <f t="shared" si="174"/>
        <v>0</v>
      </c>
      <c r="T212">
        <f t="shared" si="175"/>
        <v>0</v>
      </c>
      <c r="U212">
        <f t="shared" si="176"/>
        <v>0</v>
      </c>
      <c r="V212">
        <f t="shared" si="177"/>
        <v>0</v>
      </c>
      <c r="W212">
        <f t="shared" si="178"/>
        <v>0</v>
      </c>
      <c r="X212">
        <f t="shared" si="179"/>
        <v>0</v>
      </c>
      <c r="Y212">
        <f t="shared" si="180"/>
        <v>0</v>
      </c>
      <c r="AA212">
        <v>42938047</v>
      </c>
      <c r="AB212">
        <f t="shared" si="181"/>
        <v>46</v>
      </c>
      <c r="AC212">
        <f>ROUND((ES212),6)</f>
        <v>0</v>
      </c>
      <c r="AD212">
        <f>ROUND((((ET212)-(EU212))+AE212),6)</f>
        <v>46</v>
      </c>
      <c r="AE212">
        <f t="shared" si="209"/>
        <v>0</v>
      </c>
      <c r="AF212">
        <f t="shared" si="209"/>
        <v>0</v>
      </c>
      <c r="AG212">
        <f t="shared" si="183"/>
        <v>0</v>
      </c>
      <c r="AH212">
        <f t="shared" si="210"/>
        <v>0</v>
      </c>
      <c r="AI212">
        <f t="shared" si="210"/>
        <v>0</v>
      </c>
      <c r="AJ212">
        <f t="shared" si="184"/>
        <v>0</v>
      </c>
      <c r="AK212">
        <v>46</v>
      </c>
      <c r="AL212">
        <v>0</v>
      </c>
      <c r="AM212">
        <v>46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93</v>
      </c>
      <c r="AU212">
        <v>64</v>
      </c>
      <c r="AV212">
        <v>1</v>
      </c>
      <c r="AW212">
        <v>1</v>
      </c>
      <c r="AZ212">
        <v>1</v>
      </c>
      <c r="BA212">
        <v>1</v>
      </c>
      <c r="BB212">
        <v>12.21</v>
      </c>
      <c r="BC212">
        <v>1</v>
      </c>
      <c r="BD212" t="s">
        <v>3</v>
      </c>
      <c r="BE212" t="s">
        <v>3</v>
      </c>
      <c r="BF212" t="s">
        <v>3</v>
      </c>
      <c r="BG212" t="s">
        <v>3</v>
      </c>
      <c r="BH212">
        <v>0</v>
      </c>
      <c r="BI212">
        <v>4</v>
      </c>
      <c r="BJ212" t="s">
        <v>206</v>
      </c>
      <c r="BM212">
        <v>1111</v>
      </c>
      <c r="BN212">
        <v>0</v>
      </c>
      <c r="BO212" t="s">
        <v>204</v>
      </c>
      <c r="BP212">
        <v>1</v>
      </c>
      <c r="BQ212">
        <v>150</v>
      </c>
      <c r="BR212">
        <v>0</v>
      </c>
      <c r="BS212">
        <v>1</v>
      </c>
      <c r="BT212">
        <v>1</v>
      </c>
      <c r="BU212">
        <v>1</v>
      </c>
      <c r="BV212">
        <v>1</v>
      </c>
      <c r="BW212">
        <v>1</v>
      </c>
      <c r="BX212">
        <v>1</v>
      </c>
      <c r="BY212" t="s">
        <v>3</v>
      </c>
      <c r="BZ212">
        <v>93</v>
      </c>
      <c r="CA212">
        <v>64</v>
      </c>
      <c r="CB212" t="s">
        <v>3</v>
      </c>
      <c r="CE212">
        <v>30</v>
      </c>
      <c r="CF212">
        <v>0</v>
      </c>
      <c r="CG212">
        <v>0</v>
      </c>
      <c r="CM212">
        <v>0</v>
      </c>
      <c r="CN212" t="s">
        <v>3</v>
      </c>
      <c r="CO212">
        <v>0</v>
      </c>
      <c r="CP212">
        <f t="shared" si="185"/>
        <v>10531.13</v>
      </c>
      <c r="CQ212">
        <f t="shared" si="186"/>
        <v>0</v>
      </c>
      <c r="CR212">
        <f>(ROUND((ROUND(((ET212)*AV212*1),2)*BB212),2)+ROUND((ROUND(((AE212-(EU212))*AV212*1),2)*BS212),2))</f>
        <v>561.66</v>
      </c>
      <c r="CS212">
        <f t="shared" si="187"/>
        <v>0</v>
      </c>
      <c r="CT212">
        <f t="shared" si="188"/>
        <v>0</v>
      </c>
      <c r="CU212">
        <f t="shared" si="189"/>
        <v>0</v>
      </c>
      <c r="CV212">
        <f t="shared" si="190"/>
        <v>0</v>
      </c>
      <c r="CW212">
        <f t="shared" si="191"/>
        <v>0</v>
      </c>
      <c r="CX212">
        <f t="shared" si="192"/>
        <v>0</v>
      </c>
      <c r="CY212">
        <f t="shared" si="193"/>
        <v>0</v>
      </c>
      <c r="CZ212">
        <f t="shared" si="194"/>
        <v>0</v>
      </c>
      <c r="DC212" t="s">
        <v>3</v>
      </c>
      <c r="DD212" t="s">
        <v>3</v>
      </c>
      <c r="DE212" t="s">
        <v>3</v>
      </c>
      <c r="DF212" t="s">
        <v>3</v>
      </c>
      <c r="DG212" t="s">
        <v>3</v>
      </c>
      <c r="DH212" t="s">
        <v>3</v>
      </c>
      <c r="DI212" t="s">
        <v>3</v>
      </c>
      <c r="DJ212" t="s">
        <v>3</v>
      </c>
      <c r="DK212" t="s">
        <v>3</v>
      </c>
      <c r="DL212" t="s">
        <v>3</v>
      </c>
      <c r="DM212" t="s">
        <v>3</v>
      </c>
      <c r="DN212">
        <v>0</v>
      </c>
      <c r="DO212">
        <v>0</v>
      </c>
      <c r="DP212">
        <v>1</v>
      </c>
      <c r="DQ212">
        <v>1</v>
      </c>
      <c r="DU212">
        <v>1009</v>
      </c>
      <c r="DV212" t="s">
        <v>104</v>
      </c>
      <c r="DW212" t="s">
        <v>104</v>
      </c>
      <c r="DX212">
        <v>1000</v>
      </c>
      <c r="DZ212" t="s">
        <v>3</v>
      </c>
      <c r="EA212" t="s">
        <v>3</v>
      </c>
      <c r="EB212" t="s">
        <v>3</v>
      </c>
      <c r="EC212" t="s">
        <v>3</v>
      </c>
      <c r="EE212">
        <v>43089189</v>
      </c>
      <c r="EF212">
        <v>150</v>
      </c>
      <c r="EG212" t="s">
        <v>190</v>
      </c>
      <c r="EH212">
        <v>0</v>
      </c>
      <c r="EI212" t="s">
        <v>3</v>
      </c>
      <c r="EJ212">
        <v>4</v>
      </c>
      <c r="EK212">
        <v>1111</v>
      </c>
      <c r="EL212" t="s">
        <v>207</v>
      </c>
      <c r="EM212" t="s">
        <v>208</v>
      </c>
      <c r="EO212" t="s">
        <v>3</v>
      </c>
      <c r="EQ212">
        <v>0</v>
      </c>
      <c r="ER212">
        <v>46</v>
      </c>
      <c r="ES212">
        <v>0</v>
      </c>
      <c r="ET212">
        <v>46</v>
      </c>
      <c r="EU212">
        <v>0</v>
      </c>
      <c r="EV212">
        <v>0</v>
      </c>
      <c r="EW212">
        <v>0</v>
      </c>
      <c r="EX212">
        <v>0</v>
      </c>
      <c r="EY212">
        <v>0</v>
      </c>
      <c r="FQ212">
        <v>0</v>
      </c>
      <c r="FR212">
        <f t="shared" si="195"/>
        <v>0</v>
      </c>
      <c r="FS212">
        <v>0</v>
      </c>
      <c r="FX212">
        <v>0</v>
      </c>
      <c r="FY212">
        <v>0</v>
      </c>
      <c r="GA212" t="s">
        <v>3</v>
      </c>
      <c r="GD212">
        <v>0</v>
      </c>
      <c r="GF212">
        <v>1570066743</v>
      </c>
      <c r="GG212">
        <v>2</v>
      </c>
      <c r="GH212">
        <v>1</v>
      </c>
      <c r="GI212">
        <v>2</v>
      </c>
      <c r="GJ212">
        <v>0</v>
      </c>
      <c r="GK212">
        <f>ROUND(R212*(R12)/100,2)</f>
        <v>0</v>
      </c>
      <c r="GL212">
        <f t="shared" si="196"/>
        <v>0</v>
      </c>
      <c r="GM212">
        <f t="shared" si="197"/>
        <v>10531.13</v>
      </c>
      <c r="GN212">
        <f t="shared" si="198"/>
        <v>0</v>
      </c>
      <c r="GO212">
        <f t="shared" si="199"/>
        <v>0</v>
      </c>
      <c r="GP212">
        <f t="shared" si="200"/>
        <v>10531.13</v>
      </c>
      <c r="GR212">
        <v>0</v>
      </c>
      <c r="GS212">
        <v>3</v>
      </c>
      <c r="GT212">
        <v>0</v>
      </c>
      <c r="GU212" t="s">
        <v>3</v>
      </c>
      <c r="GV212">
        <f t="shared" si="201"/>
        <v>0</v>
      </c>
      <c r="GW212">
        <v>1</v>
      </c>
      <c r="GX212">
        <f t="shared" si="202"/>
        <v>0</v>
      </c>
      <c r="HA212">
        <v>0</v>
      </c>
      <c r="HB212">
        <v>0</v>
      </c>
      <c r="HC212">
        <f t="shared" si="203"/>
        <v>0</v>
      </c>
      <c r="HE212" t="s">
        <v>3</v>
      </c>
      <c r="HF212" t="s">
        <v>3</v>
      </c>
      <c r="HM212" t="s">
        <v>3</v>
      </c>
      <c r="IK212">
        <v>0</v>
      </c>
    </row>
    <row r="213" spans="1:245" x14ac:dyDescent="0.2">
      <c r="A213">
        <v>17</v>
      </c>
      <c r="B213">
        <v>1</v>
      </c>
      <c r="C213">
        <f>ROW(SmtRes!A177)</f>
        <v>177</v>
      </c>
      <c r="D213">
        <f>ROW(EtalonRes!A172)</f>
        <v>172</v>
      </c>
      <c r="E213" t="s">
        <v>404</v>
      </c>
      <c r="F213" t="s">
        <v>210</v>
      </c>
      <c r="G213" t="s">
        <v>211</v>
      </c>
      <c r="H213" t="s">
        <v>182</v>
      </c>
      <c r="I213">
        <v>18.75</v>
      </c>
      <c r="J213">
        <v>0</v>
      </c>
      <c r="K213">
        <v>18.75</v>
      </c>
      <c r="O213">
        <f t="shared" si="171"/>
        <v>1804.04</v>
      </c>
      <c r="P213">
        <f t="shared" si="172"/>
        <v>0</v>
      </c>
      <c r="Q213">
        <f>(ROUND((ROUND(((ET213)*AV213*I213),2)*BB213),2)+ROUND((ROUND(((AE213-(EU213))*AV213*I213),2)*BS213),2))</f>
        <v>1804.04</v>
      </c>
      <c r="R213">
        <f t="shared" si="173"/>
        <v>0</v>
      </c>
      <c r="S213">
        <f t="shared" si="174"/>
        <v>0</v>
      </c>
      <c r="T213">
        <f t="shared" si="175"/>
        <v>0</v>
      </c>
      <c r="U213">
        <f t="shared" si="176"/>
        <v>0</v>
      </c>
      <c r="V213">
        <f t="shared" si="177"/>
        <v>0</v>
      </c>
      <c r="W213">
        <f t="shared" si="178"/>
        <v>0</v>
      </c>
      <c r="X213">
        <f t="shared" si="179"/>
        <v>0</v>
      </c>
      <c r="Y213">
        <f t="shared" si="180"/>
        <v>0</v>
      </c>
      <c r="AA213">
        <v>42938047</v>
      </c>
      <c r="AB213">
        <f t="shared" si="181"/>
        <v>12.61</v>
      </c>
      <c r="AC213">
        <f>ROUND((ES213),6)</f>
        <v>0</v>
      </c>
      <c r="AD213">
        <f>ROUND((((ET213)-(EU213))+AE213),6)</f>
        <v>12.61</v>
      </c>
      <c r="AE213">
        <f t="shared" si="209"/>
        <v>0</v>
      </c>
      <c r="AF213">
        <f t="shared" si="209"/>
        <v>0</v>
      </c>
      <c r="AG213">
        <f t="shared" si="183"/>
        <v>0</v>
      </c>
      <c r="AH213">
        <f t="shared" si="210"/>
        <v>0</v>
      </c>
      <c r="AI213">
        <f t="shared" si="210"/>
        <v>0</v>
      </c>
      <c r="AJ213">
        <f t="shared" si="184"/>
        <v>0</v>
      </c>
      <c r="AK213">
        <v>12.61</v>
      </c>
      <c r="AL213">
        <v>0</v>
      </c>
      <c r="AM213">
        <v>12.61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93</v>
      </c>
      <c r="AU213">
        <v>64</v>
      </c>
      <c r="AV213">
        <v>1</v>
      </c>
      <c r="AW213">
        <v>1</v>
      </c>
      <c r="AZ213">
        <v>1</v>
      </c>
      <c r="BA213">
        <v>1</v>
      </c>
      <c r="BB213">
        <v>7.63</v>
      </c>
      <c r="BC213">
        <v>1</v>
      </c>
      <c r="BD213" t="s">
        <v>3</v>
      </c>
      <c r="BE213" t="s">
        <v>3</v>
      </c>
      <c r="BF213" t="s">
        <v>3</v>
      </c>
      <c r="BG213" t="s">
        <v>3</v>
      </c>
      <c r="BH213">
        <v>0</v>
      </c>
      <c r="BI213">
        <v>4</v>
      </c>
      <c r="BJ213" t="s">
        <v>212</v>
      </c>
      <c r="BM213">
        <v>1113</v>
      </c>
      <c r="BN213">
        <v>0</v>
      </c>
      <c r="BO213" t="s">
        <v>210</v>
      </c>
      <c r="BP213">
        <v>1</v>
      </c>
      <c r="BQ213">
        <v>150</v>
      </c>
      <c r="BR213">
        <v>0</v>
      </c>
      <c r="BS213">
        <v>1</v>
      </c>
      <c r="BT213">
        <v>1</v>
      </c>
      <c r="BU213">
        <v>1</v>
      </c>
      <c r="BV213">
        <v>1</v>
      </c>
      <c r="BW213">
        <v>1</v>
      </c>
      <c r="BX213">
        <v>1</v>
      </c>
      <c r="BY213" t="s">
        <v>3</v>
      </c>
      <c r="BZ213">
        <v>93</v>
      </c>
      <c r="CA213">
        <v>64</v>
      </c>
      <c r="CB213" t="s">
        <v>3</v>
      </c>
      <c r="CE213">
        <v>30</v>
      </c>
      <c r="CF213">
        <v>0</v>
      </c>
      <c r="CG213">
        <v>0</v>
      </c>
      <c r="CM213">
        <v>0</v>
      </c>
      <c r="CN213" t="s">
        <v>3</v>
      </c>
      <c r="CO213">
        <v>0</v>
      </c>
      <c r="CP213">
        <f t="shared" si="185"/>
        <v>1804.04</v>
      </c>
      <c r="CQ213">
        <f t="shared" si="186"/>
        <v>0</v>
      </c>
      <c r="CR213">
        <f>(ROUND((ROUND(((ET213)*AV213*1),2)*BB213),2)+ROUND((ROUND(((AE213-(EU213))*AV213*1),2)*BS213),2))</f>
        <v>96.21</v>
      </c>
      <c r="CS213">
        <f t="shared" si="187"/>
        <v>0</v>
      </c>
      <c r="CT213">
        <f t="shared" si="188"/>
        <v>0</v>
      </c>
      <c r="CU213">
        <f t="shared" si="189"/>
        <v>0</v>
      </c>
      <c r="CV213">
        <f t="shared" si="190"/>
        <v>0</v>
      </c>
      <c r="CW213">
        <f t="shared" si="191"/>
        <v>0</v>
      </c>
      <c r="CX213">
        <f t="shared" si="192"/>
        <v>0</v>
      </c>
      <c r="CY213">
        <f t="shared" si="193"/>
        <v>0</v>
      </c>
      <c r="CZ213">
        <f t="shared" si="194"/>
        <v>0</v>
      </c>
      <c r="DC213" t="s">
        <v>3</v>
      </c>
      <c r="DD213" t="s">
        <v>3</v>
      </c>
      <c r="DE213" t="s">
        <v>3</v>
      </c>
      <c r="DF213" t="s">
        <v>3</v>
      </c>
      <c r="DG213" t="s">
        <v>3</v>
      </c>
      <c r="DH213" t="s">
        <v>3</v>
      </c>
      <c r="DI213" t="s">
        <v>3</v>
      </c>
      <c r="DJ213" t="s">
        <v>3</v>
      </c>
      <c r="DK213" t="s">
        <v>3</v>
      </c>
      <c r="DL213" t="s">
        <v>3</v>
      </c>
      <c r="DM213" t="s">
        <v>3</v>
      </c>
      <c r="DN213">
        <v>0</v>
      </c>
      <c r="DO213">
        <v>0</v>
      </c>
      <c r="DP213">
        <v>1</v>
      </c>
      <c r="DQ213">
        <v>1</v>
      </c>
      <c r="DU213">
        <v>1013</v>
      </c>
      <c r="DV213" t="s">
        <v>182</v>
      </c>
      <c r="DW213" t="s">
        <v>182</v>
      </c>
      <c r="DX213">
        <v>1</v>
      </c>
      <c r="DZ213" t="s">
        <v>3</v>
      </c>
      <c r="EA213" t="s">
        <v>3</v>
      </c>
      <c r="EB213" t="s">
        <v>3</v>
      </c>
      <c r="EC213" t="s">
        <v>3</v>
      </c>
      <c r="EE213">
        <v>43089191</v>
      </c>
      <c r="EF213">
        <v>150</v>
      </c>
      <c r="EG213" t="s">
        <v>190</v>
      </c>
      <c r="EH213">
        <v>0</v>
      </c>
      <c r="EI213" t="s">
        <v>3</v>
      </c>
      <c r="EJ213">
        <v>4</v>
      </c>
      <c r="EK213">
        <v>1113</v>
      </c>
      <c r="EL213" t="s">
        <v>191</v>
      </c>
      <c r="EM213" t="s">
        <v>192</v>
      </c>
      <c r="EO213" t="s">
        <v>3</v>
      </c>
      <c r="EQ213">
        <v>0</v>
      </c>
      <c r="ER213">
        <v>12.61</v>
      </c>
      <c r="ES213">
        <v>0</v>
      </c>
      <c r="ET213">
        <v>12.61</v>
      </c>
      <c r="EU213">
        <v>0</v>
      </c>
      <c r="EV213">
        <v>0</v>
      </c>
      <c r="EW213">
        <v>0</v>
      </c>
      <c r="EX213">
        <v>0</v>
      </c>
      <c r="EY213">
        <v>0</v>
      </c>
      <c r="FQ213">
        <v>0</v>
      </c>
      <c r="FR213">
        <f t="shared" si="195"/>
        <v>0</v>
      </c>
      <c r="FS213">
        <v>0</v>
      </c>
      <c r="FX213">
        <v>0</v>
      </c>
      <c r="FY213">
        <v>0</v>
      </c>
      <c r="GA213" t="s">
        <v>3</v>
      </c>
      <c r="GD213">
        <v>0</v>
      </c>
      <c r="GF213">
        <v>-1630031867</v>
      </c>
      <c r="GG213">
        <v>2</v>
      </c>
      <c r="GH213">
        <v>1</v>
      </c>
      <c r="GI213">
        <v>2</v>
      </c>
      <c r="GJ213">
        <v>0</v>
      </c>
      <c r="GK213">
        <f>ROUND(R213*(R12)/100,2)</f>
        <v>0</v>
      </c>
      <c r="GL213">
        <f t="shared" si="196"/>
        <v>0</v>
      </c>
      <c r="GM213">
        <f t="shared" si="197"/>
        <v>1804.04</v>
      </c>
      <c r="GN213">
        <f t="shared" si="198"/>
        <v>0</v>
      </c>
      <c r="GO213">
        <f t="shared" si="199"/>
        <v>0</v>
      </c>
      <c r="GP213">
        <f t="shared" si="200"/>
        <v>1804.04</v>
      </c>
      <c r="GR213">
        <v>0</v>
      </c>
      <c r="GS213">
        <v>3</v>
      </c>
      <c r="GT213">
        <v>0</v>
      </c>
      <c r="GU213" t="s">
        <v>3</v>
      </c>
      <c r="GV213">
        <f t="shared" si="201"/>
        <v>0</v>
      </c>
      <c r="GW213">
        <v>1</v>
      </c>
      <c r="GX213">
        <f t="shared" si="202"/>
        <v>0</v>
      </c>
      <c r="HA213">
        <v>0</v>
      </c>
      <c r="HB213">
        <v>0</v>
      </c>
      <c r="HC213">
        <f t="shared" si="203"/>
        <v>0</v>
      </c>
      <c r="HE213" t="s">
        <v>3</v>
      </c>
      <c r="HF213" t="s">
        <v>3</v>
      </c>
      <c r="HM213" t="s">
        <v>3</v>
      </c>
      <c r="IK213">
        <v>0</v>
      </c>
    </row>
    <row r="215" spans="1:245" x14ac:dyDescent="0.2">
      <c r="A215" s="2">
        <v>51</v>
      </c>
      <c r="B215" s="2">
        <f>B195</f>
        <v>1</v>
      </c>
      <c r="C215" s="2">
        <f>A195</f>
        <v>4</v>
      </c>
      <c r="D215" s="2">
        <f>ROW(A195)</f>
        <v>195</v>
      </c>
      <c r="E215" s="2"/>
      <c r="F215" s="2" t="str">
        <f>IF(F195&lt;&gt;"",F195,"")</f>
        <v>Новый раздел</v>
      </c>
      <c r="G215" s="2" t="str">
        <f>IF(G195&lt;&gt;"",G195,"")</f>
        <v>Устройство декоративной гравийной отсыпки (мраморный щебень)</v>
      </c>
      <c r="H215" s="2">
        <v>0</v>
      </c>
      <c r="I215" s="2"/>
      <c r="J215" s="2"/>
      <c r="K215" s="2"/>
      <c r="L215" s="2"/>
      <c r="M215" s="2"/>
      <c r="N215" s="2"/>
      <c r="O215" s="2">
        <f t="shared" ref="O215:T215" si="211">ROUND(AB215,2)</f>
        <v>220688.01</v>
      </c>
      <c r="P215" s="2">
        <f t="shared" si="211"/>
        <v>189335.3</v>
      </c>
      <c r="Q215" s="2">
        <f t="shared" si="211"/>
        <v>13855.85</v>
      </c>
      <c r="R215" s="2">
        <f t="shared" si="211"/>
        <v>629.13</v>
      </c>
      <c r="S215" s="2">
        <f t="shared" si="211"/>
        <v>17496.86</v>
      </c>
      <c r="T215" s="2">
        <f t="shared" si="211"/>
        <v>0</v>
      </c>
      <c r="U215" s="2">
        <f>AH215</f>
        <v>64.14085</v>
      </c>
      <c r="V215" s="2">
        <f>AI215</f>
        <v>0</v>
      </c>
      <c r="W215" s="2">
        <f>ROUND(AJ215,2)</f>
        <v>0</v>
      </c>
      <c r="X215" s="2">
        <f>ROUND(AK215,2)</f>
        <v>15837.82</v>
      </c>
      <c r="Y215" s="2">
        <f>ROUND(AL215,2)</f>
        <v>7173.71</v>
      </c>
      <c r="Z215" s="2"/>
      <c r="AA215" s="2"/>
      <c r="AB215" s="2">
        <f>ROUND(SUMIF(AA199:AA213,"=42938047",O199:O213),2)</f>
        <v>220688.01</v>
      </c>
      <c r="AC215" s="2">
        <f>ROUND(SUMIF(AA199:AA213,"=42938047",P199:P213),2)</f>
        <v>189335.3</v>
      </c>
      <c r="AD215" s="2">
        <f>ROUND(SUMIF(AA199:AA213,"=42938047",Q199:Q213),2)</f>
        <v>13855.85</v>
      </c>
      <c r="AE215" s="2">
        <f>ROUND(SUMIF(AA199:AA213,"=42938047",R199:R213),2)</f>
        <v>629.13</v>
      </c>
      <c r="AF215" s="2">
        <f>ROUND(SUMIF(AA199:AA213,"=42938047",S199:S213),2)</f>
        <v>17496.86</v>
      </c>
      <c r="AG215" s="2">
        <f>ROUND(SUMIF(AA199:AA213,"=42938047",T199:T213),2)</f>
        <v>0</v>
      </c>
      <c r="AH215" s="2">
        <f>SUMIF(AA199:AA213,"=42938047",U199:U213)</f>
        <v>64.14085</v>
      </c>
      <c r="AI215" s="2">
        <f>SUMIF(AA199:AA213,"=42938047",V199:V213)</f>
        <v>0</v>
      </c>
      <c r="AJ215" s="2">
        <f>ROUND(SUMIF(AA199:AA213,"=42938047",W199:W213),2)</f>
        <v>0</v>
      </c>
      <c r="AK215" s="2">
        <f>ROUND(SUMIF(AA199:AA213,"=42938047",X199:X213),2)</f>
        <v>15837.82</v>
      </c>
      <c r="AL215" s="2">
        <f>ROUND(SUMIF(AA199:AA213,"=42938047",Y199:Y213),2)</f>
        <v>7173.71</v>
      </c>
      <c r="AM215" s="2"/>
      <c r="AN215" s="2"/>
      <c r="AO215" s="2">
        <f t="shared" ref="AO215:BD215" si="212">ROUND(BX215,2)</f>
        <v>0</v>
      </c>
      <c r="AP215" s="2">
        <f t="shared" si="212"/>
        <v>0</v>
      </c>
      <c r="AQ215" s="2">
        <f t="shared" si="212"/>
        <v>0</v>
      </c>
      <c r="AR215" s="2">
        <f t="shared" si="212"/>
        <v>244687.27</v>
      </c>
      <c r="AS215" s="2">
        <f t="shared" si="212"/>
        <v>232352.1</v>
      </c>
      <c r="AT215" s="2">
        <f t="shared" si="212"/>
        <v>0</v>
      </c>
      <c r="AU215" s="2">
        <f t="shared" si="212"/>
        <v>12335.17</v>
      </c>
      <c r="AV215" s="2">
        <f t="shared" si="212"/>
        <v>189335.3</v>
      </c>
      <c r="AW215" s="2">
        <f t="shared" si="212"/>
        <v>189335.3</v>
      </c>
      <c r="AX215" s="2">
        <f t="shared" si="212"/>
        <v>0</v>
      </c>
      <c r="AY215" s="2">
        <f t="shared" si="212"/>
        <v>189335.3</v>
      </c>
      <c r="AZ215" s="2">
        <f t="shared" si="212"/>
        <v>0</v>
      </c>
      <c r="BA215" s="2">
        <f t="shared" si="212"/>
        <v>0</v>
      </c>
      <c r="BB215" s="2">
        <f t="shared" si="212"/>
        <v>0</v>
      </c>
      <c r="BC215" s="2">
        <f t="shared" si="212"/>
        <v>0</v>
      </c>
      <c r="BD215" s="2">
        <f t="shared" si="212"/>
        <v>0</v>
      </c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>
        <f>ROUND(SUMIF(AA199:AA213,"=42938047",FQ199:FQ213),2)</f>
        <v>0</v>
      </c>
      <c r="BY215" s="2">
        <f>ROUND(SUMIF(AA199:AA213,"=42938047",FR199:FR213),2)</f>
        <v>0</v>
      </c>
      <c r="BZ215" s="2">
        <f>ROUND(SUMIF(AA199:AA213,"=42938047",GL199:GL213),2)</f>
        <v>0</v>
      </c>
      <c r="CA215" s="2">
        <f>ROUND(SUMIF(AA199:AA213,"=42938047",GM199:GM213),2)</f>
        <v>244687.27</v>
      </c>
      <c r="CB215" s="2">
        <f>ROUND(SUMIF(AA199:AA213,"=42938047",GN199:GN213),2)</f>
        <v>232352.1</v>
      </c>
      <c r="CC215" s="2">
        <f>ROUND(SUMIF(AA199:AA213,"=42938047",GO199:GO213),2)</f>
        <v>0</v>
      </c>
      <c r="CD215" s="2">
        <f>ROUND(SUMIF(AA199:AA213,"=42938047",GP199:GP213),2)</f>
        <v>12335.17</v>
      </c>
      <c r="CE215" s="2">
        <f>AC215-BX215</f>
        <v>189335.3</v>
      </c>
      <c r="CF215" s="2">
        <f>AC215-BY215</f>
        <v>189335.3</v>
      </c>
      <c r="CG215" s="2">
        <f>BX215-BZ215</f>
        <v>0</v>
      </c>
      <c r="CH215" s="2">
        <f>AC215-BX215-BY215+BZ215</f>
        <v>189335.3</v>
      </c>
      <c r="CI215" s="2">
        <f>BY215-BZ215</f>
        <v>0</v>
      </c>
      <c r="CJ215" s="2">
        <f>ROUND(SUMIF(AA199:AA213,"=42938047",GX199:GX213),2)</f>
        <v>0</v>
      </c>
      <c r="CK215" s="2">
        <f>ROUND(SUMIF(AA199:AA213,"=42938047",GY199:GY213),2)</f>
        <v>0</v>
      </c>
      <c r="CL215" s="2">
        <f>ROUND(SUMIF(AA199:AA213,"=42938047",GZ199:GZ213),2)</f>
        <v>0</v>
      </c>
      <c r="CM215" s="2">
        <f>ROUND(SUMIF(AA199:AA213,"=42938047",HD199:HD213),2)</f>
        <v>0</v>
      </c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3"/>
      <c r="DH215" s="3"/>
      <c r="DI215" s="3"/>
      <c r="DJ215" s="3"/>
      <c r="DK215" s="3"/>
      <c r="DL215" s="3"/>
      <c r="DM215" s="3"/>
      <c r="DN215" s="3"/>
      <c r="DO215" s="3"/>
      <c r="DP215" s="3"/>
      <c r="DQ215" s="3"/>
      <c r="DR215" s="3"/>
      <c r="DS215" s="3"/>
      <c r="DT215" s="3"/>
      <c r="DU215" s="3"/>
      <c r="DV215" s="3"/>
      <c r="DW215" s="3"/>
      <c r="DX215" s="3"/>
      <c r="DY215" s="3"/>
      <c r="DZ215" s="3"/>
      <c r="EA215" s="3"/>
      <c r="EB215" s="3"/>
      <c r="EC215" s="3"/>
      <c r="ED215" s="3"/>
      <c r="EE215" s="3"/>
      <c r="EF215" s="3"/>
      <c r="EG215" s="3"/>
      <c r="EH215" s="3"/>
      <c r="EI215" s="3"/>
      <c r="EJ215" s="3"/>
      <c r="EK215" s="3"/>
      <c r="EL215" s="3"/>
      <c r="EM215" s="3"/>
      <c r="EN215" s="3"/>
      <c r="EO215" s="3"/>
      <c r="EP215" s="3"/>
      <c r="EQ215" s="3"/>
      <c r="ER215" s="3"/>
      <c r="ES215" s="3"/>
      <c r="ET215" s="3"/>
      <c r="EU215" s="3"/>
      <c r="EV215" s="3"/>
      <c r="EW215" s="3"/>
      <c r="EX215" s="3"/>
      <c r="EY215" s="3"/>
      <c r="EZ215" s="3"/>
      <c r="FA215" s="3"/>
      <c r="FB215" s="3"/>
      <c r="FC215" s="3"/>
      <c r="FD215" s="3"/>
      <c r="FE215" s="3"/>
      <c r="FF215" s="3"/>
      <c r="FG215" s="3"/>
      <c r="FH215" s="3"/>
      <c r="FI215" s="3"/>
      <c r="FJ215" s="3"/>
      <c r="FK215" s="3"/>
      <c r="FL215" s="3"/>
      <c r="FM215" s="3"/>
      <c r="FN215" s="3"/>
      <c r="FO215" s="3"/>
      <c r="FP215" s="3"/>
      <c r="FQ215" s="3"/>
      <c r="FR215" s="3"/>
      <c r="FS215" s="3"/>
      <c r="FT215" s="3"/>
      <c r="FU215" s="3"/>
      <c r="FV215" s="3"/>
      <c r="FW215" s="3"/>
      <c r="FX215" s="3"/>
      <c r="FY215" s="3"/>
      <c r="FZ215" s="3"/>
      <c r="GA215" s="3"/>
      <c r="GB215" s="3"/>
      <c r="GC215" s="3"/>
      <c r="GD215" s="3"/>
      <c r="GE215" s="3"/>
      <c r="GF215" s="3"/>
      <c r="GG215" s="3"/>
      <c r="GH215" s="3"/>
      <c r="GI215" s="3"/>
      <c r="GJ215" s="3"/>
      <c r="GK215" s="3"/>
      <c r="GL215" s="3"/>
      <c r="GM215" s="3"/>
      <c r="GN215" s="3"/>
      <c r="GO215" s="3"/>
      <c r="GP215" s="3"/>
      <c r="GQ215" s="3"/>
      <c r="GR215" s="3"/>
      <c r="GS215" s="3"/>
      <c r="GT215" s="3"/>
      <c r="GU215" s="3"/>
      <c r="GV215" s="3"/>
      <c r="GW215" s="3"/>
      <c r="GX215" s="3">
        <v>0</v>
      </c>
    </row>
    <row r="217" spans="1:245" x14ac:dyDescent="0.2">
      <c r="A217" s="4">
        <v>50</v>
      </c>
      <c r="B217" s="4">
        <v>0</v>
      </c>
      <c r="C217" s="4">
        <v>0</v>
      </c>
      <c r="D217" s="4">
        <v>1</v>
      </c>
      <c r="E217" s="4">
        <v>201</v>
      </c>
      <c r="F217" s="4">
        <f>ROUND(Source!O215,O217)</f>
        <v>220688.01</v>
      </c>
      <c r="G217" s="4" t="s">
        <v>213</v>
      </c>
      <c r="H217" s="4" t="s">
        <v>214</v>
      </c>
      <c r="I217" s="4"/>
      <c r="J217" s="4"/>
      <c r="K217" s="4">
        <v>201</v>
      </c>
      <c r="L217" s="4">
        <v>1</v>
      </c>
      <c r="M217" s="4">
        <v>3</v>
      </c>
      <c r="N217" s="4" t="s">
        <v>3</v>
      </c>
      <c r="O217" s="4">
        <v>2</v>
      </c>
      <c r="P217" s="4"/>
      <c r="Q217" s="4"/>
      <c r="R217" s="4"/>
      <c r="S217" s="4"/>
      <c r="T217" s="4"/>
      <c r="U217" s="4"/>
      <c r="V217" s="4"/>
      <c r="W217" s="4"/>
    </row>
    <row r="218" spans="1:245" x14ac:dyDescent="0.2">
      <c r="A218" s="4">
        <v>50</v>
      </c>
      <c r="B218" s="4">
        <v>0</v>
      </c>
      <c r="C218" s="4">
        <v>0</v>
      </c>
      <c r="D218" s="4">
        <v>1</v>
      </c>
      <c r="E218" s="4">
        <v>202</v>
      </c>
      <c r="F218" s="4">
        <f>ROUND(Source!P215,O218)</f>
        <v>189335.3</v>
      </c>
      <c r="G218" s="4" t="s">
        <v>215</v>
      </c>
      <c r="H218" s="4" t="s">
        <v>216</v>
      </c>
      <c r="I218" s="4"/>
      <c r="J218" s="4"/>
      <c r="K218" s="4">
        <v>202</v>
      </c>
      <c r="L218" s="4">
        <v>2</v>
      </c>
      <c r="M218" s="4">
        <v>3</v>
      </c>
      <c r="N218" s="4" t="s">
        <v>3</v>
      </c>
      <c r="O218" s="4">
        <v>2</v>
      </c>
      <c r="P218" s="4"/>
      <c r="Q218" s="4"/>
      <c r="R218" s="4"/>
      <c r="S218" s="4"/>
      <c r="T218" s="4"/>
      <c r="U218" s="4"/>
      <c r="V218" s="4"/>
      <c r="W218" s="4"/>
    </row>
    <row r="219" spans="1:245" x14ac:dyDescent="0.2">
      <c r="A219" s="4">
        <v>50</v>
      </c>
      <c r="B219" s="4">
        <v>0</v>
      </c>
      <c r="C219" s="4">
        <v>0</v>
      </c>
      <c r="D219" s="4">
        <v>1</v>
      </c>
      <c r="E219" s="4">
        <v>222</v>
      </c>
      <c r="F219" s="4">
        <f>ROUND(Source!AO215,O219)</f>
        <v>0</v>
      </c>
      <c r="G219" s="4" t="s">
        <v>217</v>
      </c>
      <c r="H219" s="4" t="s">
        <v>218</v>
      </c>
      <c r="I219" s="4"/>
      <c r="J219" s="4"/>
      <c r="K219" s="4">
        <v>222</v>
      </c>
      <c r="L219" s="4">
        <v>3</v>
      </c>
      <c r="M219" s="4">
        <v>3</v>
      </c>
      <c r="N219" s="4" t="s">
        <v>3</v>
      </c>
      <c r="O219" s="4">
        <v>2</v>
      </c>
      <c r="P219" s="4"/>
      <c r="Q219" s="4"/>
      <c r="R219" s="4"/>
      <c r="S219" s="4"/>
      <c r="T219" s="4"/>
      <c r="U219" s="4"/>
      <c r="V219" s="4"/>
      <c r="W219" s="4"/>
    </row>
    <row r="220" spans="1:245" x14ac:dyDescent="0.2">
      <c r="A220" s="4">
        <v>50</v>
      </c>
      <c r="B220" s="4">
        <v>0</v>
      </c>
      <c r="C220" s="4">
        <v>0</v>
      </c>
      <c r="D220" s="4">
        <v>1</v>
      </c>
      <c r="E220" s="4">
        <v>225</v>
      </c>
      <c r="F220" s="4">
        <f>ROUND(Source!AV215,O220)</f>
        <v>189335.3</v>
      </c>
      <c r="G220" s="4" t="s">
        <v>219</v>
      </c>
      <c r="H220" s="4" t="s">
        <v>220</v>
      </c>
      <c r="I220" s="4"/>
      <c r="J220" s="4"/>
      <c r="K220" s="4">
        <v>225</v>
      </c>
      <c r="L220" s="4">
        <v>4</v>
      </c>
      <c r="M220" s="4">
        <v>3</v>
      </c>
      <c r="N220" s="4" t="s">
        <v>3</v>
      </c>
      <c r="O220" s="4">
        <v>2</v>
      </c>
      <c r="P220" s="4"/>
      <c r="Q220" s="4"/>
      <c r="R220" s="4"/>
      <c r="S220" s="4"/>
      <c r="T220" s="4"/>
      <c r="U220" s="4"/>
      <c r="V220" s="4"/>
      <c r="W220" s="4"/>
    </row>
    <row r="221" spans="1:245" x14ac:dyDescent="0.2">
      <c r="A221" s="4">
        <v>50</v>
      </c>
      <c r="B221" s="4">
        <v>0</v>
      </c>
      <c r="C221" s="4">
        <v>0</v>
      </c>
      <c r="D221" s="4">
        <v>1</v>
      </c>
      <c r="E221" s="4">
        <v>226</v>
      </c>
      <c r="F221" s="4">
        <f>ROUND(Source!AW215,O221)</f>
        <v>189335.3</v>
      </c>
      <c r="G221" s="4" t="s">
        <v>221</v>
      </c>
      <c r="H221" s="4" t="s">
        <v>222</v>
      </c>
      <c r="I221" s="4"/>
      <c r="J221" s="4"/>
      <c r="K221" s="4">
        <v>226</v>
      </c>
      <c r="L221" s="4">
        <v>5</v>
      </c>
      <c r="M221" s="4">
        <v>3</v>
      </c>
      <c r="N221" s="4" t="s">
        <v>3</v>
      </c>
      <c r="O221" s="4">
        <v>2</v>
      </c>
      <c r="P221" s="4"/>
      <c r="Q221" s="4"/>
      <c r="R221" s="4"/>
      <c r="S221" s="4"/>
      <c r="T221" s="4"/>
      <c r="U221" s="4"/>
      <c r="V221" s="4"/>
      <c r="W221" s="4"/>
    </row>
    <row r="222" spans="1:245" x14ac:dyDescent="0.2">
      <c r="A222" s="4">
        <v>50</v>
      </c>
      <c r="B222" s="4">
        <v>0</v>
      </c>
      <c r="C222" s="4">
        <v>0</v>
      </c>
      <c r="D222" s="4">
        <v>1</v>
      </c>
      <c r="E222" s="4">
        <v>227</v>
      </c>
      <c r="F222" s="4">
        <f>ROUND(Source!AX215,O222)</f>
        <v>0</v>
      </c>
      <c r="G222" s="4" t="s">
        <v>223</v>
      </c>
      <c r="H222" s="4" t="s">
        <v>224</v>
      </c>
      <c r="I222" s="4"/>
      <c r="J222" s="4"/>
      <c r="K222" s="4">
        <v>227</v>
      </c>
      <c r="L222" s="4">
        <v>6</v>
      </c>
      <c r="M222" s="4">
        <v>3</v>
      </c>
      <c r="N222" s="4" t="s">
        <v>3</v>
      </c>
      <c r="O222" s="4">
        <v>2</v>
      </c>
      <c r="P222" s="4"/>
      <c r="Q222" s="4"/>
      <c r="R222" s="4"/>
      <c r="S222" s="4"/>
      <c r="T222" s="4"/>
      <c r="U222" s="4"/>
      <c r="V222" s="4"/>
      <c r="W222" s="4"/>
    </row>
    <row r="223" spans="1:245" x14ac:dyDescent="0.2">
      <c r="A223" s="4">
        <v>50</v>
      </c>
      <c r="B223" s="4">
        <v>0</v>
      </c>
      <c r="C223" s="4">
        <v>0</v>
      </c>
      <c r="D223" s="4">
        <v>1</v>
      </c>
      <c r="E223" s="4">
        <v>228</v>
      </c>
      <c r="F223" s="4">
        <f>ROUND(Source!AY215,O223)</f>
        <v>189335.3</v>
      </c>
      <c r="G223" s="4" t="s">
        <v>225</v>
      </c>
      <c r="H223" s="4" t="s">
        <v>226</v>
      </c>
      <c r="I223" s="4"/>
      <c r="J223" s="4"/>
      <c r="K223" s="4">
        <v>228</v>
      </c>
      <c r="L223" s="4">
        <v>7</v>
      </c>
      <c r="M223" s="4">
        <v>3</v>
      </c>
      <c r="N223" s="4" t="s">
        <v>3</v>
      </c>
      <c r="O223" s="4">
        <v>2</v>
      </c>
      <c r="P223" s="4"/>
      <c r="Q223" s="4"/>
      <c r="R223" s="4"/>
      <c r="S223" s="4"/>
      <c r="T223" s="4"/>
      <c r="U223" s="4"/>
      <c r="V223" s="4"/>
      <c r="W223" s="4"/>
    </row>
    <row r="224" spans="1:245" x14ac:dyDescent="0.2">
      <c r="A224" s="4">
        <v>50</v>
      </c>
      <c r="B224" s="4">
        <v>0</v>
      </c>
      <c r="C224" s="4">
        <v>0</v>
      </c>
      <c r="D224" s="4">
        <v>1</v>
      </c>
      <c r="E224" s="4">
        <v>216</v>
      </c>
      <c r="F224" s="4">
        <f>ROUND(Source!AP215,O224)</f>
        <v>0</v>
      </c>
      <c r="G224" s="4" t="s">
        <v>227</v>
      </c>
      <c r="H224" s="4" t="s">
        <v>228</v>
      </c>
      <c r="I224" s="4"/>
      <c r="J224" s="4"/>
      <c r="K224" s="4">
        <v>216</v>
      </c>
      <c r="L224" s="4">
        <v>8</v>
      </c>
      <c r="M224" s="4">
        <v>3</v>
      </c>
      <c r="N224" s="4" t="s">
        <v>3</v>
      </c>
      <c r="O224" s="4">
        <v>2</v>
      </c>
      <c r="P224" s="4"/>
      <c r="Q224" s="4"/>
      <c r="R224" s="4"/>
      <c r="S224" s="4"/>
      <c r="T224" s="4"/>
      <c r="U224" s="4"/>
      <c r="V224" s="4"/>
      <c r="W224" s="4"/>
    </row>
    <row r="225" spans="1:23" x14ac:dyDescent="0.2">
      <c r="A225" s="4">
        <v>50</v>
      </c>
      <c r="B225" s="4">
        <v>0</v>
      </c>
      <c r="C225" s="4">
        <v>0</v>
      </c>
      <c r="D225" s="4">
        <v>1</v>
      </c>
      <c r="E225" s="4">
        <v>223</v>
      </c>
      <c r="F225" s="4">
        <f>ROUND(Source!AQ215,O225)</f>
        <v>0</v>
      </c>
      <c r="G225" s="4" t="s">
        <v>229</v>
      </c>
      <c r="H225" s="4" t="s">
        <v>230</v>
      </c>
      <c r="I225" s="4"/>
      <c r="J225" s="4"/>
      <c r="K225" s="4">
        <v>223</v>
      </c>
      <c r="L225" s="4">
        <v>9</v>
      </c>
      <c r="M225" s="4">
        <v>3</v>
      </c>
      <c r="N225" s="4" t="s">
        <v>3</v>
      </c>
      <c r="O225" s="4">
        <v>2</v>
      </c>
      <c r="P225" s="4"/>
      <c r="Q225" s="4"/>
      <c r="R225" s="4"/>
      <c r="S225" s="4"/>
      <c r="T225" s="4"/>
      <c r="U225" s="4"/>
      <c r="V225" s="4"/>
      <c r="W225" s="4"/>
    </row>
    <row r="226" spans="1:23" x14ac:dyDescent="0.2">
      <c r="A226" s="4">
        <v>50</v>
      </c>
      <c r="B226" s="4">
        <v>0</v>
      </c>
      <c r="C226" s="4">
        <v>0</v>
      </c>
      <c r="D226" s="4">
        <v>1</v>
      </c>
      <c r="E226" s="4">
        <v>229</v>
      </c>
      <c r="F226" s="4">
        <f>ROUND(Source!AZ215,O226)</f>
        <v>0</v>
      </c>
      <c r="G226" s="4" t="s">
        <v>231</v>
      </c>
      <c r="H226" s="4" t="s">
        <v>232</v>
      </c>
      <c r="I226" s="4"/>
      <c r="J226" s="4"/>
      <c r="K226" s="4">
        <v>229</v>
      </c>
      <c r="L226" s="4">
        <v>10</v>
      </c>
      <c r="M226" s="4">
        <v>3</v>
      </c>
      <c r="N226" s="4" t="s">
        <v>3</v>
      </c>
      <c r="O226" s="4">
        <v>2</v>
      </c>
      <c r="P226" s="4"/>
      <c r="Q226" s="4"/>
      <c r="R226" s="4"/>
      <c r="S226" s="4"/>
      <c r="T226" s="4"/>
      <c r="U226" s="4"/>
      <c r="V226" s="4"/>
      <c r="W226" s="4"/>
    </row>
    <row r="227" spans="1:23" x14ac:dyDescent="0.2">
      <c r="A227" s="4">
        <v>50</v>
      </c>
      <c r="B227" s="4">
        <v>0</v>
      </c>
      <c r="C227" s="4">
        <v>0</v>
      </c>
      <c r="D227" s="4">
        <v>1</v>
      </c>
      <c r="E227" s="4">
        <v>203</v>
      </c>
      <c r="F227" s="4">
        <f>ROUND(Source!Q215,O227)</f>
        <v>13855.85</v>
      </c>
      <c r="G227" s="4" t="s">
        <v>233</v>
      </c>
      <c r="H227" s="4" t="s">
        <v>234</v>
      </c>
      <c r="I227" s="4"/>
      <c r="J227" s="4"/>
      <c r="K227" s="4">
        <v>203</v>
      </c>
      <c r="L227" s="4">
        <v>11</v>
      </c>
      <c r="M227" s="4">
        <v>3</v>
      </c>
      <c r="N227" s="4" t="s">
        <v>3</v>
      </c>
      <c r="O227" s="4">
        <v>2</v>
      </c>
      <c r="P227" s="4"/>
      <c r="Q227" s="4"/>
      <c r="R227" s="4"/>
      <c r="S227" s="4"/>
      <c r="T227" s="4"/>
      <c r="U227" s="4"/>
      <c r="V227" s="4"/>
      <c r="W227" s="4"/>
    </row>
    <row r="228" spans="1:23" x14ac:dyDescent="0.2">
      <c r="A228" s="4">
        <v>50</v>
      </c>
      <c r="B228" s="4">
        <v>0</v>
      </c>
      <c r="C228" s="4">
        <v>0</v>
      </c>
      <c r="D228" s="4">
        <v>1</v>
      </c>
      <c r="E228" s="4">
        <v>231</v>
      </c>
      <c r="F228" s="4">
        <f>ROUND(Source!BB215,O228)</f>
        <v>0</v>
      </c>
      <c r="G228" s="4" t="s">
        <v>235</v>
      </c>
      <c r="H228" s="4" t="s">
        <v>236</v>
      </c>
      <c r="I228" s="4"/>
      <c r="J228" s="4"/>
      <c r="K228" s="4">
        <v>231</v>
      </c>
      <c r="L228" s="4">
        <v>12</v>
      </c>
      <c r="M228" s="4">
        <v>3</v>
      </c>
      <c r="N228" s="4" t="s">
        <v>3</v>
      </c>
      <c r="O228" s="4">
        <v>2</v>
      </c>
      <c r="P228" s="4"/>
      <c r="Q228" s="4"/>
      <c r="R228" s="4"/>
      <c r="S228" s="4"/>
      <c r="T228" s="4"/>
      <c r="U228" s="4"/>
      <c r="V228" s="4"/>
      <c r="W228" s="4"/>
    </row>
    <row r="229" spans="1:23" x14ac:dyDescent="0.2">
      <c r="A229" s="4">
        <v>50</v>
      </c>
      <c r="B229" s="4">
        <v>0</v>
      </c>
      <c r="C229" s="4">
        <v>0</v>
      </c>
      <c r="D229" s="4">
        <v>1</v>
      </c>
      <c r="E229" s="4">
        <v>204</v>
      </c>
      <c r="F229" s="4">
        <f>ROUND(Source!R215,O229)</f>
        <v>629.13</v>
      </c>
      <c r="G229" s="4" t="s">
        <v>237</v>
      </c>
      <c r="H229" s="4" t="s">
        <v>238</v>
      </c>
      <c r="I229" s="4"/>
      <c r="J229" s="4"/>
      <c r="K229" s="4">
        <v>204</v>
      </c>
      <c r="L229" s="4">
        <v>13</v>
      </c>
      <c r="M229" s="4">
        <v>3</v>
      </c>
      <c r="N229" s="4" t="s">
        <v>3</v>
      </c>
      <c r="O229" s="4">
        <v>2</v>
      </c>
      <c r="P229" s="4"/>
      <c r="Q229" s="4"/>
      <c r="R229" s="4"/>
      <c r="S229" s="4"/>
      <c r="T229" s="4"/>
      <c r="U229" s="4"/>
      <c r="V229" s="4"/>
      <c r="W229" s="4"/>
    </row>
    <row r="230" spans="1:23" x14ac:dyDescent="0.2">
      <c r="A230" s="4">
        <v>50</v>
      </c>
      <c r="B230" s="4">
        <v>0</v>
      </c>
      <c r="C230" s="4">
        <v>0</v>
      </c>
      <c r="D230" s="4">
        <v>1</v>
      </c>
      <c r="E230" s="4">
        <v>205</v>
      </c>
      <c r="F230" s="4">
        <f>ROUND(Source!S215,O230)</f>
        <v>17496.86</v>
      </c>
      <c r="G230" s="4" t="s">
        <v>239</v>
      </c>
      <c r="H230" s="4" t="s">
        <v>240</v>
      </c>
      <c r="I230" s="4"/>
      <c r="J230" s="4"/>
      <c r="K230" s="4">
        <v>205</v>
      </c>
      <c r="L230" s="4">
        <v>14</v>
      </c>
      <c r="M230" s="4">
        <v>3</v>
      </c>
      <c r="N230" s="4" t="s">
        <v>3</v>
      </c>
      <c r="O230" s="4">
        <v>2</v>
      </c>
      <c r="P230" s="4"/>
      <c r="Q230" s="4"/>
      <c r="R230" s="4"/>
      <c r="S230" s="4"/>
      <c r="T230" s="4"/>
      <c r="U230" s="4"/>
      <c r="V230" s="4"/>
      <c r="W230" s="4"/>
    </row>
    <row r="231" spans="1:23" x14ac:dyDescent="0.2">
      <c r="A231" s="4">
        <v>50</v>
      </c>
      <c r="B231" s="4">
        <v>0</v>
      </c>
      <c r="C231" s="4">
        <v>0</v>
      </c>
      <c r="D231" s="4">
        <v>1</v>
      </c>
      <c r="E231" s="4">
        <v>232</v>
      </c>
      <c r="F231" s="4">
        <f>ROUND(Source!BC215,O231)</f>
        <v>0</v>
      </c>
      <c r="G231" s="4" t="s">
        <v>241</v>
      </c>
      <c r="H231" s="4" t="s">
        <v>242</v>
      </c>
      <c r="I231" s="4"/>
      <c r="J231" s="4"/>
      <c r="K231" s="4">
        <v>232</v>
      </c>
      <c r="L231" s="4">
        <v>15</v>
      </c>
      <c r="M231" s="4">
        <v>3</v>
      </c>
      <c r="N231" s="4" t="s">
        <v>3</v>
      </c>
      <c r="O231" s="4">
        <v>2</v>
      </c>
      <c r="P231" s="4"/>
      <c r="Q231" s="4"/>
      <c r="R231" s="4"/>
      <c r="S231" s="4"/>
      <c r="T231" s="4"/>
      <c r="U231" s="4"/>
      <c r="V231" s="4"/>
      <c r="W231" s="4"/>
    </row>
    <row r="232" spans="1:23" x14ac:dyDescent="0.2">
      <c r="A232" s="4">
        <v>50</v>
      </c>
      <c r="B232" s="4">
        <v>0</v>
      </c>
      <c r="C232" s="4">
        <v>0</v>
      </c>
      <c r="D232" s="4">
        <v>1</v>
      </c>
      <c r="E232" s="4">
        <v>214</v>
      </c>
      <c r="F232" s="4">
        <f>ROUND(Source!AS215,O232)</f>
        <v>232352.1</v>
      </c>
      <c r="G232" s="4" t="s">
        <v>243</v>
      </c>
      <c r="H232" s="4" t="s">
        <v>244</v>
      </c>
      <c r="I232" s="4"/>
      <c r="J232" s="4"/>
      <c r="K232" s="4">
        <v>214</v>
      </c>
      <c r="L232" s="4">
        <v>16</v>
      </c>
      <c r="M232" s="4">
        <v>3</v>
      </c>
      <c r="N232" s="4" t="s">
        <v>3</v>
      </c>
      <c r="O232" s="4">
        <v>2</v>
      </c>
      <c r="P232" s="4"/>
      <c r="Q232" s="4"/>
      <c r="R232" s="4"/>
      <c r="S232" s="4"/>
      <c r="T232" s="4"/>
      <c r="U232" s="4"/>
      <c r="V232" s="4"/>
      <c r="W232" s="4"/>
    </row>
    <row r="233" spans="1:23" x14ac:dyDescent="0.2">
      <c r="A233" s="4">
        <v>50</v>
      </c>
      <c r="B233" s="4">
        <v>0</v>
      </c>
      <c r="C233" s="4">
        <v>0</v>
      </c>
      <c r="D233" s="4">
        <v>1</v>
      </c>
      <c r="E233" s="4">
        <v>215</v>
      </c>
      <c r="F233" s="4">
        <f>ROUND(Source!AT215,O233)</f>
        <v>0</v>
      </c>
      <c r="G233" s="4" t="s">
        <v>245</v>
      </c>
      <c r="H233" s="4" t="s">
        <v>246</v>
      </c>
      <c r="I233" s="4"/>
      <c r="J233" s="4"/>
      <c r="K233" s="4">
        <v>215</v>
      </c>
      <c r="L233" s="4">
        <v>17</v>
      </c>
      <c r="M233" s="4">
        <v>3</v>
      </c>
      <c r="N233" s="4" t="s">
        <v>3</v>
      </c>
      <c r="O233" s="4">
        <v>2</v>
      </c>
      <c r="P233" s="4"/>
      <c r="Q233" s="4"/>
      <c r="R233" s="4"/>
      <c r="S233" s="4"/>
      <c r="T233" s="4"/>
      <c r="U233" s="4"/>
      <c r="V233" s="4"/>
      <c r="W233" s="4"/>
    </row>
    <row r="234" spans="1:23" x14ac:dyDescent="0.2">
      <c r="A234" s="4">
        <v>50</v>
      </c>
      <c r="B234" s="4">
        <v>0</v>
      </c>
      <c r="C234" s="4">
        <v>0</v>
      </c>
      <c r="D234" s="4">
        <v>1</v>
      </c>
      <c r="E234" s="4">
        <v>217</v>
      </c>
      <c r="F234" s="4">
        <f>ROUND(Source!AU215,O234)</f>
        <v>12335.17</v>
      </c>
      <c r="G234" s="4" t="s">
        <v>247</v>
      </c>
      <c r="H234" s="4" t="s">
        <v>248</v>
      </c>
      <c r="I234" s="4"/>
      <c r="J234" s="4"/>
      <c r="K234" s="4">
        <v>217</v>
      </c>
      <c r="L234" s="4">
        <v>18</v>
      </c>
      <c r="M234" s="4">
        <v>3</v>
      </c>
      <c r="N234" s="4" t="s">
        <v>3</v>
      </c>
      <c r="O234" s="4">
        <v>2</v>
      </c>
      <c r="P234" s="4"/>
      <c r="Q234" s="4"/>
      <c r="R234" s="4"/>
      <c r="S234" s="4"/>
      <c r="T234" s="4"/>
      <c r="U234" s="4"/>
      <c r="V234" s="4"/>
      <c r="W234" s="4"/>
    </row>
    <row r="235" spans="1:23" x14ac:dyDescent="0.2">
      <c r="A235" s="4">
        <v>50</v>
      </c>
      <c r="B235" s="4">
        <v>0</v>
      </c>
      <c r="C235" s="4">
        <v>0</v>
      </c>
      <c r="D235" s="4">
        <v>1</v>
      </c>
      <c r="E235" s="4">
        <v>230</v>
      </c>
      <c r="F235" s="4">
        <f>ROUND(Source!BA215,O235)</f>
        <v>0</v>
      </c>
      <c r="G235" s="4" t="s">
        <v>249</v>
      </c>
      <c r="H235" s="4" t="s">
        <v>250</v>
      </c>
      <c r="I235" s="4"/>
      <c r="J235" s="4"/>
      <c r="K235" s="4">
        <v>230</v>
      </c>
      <c r="L235" s="4">
        <v>19</v>
      </c>
      <c r="M235" s="4">
        <v>3</v>
      </c>
      <c r="N235" s="4" t="s">
        <v>3</v>
      </c>
      <c r="O235" s="4">
        <v>2</v>
      </c>
      <c r="P235" s="4"/>
      <c r="Q235" s="4"/>
      <c r="R235" s="4"/>
      <c r="S235" s="4"/>
      <c r="T235" s="4"/>
      <c r="U235" s="4"/>
      <c r="V235" s="4"/>
      <c r="W235" s="4"/>
    </row>
    <row r="236" spans="1:23" x14ac:dyDescent="0.2">
      <c r="A236" s="4">
        <v>50</v>
      </c>
      <c r="B236" s="4">
        <v>0</v>
      </c>
      <c r="C236" s="4">
        <v>0</v>
      </c>
      <c r="D236" s="4">
        <v>1</v>
      </c>
      <c r="E236" s="4">
        <v>206</v>
      </c>
      <c r="F236" s="4">
        <f>ROUND(Source!T215,O236)</f>
        <v>0</v>
      </c>
      <c r="G236" s="4" t="s">
        <v>251</v>
      </c>
      <c r="H236" s="4" t="s">
        <v>252</v>
      </c>
      <c r="I236" s="4"/>
      <c r="J236" s="4"/>
      <c r="K236" s="4">
        <v>206</v>
      </c>
      <c r="L236" s="4">
        <v>20</v>
      </c>
      <c r="M236" s="4">
        <v>3</v>
      </c>
      <c r="N236" s="4" t="s">
        <v>3</v>
      </c>
      <c r="O236" s="4">
        <v>2</v>
      </c>
      <c r="P236" s="4"/>
      <c r="Q236" s="4"/>
      <c r="R236" s="4"/>
      <c r="S236" s="4"/>
      <c r="T236" s="4"/>
      <c r="U236" s="4"/>
      <c r="V236" s="4"/>
      <c r="W236" s="4"/>
    </row>
    <row r="237" spans="1:23" x14ac:dyDescent="0.2">
      <c r="A237" s="4">
        <v>50</v>
      </c>
      <c r="B237" s="4">
        <v>0</v>
      </c>
      <c r="C237" s="4">
        <v>0</v>
      </c>
      <c r="D237" s="4">
        <v>1</v>
      </c>
      <c r="E237" s="4">
        <v>207</v>
      </c>
      <c r="F237" s="4">
        <f>Source!U215</f>
        <v>64.14085</v>
      </c>
      <c r="G237" s="4" t="s">
        <v>253</v>
      </c>
      <c r="H237" s="4" t="s">
        <v>254</v>
      </c>
      <c r="I237" s="4"/>
      <c r="J237" s="4"/>
      <c r="K237" s="4">
        <v>207</v>
      </c>
      <c r="L237" s="4">
        <v>21</v>
      </c>
      <c r="M237" s="4">
        <v>3</v>
      </c>
      <c r="N237" s="4" t="s">
        <v>3</v>
      </c>
      <c r="O237" s="4">
        <v>-1</v>
      </c>
      <c r="P237" s="4"/>
      <c r="Q237" s="4"/>
      <c r="R237" s="4"/>
      <c r="S237" s="4"/>
      <c r="T237" s="4"/>
      <c r="U237" s="4"/>
      <c r="V237" s="4"/>
      <c r="W237" s="4"/>
    </row>
    <row r="238" spans="1:23" x14ac:dyDescent="0.2">
      <c r="A238" s="4">
        <v>50</v>
      </c>
      <c r="B238" s="4">
        <v>0</v>
      </c>
      <c r="C238" s="4">
        <v>0</v>
      </c>
      <c r="D238" s="4">
        <v>1</v>
      </c>
      <c r="E238" s="4">
        <v>208</v>
      </c>
      <c r="F238" s="4">
        <f>Source!V215</f>
        <v>0</v>
      </c>
      <c r="G238" s="4" t="s">
        <v>255</v>
      </c>
      <c r="H238" s="4" t="s">
        <v>256</v>
      </c>
      <c r="I238" s="4"/>
      <c r="J238" s="4"/>
      <c r="K238" s="4">
        <v>208</v>
      </c>
      <c r="L238" s="4">
        <v>22</v>
      </c>
      <c r="M238" s="4">
        <v>3</v>
      </c>
      <c r="N238" s="4" t="s">
        <v>3</v>
      </c>
      <c r="O238" s="4">
        <v>-1</v>
      </c>
      <c r="P238" s="4"/>
      <c r="Q238" s="4"/>
      <c r="R238" s="4"/>
      <c r="S238" s="4"/>
      <c r="T238" s="4"/>
      <c r="U238" s="4"/>
      <c r="V238" s="4"/>
      <c r="W238" s="4"/>
    </row>
    <row r="239" spans="1:23" x14ac:dyDescent="0.2">
      <c r="A239" s="4">
        <v>50</v>
      </c>
      <c r="B239" s="4">
        <v>0</v>
      </c>
      <c r="C239" s="4">
        <v>0</v>
      </c>
      <c r="D239" s="4">
        <v>1</v>
      </c>
      <c r="E239" s="4">
        <v>209</v>
      </c>
      <c r="F239" s="4">
        <f>ROUND(Source!W215,O239)</f>
        <v>0</v>
      </c>
      <c r="G239" s="4" t="s">
        <v>257</v>
      </c>
      <c r="H239" s="4" t="s">
        <v>258</v>
      </c>
      <c r="I239" s="4"/>
      <c r="J239" s="4"/>
      <c r="K239" s="4">
        <v>209</v>
      </c>
      <c r="L239" s="4">
        <v>23</v>
      </c>
      <c r="M239" s="4">
        <v>3</v>
      </c>
      <c r="N239" s="4" t="s">
        <v>3</v>
      </c>
      <c r="O239" s="4">
        <v>2</v>
      </c>
      <c r="P239" s="4"/>
      <c r="Q239" s="4"/>
      <c r="R239" s="4"/>
      <c r="S239" s="4"/>
      <c r="T239" s="4"/>
      <c r="U239" s="4"/>
      <c r="V239" s="4"/>
      <c r="W239" s="4"/>
    </row>
    <row r="240" spans="1:23" x14ac:dyDescent="0.2">
      <c r="A240" s="4">
        <v>50</v>
      </c>
      <c r="B240" s="4">
        <v>0</v>
      </c>
      <c r="C240" s="4">
        <v>0</v>
      </c>
      <c r="D240" s="4">
        <v>1</v>
      </c>
      <c r="E240" s="4">
        <v>233</v>
      </c>
      <c r="F240" s="4">
        <f>ROUND(Source!BD215,O240)</f>
        <v>0</v>
      </c>
      <c r="G240" s="4" t="s">
        <v>259</v>
      </c>
      <c r="H240" s="4" t="s">
        <v>260</v>
      </c>
      <c r="I240" s="4"/>
      <c r="J240" s="4"/>
      <c r="K240" s="4">
        <v>233</v>
      </c>
      <c r="L240" s="4">
        <v>24</v>
      </c>
      <c r="M240" s="4">
        <v>3</v>
      </c>
      <c r="N240" s="4" t="s">
        <v>3</v>
      </c>
      <c r="O240" s="4">
        <v>2</v>
      </c>
      <c r="P240" s="4"/>
      <c r="Q240" s="4"/>
      <c r="R240" s="4"/>
      <c r="S240" s="4"/>
      <c r="T240" s="4"/>
      <c r="U240" s="4"/>
      <c r="V240" s="4"/>
      <c r="W240" s="4"/>
    </row>
    <row r="241" spans="1:245" x14ac:dyDescent="0.2">
      <c r="A241" s="4">
        <v>50</v>
      </c>
      <c r="B241" s="4">
        <v>0</v>
      </c>
      <c r="C241" s="4">
        <v>0</v>
      </c>
      <c r="D241" s="4">
        <v>1</v>
      </c>
      <c r="E241" s="4">
        <v>210</v>
      </c>
      <c r="F241" s="4">
        <f>ROUND(Source!X215,O241)</f>
        <v>15837.82</v>
      </c>
      <c r="G241" s="4" t="s">
        <v>261</v>
      </c>
      <c r="H241" s="4" t="s">
        <v>262</v>
      </c>
      <c r="I241" s="4"/>
      <c r="J241" s="4"/>
      <c r="K241" s="4">
        <v>210</v>
      </c>
      <c r="L241" s="4">
        <v>25</v>
      </c>
      <c r="M241" s="4">
        <v>3</v>
      </c>
      <c r="N241" s="4" t="s">
        <v>3</v>
      </c>
      <c r="O241" s="4">
        <v>2</v>
      </c>
      <c r="P241" s="4"/>
      <c r="Q241" s="4"/>
      <c r="R241" s="4"/>
      <c r="S241" s="4"/>
      <c r="T241" s="4"/>
      <c r="U241" s="4"/>
      <c r="V241" s="4"/>
      <c r="W241" s="4"/>
    </row>
    <row r="242" spans="1:245" x14ac:dyDescent="0.2">
      <c r="A242" s="4">
        <v>50</v>
      </c>
      <c r="B242" s="4">
        <v>0</v>
      </c>
      <c r="C242" s="4">
        <v>0</v>
      </c>
      <c r="D242" s="4">
        <v>1</v>
      </c>
      <c r="E242" s="4">
        <v>211</v>
      </c>
      <c r="F242" s="4">
        <f>ROUND(Source!Y215,O242)</f>
        <v>7173.71</v>
      </c>
      <c r="G242" s="4" t="s">
        <v>263</v>
      </c>
      <c r="H242" s="4" t="s">
        <v>264</v>
      </c>
      <c r="I242" s="4"/>
      <c r="J242" s="4"/>
      <c r="K242" s="4">
        <v>211</v>
      </c>
      <c r="L242" s="4">
        <v>26</v>
      </c>
      <c r="M242" s="4">
        <v>3</v>
      </c>
      <c r="N242" s="4" t="s">
        <v>3</v>
      </c>
      <c r="O242" s="4">
        <v>2</v>
      </c>
      <c r="P242" s="4"/>
      <c r="Q242" s="4"/>
      <c r="R242" s="4"/>
      <c r="S242" s="4"/>
      <c r="T242" s="4"/>
      <c r="U242" s="4"/>
      <c r="V242" s="4"/>
      <c r="W242" s="4"/>
    </row>
    <row r="243" spans="1:245" x14ac:dyDescent="0.2">
      <c r="A243" s="4">
        <v>50</v>
      </c>
      <c r="B243" s="4">
        <v>0</v>
      </c>
      <c r="C243" s="4">
        <v>0</v>
      </c>
      <c r="D243" s="4">
        <v>1</v>
      </c>
      <c r="E243" s="4">
        <v>224</v>
      </c>
      <c r="F243" s="4">
        <f>ROUND(Source!AR215,O243)</f>
        <v>244687.27</v>
      </c>
      <c r="G243" s="4" t="s">
        <v>265</v>
      </c>
      <c r="H243" s="4" t="s">
        <v>266</v>
      </c>
      <c r="I243" s="4"/>
      <c r="J243" s="4"/>
      <c r="K243" s="4">
        <v>224</v>
      </c>
      <c r="L243" s="4">
        <v>27</v>
      </c>
      <c r="M243" s="4">
        <v>3</v>
      </c>
      <c r="N243" s="4" t="s">
        <v>3</v>
      </c>
      <c r="O243" s="4">
        <v>2</v>
      </c>
      <c r="P243" s="4"/>
      <c r="Q243" s="4"/>
      <c r="R243" s="4"/>
      <c r="S243" s="4"/>
      <c r="T243" s="4"/>
      <c r="U243" s="4"/>
      <c r="V243" s="4"/>
      <c r="W243" s="4"/>
    </row>
    <row r="245" spans="1:245" x14ac:dyDescent="0.2">
      <c r="A245" s="1">
        <v>4</v>
      </c>
      <c r="B245" s="1">
        <v>1</v>
      </c>
      <c r="C245" s="1"/>
      <c r="D245" s="1">
        <f>ROW(A264)</f>
        <v>264</v>
      </c>
      <c r="E245" s="1"/>
      <c r="F245" s="1" t="s">
        <v>13</v>
      </c>
      <c r="G245" s="1" t="s">
        <v>405</v>
      </c>
      <c r="H245" s="1" t="s">
        <v>3</v>
      </c>
      <c r="I245" s="1">
        <v>0</v>
      </c>
      <c r="J245" s="1"/>
      <c r="K245" s="1">
        <v>0</v>
      </c>
      <c r="L245" s="1"/>
      <c r="M245" s="1" t="s">
        <v>3</v>
      </c>
      <c r="N245" s="1"/>
      <c r="O245" s="1"/>
      <c r="P245" s="1"/>
      <c r="Q245" s="1"/>
      <c r="R245" s="1"/>
      <c r="S245" s="1">
        <v>0</v>
      </c>
      <c r="T245" s="1"/>
      <c r="U245" s="1" t="s">
        <v>3</v>
      </c>
      <c r="V245" s="1">
        <v>0</v>
      </c>
      <c r="W245" s="1"/>
      <c r="X245" s="1"/>
      <c r="Y245" s="1"/>
      <c r="Z245" s="1"/>
      <c r="AA245" s="1"/>
      <c r="AB245" s="1" t="s">
        <v>3</v>
      </c>
      <c r="AC245" s="1" t="s">
        <v>3</v>
      </c>
      <c r="AD245" s="1" t="s">
        <v>3</v>
      </c>
      <c r="AE245" s="1" t="s">
        <v>3</v>
      </c>
      <c r="AF245" s="1" t="s">
        <v>3</v>
      </c>
      <c r="AG245" s="1" t="s">
        <v>3</v>
      </c>
      <c r="AH245" s="1"/>
      <c r="AI245" s="1"/>
      <c r="AJ245" s="1"/>
      <c r="AK245" s="1"/>
      <c r="AL245" s="1"/>
      <c r="AM245" s="1"/>
      <c r="AN245" s="1"/>
      <c r="AO245" s="1"/>
      <c r="AP245" s="1" t="s">
        <v>3</v>
      </c>
      <c r="AQ245" s="1" t="s">
        <v>3</v>
      </c>
      <c r="AR245" s="1" t="s">
        <v>3</v>
      </c>
      <c r="AS245" s="1"/>
      <c r="AT245" s="1"/>
      <c r="AU245" s="1"/>
      <c r="AV245" s="1"/>
      <c r="AW245" s="1"/>
      <c r="AX245" s="1"/>
      <c r="AY245" s="1"/>
      <c r="AZ245" s="1" t="s">
        <v>3</v>
      </c>
      <c r="BA245" s="1"/>
      <c r="BB245" s="1" t="s">
        <v>3</v>
      </c>
      <c r="BC245" s="1" t="s">
        <v>3</v>
      </c>
      <c r="BD245" s="1" t="s">
        <v>3</v>
      </c>
      <c r="BE245" s="1" t="s">
        <v>3</v>
      </c>
      <c r="BF245" s="1" t="s">
        <v>3</v>
      </c>
      <c r="BG245" s="1" t="s">
        <v>3</v>
      </c>
      <c r="BH245" s="1" t="s">
        <v>3</v>
      </c>
      <c r="BI245" s="1" t="s">
        <v>3</v>
      </c>
      <c r="BJ245" s="1" t="s">
        <v>3</v>
      </c>
      <c r="BK245" s="1" t="s">
        <v>3</v>
      </c>
      <c r="BL245" s="1" t="s">
        <v>3</v>
      </c>
      <c r="BM245" s="1" t="s">
        <v>3</v>
      </c>
      <c r="BN245" s="1" t="s">
        <v>3</v>
      </c>
      <c r="BO245" s="1" t="s">
        <v>3</v>
      </c>
      <c r="BP245" s="1" t="s">
        <v>3</v>
      </c>
      <c r="BQ245" s="1"/>
      <c r="BR245" s="1"/>
      <c r="BS245" s="1"/>
      <c r="BT245" s="1"/>
      <c r="BU245" s="1"/>
      <c r="BV245" s="1"/>
      <c r="BW245" s="1"/>
      <c r="BX245" s="1">
        <v>0</v>
      </c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>
        <v>0</v>
      </c>
    </row>
    <row r="247" spans="1:245" x14ac:dyDescent="0.2">
      <c r="A247" s="2">
        <v>52</v>
      </c>
      <c r="B247" s="2">
        <f t="shared" ref="B247:G247" si="213">B264</f>
        <v>1</v>
      </c>
      <c r="C247" s="2">
        <f t="shared" si="213"/>
        <v>4</v>
      </c>
      <c r="D247" s="2">
        <f t="shared" si="213"/>
        <v>245</v>
      </c>
      <c r="E247" s="2">
        <f t="shared" si="213"/>
        <v>0</v>
      </c>
      <c r="F247" s="2" t="str">
        <f t="shared" si="213"/>
        <v>Новый раздел</v>
      </c>
      <c r="G247" s="2" t="str">
        <f t="shared" si="213"/>
        <v>Замена покрытия из камней типа "Валун" 166 кв.м</v>
      </c>
      <c r="H247" s="2"/>
      <c r="I247" s="2"/>
      <c r="J247" s="2"/>
      <c r="K247" s="2"/>
      <c r="L247" s="2"/>
      <c r="M247" s="2"/>
      <c r="N247" s="2"/>
      <c r="O247" s="2">
        <f t="shared" ref="O247:AT247" si="214">O264</f>
        <v>860863.29</v>
      </c>
      <c r="P247" s="2">
        <f t="shared" si="214"/>
        <v>717485.4</v>
      </c>
      <c r="Q247" s="2">
        <f t="shared" si="214"/>
        <v>66590.05</v>
      </c>
      <c r="R247" s="2">
        <f t="shared" si="214"/>
        <v>7232.08</v>
      </c>
      <c r="S247" s="2">
        <f t="shared" si="214"/>
        <v>76787.839999999997</v>
      </c>
      <c r="T247" s="2">
        <f t="shared" si="214"/>
        <v>0</v>
      </c>
      <c r="U247" s="2">
        <f t="shared" si="214"/>
        <v>266.96295499999997</v>
      </c>
      <c r="V247" s="2">
        <f t="shared" si="214"/>
        <v>0</v>
      </c>
      <c r="W247" s="2">
        <f t="shared" si="214"/>
        <v>0</v>
      </c>
      <c r="X247" s="2">
        <f t="shared" si="214"/>
        <v>65203.360000000001</v>
      </c>
      <c r="Y247" s="2">
        <f t="shared" si="214"/>
        <v>31483.02</v>
      </c>
      <c r="Z247" s="2">
        <f t="shared" si="214"/>
        <v>0</v>
      </c>
      <c r="AA247" s="2">
        <f t="shared" si="214"/>
        <v>0</v>
      </c>
      <c r="AB247" s="2">
        <f t="shared" si="214"/>
        <v>860863.29</v>
      </c>
      <c r="AC247" s="2">
        <f t="shared" si="214"/>
        <v>717485.4</v>
      </c>
      <c r="AD247" s="2">
        <f t="shared" si="214"/>
        <v>66590.05</v>
      </c>
      <c r="AE247" s="2">
        <f t="shared" si="214"/>
        <v>7232.08</v>
      </c>
      <c r="AF247" s="2">
        <f t="shared" si="214"/>
        <v>76787.839999999997</v>
      </c>
      <c r="AG247" s="2">
        <f t="shared" si="214"/>
        <v>0</v>
      </c>
      <c r="AH247" s="2">
        <f t="shared" si="214"/>
        <v>266.96295499999997</v>
      </c>
      <c r="AI247" s="2">
        <f t="shared" si="214"/>
        <v>0</v>
      </c>
      <c r="AJ247" s="2">
        <f t="shared" si="214"/>
        <v>0</v>
      </c>
      <c r="AK247" s="2">
        <f t="shared" si="214"/>
        <v>65203.360000000001</v>
      </c>
      <c r="AL247" s="2">
        <f t="shared" si="214"/>
        <v>31483.02</v>
      </c>
      <c r="AM247" s="2">
        <f t="shared" si="214"/>
        <v>0</v>
      </c>
      <c r="AN247" s="2">
        <f t="shared" si="214"/>
        <v>0</v>
      </c>
      <c r="AO247" s="2">
        <f t="shared" si="214"/>
        <v>0</v>
      </c>
      <c r="AP247" s="2">
        <f t="shared" si="214"/>
        <v>0</v>
      </c>
      <c r="AQ247" s="2">
        <f t="shared" si="214"/>
        <v>0</v>
      </c>
      <c r="AR247" s="2">
        <f t="shared" si="214"/>
        <v>968904.04</v>
      </c>
      <c r="AS247" s="2">
        <f t="shared" si="214"/>
        <v>916624.98</v>
      </c>
      <c r="AT247" s="2">
        <f t="shared" si="214"/>
        <v>0</v>
      </c>
      <c r="AU247" s="2">
        <f t="shared" ref="AU247:BZ247" si="215">AU264</f>
        <v>52279.06</v>
      </c>
      <c r="AV247" s="2">
        <f t="shared" si="215"/>
        <v>717485.4</v>
      </c>
      <c r="AW247" s="2">
        <f t="shared" si="215"/>
        <v>717485.4</v>
      </c>
      <c r="AX247" s="2">
        <f t="shared" si="215"/>
        <v>0</v>
      </c>
      <c r="AY247" s="2">
        <f t="shared" si="215"/>
        <v>717485.4</v>
      </c>
      <c r="AZ247" s="2">
        <f t="shared" si="215"/>
        <v>0</v>
      </c>
      <c r="BA247" s="2">
        <f t="shared" si="215"/>
        <v>0</v>
      </c>
      <c r="BB247" s="2">
        <f t="shared" si="215"/>
        <v>0</v>
      </c>
      <c r="BC247" s="2">
        <f t="shared" si="215"/>
        <v>0</v>
      </c>
      <c r="BD247" s="2">
        <f t="shared" si="215"/>
        <v>0</v>
      </c>
      <c r="BE247" s="2">
        <f t="shared" si="215"/>
        <v>0</v>
      </c>
      <c r="BF247" s="2">
        <f t="shared" si="215"/>
        <v>0</v>
      </c>
      <c r="BG247" s="2">
        <f t="shared" si="215"/>
        <v>0</v>
      </c>
      <c r="BH247" s="2">
        <f t="shared" si="215"/>
        <v>0</v>
      </c>
      <c r="BI247" s="2">
        <f t="shared" si="215"/>
        <v>0</v>
      </c>
      <c r="BJ247" s="2">
        <f t="shared" si="215"/>
        <v>0</v>
      </c>
      <c r="BK247" s="2">
        <f t="shared" si="215"/>
        <v>0</v>
      </c>
      <c r="BL247" s="2">
        <f t="shared" si="215"/>
        <v>0</v>
      </c>
      <c r="BM247" s="2">
        <f t="shared" si="215"/>
        <v>0</v>
      </c>
      <c r="BN247" s="2">
        <f t="shared" si="215"/>
        <v>0</v>
      </c>
      <c r="BO247" s="2">
        <f t="shared" si="215"/>
        <v>0</v>
      </c>
      <c r="BP247" s="2">
        <f t="shared" si="215"/>
        <v>0</v>
      </c>
      <c r="BQ247" s="2">
        <f t="shared" si="215"/>
        <v>0</v>
      </c>
      <c r="BR247" s="2">
        <f t="shared" si="215"/>
        <v>0</v>
      </c>
      <c r="BS247" s="2">
        <f t="shared" si="215"/>
        <v>0</v>
      </c>
      <c r="BT247" s="2">
        <f t="shared" si="215"/>
        <v>0</v>
      </c>
      <c r="BU247" s="2">
        <f t="shared" si="215"/>
        <v>0</v>
      </c>
      <c r="BV247" s="2">
        <f t="shared" si="215"/>
        <v>0</v>
      </c>
      <c r="BW247" s="2">
        <f t="shared" si="215"/>
        <v>0</v>
      </c>
      <c r="BX247" s="2">
        <f t="shared" si="215"/>
        <v>0</v>
      </c>
      <c r="BY247" s="2">
        <f t="shared" si="215"/>
        <v>0</v>
      </c>
      <c r="BZ247" s="2">
        <f t="shared" si="215"/>
        <v>0</v>
      </c>
      <c r="CA247" s="2">
        <f t="shared" ref="CA247:DF247" si="216">CA264</f>
        <v>968904.04</v>
      </c>
      <c r="CB247" s="2">
        <f t="shared" si="216"/>
        <v>916624.98</v>
      </c>
      <c r="CC247" s="2">
        <f t="shared" si="216"/>
        <v>0</v>
      </c>
      <c r="CD247" s="2">
        <f t="shared" si="216"/>
        <v>52279.06</v>
      </c>
      <c r="CE247" s="2">
        <f t="shared" si="216"/>
        <v>717485.4</v>
      </c>
      <c r="CF247" s="2">
        <f t="shared" si="216"/>
        <v>717485.4</v>
      </c>
      <c r="CG247" s="2">
        <f t="shared" si="216"/>
        <v>0</v>
      </c>
      <c r="CH247" s="2">
        <f t="shared" si="216"/>
        <v>717485.4</v>
      </c>
      <c r="CI247" s="2">
        <f t="shared" si="216"/>
        <v>0</v>
      </c>
      <c r="CJ247" s="2">
        <f t="shared" si="216"/>
        <v>0</v>
      </c>
      <c r="CK247" s="2">
        <f t="shared" si="216"/>
        <v>0</v>
      </c>
      <c r="CL247" s="2">
        <f t="shared" si="216"/>
        <v>0</v>
      </c>
      <c r="CM247" s="2">
        <f t="shared" si="216"/>
        <v>0</v>
      </c>
      <c r="CN247" s="2">
        <f t="shared" si="216"/>
        <v>0</v>
      </c>
      <c r="CO247" s="2">
        <f t="shared" si="216"/>
        <v>0</v>
      </c>
      <c r="CP247" s="2">
        <f t="shared" si="216"/>
        <v>0</v>
      </c>
      <c r="CQ247" s="2">
        <f t="shared" si="216"/>
        <v>0</v>
      </c>
      <c r="CR247" s="2">
        <f t="shared" si="216"/>
        <v>0</v>
      </c>
      <c r="CS247" s="2">
        <f t="shared" si="216"/>
        <v>0</v>
      </c>
      <c r="CT247" s="2">
        <f t="shared" si="216"/>
        <v>0</v>
      </c>
      <c r="CU247" s="2">
        <f t="shared" si="216"/>
        <v>0</v>
      </c>
      <c r="CV247" s="2">
        <f t="shared" si="216"/>
        <v>0</v>
      </c>
      <c r="CW247" s="2">
        <f t="shared" si="216"/>
        <v>0</v>
      </c>
      <c r="CX247" s="2">
        <f t="shared" si="216"/>
        <v>0</v>
      </c>
      <c r="CY247" s="2">
        <f t="shared" si="216"/>
        <v>0</v>
      </c>
      <c r="CZ247" s="2">
        <f t="shared" si="216"/>
        <v>0</v>
      </c>
      <c r="DA247" s="2">
        <f t="shared" si="216"/>
        <v>0</v>
      </c>
      <c r="DB247" s="2">
        <f t="shared" si="216"/>
        <v>0</v>
      </c>
      <c r="DC247" s="2">
        <f t="shared" si="216"/>
        <v>0</v>
      </c>
      <c r="DD247" s="2">
        <f t="shared" si="216"/>
        <v>0</v>
      </c>
      <c r="DE247" s="2">
        <f t="shared" si="216"/>
        <v>0</v>
      </c>
      <c r="DF247" s="2">
        <f t="shared" si="216"/>
        <v>0</v>
      </c>
      <c r="DG247" s="3">
        <f t="shared" ref="DG247:EL247" si="217">DG264</f>
        <v>0</v>
      </c>
      <c r="DH247" s="3">
        <f t="shared" si="217"/>
        <v>0</v>
      </c>
      <c r="DI247" s="3">
        <f t="shared" si="217"/>
        <v>0</v>
      </c>
      <c r="DJ247" s="3">
        <f t="shared" si="217"/>
        <v>0</v>
      </c>
      <c r="DK247" s="3">
        <f t="shared" si="217"/>
        <v>0</v>
      </c>
      <c r="DL247" s="3">
        <f t="shared" si="217"/>
        <v>0</v>
      </c>
      <c r="DM247" s="3">
        <f t="shared" si="217"/>
        <v>0</v>
      </c>
      <c r="DN247" s="3">
        <f t="shared" si="217"/>
        <v>0</v>
      </c>
      <c r="DO247" s="3">
        <f t="shared" si="217"/>
        <v>0</v>
      </c>
      <c r="DP247" s="3">
        <f t="shared" si="217"/>
        <v>0</v>
      </c>
      <c r="DQ247" s="3">
        <f t="shared" si="217"/>
        <v>0</v>
      </c>
      <c r="DR247" s="3">
        <f t="shared" si="217"/>
        <v>0</v>
      </c>
      <c r="DS247" s="3">
        <f t="shared" si="217"/>
        <v>0</v>
      </c>
      <c r="DT247" s="3">
        <f t="shared" si="217"/>
        <v>0</v>
      </c>
      <c r="DU247" s="3">
        <f t="shared" si="217"/>
        <v>0</v>
      </c>
      <c r="DV247" s="3">
        <f t="shared" si="217"/>
        <v>0</v>
      </c>
      <c r="DW247" s="3">
        <f t="shared" si="217"/>
        <v>0</v>
      </c>
      <c r="DX247" s="3">
        <f t="shared" si="217"/>
        <v>0</v>
      </c>
      <c r="DY247" s="3">
        <f t="shared" si="217"/>
        <v>0</v>
      </c>
      <c r="DZ247" s="3">
        <f t="shared" si="217"/>
        <v>0</v>
      </c>
      <c r="EA247" s="3">
        <f t="shared" si="217"/>
        <v>0</v>
      </c>
      <c r="EB247" s="3">
        <f t="shared" si="217"/>
        <v>0</v>
      </c>
      <c r="EC247" s="3">
        <f t="shared" si="217"/>
        <v>0</v>
      </c>
      <c r="ED247" s="3">
        <f t="shared" si="217"/>
        <v>0</v>
      </c>
      <c r="EE247" s="3">
        <f t="shared" si="217"/>
        <v>0</v>
      </c>
      <c r="EF247" s="3">
        <f t="shared" si="217"/>
        <v>0</v>
      </c>
      <c r="EG247" s="3">
        <f t="shared" si="217"/>
        <v>0</v>
      </c>
      <c r="EH247" s="3">
        <f t="shared" si="217"/>
        <v>0</v>
      </c>
      <c r="EI247" s="3">
        <f t="shared" si="217"/>
        <v>0</v>
      </c>
      <c r="EJ247" s="3">
        <f t="shared" si="217"/>
        <v>0</v>
      </c>
      <c r="EK247" s="3">
        <f t="shared" si="217"/>
        <v>0</v>
      </c>
      <c r="EL247" s="3">
        <f t="shared" si="217"/>
        <v>0</v>
      </c>
      <c r="EM247" s="3">
        <f t="shared" ref="EM247:FR247" si="218">EM264</f>
        <v>0</v>
      </c>
      <c r="EN247" s="3">
        <f t="shared" si="218"/>
        <v>0</v>
      </c>
      <c r="EO247" s="3">
        <f t="shared" si="218"/>
        <v>0</v>
      </c>
      <c r="EP247" s="3">
        <f t="shared" si="218"/>
        <v>0</v>
      </c>
      <c r="EQ247" s="3">
        <f t="shared" si="218"/>
        <v>0</v>
      </c>
      <c r="ER247" s="3">
        <f t="shared" si="218"/>
        <v>0</v>
      </c>
      <c r="ES247" s="3">
        <f t="shared" si="218"/>
        <v>0</v>
      </c>
      <c r="ET247" s="3">
        <f t="shared" si="218"/>
        <v>0</v>
      </c>
      <c r="EU247" s="3">
        <f t="shared" si="218"/>
        <v>0</v>
      </c>
      <c r="EV247" s="3">
        <f t="shared" si="218"/>
        <v>0</v>
      </c>
      <c r="EW247" s="3">
        <f t="shared" si="218"/>
        <v>0</v>
      </c>
      <c r="EX247" s="3">
        <f t="shared" si="218"/>
        <v>0</v>
      </c>
      <c r="EY247" s="3">
        <f t="shared" si="218"/>
        <v>0</v>
      </c>
      <c r="EZ247" s="3">
        <f t="shared" si="218"/>
        <v>0</v>
      </c>
      <c r="FA247" s="3">
        <f t="shared" si="218"/>
        <v>0</v>
      </c>
      <c r="FB247" s="3">
        <f t="shared" si="218"/>
        <v>0</v>
      </c>
      <c r="FC247" s="3">
        <f t="shared" si="218"/>
        <v>0</v>
      </c>
      <c r="FD247" s="3">
        <f t="shared" si="218"/>
        <v>0</v>
      </c>
      <c r="FE247" s="3">
        <f t="shared" si="218"/>
        <v>0</v>
      </c>
      <c r="FF247" s="3">
        <f t="shared" si="218"/>
        <v>0</v>
      </c>
      <c r="FG247" s="3">
        <f t="shared" si="218"/>
        <v>0</v>
      </c>
      <c r="FH247" s="3">
        <f t="shared" si="218"/>
        <v>0</v>
      </c>
      <c r="FI247" s="3">
        <f t="shared" si="218"/>
        <v>0</v>
      </c>
      <c r="FJ247" s="3">
        <f t="shared" si="218"/>
        <v>0</v>
      </c>
      <c r="FK247" s="3">
        <f t="shared" si="218"/>
        <v>0</v>
      </c>
      <c r="FL247" s="3">
        <f t="shared" si="218"/>
        <v>0</v>
      </c>
      <c r="FM247" s="3">
        <f t="shared" si="218"/>
        <v>0</v>
      </c>
      <c r="FN247" s="3">
        <f t="shared" si="218"/>
        <v>0</v>
      </c>
      <c r="FO247" s="3">
        <f t="shared" si="218"/>
        <v>0</v>
      </c>
      <c r="FP247" s="3">
        <f t="shared" si="218"/>
        <v>0</v>
      </c>
      <c r="FQ247" s="3">
        <f t="shared" si="218"/>
        <v>0</v>
      </c>
      <c r="FR247" s="3">
        <f t="shared" si="218"/>
        <v>0</v>
      </c>
      <c r="FS247" s="3">
        <f t="shared" ref="FS247:GX247" si="219">FS264</f>
        <v>0</v>
      </c>
      <c r="FT247" s="3">
        <f t="shared" si="219"/>
        <v>0</v>
      </c>
      <c r="FU247" s="3">
        <f t="shared" si="219"/>
        <v>0</v>
      </c>
      <c r="FV247" s="3">
        <f t="shared" si="219"/>
        <v>0</v>
      </c>
      <c r="FW247" s="3">
        <f t="shared" si="219"/>
        <v>0</v>
      </c>
      <c r="FX247" s="3">
        <f t="shared" si="219"/>
        <v>0</v>
      </c>
      <c r="FY247" s="3">
        <f t="shared" si="219"/>
        <v>0</v>
      </c>
      <c r="FZ247" s="3">
        <f t="shared" si="219"/>
        <v>0</v>
      </c>
      <c r="GA247" s="3">
        <f t="shared" si="219"/>
        <v>0</v>
      </c>
      <c r="GB247" s="3">
        <f t="shared" si="219"/>
        <v>0</v>
      </c>
      <c r="GC247" s="3">
        <f t="shared" si="219"/>
        <v>0</v>
      </c>
      <c r="GD247" s="3">
        <f t="shared" si="219"/>
        <v>0</v>
      </c>
      <c r="GE247" s="3">
        <f t="shared" si="219"/>
        <v>0</v>
      </c>
      <c r="GF247" s="3">
        <f t="shared" si="219"/>
        <v>0</v>
      </c>
      <c r="GG247" s="3">
        <f t="shared" si="219"/>
        <v>0</v>
      </c>
      <c r="GH247" s="3">
        <f t="shared" si="219"/>
        <v>0</v>
      </c>
      <c r="GI247" s="3">
        <f t="shared" si="219"/>
        <v>0</v>
      </c>
      <c r="GJ247" s="3">
        <f t="shared" si="219"/>
        <v>0</v>
      </c>
      <c r="GK247" s="3">
        <f t="shared" si="219"/>
        <v>0</v>
      </c>
      <c r="GL247" s="3">
        <f t="shared" si="219"/>
        <v>0</v>
      </c>
      <c r="GM247" s="3">
        <f t="shared" si="219"/>
        <v>0</v>
      </c>
      <c r="GN247" s="3">
        <f t="shared" si="219"/>
        <v>0</v>
      </c>
      <c r="GO247" s="3">
        <f t="shared" si="219"/>
        <v>0</v>
      </c>
      <c r="GP247" s="3">
        <f t="shared" si="219"/>
        <v>0</v>
      </c>
      <c r="GQ247" s="3">
        <f t="shared" si="219"/>
        <v>0</v>
      </c>
      <c r="GR247" s="3">
        <f t="shared" si="219"/>
        <v>0</v>
      </c>
      <c r="GS247" s="3">
        <f t="shared" si="219"/>
        <v>0</v>
      </c>
      <c r="GT247" s="3">
        <f t="shared" si="219"/>
        <v>0</v>
      </c>
      <c r="GU247" s="3">
        <f t="shared" si="219"/>
        <v>0</v>
      </c>
      <c r="GV247" s="3">
        <f t="shared" si="219"/>
        <v>0</v>
      </c>
      <c r="GW247" s="3">
        <f t="shared" si="219"/>
        <v>0</v>
      </c>
      <c r="GX247" s="3">
        <f t="shared" si="219"/>
        <v>0</v>
      </c>
    </row>
    <row r="249" spans="1:245" x14ac:dyDescent="0.2">
      <c r="A249">
        <v>17</v>
      </c>
      <c r="B249">
        <v>1</v>
      </c>
      <c r="C249">
        <f>ROW(SmtRes!A180)</f>
        <v>180</v>
      </c>
      <c r="D249">
        <f>ROW(EtalonRes!A175)</f>
        <v>175</v>
      </c>
      <c r="E249" t="s">
        <v>406</v>
      </c>
      <c r="F249" t="s">
        <v>407</v>
      </c>
      <c r="G249" t="s">
        <v>408</v>
      </c>
      <c r="H249" t="s">
        <v>409</v>
      </c>
      <c r="I249">
        <f>ROUND(166/100,9)</f>
        <v>1.66</v>
      </c>
      <c r="J249">
        <v>0</v>
      </c>
      <c r="K249">
        <f>ROUND(166/100,9)</f>
        <v>1.66</v>
      </c>
      <c r="O249">
        <f t="shared" ref="O249:O262" si="220">ROUND(CP249,2)</f>
        <v>6154.88</v>
      </c>
      <c r="P249">
        <f t="shared" ref="P249:P262" si="221">ROUND((ROUND((AC249*AW249*I249),2)*BC249),2)</f>
        <v>0</v>
      </c>
      <c r="Q249">
        <f>(ROUND((ROUND(((ET249)*AV249*I249),2)*BB249),2)+ROUND((ROUND(((AE249-(EU249))*AV249*I249),2)*BS249),2))</f>
        <v>0.18</v>
      </c>
      <c r="R249">
        <f t="shared" ref="R249:R262" si="222">ROUND((ROUND((AE249*AV249*I249),2)*BS249),2)</f>
        <v>0</v>
      </c>
      <c r="S249">
        <f t="shared" ref="S249:S262" si="223">ROUND((ROUND((AF249*AV249*I249),2)*BA249),2)</f>
        <v>6154.7</v>
      </c>
      <c r="T249">
        <f t="shared" ref="T249:T262" si="224">ROUND(CU249*I249,2)</f>
        <v>0</v>
      </c>
      <c r="U249">
        <f t="shared" ref="U249:U262" si="225">CV249*I249</f>
        <v>23.671599999999998</v>
      </c>
      <c r="V249">
        <f t="shared" ref="V249:V262" si="226">CW249*I249</f>
        <v>0</v>
      </c>
      <c r="W249">
        <f t="shared" ref="W249:W262" si="227">ROUND(CX249*I249,2)</f>
        <v>0</v>
      </c>
      <c r="X249">
        <f t="shared" ref="X249:X262" si="228">ROUND(CY249,2)</f>
        <v>4185.2</v>
      </c>
      <c r="Y249">
        <f t="shared" ref="Y249:Y262" si="229">ROUND(CZ249,2)</f>
        <v>2523.4299999999998</v>
      </c>
      <c r="AA249">
        <v>42938047</v>
      </c>
      <c r="AB249">
        <f t="shared" ref="AB249:AB262" si="230">ROUND((AC249+AD249+AF249),6)</f>
        <v>145.76</v>
      </c>
      <c r="AC249">
        <f t="shared" ref="AC249:AC262" si="231">ROUND((ES249),6)</f>
        <v>0</v>
      </c>
      <c r="AD249">
        <f>ROUND((((ET249)-(EU249))+AE249),6)</f>
        <v>0.02</v>
      </c>
      <c r="AE249">
        <f>ROUND((EU249),6)</f>
        <v>0</v>
      </c>
      <c r="AF249">
        <f>ROUND((EV249),6)</f>
        <v>145.74</v>
      </c>
      <c r="AG249">
        <f t="shared" ref="AG249:AG262" si="232">ROUND((AP249),6)</f>
        <v>0</v>
      </c>
      <c r="AH249">
        <f>(EW249)</f>
        <v>14.26</v>
      </c>
      <c r="AI249">
        <f>(EX249)</f>
        <v>0</v>
      </c>
      <c r="AJ249">
        <f t="shared" ref="AJ249:AJ262" si="233">(AS249)</f>
        <v>0</v>
      </c>
      <c r="AK249">
        <v>145.76</v>
      </c>
      <c r="AL249">
        <v>0</v>
      </c>
      <c r="AM249">
        <v>0.02</v>
      </c>
      <c r="AN249">
        <v>0</v>
      </c>
      <c r="AO249">
        <v>145.74</v>
      </c>
      <c r="AP249">
        <v>0</v>
      </c>
      <c r="AQ249">
        <v>14.26</v>
      </c>
      <c r="AR249">
        <v>0</v>
      </c>
      <c r="AS249">
        <v>0</v>
      </c>
      <c r="AT249">
        <v>68</v>
      </c>
      <c r="AU249">
        <v>41</v>
      </c>
      <c r="AV249">
        <v>1</v>
      </c>
      <c r="AW249">
        <v>1</v>
      </c>
      <c r="AZ249">
        <v>1</v>
      </c>
      <c r="BA249">
        <v>25.44</v>
      </c>
      <c r="BB249">
        <v>6</v>
      </c>
      <c r="BC249">
        <v>1</v>
      </c>
      <c r="BD249" t="s">
        <v>3</v>
      </c>
      <c r="BE249" t="s">
        <v>3</v>
      </c>
      <c r="BF249" t="s">
        <v>3</v>
      </c>
      <c r="BG249" t="s">
        <v>3</v>
      </c>
      <c r="BH249">
        <v>0</v>
      </c>
      <c r="BI249">
        <v>1</v>
      </c>
      <c r="BJ249" t="s">
        <v>410</v>
      </c>
      <c r="BM249">
        <v>439</v>
      </c>
      <c r="BN249">
        <v>0</v>
      </c>
      <c r="BO249" t="s">
        <v>407</v>
      </c>
      <c r="BP249">
        <v>1</v>
      </c>
      <c r="BQ249">
        <v>60</v>
      </c>
      <c r="BR249">
        <v>0</v>
      </c>
      <c r="BS249">
        <v>25.44</v>
      </c>
      <c r="BT249">
        <v>1</v>
      </c>
      <c r="BU249">
        <v>1</v>
      </c>
      <c r="BV249">
        <v>1</v>
      </c>
      <c r="BW249">
        <v>1</v>
      </c>
      <c r="BX249">
        <v>1</v>
      </c>
      <c r="BY249" t="s">
        <v>3</v>
      </c>
      <c r="BZ249">
        <v>68</v>
      </c>
      <c r="CA249">
        <v>41</v>
      </c>
      <c r="CB249" t="s">
        <v>3</v>
      </c>
      <c r="CE249">
        <v>30</v>
      </c>
      <c r="CF249">
        <v>0</v>
      </c>
      <c r="CG249">
        <v>0</v>
      </c>
      <c r="CM249">
        <v>0</v>
      </c>
      <c r="CN249" t="s">
        <v>3</v>
      </c>
      <c r="CO249">
        <v>0</v>
      </c>
      <c r="CP249">
        <f t="shared" ref="CP249:CP262" si="234">(P249+Q249+S249)</f>
        <v>6154.88</v>
      </c>
      <c r="CQ249">
        <f t="shared" ref="CQ249:CQ262" si="235">ROUND((ROUND((AC249*AW249*1),2)*BC249),2)</f>
        <v>0</v>
      </c>
      <c r="CR249">
        <f>(ROUND((ROUND(((ET249)*AV249*1),2)*BB249),2)+ROUND((ROUND(((AE249-(EU249))*AV249*1),2)*BS249),2))</f>
        <v>0.12</v>
      </c>
      <c r="CS249">
        <f t="shared" ref="CS249:CS262" si="236">ROUND((ROUND((AE249*AV249*1),2)*BS249),2)</f>
        <v>0</v>
      </c>
      <c r="CT249">
        <f t="shared" ref="CT249:CT262" si="237">ROUND((ROUND((AF249*AV249*1),2)*BA249),2)</f>
        <v>3707.63</v>
      </c>
      <c r="CU249">
        <f t="shared" ref="CU249:CU262" si="238">AG249</f>
        <v>0</v>
      </c>
      <c r="CV249">
        <f t="shared" ref="CV249:CV262" si="239">(AH249*AV249)</f>
        <v>14.26</v>
      </c>
      <c r="CW249">
        <f t="shared" ref="CW249:CW262" si="240">AI249</f>
        <v>0</v>
      </c>
      <c r="CX249">
        <f t="shared" ref="CX249:CX262" si="241">AJ249</f>
        <v>0</v>
      </c>
      <c r="CY249">
        <f t="shared" ref="CY249:CY262" si="242">S249*(BZ249/100)</f>
        <v>4185.1959999999999</v>
      </c>
      <c r="CZ249">
        <f t="shared" ref="CZ249:CZ262" si="243">S249*(CA249/100)</f>
        <v>2523.4269999999997</v>
      </c>
      <c r="DC249" t="s">
        <v>3</v>
      </c>
      <c r="DD249" t="s">
        <v>3</v>
      </c>
      <c r="DE249" t="s">
        <v>3</v>
      </c>
      <c r="DF249" t="s">
        <v>3</v>
      </c>
      <c r="DG249" t="s">
        <v>3</v>
      </c>
      <c r="DH249" t="s">
        <v>3</v>
      </c>
      <c r="DI249" t="s">
        <v>3</v>
      </c>
      <c r="DJ249" t="s">
        <v>3</v>
      </c>
      <c r="DK249" t="s">
        <v>3</v>
      </c>
      <c r="DL249" t="s">
        <v>3</v>
      </c>
      <c r="DM249" t="s">
        <v>3</v>
      </c>
      <c r="DN249">
        <v>80</v>
      </c>
      <c r="DO249">
        <v>55</v>
      </c>
      <c r="DP249">
        <v>1</v>
      </c>
      <c r="DQ249">
        <v>1</v>
      </c>
      <c r="DU249">
        <v>1013</v>
      </c>
      <c r="DV249" t="s">
        <v>409</v>
      </c>
      <c r="DW249" t="s">
        <v>409</v>
      </c>
      <c r="DX249">
        <v>1</v>
      </c>
      <c r="DZ249" t="s">
        <v>3</v>
      </c>
      <c r="EA249" t="s">
        <v>3</v>
      </c>
      <c r="EB249" t="s">
        <v>3</v>
      </c>
      <c r="EC249" t="s">
        <v>3</v>
      </c>
      <c r="EE249">
        <v>43088517</v>
      </c>
      <c r="EF249">
        <v>60</v>
      </c>
      <c r="EG249" t="s">
        <v>40</v>
      </c>
      <c r="EH249">
        <v>0</v>
      </c>
      <c r="EI249" t="s">
        <v>3</v>
      </c>
      <c r="EJ249">
        <v>1</v>
      </c>
      <c r="EK249">
        <v>439</v>
      </c>
      <c r="EL249" t="s">
        <v>411</v>
      </c>
      <c r="EM249" t="s">
        <v>412</v>
      </c>
      <c r="EO249" t="s">
        <v>3</v>
      </c>
      <c r="EQ249">
        <v>0</v>
      </c>
      <c r="ER249">
        <v>145.76</v>
      </c>
      <c r="ES249">
        <v>0</v>
      </c>
      <c r="ET249">
        <v>0.02</v>
      </c>
      <c r="EU249">
        <v>0</v>
      </c>
      <c r="EV249">
        <v>145.74</v>
      </c>
      <c r="EW249">
        <v>14.26</v>
      </c>
      <c r="EX249">
        <v>0</v>
      </c>
      <c r="EY249">
        <v>0</v>
      </c>
      <c r="FQ249">
        <v>0</v>
      </c>
      <c r="FR249">
        <f t="shared" ref="FR249:FR262" si="244">ROUND(IF(AND(BH249=3,BI249=3),P249,0),2)</f>
        <v>0</v>
      </c>
      <c r="FS249">
        <v>0</v>
      </c>
      <c r="FX249">
        <v>80</v>
      </c>
      <c r="FY249">
        <v>55</v>
      </c>
      <c r="GA249" t="s">
        <v>3</v>
      </c>
      <c r="GD249">
        <v>0</v>
      </c>
      <c r="GF249">
        <v>332126455</v>
      </c>
      <c r="GG249">
        <v>2</v>
      </c>
      <c r="GH249">
        <v>1</v>
      </c>
      <c r="GI249">
        <v>2</v>
      </c>
      <c r="GJ249">
        <v>0</v>
      </c>
      <c r="GK249">
        <f>ROUND(R249*(R12)/100,2)</f>
        <v>0</v>
      </c>
      <c r="GL249">
        <f t="shared" ref="GL249:GL262" si="245">ROUND(IF(AND(BH249=3,BI249=3,FS249&lt;&gt;0),P249,0),2)</f>
        <v>0</v>
      </c>
      <c r="GM249">
        <f t="shared" ref="GM249:GM262" si="246">ROUND(O249+X249+Y249+GK249,2)+GX249</f>
        <v>12863.51</v>
      </c>
      <c r="GN249">
        <f t="shared" ref="GN249:GN262" si="247">IF(OR(BI249=0,BI249=1),ROUND(O249+X249+Y249+GK249,2),0)</f>
        <v>12863.51</v>
      </c>
      <c r="GO249">
        <f t="shared" ref="GO249:GO262" si="248">IF(BI249=2,ROUND(O249+X249+Y249+GK249,2),0)</f>
        <v>0</v>
      </c>
      <c r="GP249">
        <f t="shared" ref="GP249:GP262" si="249">IF(BI249=4,ROUND(O249+X249+Y249+GK249,2)+GX249,0)</f>
        <v>0</v>
      </c>
      <c r="GR249">
        <v>0</v>
      </c>
      <c r="GS249">
        <v>3</v>
      </c>
      <c r="GT249">
        <v>0</v>
      </c>
      <c r="GU249" t="s">
        <v>3</v>
      </c>
      <c r="GV249">
        <f t="shared" ref="GV249:GV262" si="250">ROUND((GT249),6)</f>
        <v>0</v>
      </c>
      <c r="GW249">
        <v>1</v>
      </c>
      <c r="GX249">
        <f t="shared" ref="GX249:GX262" si="251">ROUND(HC249*I249,2)</f>
        <v>0</v>
      </c>
      <c r="HA249">
        <v>0</v>
      </c>
      <c r="HB249">
        <v>0</v>
      </c>
      <c r="HC249">
        <f t="shared" ref="HC249:HC262" si="252">GV249*GW249</f>
        <v>0</v>
      </c>
      <c r="HE249" t="s">
        <v>3</v>
      </c>
      <c r="HF249" t="s">
        <v>3</v>
      </c>
      <c r="HM249" t="s">
        <v>3</v>
      </c>
      <c r="IK249">
        <v>0</v>
      </c>
    </row>
    <row r="250" spans="1:245" x14ac:dyDescent="0.2">
      <c r="A250">
        <v>17</v>
      </c>
      <c r="B250">
        <v>1</v>
      </c>
      <c r="C250">
        <f>ROW(SmtRes!A181)</f>
        <v>181</v>
      </c>
      <c r="D250">
        <f>ROW(EtalonRes!A176)</f>
        <v>176</v>
      </c>
      <c r="E250" t="s">
        <v>413</v>
      </c>
      <c r="F250" t="s">
        <v>357</v>
      </c>
      <c r="G250" t="s">
        <v>414</v>
      </c>
      <c r="H250" t="s">
        <v>358</v>
      </c>
      <c r="I250">
        <v>16.600000000000001</v>
      </c>
      <c r="J250">
        <v>0</v>
      </c>
      <c r="K250">
        <v>16.600000000000001</v>
      </c>
      <c r="O250">
        <f t="shared" si="220"/>
        <v>12117.07</v>
      </c>
      <c r="P250">
        <f t="shared" si="221"/>
        <v>0</v>
      </c>
      <c r="Q250">
        <f>(ROUND((ROUND((((ET250*1.25))*AV250*I250),2)*BB250),2)+ROUND((ROUND(((AE250-((EU250*1.25)))*AV250*I250),2)*BS250),2))</f>
        <v>0</v>
      </c>
      <c r="R250">
        <f t="shared" si="222"/>
        <v>0</v>
      </c>
      <c r="S250">
        <f t="shared" si="223"/>
        <v>12117.07</v>
      </c>
      <c r="T250">
        <f t="shared" si="224"/>
        <v>0</v>
      </c>
      <c r="U250">
        <f t="shared" si="225"/>
        <v>44.097900000000003</v>
      </c>
      <c r="V250">
        <f t="shared" si="226"/>
        <v>0</v>
      </c>
      <c r="W250">
        <f t="shared" si="227"/>
        <v>0</v>
      </c>
      <c r="X250">
        <f t="shared" si="228"/>
        <v>10905.36</v>
      </c>
      <c r="Y250">
        <f t="shared" si="229"/>
        <v>4968</v>
      </c>
      <c r="AA250">
        <v>42938047</v>
      </c>
      <c r="AB250">
        <f t="shared" si="230"/>
        <v>28.692499999999999</v>
      </c>
      <c r="AC250">
        <f t="shared" si="231"/>
        <v>0</v>
      </c>
      <c r="AD250">
        <f>ROUND(((((ET250*1.25))-((EU250*1.25)))+AE250),6)</f>
        <v>0</v>
      </c>
      <c r="AE250">
        <f>ROUND(((EU250*1.25)),6)</f>
        <v>0</v>
      </c>
      <c r="AF250">
        <f>ROUND(((EV250*1.15)),6)</f>
        <v>28.692499999999999</v>
      </c>
      <c r="AG250">
        <f t="shared" si="232"/>
        <v>0</v>
      </c>
      <c r="AH250">
        <f>((EW250*1.15))</f>
        <v>2.6564999999999999</v>
      </c>
      <c r="AI250">
        <f>((EX250*1.25))</f>
        <v>0</v>
      </c>
      <c r="AJ250">
        <f t="shared" si="233"/>
        <v>0</v>
      </c>
      <c r="AK250">
        <v>24.95</v>
      </c>
      <c r="AL250">
        <v>0</v>
      </c>
      <c r="AM250">
        <v>0</v>
      </c>
      <c r="AN250">
        <v>0</v>
      </c>
      <c r="AO250">
        <v>24.95</v>
      </c>
      <c r="AP250">
        <v>0</v>
      </c>
      <c r="AQ250">
        <v>2.31</v>
      </c>
      <c r="AR250">
        <v>0</v>
      </c>
      <c r="AS250">
        <v>0</v>
      </c>
      <c r="AT250">
        <v>90</v>
      </c>
      <c r="AU250">
        <v>41</v>
      </c>
      <c r="AV250">
        <v>1</v>
      </c>
      <c r="AW250">
        <v>1</v>
      </c>
      <c r="AZ250">
        <v>1</v>
      </c>
      <c r="BA250">
        <v>25.44</v>
      </c>
      <c r="BB250">
        <v>1</v>
      </c>
      <c r="BC250">
        <v>1</v>
      </c>
      <c r="BD250" t="s">
        <v>3</v>
      </c>
      <c r="BE250" t="s">
        <v>3</v>
      </c>
      <c r="BF250" t="s">
        <v>3</v>
      </c>
      <c r="BG250" t="s">
        <v>3</v>
      </c>
      <c r="BH250">
        <v>0</v>
      </c>
      <c r="BI250">
        <v>1</v>
      </c>
      <c r="BJ250" t="s">
        <v>359</v>
      </c>
      <c r="BM250">
        <v>295</v>
      </c>
      <c r="BN250">
        <v>0</v>
      </c>
      <c r="BO250" t="s">
        <v>357</v>
      </c>
      <c r="BP250">
        <v>1</v>
      </c>
      <c r="BQ250">
        <v>30</v>
      </c>
      <c r="BR250">
        <v>0</v>
      </c>
      <c r="BS250">
        <v>25.44</v>
      </c>
      <c r="BT250">
        <v>1</v>
      </c>
      <c r="BU250">
        <v>1</v>
      </c>
      <c r="BV250">
        <v>1</v>
      </c>
      <c r="BW250">
        <v>1</v>
      </c>
      <c r="BX250">
        <v>1</v>
      </c>
      <c r="BY250" t="s">
        <v>3</v>
      </c>
      <c r="BZ250">
        <v>90</v>
      </c>
      <c r="CA250">
        <v>41</v>
      </c>
      <c r="CB250" t="s">
        <v>3</v>
      </c>
      <c r="CE250">
        <v>30</v>
      </c>
      <c r="CF250">
        <v>0</v>
      </c>
      <c r="CG250">
        <v>0</v>
      </c>
      <c r="CM250">
        <v>0</v>
      </c>
      <c r="CN250" t="s">
        <v>1584</v>
      </c>
      <c r="CO250">
        <v>0</v>
      </c>
      <c r="CP250">
        <f t="shared" si="234"/>
        <v>12117.07</v>
      </c>
      <c r="CQ250">
        <f t="shared" si="235"/>
        <v>0</v>
      </c>
      <c r="CR250">
        <f>(ROUND((ROUND((((ET250*1.25))*AV250*1),2)*BB250),2)+ROUND((ROUND(((AE250-((EU250*1.25)))*AV250*1),2)*BS250),2))</f>
        <v>0</v>
      </c>
      <c r="CS250">
        <f t="shared" si="236"/>
        <v>0</v>
      </c>
      <c r="CT250">
        <f t="shared" si="237"/>
        <v>729.87</v>
      </c>
      <c r="CU250">
        <f t="shared" si="238"/>
        <v>0</v>
      </c>
      <c r="CV250">
        <f t="shared" si="239"/>
        <v>2.6564999999999999</v>
      </c>
      <c r="CW250">
        <f t="shared" si="240"/>
        <v>0</v>
      </c>
      <c r="CX250">
        <f t="shared" si="241"/>
        <v>0</v>
      </c>
      <c r="CY250">
        <f t="shared" si="242"/>
        <v>10905.362999999999</v>
      </c>
      <c r="CZ250">
        <f t="shared" si="243"/>
        <v>4967.9986999999992</v>
      </c>
      <c r="DC250" t="s">
        <v>3</v>
      </c>
      <c r="DD250" t="s">
        <v>3</v>
      </c>
      <c r="DE250" t="s">
        <v>20</v>
      </c>
      <c r="DF250" t="s">
        <v>20</v>
      </c>
      <c r="DG250" t="s">
        <v>21</v>
      </c>
      <c r="DH250" t="s">
        <v>3</v>
      </c>
      <c r="DI250" t="s">
        <v>21</v>
      </c>
      <c r="DJ250" t="s">
        <v>20</v>
      </c>
      <c r="DK250" t="s">
        <v>3</v>
      </c>
      <c r="DL250" t="s">
        <v>3</v>
      </c>
      <c r="DM250" t="s">
        <v>3</v>
      </c>
      <c r="DN250">
        <v>156</v>
      </c>
      <c r="DO250">
        <v>84</v>
      </c>
      <c r="DP250">
        <v>1</v>
      </c>
      <c r="DQ250">
        <v>1</v>
      </c>
      <c r="DU250">
        <v>1013</v>
      </c>
      <c r="DV250" t="s">
        <v>358</v>
      </c>
      <c r="DW250" t="s">
        <v>358</v>
      </c>
      <c r="DX250">
        <v>1</v>
      </c>
      <c r="DZ250" t="s">
        <v>3</v>
      </c>
      <c r="EA250" t="s">
        <v>3</v>
      </c>
      <c r="EB250" t="s">
        <v>3</v>
      </c>
      <c r="EC250" t="s">
        <v>3</v>
      </c>
      <c r="EE250">
        <v>43088373</v>
      </c>
      <c r="EF250">
        <v>30</v>
      </c>
      <c r="EG250" t="s">
        <v>22</v>
      </c>
      <c r="EH250">
        <v>0</v>
      </c>
      <c r="EI250" t="s">
        <v>3</v>
      </c>
      <c r="EJ250">
        <v>1</v>
      </c>
      <c r="EK250">
        <v>295</v>
      </c>
      <c r="EL250" t="s">
        <v>360</v>
      </c>
      <c r="EM250" t="s">
        <v>361</v>
      </c>
      <c r="EO250" t="s">
        <v>59</v>
      </c>
      <c r="EQ250">
        <v>0</v>
      </c>
      <c r="ER250">
        <v>24.95</v>
      </c>
      <c r="ES250">
        <v>0</v>
      </c>
      <c r="ET250">
        <v>0</v>
      </c>
      <c r="EU250">
        <v>0</v>
      </c>
      <c r="EV250">
        <v>24.95</v>
      </c>
      <c r="EW250">
        <v>2.31</v>
      </c>
      <c r="EX250">
        <v>0</v>
      </c>
      <c r="EY250">
        <v>0</v>
      </c>
      <c r="FQ250">
        <v>0</v>
      </c>
      <c r="FR250">
        <f t="shared" si="244"/>
        <v>0</v>
      </c>
      <c r="FS250">
        <v>0</v>
      </c>
      <c r="FX250">
        <v>156</v>
      </c>
      <c r="FY250">
        <v>84</v>
      </c>
      <c r="GA250" t="s">
        <v>3</v>
      </c>
      <c r="GD250">
        <v>0</v>
      </c>
      <c r="GF250">
        <v>253068748</v>
      </c>
      <c r="GG250">
        <v>2</v>
      </c>
      <c r="GH250">
        <v>1</v>
      </c>
      <c r="GI250">
        <v>2</v>
      </c>
      <c r="GJ250">
        <v>0</v>
      </c>
      <c r="GK250">
        <f>ROUND(R250*(R12)/100,2)</f>
        <v>0</v>
      </c>
      <c r="GL250">
        <f t="shared" si="245"/>
        <v>0</v>
      </c>
      <c r="GM250">
        <f t="shared" si="246"/>
        <v>27990.43</v>
      </c>
      <c r="GN250">
        <f t="shared" si="247"/>
        <v>27990.43</v>
      </c>
      <c r="GO250">
        <f t="shared" si="248"/>
        <v>0</v>
      </c>
      <c r="GP250">
        <f t="shared" si="249"/>
        <v>0</v>
      </c>
      <c r="GR250">
        <v>0</v>
      </c>
      <c r="GS250">
        <v>3</v>
      </c>
      <c r="GT250">
        <v>0</v>
      </c>
      <c r="GU250" t="s">
        <v>3</v>
      </c>
      <c r="GV250">
        <f t="shared" si="250"/>
        <v>0</v>
      </c>
      <c r="GW250">
        <v>1</v>
      </c>
      <c r="GX250">
        <f t="shared" si="251"/>
        <v>0</v>
      </c>
      <c r="HA250">
        <v>0</v>
      </c>
      <c r="HB250">
        <v>0</v>
      </c>
      <c r="HC250">
        <f t="shared" si="252"/>
        <v>0</v>
      </c>
      <c r="HE250" t="s">
        <v>3</v>
      </c>
      <c r="HF250" t="s">
        <v>3</v>
      </c>
      <c r="HM250" t="s">
        <v>3</v>
      </c>
      <c r="IK250">
        <v>0</v>
      </c>
    </row>
    <row r="251" spans="1:245" x14ac:dyDescent="0.2">
      <c r="A251">
        <v>17</v>
      </c>
      <c r="B251">
        <v>1</v>
      </c>
      <c r="C251">
        <f>ROW(SmtRes!A186)</f>
        <v>186</v>
      </c>
      <c r="D251">
        <f>ROW(EtalonRes!A181)</f>
        <v>181</v>
      </c>
      <c r="E251" t="s">
        <v>415</v>
      </c>
      <c r="F251" t="s">
        <v>111</v>
      </c>
      <c r="G251" t="s">
        <v>112</v>
      </c>
      <c r="H251" t="s">
        <v>113</v>
      </c>
      <c r="I251">
        <f>ROUND(166/1000,9)</f>
        <v>0.16600000000000001</v>
      </c>
      <c r="J251">
        <v>0</v>
      </c>
      <c r="K251">
        <f>ROUND(166/1000,9)</f>
        <v>0.16600000000000001</v>
      </c>
      <c r="O251">
        <f t="shared" si="220"/>
        <v>2607.5500000000002</v>
      </c>
      <c r="P251">
        <f t="shared" si="221"/>
        <v>0.53</v>
      </c>
      <c r="Q251">
        <f>(ROUND((ROUND((((ET251*1.25))*AV251*I251),2)*BB251),2)+ROUND((ROUND(((AE251-((EU251*1.25)))*AV251*I251),2)*BS251),2))</f>
        <v>1221.3</v>
      </c>
      <c r="R251">
        <f t="shared" si="222"/>
        <v>328.94</v>
      </c>
      <c r="S251">
        <f t="shared" si="223"/>
        <v>1385.72</v>
      </c>
      <c r="T251">
        <f t="shared" si="224"/>
        <v>0</v>
      </c>
      <c r="U251">
        <f t="shared" si="225"/>
        <v>5.2879299999999994</v>
      </c>
      <c r="V251">
        <f t="shared" si="226"/>
        <v>0</v>
      </c>
      <c r="W251">
        <f t="shared" si="227"/>
        <v>0</v>
      </c>
      <c r="X251">
        <f t="shared" si="228"/>
        <v>1552.01</v>
      </c>
      <c r="Y251">
        <f t="shared" si="229"/>
        <v>568.15</v>
      </c>
      <c r="AA251">
        <v>42938047</v>
      </c>
      <c r="AB251">
        <f t="shared" si="230"/>
        <v>1166.5340000000001</v>
      </c>
      <c r="AC251">
        <f t="shared" si="231"/>
        <v>0.49</v>
      </c>
      <c r="AD251">
        <f>ROUND(((((ET251*1.25))-((EU251*1.25)))+AE251),6)</f>
        <v>837.9375</v>
      </c>
      <c r="AE251">
        <f>ROUND(((EU251*1.25)),6)</f>
        <v>77.862499999999997</v>
      </c>
      <c r="AF251">
        <f>ROUND(((EV251*1.15)),6)</f>
        <v>328.10649999999998</v>
      </c>
      <c r="AG251">
        <f t="shared" si="232"/>
        <v>0</v>
      </c>
      <c r="AH251">
        <f>((EW251*1.15))</f>
        <v>31.854999999999997</v>
      </c>
      <c r="AI251">
        <f>((EX251*1.25))</f>
        <v>0</v>
      </c>
      <c r="AJ251">
        <f t="shared" si="233"/>
        <v>0</v>
      </c>
      <c r="AK251">
        <v>956.15</v>
      </c>
      <c r="AL251">
        <v>0.49</v>
      </c>
      <c r="AM251">
        <v>670.35</v>
      </c>
      <c r="AN251">
        <v>62.29</v>
      </c>
      <c r="AO251">
        <v>285.31</v>
      </c>
      <c r="AP251">
        <v>0</v>
      </c>
      <c r="AQ251">
        <v>27.7</v>
      </c>
      <c r="AR251">
        <v>0</v>
      </c>
      <c r="AS251">
        <v>0</v>
      </c>
      <c r="AT251">
        <v>112</v>
      </c>
      <c r="AU251">
        <v>41</v>
      </c>
      <c r="AV251">
        <v>1</v>
      </c>
      <c r="AW251">
        <v>1</v>
      </c>
      <c r="AZ251">
        <v>1</v>
      </c>
      <c r="BA251">
        <v>25.44</v>
      </c>
      <c r="BB251">
        <v>8.7799999999999994</v>
      </c>
      <c r="BC251">
        <v>6.57</v>
      </c>
      <c r="BD251" t="s">
        <v>3</v>
      </c>
      <c r="BE251" t="s">
        <v>3</v>
      </c>
      <c r="BF251" t="s">
        <v>3</v>
      </c>
      <c r="BG251" t="s">
        <v>3</v>
      </c>
      <c r="BH251">
        <v>0</v>
      </c>
      <c r="BI251">
        <v>1</v>
      </c>
      <c r="BJ251" t="s">
        <v>114</v>
      </c>
      <c r="BM251">
        <v>166</v>
      </c>
      <c r="BN251">
        <v>0</v>
      </c>
      <c r="BO251" t="s">
        <v>111</v>
      </c>
      <c r="BP251">
        <v>1</v>
      </c>
      <c r="BQ251">
        <v>30</v>
      </c>
      <c r="BR251">
        <v>0</v>
      </c>
      <c r="BS251">
        <v>25.44</v>
      </c>
      <c r="BT251">
        <v>1</v>
      </c>
      <c r="BU251">
        <v>1</v>
      </c>
      <c r="BV251">
        <v>1</v>
      </c>
      <c r="BW251">
        <v>1</v>
      </c>
      <c r="BX251">
        <v>1</v>
      </c>
      <c r="BY251" t="s">
        <v>3</v>
      </c>
      <c r="BZ251">
        <v>112</v>
      </c>
      <c r="CA251">
        <v>41</v>
      </c>
      <c r="CB251" t="s">
        <v>3</v>
      </c>
      <c r="CE251">
        <v>30</v>
      </c>
      <c r="CF251">
        <v>0</v>
      </c>
      <c r="CG251">
        <v>0</v>
      </c>
      <c r="CM251">
        <v>0</v>
      </c>
      <c r="CN251" t="s">
        <v>1584</v>
      </c>
      <c r="CO251">
        <v>0</v>
      </c>
      <c r="CP251">
        <f t="shared" si="234"/>
        <v>2607.5500000000002</v>
      </c>
      <c r="CQ251">
        <f t="shared" si="235"/>
        <v>3.22</v>
      </c>
      <c r="CR251">
        <f>(ROUND((ROUND((((ET251*1.25))*AV251*1),2)*BB251),2)+ROUND((ROUND(((AE251-((EU251*1.25)))*AV251*1),2)*BS251),2))</f>
        <v>7357.11</v>
      </c>
      <c r="CS251">
        <f t="shared" si="236"/>
        <v>1980.76</v>
      </c>
      <c r="CT251">
        <f t="shared" si="237"/>
        <v>8347.1200000000008</v>
      </c>
      <c r="CU251">
        <f t="shared" si="238"/>
        <v>0</v>
      </c>
      <c r="CV251">
        <f t="shared" si="239"/>
        <v>31.854999999999997</v>
      </c>
      <c r="CW251">
        <f t="shared" si="240"/>
        <v>0</v>
      </c>
      <c r="CX251">
        <f t="shared" si="241"/>
        <v>0</v>
      </c>
      <c r="CY251">
        <f t="shared" si="242"/>
        <v>1552.0064000000002</v>
      </c>
      <c r="CZ251">
        <f t="shared" si="243"/>
        <v>568.14519999999993</v>
      </c>
      <c r="DC251" t="s">
        <v>3</v>
      </c>
      <c r="DD251" t="s">
        <v>3</v>
      </c>
      <c r="DE251" t="s">
        <v>20</v>
      </c>
      <c r="DF251" t="s">
        <v>20</v>
      </c>
      <c r="DG251" t="s">
        <v>21</v>
      </c>
      <c r="DH251" t="s">
        <v>3</v>
      </c>
      <c r="DI251" t="s">
        <v>21</v>
      </c>
      <c r="DJ251" t="s">
        <v>20</v>
      </c>
      <c r="DK251" t="s">
        <v>3</v>
      </c>
      <c r="DL251" t="s">
        <v>3</v>
      </c>
      <c r="DM251" t="s">
        <v>3</v>
      </c>
      <c r="DN251">
        <v>140</v>
      </c>
      <c r="DO251">
        <v>79</v>
      </c>
      <c r="DP251">
        <v>1</v>
      </c>
      <c r="DQ251">
        <v>1</v>
      </c>
      <c r="DU251">
        <v>1005</v>
      </c>
      <c r="DV251" t="s">
        <v>113</v>
      </c>
      <c r="DW251" t="s">
        <v>113</v>
      </c>
      <c r="DX251">
        <v>1000</v>
      </c>
      <c r="DZ251" t="s">
        <v>3</v>
      </c>
      <c r="EA251" t="s">
        <v>3</v>
      </c>
      <c r="EB251" t="s">
        <v>3</v>
      </c>
      <c r="EC251" t="s">
        <v>3</v>
      </c>
      <c r="EE251">
        <v>43088244</v>
      </c>
      <c r="EF251">
        <v>30</v>
      </c>
      <c r="EG251" t="s">
        <v>22</v>
      </c>
      <c r="EH251">
        <v>0</v>
      </c>
      <c r="EI251" t="s">
        <v>3</v>
      </c>
      <c r="EJ251">
        <v>1</v>
      </c>
      <c r="EK251">
        <v>166</v>
      </c>
      <c r="EL251" t="s">
        <v>115</v>
      </c>
      <c r="EM251" t="s">
        <v>116</v>
      </c>
      <c r="EO251" t="s">
        <v>59</v>
      </c>
      <c r="EQ251">
        <v>0</v>
      </c>
      <c r="ER251">
        <v>956.15</v>
      </c>
      <c r="ES251">
        <v>0.49</v>
      </c>
      <c r="ET251">
        <v>670.35</v>
      </c>
      <c r="EU251">
        <v>62.29</v>
      </c>
      <c r="EV251">
        <v>285.31</v>
      </c>
      <c r="EW251">
        <v>27.7</v>
      </c>
      <c r="EX251">
        <v>0</v>
      </c>
      <c r="EY251">
        <v>0</v>
      </c>
      <c r="FQ251">
        <v>0</v>
      </c>
      <c r="FR251">
        <f t="shared" si="244"/>
        <v>0</v>
      </c>
      <c r="FS251">
        <v>0</v>
      </c>
      <c r="FX251">
        <v>140</v>
      </c>
      <c r="FY251">
        <v>79</v>
      </c>
      <c r="GA251" t="s">
        <v>3</v>
      </c>
      <c r="GD251">
        <v>0</v>
      </c>
      <c r="GF251">
        <v>-1588331883</v>
      </c>
      <c r="GG251">
        <v>2</v>
      </c>
      <c r="GH251">
        <v>1</v>
      </c>
      <c r="GI251">
        <v>2</v>
      </c>
      <c r="GJ251">
        <v>0</v>
      </c>
      <c r="GK251">
        <f>ROUND(R251*(R12)/100,2)</f>
        <v>516.44000000000005</v>
      </c>
      <c r="GL251">
        <f t="shared" si="245"/>
        <v>0</v>
      </c>
      <c r="GM251">
        <f t="shared" si="246"/>
        <v>5244.15</v>
      </c>
      <c r="GN251">
        <f t="shared" si="247"/>
        <v>5244.15</v>
      </c>
      <c r="GO251">
        <f t="shared" si="248"/>
        <v>0</v>
      </c>
      <c r="GP251">
        <f t="shared" si="249"/>
        <v>0</v>
      </c>
      <c r="GR251">
        <v>0</v>
      </c>
      <c r="GS251">
        <v>3</v>
      </c>
      <c r="GT251">
        <v>0</v>
      </c>
      <c r="GU251" t="s">
        <v>3</v>
      </c>
      <c r="GV251">
        <f t="shared" si="250"/>
        <v>0</v>
      </c>
      <c r="GW251">
        <v>1</v>
      </c>
      <c r="GX251">
        <f t="shared" si="251"/>
        <v>0</v>
      </c>
      <c r="HA251">
        <v>0</v>
      </c>
      <c r="HB251">
        <v>0</v>
      </c>
      <c r="HC251">
        <f t="shared" si="252"/>
        <v>0</v>
      </c>
      <c r="HE251" t="s">
        <v>3</v>
      </c>
      <c r="HF251" t="s">
        <v>3</v>
      </c>
      <c r="HM251" t="s">
        <v>3</v>
      </c>
      <c r="IK251">
        <v>0</v>
      </c>
    </row>
    <row r="252" spans="1:245" x14ac:dyDescent="0.2">
      <c r="A252">
        <v>18</v>
      </c>
      <c r="B252">
        <v>1</v>
      </c>
      <c r="C252">
        <v>185</v>
      </c>
      <c r="E252" t="s">
        <v>416</v>
      </c>
      <c r="F252" t="s">
        <v>294</v>
      </c>
      <c r="G252" t="s">
        <v>295</v>
      </c>
      <c r="H252" t="s">
        <v>120</v>
      </c>
      <c r="I252">
        <f>I251*J252</f>
        <v>166</v>
      </c>
      <c r="J252">
        <v>1000</v>
      </c>
      <c r="K252">
        <v>1000</v>
      </c>
      <c r="O252">
        <f t="shared" si="220"/>
        <v>9808.31</v>
      </c>
      <c r="P252">
        <f t="shared" si="221"/>
        <v>9808.31</v>
      </c>
      <c r="Q252">
        <f>(ROUND((ROUND(((ET252)*AV252*I252),2)*BB252),2)+ROUND((ROUND(((AE252-(EU252))*AV252*I252),2)*BS252),2))</f>
        <v>0</v>
      </c>
      <c r="R252">
        <f t="shared" si="222"/>
        <v>0</v>
      </c>
      <c r="S252">
        <f t="shared" si="223"/>
        <v>0</v>
      </c>
      <c r="T252">
        <f t="shared" si="224"/>
        <v>0</v>
      </c>
      <c r="U252">
        <f t="shared" si="225"/>
        <v>0</v>
      </c>
      <c r="V252">
        <f t="shared" si="226"/>
        <v>0</v>
      </c>
      <c r="W252">
        <f t="shared" si="227"/>
        <v>0</v>
      </c>
      <c r="X252">
        <f t="shared" si="228"/>
        <v>0</v>
      </c>
      <c r="Y252">
        <f t="shared" si="229"/>
        <v>0</v>
      </c>
      <c r="AA252">
        <v>42938047</v>
      </c>
      <c r="AB252">
        <f t="shared" si="230"/>
        <v>13.87</v>
      </c>
      <c r="AC252">
        <f t="shared" si="231"/>
        <v>13.87</v>
      </c>
      <c r="AD252">
        <f>ROUND((((ET252)-(EU252))+AE252),6)</f>
        <v>0</v>
      </c>
      <c r="AE252">
        <f>ROUND((EU252),6)</f>
        <v>0</v>
      </c>
      <c r="AF252">
        <f>ROUND((EV252),6)</f>
        <v>0</v>
      </c>
      <c r="AG252">
        <f t="shared" si="232"/>
        <v>0</v>
      </c>
      <c r="AH252">
        <f>(EW252)</f>
        <v>0</v>
      </c>
      <c r="AI252">
        <f>(EX252)</f>
        <v>0</v>
      </c>
      <c r="AJ252">
        <f t="shared" si="233"/>
        <v>0</v>
      </c>
      <c r="AK252">
        <v>13.87</v>
      </c>
      <c r="AL252">
        <v>13.87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1</v>
      </c>
      <c r="AW252">
        <v>1</v>
      </c>
      <c r="AZ252">
        <v>1</v>
      </c>
      <c r="BA252">
        <v>1</v>
      </c>
      <c r="BB252">
        <v>1</v>
      </c>
      <c r="BC252">
        <v>4.26</v>
      </c>
      <c r="BD252" t="s">
        <v>3</v>
      </c>
      <c r="BE252" t="s">
        <v>3</v>
      </c>
      <c r="BF252" t="s">
        <v>3</v>
      </c>
      <c r="BG252" t="s">
        <v>3</v>
      </c>
      <c r="BH252">
        <v>3</v>
      </c>
      <c r="BI252">
        <v>1</v>
      </c>
      <c r="BJ252" t="s">
        <v>296</v>
      </c>
      <c r="BM252">
        <v>166</v>
      </c>
      <c r="BN252">
        <v>0</v>
      </c>
      <c r="BO252" t="s">
        <v>294</v>
      </c>
      <c r="BP252">
        <v>1</v>
      </c>
      <c r="BQ252">
        <v>30</v>
      </c>
      <c r="BR252">
        <v>0</v>
      </c>
      <c r="BS252">
        <v>1</v>
      </c>
      <c r="BT252">
        <v>1</v>
      </c>
      <c r="BU252">
        <v>1</v>
      </c>
      <c r="BV252">
        <v>1</v>
      </c>
      <c r="BW252">
        <v>1</v>
      </c>
      <c r="BX252">
        <v>1</v>
      </c>
      <c r="BY252" t="s">
        <v>3</v>
      </c>
      <c r="BZ252">
        <v>0</v>
      </c>
      <c r="CA252">
        <v>0</v>
      </c>
      <c r="CB252" t="s">
        <v>3</v>
      </c>
      <c r="CE252">
        <v>30</v>
      </c>
      <c r="CF252">
        <v>0</v>
      </c>
      <c r="CG252">
        <v>0</v>
      </c>
      <c r="CM252">
        <v>0</v>
      </c>
      <c r="CN252" t="s">
        <v>3</v>
      </c>
      <c r="CO252">
        <v>0</v>
      </c>
      <c r="CP252">
        <f t="shared" si="234"/>
        <v>9808.31</v>
      </c>
      <c r="CQ252">
        <f t="shared" si="235"/>
        <v>59.09</v>
      </c>
      <c r="CR252">
        <f>(ROUND((ROUND(((ET252)*AV252*1),2)*BB252),2)+ROUND((ROUND(((AE252-(EU252))*AV252*1),2)*BS252),2))</f>
        <v>0</v>
      </c>
      <c r="CS252">
        <f t="shared" si="236"/>
        <v>0</v>
      </c>
      <c r="CT252">
        <f t="shared" si="237"/>
        <v>0</v>
      </c>
      <c r="CU252">
        <f t="shared" si="238"/>
        <v>0</v>
      </c>
      <c r="CV252">
        <f t="shared" si="239"/>
        <v>0</v>
      </c>
      <c r="CW252">
        <f t="shared" si="240"/>
        <v>0</v>
      </c>
      <c r="CX252">
        <f t="shared" si="241"/>
        <v>0</v>
      </c>
      <c r="CY252">
        <f t="shared" si="242"/>
        <v>0</v>
      </c>
      <c r="CZ252">
        <f t="shared" si="243"/>
        <v>0</v>
      </c>
      <c r="DC252" t="s">
        <v>3</v>
      </c>
      <c r="DD252" t="s">
        <v>3</v>
      </c>
      <c r="DE252" t="s">
        <v>3</v>
      </c>
      <c r="DF252" t="s">
        <v>3</v>
      </c>
      <c r="DG252" t="s">
        <v>3</v>
      </c>
      <c r="DH252" t="s">
        <v>3</v>
      </c>
      <c r="DI252" t="s">
        <v>3</v>
      </c>
      <c r="DJ252" t="s">
        <v>3</v>
      </c>
      <c r="DK252" t="s">
        <v>3</v>
      </c>
      <c r="DL252" t="s">
        <v>3</v>
      </c>
      <c r="DM252" t="s">
        <v>3</v>
      </c>
      <c r="DN252">
        <v>140</v>
      </c>
      <c r="DO252">
        <v>79</v>
      </c>
      <c r="DP252">
        <v>1</v>
      </c>
      <c r="DQ252">
        <v>1</v>
      </c>
      <c r="DU252">
        <v>1005</v>
      </c>
      <c r="DV252" t="s">
        <v>120</v>
      </c>
      <c r="DW252" t="s">
        <v>120</v>
      </c>
      <c r="DX252">
        <v>1</v>
      </c>
      <c r="DZ252" t="s">
        <v>3</v>
      </c>
      <c r="EA252" t="s">
        <v>3</v>
      </c>
      <c r="EB252" t="s">
        <v>3</v>
      </c>
      <c r="EC252" t="s">
        <v>3</v>
      </c>
      <c r="EE252">
        <v>43088244</v>
      </c>
      <c r="EF252">
        <v>30</v>
      </c>
      <c r="EG252" t="s">
        <v>22</v>
      </c>
      <c r="EH252">
        <v>0</v>
      </c>
      <c r="EI252" t="s">
        <v>3</v>
      </c>
      <c r="EJ252">
        <v>1</v>
      </c>
      <c r="EK252">
        <v>166</v>
      </c>
      <c r="EL252" t="s">
        <v>115</v>
      </c>
      <c r="EM252" t="s">
        <v>116</v>
      </c>
      <c r="EO252" t="s">
        <v>3</v>
      </c>
      <c r="EQ252">
        <v>0</v>
      </c>
      <c r="ER252">
        <v>13.87</v>
      </c>
      <c r="ES252">
        <v>13.87</v>
      </c>
      <c r="ET252">
        <v>0</v>
      </c>
      <c r="EU252">
        <v>0</v>
      </c>
      <c r="EV252">
        <v>0</v>
      </c>
      <c r="EW252">
        <v>0</v>
      </c>
      <c r="EX252">
        <v>0</v>
      </c>
      <c r="FQ252">
        <v>0</v>
      </c>
      <c r="FR252">
        <f t="shared" si="244"/>
        <v>0</v>
      </c>
      <c r="FS252">
        <v>0</v>
      </c>
      <c r="FX252">
        <v>140</v>
      </c>
      <c r="FY252">
        <v>79</v>
      </c>
      <c r="GA252" t="s">
        <v>3</v>
      </c>
      <c r="GD252">
        <v>0</v>
      </c>
      <c r="GF252">
        <v>544087257</v>
      </c>
      <c r="GG252">
        <v>2</v>
      </c>
      <c r="GH252">
        <v>1</v>
      </c>
      <c r="GI252">
        <v>2</v>
      </c>
      <c r="GJ252">
        <v>0</v>
      </c>
      <c r="GK252">
        <f>ROUND(R252*(R12)/100,2)</f>
        <v>0</v>
      </c>
      <c r="GL252">
        <f t="shared" si="245"/>
        <v>0</v>
      </c>
      <c r="GM252">
        <f t="shared" si="246"/>
        <v>9808.31</v>
      </c>
      <c r="GN252">
        <f t="shared" si="247"/>
        <v>9808.31</v>
      </c>
      <c r="GO252">
        <f t="shared" si="248"/>
        <v>0</v>
      </c>
      <c r="GP252">
        <f t="shared" si="249"/>
        <v>0</v>
      </c>
      <c r="GR252">
        <v>0</v>
      </c>
      <c r="GS252">
        <v>3</v>
      </c>
      <c r="GT252">
        <v>0</v>
      </c>
      <c r="GU252" t="s">
        <v>3</v>
      </c>
      <c r="GV252">
        <f t="shared" si="250"/>
        <v>0</v>
      </c>
      <c r="GW252">
        <v>1</v>
      </c>
      <c r="GX252">
        <f t="shared" si="251"/>
        <v>0</v>
      </c>
      <c r="HA252">
        <v>0</v>
      </c>
      <c r="HB252">
        <v>0</v>
      </c>
      <c r="HC252">
        <f t="shared" si="252"/>
        <v>0</v>
      </c>
      <c r="HE252" t="s">
        <v>3</v>
      </c>
      <c r="HF252" t="s">
        <v>3</v>
      </c>
      <c r="HM252" t="s">
        <v>3</v>
      </c>
      <c r="IK252">
        <v>0</v>
      </c>
    </row>
    <row r="253" spans="1:245" x14ac:dyDescent="0.2">
      <c r="A253">
        <v>17</v>
      </c>
      <c r="B253">
        <v>1</v>
      </c>
      <c r="C253">
        <f>ROW(SmtRes!A191)</f>
        <v>191</v>
      </c>
      <c r="D253">
        <f>ROW(EtalonRes!A186)</f>
        <v>186</v>
      </c>
      <c r="E253" t="s">
        <v>417</v>
      </c>
      <c r="F253" t="s">
        <v>365</v>
      </c>
      <c r="G253" t="s">
        <v>366</v>
      </c>
      <c r="H253" t="s">
        <v>367</v>
      </c>
      <c r="I253">
        <f>ROUND(147/100,9)</f>
        <v>1.47</v>
      </c>
      <c r="J253">
        <v>0</v>
      </c>
      <c r="K253">
        <f>ROUND(147/100,9)</f>
        <v>1.47</v>
      </c>
      <c r="O253">
        <f t="shared" si="220"/>
        <v>3849.44</v>
      </c>
      <c r="P253">
        <f t="shared" si="221"/>
        <v>56.31</v>
      </c>
      <c r="Q253">
        <f>(ROUND((ROUND((((ET253*1.25))*AV253*I253),2)*BB253),2)+ROUND((ROUND(((AE253-((EU253*1.25)))*AV253*I253),2)*BS253),2))</f>
        <v>114.76</v>
      </c>
      <c r="R253">
        <f t="shared" si="222"/>
        <v>65.89</v>
      </c>
      <c r="S253">
        <f t="shared" si="223"/>
        <v>3678.37</v>
      </c>
      <c r="T253">
        <f t="shared" si="224"/>
        <v>0</v>
      </c>
      <c r="U253">
        <f t="shared" si="225"/>
        <v>12.932324999999999</v>
      </c>
      <c r="V253">
        <f t="shared" si="226"/>
        <v>0</v>
      </c>
      <c r="W253">
        <f t="shared" si="227"/>
        <v>0</v>
      </c>
      <c r="X253">
        <f t="shared" si="228"/>
        <v>3126.61</v>
      </c>
      <c r="Y253">
        <f t="shared" si="229"/>
        <v>1508.13</v>
      </c>
      <c r="AA253">
        <v>42938047</v>
      </c>
      <c r="AB253">
        <f t="shared" si="230"/>
        <v>110.6495</v>
      </c>
      <c r="AC253">
        <f t="shared" si="231"/>
        <v>4.84</v>
      </c>
      <c r="AD253">
        <f>ROUND(((((ET253*1.25))-((EU253*1.25)))+AE253),6)</f>
        <v>7.45</v>
      </c>
      <c r="AE253">
        <f>ROUND(((EU253*1.25)),6)</f>
        <v>1.7625</v>
      </c>
      <c r="AF253">
        <f>ROUND(((EV253*1.15)),6)</f>
        <v>98.359499999999997</v>
      </c>
      <c r="AG253">
        <f t="shared" si="232"/>
        <v>0</v>
      </c>
      <c r="AH253">
        <f>((EW253*1.15))</f>
        <v>8.7974999999999994</v>
      </c>
      <c r="AI253">
        <f>((EX253*1.25))</f>
        <v>0</v>
      </c>
      <c r="AJ253">
        <f t="shared" si="233"/>
        <v>0</v>
      </c>
      <c r="AK253">
        <v>96.33</v>
      </c>
      <c r="AL253">
        <v>4.84</v>
      </c>
      <c r="AM253">
        <v>5.96</v>
      </c>
      <c r="AN253">
        <v>1.41</v>
      </c>
      <c r="AO253">
        <v>85.53</v>
      </c>
      <c r="AP253">
        <v>0</v>
      </c>
      <c r="AQ253">
        <v>7.65</v>
      </c>
      <c r="AR253">
        <v>0</v>
      </c>
      <c r="AS253">
        <v>0</v>
      </c>
      <c r="AT253">
        <v>85</v>
      </c>
      <c r="AU253">
        <v>41</v>
      </c>
      <c r="AV253">
        <v>1</v>
      </c>
      <c r="AW253">
        <v>1</v>
      </c>
      <c r="AZ253">
        <v>1</v>
      </c>
      <c r="BA253">
        <v>25.44</v>
      </c>
      <c r="BB253">
        <v>10.48</v>
      </c>
      <c r="BC253">
        <v>7.92</v>
      </c>
      <c r="BD253" t="s">
        <v>3</v>
      </c>
      <c r="BE253" t="s">
        <v>3</v>
      </c>
      <c r="BF253" t="s">
        <v>3</v>
      </c>
      <c r="BG253" t="s">
        <v>3</v>
      </c>
      <c r="BH253">
        <v>0</v>
      </c>
      <c r="BI253">
        <v>1</v>
      </c>
      <c r="BJ253" t="s">
        <v>368</v>
      </c>
      <c r="BM253">
        <v>91</v>
      </c>
      <c r="BN253">
        <v>0</v>
      </c>
      <c r="BO253" t="s">
        <v>365</v>
      </c>
      <c r="BP253">
        <v>1</v>
      </c>
      <c r="BQ253">
        <v>30</v>
      </c>
      <c r="BR253">
        <v>0</v>
      </c>
      <c r="BS253">
        <v>25.44</v>
      </c>
      <c r="BT253">
        <v>1</v>
      </c>
      <c r="BU253">
        <v>1</v>
      </c>
      <c r="BV253">
        <v>1</v>
      </c>
      <c r="BW253">
        <v>1</v>
      </c>
      <c r="BX253">
        <v>1</v>
      </c>
      <c r="BY253" t="s">
        <v>3</v>
      </c>
      <c r="BZ253">
        <v>85</v>
      </c>
      <c r="CA253">
        <v>41</v>
      </c>
      <c r="CB253" t="s">
        <v>3</v>
      </c>
      <c r="CE253">
        <v>30</v>
      </c>
      <c r="CF253">
        <v>0</v>
      </c>
      <c r="CG253">
        <v>0</v>
      </c>
      <c r="CM253">
        <v>0</v>
      </c>
      <c r="CN253" t="s">
        <v>1584</v>
      </c>
      <c r="CO253">
        <v>0</v>
      </c>
      <c r="CP253">
        <f t="shared" si="234"/>
        <v>3849.44</v>
      </c>
      <c r="CQ253">
        <f t="shared" si="235"/>
        <v>38.33</v>
      </c>
      <c r="CR253">
        <f>(ROUND((ROUND((((ET253*1.25))*AV253*1),2)*BB253),2)+ROUND((ROUND(((AE253-((EU253*1.25)))*AV253*1),2)*BS253),2))</f>
        <v>78.08</v>
      </c>
      <c r="CS253">
        <f t="shared" si="236"/>
        <v>44.77</v>
      </c>
      <c r="CT253">
        <f t="shared" si="237"/>
        <v>2502.2800000000002</v>
      </c>
      <c r="CU253">
        <f t="shared" si="238"/>
        <v>0</v>
      </c>
      <c r="CV253">
        <f t="shared" si="239"/>
        <v>8.7974999999999994</v>
      </c>
      <c r="CW253">
        <f t="shared" si="240"/>
        <v>0</v>
      </c>
      <c r="CX253">
        <f t="shared" si="241"/>
        <v>0</v>
      </c>
      <c r="CY253">
        <f t="shared" si="242"/>
        <v>3126.6144999999997</v>
      </c>
      <c r="CZ253">
        <f t="shared" si="243"/>
        <v>1508.1316999999999</v>
      </c>
      <c r="DC253" t="s">
        <v>3</v>
      </c>
      <c r="DD253" t="s">
        <v>3</v>
      </c>
      <c r="DE253" t="s">
        <v>20</v>
      </c>
      <c r="DF253" t="s">
        <v>20</v>
      </c>
      <c r="DG253" t="s">
        <v>21</v>
      </c>
      <c r="DH253" t="s">
        <v>3</v>
      </c>
      <c r="DI253" t="s">
        <v>21</v>
      </c>
      <c r="DJ253" t="s">
        <v>20</v>
      </c>
      <c r="DK253" t="s">
        <v>3</v>
      </c>
      <c r="DL253" t="s">
        <v>3</v>
      </c>
      <c r="DM253" t="s">
        <v>3</v>
      </c>
      <c r="DN253">
        <v>104</v>
      </c>
      <c r="DO253">
        <v>70</v>
      </c>
      <c r="DP253">
        <v>1</v>
      </c>
      <c r="DQ253">
        <v>1</v>
      </c>
      <c r="DU253">
        <v>1013</v>
      </c>
      <c r="DV253" t="s">
        <v>367</v>
      </c>
      <c r="DW253" t="s">
        <v>367</v>
      </c>
      <c r="DX253">
        <v>1</v>
      </c>
      <c r="DZ253" t="s">
        <v>3</v>
      </c>
      <c r="EA253" t="s">
        <v>3</v>
      </c>
      <c r="EB253" t="s">
        <v>3</v>
      </c>
      <c r="EC253" t="s">
        <v>3</v>
      </c>
      <c r="EE253">
        <v>43088169</v>
      </c>
      <c r="EF253">
        <v>30</v>
      </c>
      <c r="EG253" t="s">
        <v>22</v>
      </c>
      <c r="EH253">
        <v>0</v>
      </c>
      <c r="EI253" t="s">
        <v>3</v>
      </c>
      <c r="EJ253">
        <v>1</v>
      </c>
      <c r="EK253">
        <v>91</v>
      </c>
      <c r="EL253" t="s">
        <v>369</v>
      </c>
      <c r="EM253" t="s">
        <v>370</v>
      </c>
      <c r="EO253" t="s">
        <v>59</v>
      </c>
      <c r="EQ253">
        <v>0</v>
      </c>
      <c r="ER253">
        <v>96.33</v>
      </c>
      <c r="ES253">
        <v>4.84</v>
      </c>
      <c r="ET253">
        <v>5.96</v>
      </c>
      <c r="EU253">
        <v>1.41</v>
      </c>
      <c r="EV253">
        <v>85.53</v>
      </c>
      <c r="EW253">
        <v>7.65</v>
      </c>
      <c r="EX253">
        <v>0</v>
      </c>
      <c r="EY253">
        <v>0</v>
      </c>
      <c r="FQ253">
        <v>0</v>
      </c>
      <c r="FR253">
        <f t="shared" si="244"/>
        <v>0</v>
      </c>
      <c r="FS253">
        <v>0</v>
      </c>
      <c r="FX253">
        <v>104</v>
      </c>
      <c r="FY253">
        <v>70</v>
      </c>
      <c r="GA253" t="s">
        <v>3</v>
      </c>
      <c r="GD253">
        <v>0</v>
      </c>
      <c r="GF253">
        <v>-1274525647</v>
      </c>
      <c r="GG253">
        <v>2</v>
      </c>
      <c r="GH253">
        <v>1</v>
      </c>
      <c r="GI253">
        <v>2</v>
      </c>
      <c r="GJ253">
        <v>0</v>
      </c>
      <c r="GK253">
        <f>ROUND(R253*(R12)/100,2)</f>
        <v>103.45</v>
      </c>
      <c r="GL253">
        <f t="shared" si="245"/>
        <v>0</v>
      </c>
      <c r="GM253">
        <f t="shared" si="246"/>
        <v>8587.6299999999992</v>
      </c>
      <c r="GN253">
        <f t="shared" si="247"/>
        <v>8587.6299999999992</v>
      </c>
      <c r="GO253">
        <f t="shared" si="248"/>
        <v>0</v>
      </c>
      <c r="GP253">
        <f t="shared" si="249"/>
        <v>0</v>
      </c>
      <c r="GR253">
        <v>0</v>
      </c>
      <c r="GS253">
        <v>3</v>
      </c>
      <c r="GT253">
        <v>0</v>
      </c>
      <c r="GU253" t="s">
        <v>3</v>
      </c>
      <c r="GV253">
        <f t="shared" si="250"/>
        <v>0</v>
      </c>
      <c r="GW253">
        <v>1</v>
      </c>
      <c r="GX253">
        <f t="shared" si="251"/>
        <v>0</v>
      </c>
      <c r="HA253">
        <v>0</v>
      </c>
      <c r="HB253">
        <v>0</v>
      </c>
      <c r="HC253">
        <f t="shared" si="252"/>
        <v>0</v>
      </c>
      <c r="HE253" t="s">
        <v>3</v>
      </c>
      <c r="HF253" t="s">
        <v>3</v>
      </c>
      <c r="HM253" t="s">
        <v>3</v>
      </c>
      <c r="IK253">
        <v>0</v>
      </c>
    </row>
    <row r="254" spans="1:245" x14ac:dyDescent="0.2">
      <c r="A254">
        <v>18</v>
      </c>
      <c r="B254">
        <v>1</v>
      </c>
      <c r="C254">
        <v>189</v>
      </c>
      <c r="E254" t="s">
        <v>418</v>
      </c>
      <c r="F254" t="s">
        <v>372</v>
      </c>
      <c r="G254" t="s">
        <v>373</v>
      </c>
      <c r="H254" t="s">
        <v>104</v>
      </c>
      <c r="I254">
        <f>I253*J254</f>
        <v>-6.1700000000000004E-4</v>
      </c>
      <c r="J254">
        <v>-4.1972789115646259E-4</v>
      </c>
      <c r="K254">
        <v>-4.2000000000000002E-4</v>
      </c>
      <c r="O254">
        <f t="shared" si="220"/>
        <v>-35.979999999999997</v>
      </c>
      <c r="P254">
        <f t="shared" si="221"/>
        <v>-35.979999999999997</v>
      </c>
      <c r="Q254">
        <f>(ROUND((ROUND(((ET254)*AV254*I254),2)*BB254),2)+ROUND((ROUND(((AE254-(EU254))*AV254*I254),2)*BS254),2))</f>
        <v>0</v>
      </c>
      <c r="R254">
        <f t="shared" si="222"/>
        <v>0</v>
      </c>
      <c r="S254">
        <f t="shared" si="223"/>
        <v>0</v>
      </c>
      <c r="T254">
        <f t="shared" si="224"/>
        <v>0</v>
      </c>
      <c r="U254">
        <f t="shared" si="225"/>
        <v>0</v>
      </c>
      <c r="V254">
        <f t="shared" si="226"/>
        <v>0</v>
      </c>
      <c r="W254">
        <f t="shared" si="227"/>
        <v>0</v>
      </c>
      <c r="X254">
        <f t="shared" si="228"/>
        <v>0</v>
      </c>
      <c r="Y254">
        <f t="shared" si="229"/>
        <v>0</v>
      </c>
      <c r="AA254">
        <v>42938047</v>
      </c>
      <c r="AB254">
        <f t="shared" si="230"/>
        <v>6521.42</v>
      </c>
      <c r="AC254">
        <f t="shared" si="231"/>
        <v>6521.42</v>
      </c>
      <c r="AD254">
        <f>ROUND((((ET254)-(EU254))+AE254),6)</f>
        <v>0</v>
      </c>
      <c r="AE254">
        <f t="shared" ref="AE254:AF256" si="253">ROUND((EU254),6)</f>
        <v>0</v>
      </c>
      <c r="AF254">
        <f t="shared" si="253"/>
        <v>0</v>
      </c>
      <c r="AG254">
        <f t="shared" si="232"/>
        <v>0</v>
      </c>
      <c r="AH254">
        <f t="shared" ref="AH254:AI256" si="254">(EW254)</f>
        <v>0</v>
      </c>
      <c r="AI254">
        <f t="shared" si="254"/>
        <v>0</v>
      </c>
      <c r="AJ254">
        <f t="shared" si="233"/>
        <v>0</v>
      </c>
      <c r="AK254">
        <v>6521.42</v>
      </c>
      <c r="AL254">
        <v>6521.42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1</v>
      </c>
      <c r="AW254">
        <v>1</v>
      </c>
      <c r="AZ254">
        <v>1</v>
      </c>
      <c r="BA254">
        <v>1</v>
      </c>
      <c r="BB254">
        <v>1</v>
      </c>
      <c r="BC254">
        <v>8.9499999999999993</v>
      </c>
      <c r="BD254" t="s">
        <v>3</v>
      </c>
      <c r="BE254" t="s">
        <v>3</v>
      </c>
      <c r="BF254" t="s">
        <v>3</v>
      </c>
      <c r="BG254" t="s">
        <v>3</v>
      </c>
      <c r="BH254">
        <v>3</v>
      </c>
      <c r="BI254">
        <v>1</v>
      </c>
      <c r="BJ254" t="s">
        <v>374</v>
      </c>
      <c r="BM254">
        <v>91</v>
      </c>
      <c r="BN254">
        <v>0</v>
      </c>
      <c r="BO254" t="s">
        <v>372</v>
      </c>
      <c r="BP254">
        <v>1</v>
      </c>
      <c r="BQ254">
        <v>30</v>
      </c>
      <c r="BR254">
        <v>1</v>
      </c>
      <c r="BS254">
        <v>1</v>
      </c>
      <c r="BT254">
        <v>1</v>
      </c>
      <c r="BU254">
        <v>1</v>
      </c>
      <c r="BV254">
        <v>1</v>
      </c>
      <c r="BW254">
        <v>1</v>
      </c>
      <c r="BX254">
        <v>1</v>
      </c>
      <c r="BY254" t="s">
        <v>3</v>
      </c>
      <c r="BZ254">
        <v>0</v>
      </c>
      <c r="CA254">
        <v>0</v>
      </c>
      <c r="CB254" t="s">
        <v>3</v>
      </c>
      <c r="CE254">
        <v>30</v>
      </c>
      <c r="CF254">
        <v>0</v>
      </c>
      <c r="CG254">
        <v>0</v>
      </c>
      <c r="CM254">
        <v>0</v>
      </c>
      <c r="CN254" t="s">
        <v>3</v>
      </c>
      <c r="CO254">
        <v>0</v>
      </c>
      <c r="CP254">
        <f t="shared" si="234"/>
        <v>-35.979999999999997</v>
      </c>
      <c r="CQ254">
        <f t="shared" si="235"/>
        <v>58366.71</v>
      </c>
      <c r="CR254">
        <f>(ROUND((ROUND(((ET254)*AV254*1),2)*BB254),2)+ROUND((ROUND(((AE254-(EU254))*AV254*1),2)*BS254),2))</f>
        <v>0</v>
      </c>
      <c r="CS254">
        <f t="shared" si="236"/>
        <v>0</v>
      </c>
      <c r="CT254">
        <f t="shared" si="237"/>
        <v>0</v>
      </c>
      <c r="CU254">
        <f t="shared" si="238"/>
        <v>0</v>
      </c>
      <c r="CV254">
        <f t="shared" si="239"/>
        <v>0</v>
      </c>
      <c r="CW254">
        <f t="shared" si="240"/>
        <v>0</v>
      </c>
      <c r="CX254">
        <f t="shared" si="241"/>
        <v>0</v>
      </c>
      <c r="CY254">
        <f t="shared" si="242"/>
        <v>0</v>
      </c>
      <c r="CZ254">
        <f t="shared" si="243"/>
        <v>0</v>
      </c>
      <c r="DC254" t="s">
        <v>3</v>
      </c>
      <c r="DD254" t="s">
        <v>3</v>
      </c>
      <c r="DE254" t="s">
        <v>3</v>
      </c>
      <c r="DF254" t="s">
        <v>3</v>
      </c>
      <c r="DG254" t="s">
        <v>3</v>
      </c>
      <c r="DH254" t="s">
        <v>3</v>
      </c>
      <c r="DI254" t="s">
        <v>3</v>
      </c>
      <c r="DJ254" t="s">
        <v>3</v>
      </c>
      <c r="DK254" t="s">
        <v>3</v>
      </c>
      <c r="DL254" t="s">
        <v>3</v>
      </c>
      <c r="DM254" t="s">
        <v>3</v>
      </c>
      <c r="DN254">
        <v>104</v>
      </c>
      <c r="DO254">
        <v>70</v>
      </c>
      <c r="DP254">
        <v>1</v>
      </c>
      <c r="DQ254">
        <v>1</v>
      </c>
      <c r="DU254">
        <v>1009</v>
      </c>
      <c r="DV254" t="s">
        <v>104</v>
      </c>
      <c r="DW254" t="s">
        <v>104</v>
      </c>
      <c r="DX254">
        <v>1000</v>
      </c>
      <c r="DZ254" t="s">
        <v>3</v>
      </c>
      <c r="EA254" t="s">
        <v>3</v>
      </c>
      <c r="EB254" t="s">
        <v>3</v>
      </c>
      <c r="EC254" t="s">
        <v>3</v>
      </c>
      <c r="EE254">
        <v>43088169</v>
      </c>
      <c r="EF254">
        <v>30</v>
      </c>
      <c r="EG254" t="s">
        <v>22</v>
      </c>
      <c r="EH254">
        <v>0</v>
      </c>
      <c r="EI254" t="s">
        <v>3</v>
      </c>
      <c r="EJ254">
        <v>1</v>
      </c>
      <c r="EK254">
        <v>91</v>
      </c>
      <c r="EL254" t="s">
        <v>369</v>
      </c>
      <c r="EM254" t="s">
        <v>370</v>
      </c>
      <c r="EO254" t="s">
        <v>3</v>
      </c>
      <c r="EQ254">
        <v>32768</v>
      </c>
      <c r="ER254">
        <v>6521.42</v>
      </c>
      <c r="ES254">
        <v>6521.42</v>
      </c>
      <c r="ET254">
        <v>0</v>
      </c>
      <c r="EU254">
        <v>0</v>
      </c>
      <c r="EV254">
        <v>0</v>
      </c>
      <c r="EW254">
        <v>0</v>
      </c>
      <c r="EX254">
        <v>0</v>
      </c>
      <c r="FQ254">
        <v>0</v>
      </c>
      <c r="FR254">
        <f t="shared" si="244"/>
        <v>0</v>
      </c>
      <c r="FS254">
        <v>0</v>
      </c>
      <c r="FX254">
        <v>104</v>
      </c>
      <c r="FY254">
        <v>70</v>
      </c>
      <c r="GA254" t="s">
        <v>3</v>
      </c>
      <c r="GD254">
        <v>0</v>
      </c>
      <c r="GF254">
        <v>563176784</v>
      </c>
      <c r="GG254">
        <v>2</v>
      </c>
      <c r="GH254">
        <v>1</v>
      </c>
      <c r="GI254">
        <v>2</v>
      </c>
      <c r="GJ254">
        <v>0</v>
      </c>
      <c r="GK254">
        <f>ROUND(R254*(R12)/100,2)</f>
        <v>0</v>
      </c>
      <c r="GL254">
        <f t="shared" si="245"/>
        <v>0</v>
      </c>
      <c r="GM254">
        <f t="shared" si="246"/>
        <v>-35.979999999999997</v>
      </c>
      <c r="GN254">
        <f t="shared" si="247"/>
        <v>-35.979999999999997</v>
      </c>
      <c r="GO254">
        <f t="shared" si="248"/>
        <v>0</v>
      </c>
      <c r="GP254">
        <f t="shared" si="249"/>
        <v>0</v>
      </c>
      <c r="GR254">
        <v>0</v>
      </c>
      <c r="GS254">
        <v>3</v>
      </c>
      <c r="GT254">
        <v>0</v>
      </c>
      <c r="GU254" t="s">
        <v>3</v>
      </c>
      <c r="GV254">
        <f t="shared" si="250"/>
        <v>0</v>
      </c>
      <c r="GW254">
        <v>1</v>
      </c>
      <c r="GX254">
        <f t="shared" si="251"/>
        <v>0</v>
      </c>
      <c r="HA254">
        <v>0</v>
      </c>
      <c r="HB254">
        <v>0</v>
      </c>
      <c r="HC254">
        <f t="shared" si="252"/>
        <v>0</v>
      </c>
      <c r="HE254" t="s">
        <v>3</v>
      </c>
      <c r="HF254" t="s">
        <v>3</v>
      </c>
      <c r="HM254" t="s">
        <v>3</v>
      </c>
      <c r="IK254">
        <v>0</v>
      </c>
    </row>
    <row r="255" spans="1:245" x14ac:dyDescent="0.2">
      <c r="A255">
        <v>18</v>
      </c>
      <c r="B255">
        <v>1</v>
      </c>
      <c r="C255">
        <v>190</v>
      </c>
      <c r="E255" t="s">
        <v>419</v>
      </c>
      <c r="F255" t="s">
        <v>118</v>
      </c>
      <c r="G255" t="s">
        <v>376</v>
      </c>
      <c r="H255" t="s">
        <v>136</v>
      </c>
      <c r="I255">
        <f>I253*J255</f>
        <v>149</v>
      </c>
      <c r="J255">
        <v>101.36054421768708</v>
      </c>
      <c r="K255">
        <v>101.360544</v>
      </c>
      <c r="O255">
        <f t="shared" si="220"/>
        <v>27432.93</v>
      </c>
      <c r="P255">
        <f t="shared" si="221"/>
        <v>27432.93</v>
      </c>
      <c r="Q255">
        <f>(ROUND((ROUND(((ET255)*AV255*I255),2)*BB255),2)+ROUND((ROUND(((AE255-(EU255))*AV255*I255),2)*BS255),2))</f>
        <v>0</v>
      </c>
      <c r="R255">
        <f t="shared" si="222"/>
        <v>0</v>
      </c>
      <c r="S255">
        <f t="shared" si="223"/>
        <v>0</v>
      </c>
      <c r="T255">
        <f t="shared" si="224"/>
        <v>0</v>
      </c>
      <c r="U255">
        <f t="shared" si="225"/>
        <v>0</v>
      </c>
      <c r="V255">
        <f t="shared" si="226"/>
        <v>0</v>
      </c>
      <c r="W255">
        <f t="shared" si="227"/>
        <v>0</v>
      </c>
      <c r="X255">
        <f t="shared" si="228"/>
        <v>0</v>
      </c>
      <c r="Y255">
        <f t="shared" si="229"/>
        <v>0</v>
      </c>
      <c r="AA255">
        <v>42938047</v>
      </c>
      <c r="AB255">
        <f t="shared" si="230"/>
        <v>29.04</v>
      </c>
      <c r="AC255">
        <f t="shared" si="231"/>
        <v>29.04</v>
      </c>
      <c r="AD255">
        <f>ROUND((((ET255)-(EU255))+AE255),6)</f>
        <v>0</v>
      </c>
      <c r="AE255">
        <f t="shared" si="253"/>
        <v>0</v>
      </c>
      <c r="AF255">
        <f t="shared" si="253"/>
        <v>0</v>
      </c>
      <c r="AG255">
        <f t="shared" si="232"/>
        <v>0</v>
      </c>
      <c r="AH255">
        <f t="shared" si="254"/>
        <v>0</v>
      </c>
      <c r="AI255">
        <f t="shared" si="254"/>
        <v>0</v>
      </c>
      <c r="AJ255">
        <f t="shared" si="233"/>
        <v>0</v>
      </c>
      <c r="AK255">
        <v>29.04</v>
      </c>
      <c r="AL255">
        <v>29.04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1</v>
      </c>
      <c r="AW255">
        <v>1</v>
      </c>
      <c r="AZ255">
        <v>1</v>
      </c>
      <c r="BA255">
        <v>1</v>
      </c>
      <c r="BB255">
        <v>1</v>
      </c>
      <c r="BC255">
        <v>6.34</v>
      </c>
      <c r="BD255" t="s">
        <v>3</v>
      </c>
      <c r="BE255" t="s">
        <v>3</v>
      </c>
      <c r="BF255" t="s">
        <v>3</v>
      </c>
      <c r="BG255" t="s">
        <v>3</v>
      </c>
      <c r="BH255">
        <v>3</v>
      </c>
      <c r="BI255">
        <v>1</v>
      </c>
      <c r="BJ255" t="s">
        <v>3</v>
      </c>
      <c r="BM255">
        <v>91</v>
      </c>
      <c r="BN255">
        <v>0</v>
      </c>
      <c r="BO255" t="s">
        <v>3</v>
      </c>
      <c r="BP255">
        <v>0</v>
      </c>
      <c r="BQ255">
        <v>30</v>
      </c>
      <c r="BR255">
        <v>0</v>
      </c>
      <c r="BS255">
        <v>1</v>
      </c>
      <c r="BT255">
        <v>1</v>
      </c>
      <c r="BU255">
        <v>1</v>
      </c>
      <c r="BV255">
        <v>1</v>
      </c>
      <c r="BW255">
        <v>1</v>
      </c>
      <c r="BX255">
        <v>1</v>
      </c>
      <c r="BY255" t="s">
        <v>3</v>
      </c>
      <c r="BZ255">
        <v>0</v>
      </c>
      <c r="CA255">
        <v>0</v>
      </c>
      <c r="CB255" t="s">
        <v>3</v>
      </c>
      <c r="CE255">
        <v>30</v>
      </c>
      <c r="CF255">
        <v>0</v>
      </c>
      <c r="CG255">
        <v>0</v>
      </c>
      <c r="CM255">
        <v>0</v>
      </c>
      <c r="CN255" t="s">
        <v>3</v>
      </c>
      <c r="CO255">
        <v>0</v>
      </c>
      <c r="CP255">
        <f t="shared" si="234"/>
        <v>27432.93</v>
      </c>
      <c r="CQ255">
        <f t="shared" si="235"/>
        <v>184.11</v>
      </c>
      <c r="CR255">
        <f>(ROUND((ROUND(((ET255)*AV255*1),2)*BB255),2)+ROUND((ROUND(((AE255-(EU255))*AV255*1),2)*BS255),2))</f>
        <v>0</v>
      </c>
      <c r="CS255">
        <f t="shared" si="236"/>
        <v>0</v>
      </c>
      <c r="CT255">
        <f t="shared" si="237"/>
        <v>0</v>
      </c>
      <c r="CU255">
        <f t="shared" si="238"/>
        <v>0</v>
      </c>
      <c r="CV255">
        <f t="shared" si="239"/>
        <v>0</v>
      </c>
      <c r="CW255">
        <f t="shared" si="240"/>
        <v>0</v>
      </c>
      <c r="CX255">
        <f t="shared" si="241"/>
        <v>0</v>
      </c>
      <c r="CY255">
        <f t="shared" si="242"/>
        <v>0</v>
      </c>
      <c r="CZ255">
        <f t="shared" si="243"/>
        <v>0</v>
      </c>
      <c r="DC255" t="s">
        <v>3</v>
      </c>
      <c r="DD255" t="s">
        <v>3</v>
      </c>
      <c r="DE255" t="s">
        <v>3</v>
      </c>
      <c r="DF255" t="s">
        <v>3</v>
      </c>
      <c r="DG255" t="s">
        <v>3</v>
      </c>
      <c r="DH255" t="s">
        <v>3</v>
      </c>
      <c r="DI255" t="s">
        <v>3</v>
      </c>
      <c r="DJ255" t="s">
        <v>3</v>
      </c>
      <c r="DK255" t="s">
        <v>3</v>
      </c>
      <c r="DL255" t="s">
        <v>3</v>
      </c>
      <c r="DM255" t="s">
        <v>3</v>
      </c>
      <c r="DN255">
        <v>104</v>
      </c>
      <c r="DO255">
        <v>70</v>
      </c>
      <c r="DP255">
        <v>1</v>
      </c>
      <c r="DQ255">
        <v>1</v>
      </c>
      <c r="DU255">
        <v>1003</v>
      </c>
      <c r="DV255" t="s">
        <v>136</v>
      </c>
      <c r="DW255" t="s">
        <v>136</v>
      </c>
      <c r="DX255">
        <v>1</v>
      </c>
      <c r="DZ255" t="s">
        <v>3</v>
      </c>
      <c r="EA255" t="s">
        <v>3</v>
      </c>
      <c r="EB255" t="s">
        <v>3</v>
      </c>
      <c r="EC255" t="s">
        <v>3</v>
      </c>
      <c r="EE255">
        <v>43088169</v>
      </c>
      <c r="EF255">
        <v>30</v>
      </c>
      <c r="EG255" t="s">
        <v>22</v>
      </c>
      <c r="EH255">
        <v>0</v>
      </c>
      <c r="EI255" t="s">
        <v>3</v>
      </c>
      <c r="EJ255">
        <v>1</v>
      </c>
      <c r="EK255">
        <v>91</v>
      </c>
      <c r="EL255" t="s">
        <v>369</v>
      </c>
      <c r="EM255" t="s">
        <v>370</v>
      </c>
      <c r="EO255" t="s">
        <v>3</v>
      </c>
      <c r="EQ255">
        <v>0</v>
      </c>
      <c r="ER255">
        <v>29.04</v>
      </c>
      <c r="ES255">
        <v>29.04</v>
      </c>
      <c r="ET255">
        <v>0</v>
      </c>
      <c r="EU255">
        <v>0</v>
      </c>
      <c r="EV255">
        <v>0</v>
      </c>
      <c r="EW255">
        <v>0</v>
      </c>
      <c r="EX255">
        <v>0</v>
      </c>
      <c r="EZ255">
        <v>5</v>
      </c>
      <c r="FC255">
        <v>1</v>
      </c>
      <c r="FD255">
        <v>18</v>
      </c>
      <c r="FF255">
        <v>216.6</v>
      </c>
      <c r="FQ255">
        <v>0</v>
      </c>
      <c r="FR255">
        <f t="shared" si="244"/>
        <v>0</v>
      </c>
      <c r="FS255">
        <v>0</v>
      </c>
      <c r="FX255">
        <v>104</v>
      </c>
      <c r="FY255">
        <v>70</v>
      </c>
      <c r="GA255" t="s">
        <v>377</v>
      </c>
      <c r="GD255">
        <v>0</v>
      </c>
      <c r="GF255">
        <v>1078315712</v>
      </c>
      <c r="GG255">
        <v>2</v>
      </c>
      <c r="GH255">
        <v>3</v>
      </c>
      <c r="GI255">
        <v>3</v>
      </c>
      <c r="GJ255">
        <v>0</v>
      </c>
      <c r="GK255">
        <f>ROUND(R255*(R12)/100,2)</f>
        <v>0</v>
      </c>
      <c r="GL255">
        <f t="shared" si="245"/>
        <v>0</v>
      </c>
      <c r="GM255">
        <f t="shared" si="246"/>
        <v>27432.93</v>
      </c>
      <c r="GN255">
        <f t="shared" si="247"/>
        <v>27432.93</v>
      </c>
      <c r="GO255">
        <f t="shared" si="248"/>
        <v>0</v>
      </c>
      <c r="GP255">
        <f t="shared" si="249"/>
        <v>0</v>
      </c>
      <c r="GR255">
        <v>1</v>
      </c>
      <c r="GS255">
        <v>1</v>
      </c>
      <c r="GT255">
        <v>0</v>
      </c>
      <c r="GU255" t="s">
        <v>3</v>
      </c>
      <c r="GV255">
        <f t="shared" si="250"/>
        <v>0</v>
      </c>
      <c r="GW255">
        <v>1</v>
      </c>
      <c r="GX255">
        <f t="shared" si="251"/>
        <v>0</v>
      </c>
      <c r="HA255">
        <v>0</v>
      </c>
      <c r="HB255">
        <v>0</v>
      </c>
      <c r="HC255">
        <f t="shared" si="252"/>
        <v>0</v>
      </c>
      <c r="HE255" t="s">
        <v>26</v>
      </c>
      <c r="HF255" t="s">
        <v>122</v>
      </c>
      <c r="HM255" t="s">
        <v>3</v>
      </c>
      <c r="IK255">
        <v>0</v>
      </c>
    </row>
    <row r="256" spans="1:245" x14ac:dyDescent="0.2">
      <c r="A256">
        <v>18</v>
      </c>
      <c r="B256">
        <v>1</v>
      </c>
      <c r="C256">
        <v>191</v>
      </c>
      <c r="E256" t="s">
        <v>420</v>
      </c>
      <c r="F256" t="s">
        <v>118</v>
      </c>
      <c r="G256" t="s">
        <v>421</v>
      </c>
      <c r="H256" t="s">
        <v>169</v>
      </c>
      <c r="I256">
        <f>I253*J256</f>
        <v>149</v>
      </c>
      <c r="J256">
        <v>101.36054421768708</v>
      </c>
      <c r="K256">
        <v>101.360544</v>
      </c>
      <c r="O256">
        <f t="shared" si="220"/>
        <v>2531.69</v>
      </c>
      <c r="P256">
        <f t="shared" si="221"/>
        <v>2531.69</v>
      </c>
      <c r="Q256">
        <f>(ROUND((ROUND(((ET256)*AV256*I256),2)*BB256),2)+ROUND((ROUND(((AE256-(EU256))*AV256*I256),2)*BS256),2))</f>
        <v>0</v>
      </c>
      <c r="R256">
        <f t="shared" si="222"/>
        <v>0</v>
      </c>
      <c r="S256">
        <f t="shared" si="223"/>
        <v>0</v>
      </c>
      <c r="T256">
        <f t="shared" si="224"/>
        <v>0</v>
      </c>
      <c r="U256">
        <f t="shared" si="225"/>
        <v>0</v>
      </c>
      <c r="V256">
        <f t="shared" si="226"/>
        <v>0</v>
      </c>
      <c r="W256">
        <f t="shared" si="227"/>
        <v>0</v>
      </c>
      <c r="X256">
        <f t="shared" si="228"/>
        <v>0</v>
      </c>
      <c r="Y256">
        <f t="shared" si="229"/>
        <v>0</v>
      </c>
      <c r="AA256">
        <v>42938047</v>
      </c>
      <c r="AB256">
        <f t="shared" si="230"/>
        <v>2.68</v>
      </c>
      <c r="AC256">
        <f t="shared" si="231"/>
        <v>2.68</v>
      </c>
      <c r="AD256">
        <f>ROUND((((ET256)-(EU256))+AE256),6)</f>
        <v>0</v>
      </c>
      <c r="AE256">
        <f t="shared" si="253"/>
        <v>0</v>
      </c>
      <c r="AF256">
        <f t="shared" si="253"/>
        <v>0</v>
      </c>
      <c r="AG256">
        <f t="shared" si="232"/>
        <v>0</v>
      </c>
      <c r="AH256">
        <f t="shared" si="254"/>
        <v>0</v>
      </c>
      <c r="AI256">
        <f t="shared" si="254"/>
        <v>0</v>
      </c>
      <c r="AJ256">
        <f t="shared" si="233"/>
        <v>0</v>
      </c>
      <c r="AK256">
        <v>2.6799999999999997</v>
      </c>
      <c r="AL256">
        <v>2.6799999999999997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1</v>
      </c>
      <c r="AW256">
        <v>1</v>
      </c>
      <c r="AZ256">
        <v>1</v>
      </c>
      <c r="BA256">
        <v>1</v>
      </c>
      <c r="BB256">
        <v>1</v>
      </c>
      <c r="BC256">
        <v>6.34</v>
      </c>
      <c r="BD256" t="s">
        <v>3</v>
      </c>
      <c r="BE256" t="s">
        <v>3</v>
      </c>
      <c r="BF256" t="s">
        <v>3</v>
      </c>
      <c r="BG256" t="s">
        <v>3</v>
      </c>
      <c r="BH256">
        <v>3</v>
      </c>
      <c r="BI256">
        <v>1</v>
      </c>
      <c r="BJ256" t="s">
        <v>3</v>
      </c>
      <c r="BM256">
        <v>91</v>
      </c>
      <c r="BN256">
        <v>0</v>
      </c>
      <c r="BO256" t="s">
        <v>3</v>
      </c>
      <c r="BP256">
        <v>0</v>
      </c>
      <c r="BQ256">
        <v>30</v>
      </c>
      <c r="BR256">
        <v>0</v>
      </c>
      <c r="BS256">
        <v>1</v>
      </c>
      <c r="BT256">
        <v>1</v>
      </c>
      <c r="BU256">
        <v>1</v>
      </c>
      <c r="BV256">
        <v>1</v>
      </c>
      <c r="BW256">
        <v>1</v>
      </c>
      <c r="BX256">
        <v>1</v>
      </c>
      <c r="BY256" t="s">
        <v>3</v>
      </c>
      <c r="BZ256">
        <v>0</v>
      </c>
      <c r="CA256">
        <v>0</v>
      </c>
      <c r="CB256" t="s">
        <v>3</v>
      </c>
      <c r="CE256">
        <v>30</v>
      </c>
      <c r="CF256">
        <v>0</v>
      </c>
      <c r="CG256">
        <v>0</v>
      </c>
      <c r="CM256">
        <v>0</v>
      </c>
      <c r="CN256" t="s">
        <v>3</v>
      </c>
      <c r="CO256">
        <v>0</v>
      </c>
      <c r="CP256">
        <f t="shared" si="234"/>
        <v>2531.69</v>
      </c>
      <c r="CQ256">
        <f t="shared" si="235"/>
        <v>16.989999999999998</v>
      </c>
      <c r="CR256">
        <f>(ROUND((ROUND(((ET256)*AV256*1),2)*BB256),2)+ROUND((ROUND(((AE256-(EU256))*AV256*1),2)*BS256),2))</f>
        <v>0</v>
      </c>
      <c r="CS256">
        <f t="shared" si="236"/>
        <v>0</v>
      </c>
      <c r="CT256">
        <f t="shared" si="237"/>
        <v>0</v>
      </c>
      <c r="CU256">
        <f t="shared" si="238"/>
        <v>0</v>
      </c>
      <c r="CV256">
        <f t="shared" si="239"/>
        <v>0</v>
      </c>
      <c r="CW256">
        <f t="shared" si="240"/>
        <v>0</v>
      </c>
      <c r="CX256">
        <f t="shared" si="241"/>
        <v>0</v>
      </c>
      <c r="CY256">
        <f t="shared" si="242"/>
        <v>0</v>
      </c>
      <c r="CZ256">
        <f t="shared" si="243"/>
        <v>0</v>
      </c>
      <c r="DC256" t="s">
        <v>3</v>
      </c>
      <c r="DD256" t="s">
        <v>3</v>
      </c>
      <c r="DE256" t="s">
        <v>3</v>
      </c>
      <c r="DF256" t="s">
        <v>3</v>
      </c>
      <c r="DG256" t="s">
        <v>3</v>
      </c>
      <c r="DH256" t="s">
        <v>3</v>
      </c>
      <c r="DI256" t="s">
        <v>3</v>
      </c>
      <c r="DJ256" t="s">
        <v>3</v>
      </c>
      <c r="DK256" t="s">
        <v>3</v>
      </c>
      <c r="DL256" t="s">
        <v>3</v>
      </c>
      <c r="DM256" t="s">
        <v>3</v>
      </c>
      <c r="DN256">
        <v>104</v>
      </c>
      <c r="DO256">
        <v>70</v>
      </c>
      <c r="DP256">
        <v>1</v>
      </c>
      <c r="DQ256">
        <v>1</v>
      </c>
      <c r="DU256">
        <v>1010</v>
      </c>
      <c r="DV256" t="s">
        <v>169</v>
      </c>
      <c r="DW256" t="s">
        <v>169</v>
      </c>
      <c r="DX256">
        <v>1</v>
      </c>
      <c r="DZ256" t="s">
        <v>3</v>
      </c>
      <c r="EA256" t="s">
        <v>3</v>
      </c>
      <c r="EB256" t="s">
        <v>3</v>
      </c>
      <c r="EC256" t="s">
        <v>3</v>
      </c>
      <c r="EE256">
        <v>43088169</v>
      </c>
      <c r="EF256">
        <v>30</v>
      </c>
      <c r="EG256" t="s">
        <v>22</v>
      </c>
      <c r="EH256">
        <v>0</v>
      </c>
      <c r="EI256" t="s">
        <v>3</v>
      </c>
      <c r="EJ256">
        <v>1</v>
      </c>
      <c r="EK256">
        <v>91</v>
      </c>
      <c r="EL256" t="s">
        <v>369</v>
      </c>
      <c r="EM256" t="s">
        <v>370</v>
      </c>
      <c r="EO256" t="s">
        <v>3</v>
      </c>
      <c r="EQ256">
        <v>0</v>
      </c>
      <c r="ER256">
        <v>17</v>
      </c>
      <c r="ES256">
        <v>2.6799999999999997</v>
      </c>
      <c r="ET256">
        <v>0</v>
      </c>
      <c r="EU256">
        <v>0</v>
      </c>
      <c r="EV256">
        <v>0</v>
      </c>
      <c r="EW256">
        <v>0</v>
      </c>
      <c r="EX256">
        <v>0</v>
      </c>
      <c r="EZ256">
        <v>5</v>
      </c>
      <c r="FC256">
        <v>1</v>
      </c>
      <c r="FD256">
        <v>18</v>
      </c>
      <c r="FF256">
        <v>20</v>
      </c>
      <c r="FQ256">
        <v>0</v>
      </c>
      <c r="FR256">
        <f t="shared" si="244"/>
        <v>0</v>
      </c>
      <c r="FS256">
        <v>0</v>
      </c>
      <c r="FX256">
        <v>104</v>
      </c>
      <c r="FY256">
        <v>70</v>
      </c>
      <c r="GA256" t="s">
        <v>380</v>
      </c>
      <c r="GD256">
        <v>0</v>
      </c>
      <c r="GF256">
        <v>-517367561</v>
      </c>
      <c r="GG256">
        <v>2</v>
      </c>
      <c r="GH256">
        <v>3</v>
      </c>
      <c r="GI256">
        <v>3</v>
      </c>
      <c r="GJ256">
        <v>0</v>
      </c>
      <c r="GK256">
        <f>ROUND(R256*(R12)/100,2)</f>
        <v>0</v>
      </c>
      <c r="GL256">
        <f t="shared" si="245"/>
        <v>0</v>
      </c>
      <c r="GM256">
        <f t="shared" si="246"/>
        <v>2531.69</v>
      </c>
      <c r="GN256">
        <f t="shared" si="247"/>
        <v>2531.69</v>
      </c>
      <c r="GO256">
        <f t="shared" si="248"/>
        <v>0</v>
      </c>
      <c r="GP256">
        <f t="shared" si="249"/>
        <v>0</v>
      </c>
      <c r="GR256">
        <v>1</v>
      </c>
      <c r="GS256">
        <v>1</v>
      </c>
      <c r="GT256">
        <v>0</v>
      </c>
      <c r="GU256" t="s">
        <v>3</v>
      </c>
      <c r="GV256">
        <f t="shared" si="250"/>
        <v>0</v>
      </c>
      <c r="GW256">
        <v>1</v>
      </c>
      <c r="GX256">
        <f t="shared" si="251"/>
        <v>0</v>
      </c>
      <c r="HA256">
        <v>0</v>
      </c>
      <c r="HB256">
        <v>0</v>
      </c>
      <c r="HC256">
        <f t="shared" si="252"/>
        <v>0</v>
      </c>
      <c r="HE256" t="s">
        <v>26</v>
      </c>
      <c r="HF256" t="s">
        <v>122</v>
      </c>
      <c r="HM256" t="s">
        <v>3</v>
      </c>
      <c r="IK256">
        <v>0</v>
      </c>
    </row>
    <row r="257" spans="1:245" x14ac:dyDescent="0.2">
      <c r="A257">
        <v>17</v>
      </c>
      <c r="B257">
        <v>1</v>
      </c>
      <c r="C257">
        <f>ROW(SmtRes!A195)</f>
        <v>195</v>
      </c>
      <c r="D257">
        <f>ROW(EtalonRes!A190)</f>
        <v>190</v>
      </c>
      <c r="E257" t="s">
        <v>422</v>
      </c>
      <c r="F257" t="s">
        <v>423</v>
      </c>
      <c r="G257" t="s">
        <v>424</v>
      </c>
      <c r="H257" t="s">
        <v>425</v>
      </c>
      <c r="I257">
        <f>ROUND(166/100,9)</f>
        <v>1.66</v>
      </c>
      <c r="J257">
        <v>0</v>
      </c>
      <c r="K257">
        <f>ROUND(166/100,9)</f>
        <v>1.66</v>
      </c>
      <c r="O257">
        <f t="shared" si="220"/>
        <v>60436.08</v>
      </c>
      <c r="P257">
        <f t="shared" si="221"/>
        <v>412.23</v>
      </c>
      <c r="Q257">
        <f>(ROUND((ROUND((((ET257*1.25))*AV257*I257),2)*BB257),2)+ROUND((ROUND(((AE257-((EU257*1.25)))*AV257*I257),2)*BS257),2))</f>
        <v>6571.87</v>
      </c>
      <c r="R257">
        <f t="shared" si="222"/>
        <v>3853.65</v>
      </c>
      <c r="S257">
        <f t="shared" si="223"/>
        <v>53451.98</v>
      </c>
      <c r="T257">
        <f t="shared" si="224"/>
        <v>0</v>
      </c>
      <c r="U257">
        <f t="shared" si="225"/>
        <v>180.97319999999996</v>
      </c>
      <c r="V257">
        <f t="shared" si="226"/>
        <v>0</v>
      </c>
      <c r="W257">
        <f t="shared" si="227"/>
        <v>0</v>
      </c>
      <c r="X257">
        <f t="shared" si="228"/>
        <v>45434.18</v>
      </c>
      <c r="Y257">
        <f t="shared" si="229"/>
        <v>21915.31</v>
      </c>
      <c r="AA257">
        <v>42938047</v>
      </c>
      <c r="AB257">
        <f t="shared" si="230"/>
        <v>1681.912</v>
      </c>
      <c r="AC257">
        <f t="shared" si="231"/>
        <v>45.15</v>
      </c>
      <c r="AD257">
        <f>ROUND(((((ET257*1.25))-((EU257*1.25)))+AE257),6)</f>
        <v>371.03750000000002</v>
      </c>
      <c r="AE257">
        <f>ROUND(((EU257*1.25)),6)</f>
        <v>91.25</v>
      </c>
      <c r="AF257">
        <f>ROUND(((EV257*1.15)),6)</f>
        <v>1265.7245</v>
      </c>
      <c r="AG257">
        <f t="shared" si="232"/>
        <v>0</v>
      </c>
      <c r="AH257">
        <f>((EW257*1.15))</f>
        <v>109.01999999999998</v>
      </c>
      <c r="AI257">
        <f>((EX257*1.25))</f>
        <v>0</v>
      </c>
      <c r="AJ257">
        <f t="shared" si="233"/>
        <v>0</v>
      </c>
      <c r="AK257">
        <v>1442.61</v>
      </c>
      <c r="AL257">
        <v>45.15</v>
      </c>
      <c r="AM257">
        <v>296.83</v>
      </c>
      <c r="AN257">
        <v>73</v>
      </c>
      <c r="AO257">
        <v>1100.6300000000001</v>
      </c>
      <c r="AP257">
        <v>0</v>
      </c>
      <c r="AQ257">
        <v>94.8</v>
      </c>
      <c r="AR257">
        <v>0</v>
      </c>
      <c r="AS257">
        <v>0</v>
      </c>
      <c r="AT257">
        <v>85</v>
      </c>
      <c r="AU257">
        <v>41</v>
      </c>
      <c r="AV257">
        <v>1</v>
      </c>
      <c r="AW257">
        <v>1</v>
      </c>
      <c r="AZ257">
        <v>1</v>
      </c>
      <c r="BA257">
        <v>25.44</v>
      </c>
      <c r="BB257">
        <v>10.67</v>
      </c>
      <c r="BC257">
        <v>5.5</v>
      </c>
      <c r="BD257" t="s">
        <v>3</v>
      </c>
      <c r="BE257" t="s">
        <v>3</v>
      </c>
      <c r="BF257" t="s">
        <v>3</v>
      </c>
      <c r="BG257" t="s">
        <v>3</v>
      </c>
      <c r="BH257">
        <v>0</v>
      </c>
      <c r="BI257">
        <v>1</v>
      </c>
      <c r="BJ257" t="s">
        <v>426</v>
      </c>
      <c r="BM257">
        <v>91</v>
      </c>
      <c r="BN257">
        <v>0</v>
      </c>
      <c r="BO257" t="s">
        <v>423</v>
      </c>
      <c r="BP257">
        <v>1</v>
      </c>
      <c r="BQ257">
        <v>30</v>
      </c>
      <c r="BR257">
        <v>0</v>
      </c>
      <c r="BS257">
        <v>25.44</v>
      </c>
      <c r="BT257">
        <v>1</v>
      </c>
      <c r="BU257">
        <v>1</v>
      </c>
      <c r="BV257">
        <v>1</v>
      </c>
      <c r="BW257">
        <v>1</v>
      </c>
      <c r="BX257">
        <v>1</v>
      </c>
      <c r="BY257" t="s">
        <v>3</v>
      </c>
      <c r="BZ257">
        <v>85</v>
      </c>
      <c r="CA257">
        <v>41</v>
      </c>
      <c r="CB257" t="s">
        <v>3</v>
      </c>
      <c r="CE257">
        <v>30</v>
      </c>
      <c r="CF257">
        <v>0</v>
      </c>
      <c r="CG257">
        <v>0</v>
      </c>
      <c r="CM257">
        <v>0</v>
      </c>
      <c r="CN257" t="s">
        <v>1584</v>
      </c>
      <c r="CO257">
        <v>0</v>
      </c>
      <c r="CP257">
        <f t="shared" si="234"/>
        <v>60436.08</v>
      </c>
      <c r="CQ257">
        <f t="shared" si="235"/>
        <v>248.33</v>
      </c>
      <c r="CR257">
        <f>(ROUND((ROUND((((ET257*1.25))*AV257*1),2)*BB257),2)+ROUND((ROUND(((AE257-((EU257*1.25)))*AV257*1),2)*BS257),2))</f>
        <v>3959</v>
      </c>
      <c r="CS257">
        <f t="shared" si="236"/>
        <v>2321.4</v>
      </c>
      <c r="CT257">
        <f t="shared" si="237"/>
        <v>32199.919999999998</v>
      </c>
      <c r="CU257">
        <f t="shared" si="238"/>
        <v>0</v>
      </c>
      <c r="CV257">
        <f t="shared" si="239"/>
        <v>109.01999999999998</v>
      </c>
      <c r="CW257">
        <f t="shared" si="240"/>
        <v>0</v>
      </c>
      <c r="CX257">
        <f t="shared" si="241"/>
        <v>0</v>
      </c>
      <c r="CY257">
        <f t="shared" si="242"/>
        <v>45434.183000000005</v>
      </c>
      <c r="CZ257">
        <f t="shared" si="243"/>
        <v>21915.311799999999</v>
      </c>
      <c r="DC257" t="s">
        <v>3</v>
      </c>
      <c r="DD257" t="s">
        <v>3</v>
      </c>
      <c r="DE257" t="s">
        <v>20</v>
      </c>
      <c r="DF257" t="s">
        <v>20</v>
      </c>
      <c r="DG257" t="s">
        <v>21</v>
      </c>
      <c r="DH257" t="s">
        <v>3</v>
      </c>
      <c r="DI257" t="s">
        <v>21</v>
      </c>
      <c r="DJ257" t="s">
        <v>20</v>
      </c>
      <c r="DK257" t="s">
        <v>3</v>
      </c>
      <c r="DL257" t="s">
        <v>3</v>
      </c>
      <c r="DM257" t="s">
        <v>3</v>
      </c>
      <c r="DN257">
        <v>104</v>
      </c>
      <c r="DO257">
        <v>70</v>
      </c>
      <c r="DP257">
        <v>1</v>
      </c>
      <c r="DQ257">
        <v>1</v>
      </c>
      <c r="DU257">
        <v>1013</v>
      </c>
      <c r="DV257" t="s">
        <v>425</v>
      </c>
      <c r="DW257" t="s">
        <v>425</v>
      </c>
      <c r="DX257">
        <v>1</v>
      </c>
      <c r="DZ257" t="s">
        <v>3</v>
      </c>
      <c r="EA257" t="s">
        <v>3</v>
      </c>
      <c r="EB257" t="s">
        <v>3</v>
      </c>
      <c r="EC257" t="s">
        <v>3</v>
      </c>
      <c r="EE257">
        <v>43088169</v>
      </c>
      <c r="EF257">
        <v>30</v>
      </c>
      <c r="EG257" t="s">
        <v>22</v>
      </c>
      <c r="EH257">
        <v>0</v>
      </c>
      <c r="EI257" t="s">
        <v>3</v>
      </c>
      <c r="EJ257">
        <v>1</v>
      </c>
      <c r="EK257">
        <v>91</v>
      </c>
      <c r="EL257" t="s">
        <v>369</v>
      </c>
      <c r="EM257" t="s">
        <v>370</v>
      </c>
      <c r="EO257" t="s">
        <v>59</v>
      </c>
      <c r="EQ257">
        <v>0</v>
      </c>
      <c r="ER257">
        <v>1442.61</v>
      </c>
      <c r="ES257">
        <v>45.15</v>
      </c>
      <c r="ET257">
        <v>296.83</v>
      </c>
      <c r="EU257">
        <v>73</v>
      </c>
      <c r="EV257">
        <v>1100.6300000000001</v>
      </c>
      <c r="EW257">
        <v>94.8</v>
      </c>
      <c r="EX257">
        <v>0</v>
      </c>
      <c r="EY257">
        <v>0</v>
      </c>
      <c r="FQ257">
        <v>0</v>
      </c>
      <c r="FR257">
        <f t="shared" si="244"/>
        <v>0</v>
      </c>
      <c r="FS257">
        <v>0</v>
      </c>
      <c r="FX257">
        <v>104</v>
      </c>
      <c r="FY257">
        <v>70</v>
      </c>
      <c r="GA257" t="s">
        <v>3</v>
      </c>
      <c r="GD257">
        <v>0</v>
      </c>
      <c r="GF257">
        <v>-2092915427</v>
      </c>
      <c r="GG257">
        <v>2</v>
      </c>
      <c r="GH257">
        <v>1</v>
      </c>
      <c r="GI257">
        <v>2</v>
      </c>
      <c r="GJ257">
        <v>0</v>
      </c>
      <c r="GK257">
        <f>ROUND(R257*(R12)/100,2)</f>
        <v>6050.23</v>
      </c>
      <c r="GL257">
        <f t="shared" si="245"/>
        <v>0</v>
      </c>
      <c r="GM257">
        <f t="shared" si="246"/>
        <v>133835.79999999999</v>
      </c>
      <c r="GN257">
        <f t="shared" si="247"/>
        <v>133835.79999999999</v>
      </c>
      <c r="GO257">
        <f t="shared" si="248"/>
        <v>0</v>
      </c>
      <c r="GP257">
        <f t="shared" si="249"/>
        <v>0</v>
      </c>
      <c r="GR257">
        <v>0</v>
      </c>
      <c r="GS257">
        <v>3</v>
      </c>
      <c r="GT257">
        <v>0</v>
      </c>
      <c r="GU257" t="s">
        <v>3</v>
      </c>
      <c r="GV257">
        <f t="shared" si="250"/>
        <v>0</v>
      </c>
      <c r="GW257">
        <v>1</v>
      </c>
      <c r="GX257">
        <f t="shared" si="251"/>
        <v>0</v>
      </c>
      <c r="HA257">
        <v>0</v>
      </c>
      <c r="HB257">
        <v>0</v>
      </c>
      <c r="HC257">
        <f t="shared" si="252"/>
        <v>0</v>
      </c>
      <c r="HE257" t="s">
        <v>3</v>
      </c>
      <c r="HF257" t="s">
        <v>3</v>
      </c>
      <c r="HM257" t="s">
        <v>3</v>
      </c>
      <c r="IK257">
        <v>0</v>
      </c>
    </row>
    <row r="258" spans="1:245" x14ac:dyDescent="0.2">
      <c r="A258">
        <v>18</v>
      </c>
      <c r="B258">
        <v>1</v>
      </c>
      <c r="C258">
        <v>195</v>
      </c>
      <c r="E258" t="s">
        <v>427</v>
      </c>
      <c r="F258" t="s">
        <v>118</v>
      </c>
      <c r="G258" t="s">
        <v>428</v>
      </c>
      <c r="H258" t="s">
        <v>84</v>
      </c>
      <c r="I258">
        <f>I257*J258</f>
        <v>41.5</v>
      </c>
      <c r="J258">
        <v>25</v>
      </c>
      <c r="K258">
        <v>25</v>
      </c>
      <c r="O258">
        <f t="shared" si="220"/>
        <v>677279.38</v>
      </c>
      <c r="P258">
        <f t="shared" si="221"/>
        <v>677279.38</v>
      </c>
      <c r="Q258">
        <f>(ROUND((ROUND(((ET258)*AV258*I258),2)*BB258),2)+ROUND((ROUND(((AE258-(EU258))*AV258*I258),2)*BS258),2))</f>
        <v>0</v>
      </c>
      <c r="R258">
        <f t="shared" si="222"/>
        <v>0</v>
      </c>
      <c r="S258">
        <f t="shared" si="223"/>
        <v>0</v>
      </c>
      <c r="T258">
        <f t="shared" si="224"/>
        <v>0</v>
      </c>
      <c r="U258">
        <f t="shared" si="225"/>
        <v>0</v>
      </c>
      <c r="V258">
        <f t="shared" si="226"/>
        <v>0</v>
      </c>
      <c r="W258">
        <f t="shared" si="227"/>
        <v>0</v>
      </c>
      <c r="X258">
        <f t="shared" si="228"/>
        <v>0</v>
      </c>
      <c r="Y258">
        <f t="shared" si="229"/>
        <v>0</v>
      </c>
      <c r="AA258">
        <v>42938047</v>
      </c>
      <c r="AB258">
        <f t="shared" si="230"/>
        <v>2574.13</v>
      </c>
      <c r="AC258">
        <f t="shared" si="231"/>
        <v>2574.13</v>
      </c>
      <c r="AD258">
        <f>ROUND((((ET258)-(EU258))+AE258),6)</f>
        <v>0</v>
      </c>
      <c r="AE258">
        <f t="shared" ref="AE258:AF262" si="255">ROUND((EU258),6)</f>
        <v>0</v>
      </c>
      <c r="AF258">
        <f t="shared" si="255"/>
        <v>0</v>
      </c>
      <c r="AG258">
        <f t="shared" si="232"/>
        <v>0</v>
      </c>
      <c r="AH258">
        <f t="shared" ref="AH258:AI262" si="256">(EW258)</f>
        <v>0</v>
      </c>
      <c r="AI258">
        <f t="shared" si="256"/>
        <v>0</v>
      </c>
      <c r="AJ258">
        <f t="shared" si="233"/>
        <v>0</v>
      </c>
      <c r="AK258">
        <v>2574.1299999999997</v>
      </c>
      <c r="AL258">
        <v>2574.1299999999997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1</v>
      </c>
      <c r="AW258">
        <v>1</v>
      </c>
      <c r="AZ258">
        <v>1</v>
      </c>
      <c r="BA258">
        <v>1</v>
      </c>
      <c r="BB258">
        <v>1</v>
      </c>
      <c r="BC258">
        <v>6.34</v>
      </c>
      <c r="BD258" t="s">
        <v>3</v>
      </c>
      <c r="BE258" t="s">
        <v>3</v>
      </c>
      <c r="BF258" t="s">
        <v>3</v>
      </c>
      <c r="BG258" t="s">
        <v>3</v>
      </c>
      <c r="BH258">
        <v>3</v>
      </c>
      <c r="BI258">
        <v>1</v>
      </c>
      <c r="BJ258" t="s">
        <v>3</v>
      </c>
      <c r="BM258">
        <v>66</v>
      </c>
      <c r="BN258">
        <v>0</v>
      </c>
      <c r="BO258" t="s">
        <v>3</v>
      </c>
      <c r="BP258">
        <v>0</v>
      </c>
      <c r="BQ258">
        <v>30</v>
      </c>
      <c r="BR258">
        <v>0</v>
      </c>
      <c r="BS258">
        <v>1</v>
      </c>
      <c r="BT258">
        <v>1</v>
      </c>
      <c r="BU258">
        <v>1</v>
      </c>
      <c r="BV258">
        <v>1</v>
      </c>
      <c r="BW258">
        <v>1</v>
      </c>
      <c r="BX258">
        <v>1</v>
      </c>
      <c r="BY258" t="s">
        <v>3</v>
      </c>
      <c r="BZ258">
        <v>0</v>
      </c>
      <c r="CA258">
        <v>0</v>
      </c>
      <c r="CB258" t="s">
        <v>3</v>
      </c>
      <c r="CE258">
        <v>30</v>
      </c>
      <c r="CF258">
        <v>0</v>
      </c>
      <c r="CG258">
        <v>0</v>
      </c>
      <c r="CM258">
        <v>0</v>
      </c>
      <c r="CN258" t="s">
        <v>3</v>
      </c>
      <c r="CO258">
        <v>0</v>
      </c>
      <c r="CP258">
        <f t="shared" si="234"/>
        <v>677279.38</v>
      </c>
      <c r="CQ258">
        <f t="shared" si="235"/>
        <v>16319.98</v>
      </c>
      <c r="CR258">
        <f>(ROUND((ROUND(((ET258)*AV258*1),2)*BB258),2)+ROUND((ROUND(((AE258-(EU258))*AV258*1),2)*BS258),2))</f>
        <v>0</v>
      </c>
      <c r="CS258">
        <f t="shared" si="236"/>
        <v>0</v>
      </c>
      <c r="CT258">
        <f t="shared" si="237"/>
        <v>0</v>
      </c>
      <c r="CU258">
        <f t="shared" si="238"/>
        <v>0</v>
      </c>
      <c r="CV258">
        <f t="shared" si="239"/>
        <v>0</v>
      </c>
      <c r="CW258">
        <f t="shared" si="240"/>
        <v>0</v>
      </c>
      <c r="CX258">
        <f t="shared" si="241"/>
        <v>0</v>
      </c>
      <c r="CY258">
        <f t="shared" si="242"/>
        <v>0</v>
      </c>
      <c r="CZ258">
        <f t="shared" si="243"/>
        <v>0</v>
      </c>
      <c r="DC258" t="s">
        <v>3</v>
      </c>
      <c r="DD258" t="s">
        <v>3</v>
      </c>
      <c r="DE258" t="s">
        <v>3</v>
      </c>
      <c r="DF258" t="s">
        <v>3</v>
      </c>
      <c r="DG258" t="s">
        <v>3</v>
      </c>
      <c r="DH258" t="s">
        <v>3</v>
      </c>
      <c r="DI258" t="s">
        <v>3</v>
      </c>
      <c r="DJ258" t="s">
        <v>3</v>
      </c>
      <c r="DK258" t="s">
        <v>3</v>
      </c>
      <c r="DL258" t="s">
        <v>3</v>
      </c>
      <c r="DM258" t="s">
        <v>3</v>
      </c>
      <c r="DN258">
        <v>91</v>
      </c>
      <c r="DO258">
        <v>70</v>
      </c>
      <c r="DP258">
        <v>1</v>
      </c>
      <c r="DQ258">
        <v>1</v>
      </c>
      <c r="DU258">
        <v>1007</v>
      </c>
      <c r="DV258" t="s">
        <v>84</v>
      </c>
      <c r="DW258" t="s">
        <v>84</v>
      </c>
      <c r="DX258">
        <v>1</v>
      </c>
      <c r="DZ258" t="s">
        <v>3</v>
      </c>
      <c r="EA258" t="s">
        <v>3</v>
      </c>
      <c r="EB258" t="s">
        <v>3</v>
      </c>
      <c r="EC258" t="s">
        <v>3</v>
      </c>
      <c r="EE258">
        <v>43088144</v>
      </c>
      <c r="EF258">
        <v>30</v>
      </c>
      <c r="EG258" t="s">
        <v>22</v>
      </c>
      <c r="EH258">
        <v>0</v>
      </c>
      <c r="EI258" t="s">
        <v>3</v>
      </c>
      <c r="EJ258">
        <v>1</v>
      </c>
      <c r="EK258">
        <v>66</v>
      </c>
      <c r="EL258" t="s">
        <v>429</v>
      </c>
      <c r="EM258" t="s">
        <v>430</v>
      </c>
      <c r="EO258" t="s">
        <v>3</v>
      </c>
      <c r="EQ258">
        <v>0</v>
      </c>
      <c r="ER258">
        <v>2574.1299999999997</v>
      </c>
      <c r="ES258">
        <v>2574.1299999999997</v>
      </c>
      <c r="ET258">
        <v>0</v>
      </c>
      <c r="EU258">
        <v>0</v>
      </c>
      <c r="EV258">
        <v>0</v>
      </c>
      <c r="EW258">
        <v>0</v>
      </c>
      <c r="EX258">
        <v>0</v>
      </c>
      <c r="EZ258">
        <v>5</v>
      </c>
      <c r="FC258">
        <v>1</v>
      </c>
      <c r="FD258">
        <v>18</v>
      </c>
      <c r="FF258">
        <v>19200</v>
      </c>
      <c r="FQ258">
        <v>0</v>
      </c>
      <c r="FR258">
        <f t="shared" si="244"/>
        <v>0</v>
      </c>
      <c r="FS258">
        <v>0</v>
      </c>
      <c r="FX258">
        <v>91</v>
      </c>
      <c r="FY258">
        <v>70</v>
      </c>
      <c r="GA258" t="s">
        <v>431</v>
      </c>
      <c r="GD258">
        <v>0</v>
      </c>
      <c r="GF258">
        <v>-1096414798</v>
      </c>
      <c r="GG258">
        <v>2</v>
      </c>
      <c r="GH258">
        <v>3</v>
      </c>
      <c r="GI258">
        <v>3</v>
      </c>
      <c r="GJ258">
        <v>0</v>
      </c>
      <c r="GK258">
        <f>ROUND(R258*(R12)/100,2)</f>
        <v>0</v>
      </c>
      <c r="GL258">
        <f t="shared" si="245"/>
        <v>0</v>
      </c>
      <c r="GM258">
        <f t="shared" si="246"/>
        <v>677279.38</v>
      </c>
      <c r="GN258">
        <f t="shared" si="247"/>
        <v>677279.38</v>
      </c>
      <c r="GO258">
        <f t="shared" si="248"/>
        <v>0</v>
      </c>
      <c r="GP258">
        <f t="shared" si="249"/>
        <v>0</v>
      </c>
      <c r="GR258">
        <v>1</v>
      </c>
      <c r="GS258">
        <v>1</v>
      </c>
      <c r="GT258">
        <v>0</v>
      </c>
      <c r="GU258" t="s">
        <v>3</v>
      </c>
      <c r="GV258">
        <f t="shared" si="250"/>
        <v>0</v>
      </c>
      <c r="GW258">
        <v>1</v>
      </c>
      <c r="GX258">
        <f t="shared" si="251"/>
        <v>0</v>
      </c>
      <c r="HA258">
        <v>0</v>
      </c>
      <c r="HB258">
        <v>0</v>
      </c>
      <c r="HC258">
        <f t="shared" si="252"/>
        <v>0</v>
      </c>
      <c r="HE258" t="s">
        <v>26</v>
      </c>
      <c r="HF258" t="s">
        <v>122</v>
      </c>
      <c r="HM258" t="s">
        <v>3</v>
      </c>
      <c r="IK258">
        <v>0</v>
      </c>
    </row>
    <row r="259" spans="1:245" x14ac:dyDescent="0.2">
      <c r="A259">
        <v>17</v>
      </c>
      <c r="B259">
        <v>1</v>
      </c>
      <c r="C259">
        <f>ROW(SmtRes!A196)</f>
        <v>196</v>
      </c>
      <c r="D259">
        <f>ROW(EtalonRes!A191)</f>
        <v>191</v>
      </c>
      <c r="E259" t="s">
        <v>432</v>
      </c>
      <c r="F259" t="s">
        <v>180</v>
      </c>
      <c r="G259" t="s">
        <v>433</v>
      </c>
      <c r="H259" t="s">
        <v>182</v>
      </c>
      <c r="I259">
        <v>79.239999999999995</v>
      </c>
      <c r="J259">
        <v>0</v>
      </c>
      <c r="K259">
        <v>79.239999999999995</v>
      </c>
      <c r="O259">
        <f t="shared" si="220"/>
        <v>6402.88</v>
      </c>
      <c r="P259">
        <f t="shared" si="221"/>
        <v>0</v>
      </c>
      <c r="Q259">
        <f>(ROUND((ROUND(((ET259)*AV259*I259),2)*BB259),2)+ROUND((ROUND(((AE259-(EU259))*AV259*I259),2)*BS259),2))</f>
        <v>6402.88</v>
      </c>
      <c r="R259">
        <f t="shared" si="222"/>
        <v>2983.6</v>
      </c>
      <c r="S259">
        <f t="shared" si="223"/>
        <v>0</v>
      </c>
      <c r="T259">
        <f t="shared" si="224"/>
        <v>0</v>
      </c>
      <c r="U259">
        <f t="shared" si="225"/>
        <v>0</v>
      </c>
      <c r="V259">
        <f t="shared" si="226"/>
        <v>0</v>
      </c>
      <c r="W259">
        <f t="shared" si="227"/>
        <v>0</v>
      </c>
      <c r="X259">
        <f t="shared" si="228"/>
        <v>0</v>
      </c>
      <c r="Y259">
        <f t="shared" si="229"/>
        <v>0</v>
      </c>
      <c r="AA259">
        <v>42938047</v>
      </c>
      <c r="AB259">
        <f t="shared" si="230"/>
        <v>8.86</v>
      </c>
      <c r="AC259">
        <f t="shared" si="231"/>
        <v>0</v>
      </c>
      <c r="AD259">
        <f>ROUND((((ET259)-(EU259))+AE259),6)</f>
        <v>8.86</v>
      </c>
      <c r="AE259">
        <f t="shared" si="255"/>
        <v>1.48</v>
      </c>
      <c r="AF259">
        <f t="shared" si="255"/>
        <v>0</v>
      </c>
      <c r="AG259">
        <f t="shared" si="232"/>
        <v>0</v>
      </c>
      <c r="AH259">
        <f t="shared" si="256"/>
        <v>0</v>
      </c>
      <c r="AI259">
        <f t="shared" si="256"/>
        <v>0</v>
      </c>
      <c r="AJ259">
        <f t="shared" si="233"/>
        <v>0</v>
      </c>
      <c r="AK259">
        <v>8.86</v>
      </c>
      <c r="AL259">
        <v>0</v>
      </c>
      <c r="AM259">
        <v>8.86</v>
      </c>
      <c r="AN259">
        <v>1.48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73</v>
      </c>
      <c r="AU259">
        <v>41</v>
      </c>
      <c r="AV259">
        <v>1</v>
      </c>
      <c r="AW259">
        <v>1</v>
      </c>
      <c r="AZ259">
        <v>1</v>
      </c>
      <c r="BA259">
        <v>25.44</v>
      </c>
      <c r="BB259">
        <v>9.1199999999999992</v>
      </c>
      <c r="BC259">
        <v>1</v>
      </c>
      <c r="BD259" t="s">
        <v>3</v>
      </c>
      <c r="BE259" t="s">
        <v>3</v>
      </c>
      <c r="BF259" t="s">
        <v>3</v>
      </c>
      <c r="BG259" t="s">
        <v>3</v>
      </c>
      <c r="BH259">
        <v>0</v>
      </c>
      <c r="BI259">
        <v>1</v>
      </c>
      <c r="BJ259" t="s">
        <v>183</v>
      </c>
      <c r="BM259">
        <v>658</v>
      </c>
      <c r="BN259">
        <v>0</v>
      </c>
      <c r="BO259" t="s">
        <v>180</v>
      </c>
      <c r="BP259">
        <v>1</v>
      </c>
      <c r="BQ259">
        <v>60</v>
      </c>
      <c r="BR259">
        <v>0</v>
      </c>
      <c r="BS259">
        <v>25.44</v>
      </c>
      <c r="BT259">
        <v>1</v>
      </c>
      <c r="BU259">
        <v>1</v>
      </c>
      <c r="BV259">
        <v>1</v>
      </c>
      <c r="BW259">
        <v>1</v>
      </c>
      <c r="BX259">
        <v>1</v>
      </c>
      <c r="BY259" t="s">
        <v>3</v>
      </c>
      <c r="BZ259">
        <v>73</v>
      </c>
      <c r="CA259">
        <v>41</v>
      </c>
      <c r="CB259" t="s">
        <v>3</v>
      </c>
      <c r="CE259">
        <v>30</v>
      </c>
      <c r="CF259">
        <v>0</v>
      </c>
      <c r="CG259">
        <v>0</v>
      </c>
      <c r="CM259">
        <v>0</v>
      </c>
      <c r="CN259" t="s">
        <v>3</v>
      </c>
      <c r="CO259">
        <v>0</v>
      </c>
      <c r="CP259">
        <f t="shared" si="234"/>
        <v>6402.88</v>
      </c>
      <c r="CQ259">
        <f t="shared" si="235"/>
        <v>0</v>
      </c>
      <c r="CR259">
        <f>(ROUND((ROUND(((ET259)*AV259*1),2)*BB259),2)+ROUND((ROUND(((AE259-(EU259))*AV259*1),2)*BS259),2))</f>
        <v>80.8</v>
      </c>
      <c r="CS259">
        <f t="shared" si="236"/>
        <v>37.65</v>
      </c>
      <c r="CT259">
        <f t="shared" si="237"/>
        <v>0</v>
      </c>
      <c r="CU259">
        <f t="shared" si="238"/>
        <v>0</v>
      </c>
      <c r="CV259">
        <f t="shared" si="239"/>
        <v>0</v>
      </c>
      <c r="CW259">
        <f t="shared" si="240"/>
        <v>0</v>
      </c>
      <c r="CX259">
        <f t="shared" si="241"/>
        <v>0</v>
      </c>
      <c r="CY259">
        <f t="shared" si="242"/>
        <v>0</v>
      </c>
      <c r="CZ259">
        <f t="shared" si="243"/>
        <v>0</v>
      </c>
      <c r="DC259" t="s">
        <v>3</v>
      </c>
      <c r="DD259" t="s">
        <v>3</v>
      </c>
      <c r="DE259" t="s">
        <v>3</v>
      </c>
      <c r="DF259" t="s">
        <v>3</v>
      </c>
      <c r="DG259" t="s">
        <v>3</v>
      </c>
      <c r="DH259" t="s">
        <v>3</v>
      </c>
      <c r="DI259" t="s">
        <v>3</v>
      </c>
      <c r="DJ259" t="s">
        <v>3</v>
      </c>
      <c r="DK259" t="s">
        <v>3</v>
      </c>
      <c r="DL259" t="s">
        <v>3</v>
      </c>
      <c r="DM259" t="s">
        <v>3</v>
      </c>
      <c r="DN259">
        <v>91</v>
      </c>
      <c r="DO259">
        <v>70</v>
      </c>
      <c r="DP259">
        <v>1</v>
      </c>
      <c r="DQ259">
        <v>1</v>
      </c>
      <c r="DU259">
        <v>1013</v>
      </c>
      <c r="DV259" t="s">
        <v>182</v>
      </c>
      <c r="DW259" t="s">
        <v>182</v>
      </c>
      <c r="DX259">
        <v>1</v>
      </c>
      <c r="DZ259" t="s">
        <v>3</v>
      </c>
      <c r="EA259" t="s">
        <v>3</v>
      </c>
      <c r="EB259" t="s">
        <v>3</v>
      </c>
      <c r="EC259" t="s">
        <v>3</v>
      </c>
      <c r="EE259">
        <v>43088736</v>
      </c>
      <c r="EF259">
        <v>60</v>
      </c>
      <c r="EG259" t="s">
        <v>40</v>
      </c>
      <c r="EH259">
        <v>0</v>
      </c>
      <c r="EI259" t="s">
        <v>3</v>
      </c>
      <c r="EJ259">
        <v>1</v>
      </c>
      <c r="EK259">
        <v>658</v>
      </c>
      <c r="EL259" t="s">
        <v>184</v>
      </c>
      <c r="EM259" t="s">
        <v>185</v>
      </c>
      <c r="EO259" t="s">
        <v>3</v>
      </c>
      <c r="EQ259">
        <v>0</v>
      </c>
      <c r="ER259">
        <v>8.86</v>
      </c>
      <c r="ES259">
        <v>0</v>
      </c>
      <c r="ET259">
        <v>8.86</v>
      </c>
      <c r="EU259">
        <v>1.48</v>
      </c>
      <c r="EV259">
        <v>0</v>
      </c>
      <c r="EW259">
        <v>0</v>
      </c>
      <c r="EX259">
        <v>0</v>
      </c>
      <c r="EY259">
        <v>0</v>
      </c>
      <c r="FQ259">
        <v>0</v>
      </c>
      <c r="FR259">
        <f t="shared" si="244"/>
        <v>0</v>
      </c>
      <c r="FS259">
        <v>0</v>
      </c>
      <c r="FX259">
        <v>91</v>
      </c>
      <c r="FY259">
        <v>70</v>
      </c>
      <c r="GA259" t="s">
        <v>3</v>
      </c>
      <c r="GD259">
        <v>0</v>
      </c>
      <c r="GF259">
        <v>-2091540808</v>
      </c>
      <c r="GG259">
        <v>2</v>
      </c>
      <c r="GH259">
        <v>1</v>
      </c>
      <c r="GI259">
        <v>2</v>
      </c>
      <c r="GJ259">
        <v>0</v>
      </c>
      <c r="GK259">
        <f>ROUND(R259*(R12)/100,2)</f>
        <v>4684.25</v>
      </c>
      <c r="GL259">
        <f t="shared" si="245"/>
        <v>0</v>
      </c>
      <c r="GM259">
        <f t="shared" si="246"/>
        <v>11087.13</v>
      </c>
      <c r="GN259">
        <f t="shared" si="247"/>
        <v>11087.13</v>
      </c>
      <c r="GO259">
        <f t="shared" si="248"/>
        <v>0</v>
      </c>
      <c r="GP259">
        <f t="shared" si="249"/>
        <v>0</v>
      </c>
      <c r="GR259">
        <v>0</v>
      </c>
      <c r="GS259">
        <v>3</v>
      </c>
      <c r="GT259">
        <v>0</v>
      </c>
      <c r="GU259" t="s">
        <v>3</v>
      </c>
      <c r="GV259">
        <f t="shared" si="250"/>
        <v>0</v>
      </c>
      <c r="GW259">
        <v>1</v>
      </c>
      <c r="GX259">
        <f t="shared" si="251"/>
        <v>0</v>
      </c>
      <c r="HA259">
        <v>0</v>
      </c>
      <c r="HB259">
        <v>0</v>
      </c>
      <c r="HC259">
        <f t="shared" si="252"/>
        <v>0</v>
      </c>
      <c r="HE259" t="s">
        <v>3</v>
      </c>
      <c r="HF259" t="s">
        <v>3</v>
      </c>
      <c r="HM259" t="s">
        <v>3</v>
      </c>
      <c r="IK259">
        <v>0</v>
      </c>
    </row>
    <row r="260" spans="1:245" x14ac:dyDescent="0.2">
      <c r="A260">
        <v>17</v>
      </c>
      <c r="B260">
        <v>1</v>
      </c>
      <c r="C260">
        <f>ROW(SmtRes!A197)</f>
        <v>197</v>
      </c>
      <c r="D260">
        <f>ROW(EtalonRes!A192)</f>
        <v>192</v>
      </c>
      <c r="E260" t="s">
        <v>434</v>
      </c>
      <c r="F260" t="s">
        <v>187</v>
      </c>
      <c r="G260" t="s">
        <v>188</v>
      </c>
      <c r="H260" t="s">
        <v>104</v>
      </c>
      <c r="I260">
        <v>79.239999999999995</v>
      </c>
      <c r="J260">
        <v>0</v>
      </c>
      <c r="K260">
        <v>79.239999999999995</v>
      </c>
      <c r="O260">
        <f t="shared" si="220"/>
        <v>35897.99</v>
      </c>
      <c r="P260">
        <f t="shared" si="221"/>
        <v>0</v>
      </c>
      <c r="Q260">
        <f>(ROUND((ROUND(((ET260)*AV260*I260),2)*BB260),2)+ROUND((ROUND(((AE260-(EU260))*AV260*I260),2)*BS260),2))</f>
        <v>35897.99</v>
      </c>
      <c r="R260">
        <f t="shared" si="222"/>
        <v>0</v>
      </c>
      <c r="S260">
        <f t="shared" si="223"/>
        <v>0</v>
      </c>
      <c r="T260">
        <f t="shared" si="224"/>
        <v>0</v>
      </c>
      <c r="U260">
        <f t="shared" si="225"/>
        <v>0</v>
      </c>
      <c r="V260">
        <f t="shared" si="226"/>
        <v>0</v>
      </c>
      <c r="W260">
        <f t="shared" si="227"/>
        <v>0</v>
      </c>
      <c r="X260">
        <f t="shared" si="228"/>
        <v>0</v>
      </c>
      <c r="Y260">
        <f t="shared" si="229"/>
        <v>0</v>
      </c>
      <c r="AA260">
        <v>42938047</v>
      </c>
      <c r="AB260">
        <f t="shared" si="230"/>
        <v>38.92</v>
      </c>
      <c r="AC260">
        <f t="shared" si="231"/>
        <v>0</v>
      </c>
      <c r="AD260">
        <f>ROUND((((ET260)-(EU260))+AE260),6)</f>
        <v>38.92</v>
      </c>
      <c r="AE260">
        <f t="shared" si="255"/>
        <v>0</v>
      </c>
      <c r="AF260">
        <f t="shared" si="255"/>
        <v>0</v>
      </c>
      <c r="AG260">
        <f t="shared" si="232"/>
        <v>0</v>
      </c>
      <c r="AH260">
        <f t="shared" si="256"/>
        <v>0</v>
      </c>
      <c r="AI260">
        <f t="shared" si="256"/>
        <v>0</v>
      </c>
      <c r="AJ260">
        <f t="shared" si="233"/>
        <v>0</v>
      </c>
      <c r="AK260">
        <v>38.92</v>
      </c>
      <c r="AL260">
        <v>0</v>
      </c>
      <c r="AM260">
        <v>38.92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93</v>
      </c>
      <c r="AU260">
        <v>64</v>
      </c>
      <c r="AV260">
        <v>1</v>
      </c>
      <c r="AW260">
        <v>1</v>
      </c>
      <c r="AZ260">
        <v>1</v>
      </c>
      <c r="BA260">
        <v>1</v>
      </c>
      <c r="BB260">
        <v>11.64</v>
      </c>
      <c r="BC260">
        <v>1</v>
      </c>
      <c r="BD260" t="s">
        <v>3</v>
      </c>
      <c r="BE260" t="s">
        <v>3</v>
      </c>
      <c r="BF260" t="s">
        <v>3</v>
      </c>
      <c r="BG260" t="s">
        <v>3</v>
      </c>
      <c r="BH260">
        <v>0</v>
      </c>
      <c r="BI260">
        <v>4</v>
      </c>
      <c r="BJ260" t="s">
        <v>189</v>
      </c>
      <c r="BM260">
        <v>1113</v>
      </c>
      <c r="BN260">
        <v>0</v>
      </c>
      <c r="BO260" t="s">
        <v>187</v>
      </c>
      <c r="BP260">
        <v>1</v>
      </c>
      <c r="BQ260">
        <v>150</v>
      </c>
      <c r="BR260">
        <v>0</v>
      </c>
      <c r="BS260">
        <v>1</v>
      </c>
      <c r="BT260">
        <v>1</v>
      </c>
      <c r="BU260">
        <v>1</v>
      </c>
      <c r="BV260">
        <v>1</v>
      </c>
      <c r="BW260">
        <v>1</v>
      </c>
      <c r="BX260">
        <v>1</v>
      </c>
      <c r="BY260" t="s">
        <v>3</v>
      </c>
      <c r="BZ260">
        <v>93</v>
      </c>
      <c r="CA260">
        <v>64</v>
      </c>
      <c r="CB260" t="s">
        <v>3</v>
      </c>
      <c r="CE260">
        <v>30</v>
      </c>
      <c r="CF260">
        <v>0</v>
      </c>
      <c r="CG260">
        <v>0</v>
      </c>
      <c r="CM260">
        <v>0</v>
      </c>
      <c r="CN260" t="s">
        <v>3</v>
      </c>
      <c r="CO260">
        <v>0</v>
      </c>
      <c r="CP260">
        <f t="shared" si="234"/>
        <v>35897.99</v>
      </c>
      <c r="CQ260">
        <f t="shared" si="235"/>
        <v>0</v>
      </c>
      <c r="CR260">
        <f>(ROUND((ROUND(((ET260)*AV260*1),2)*BB260),2)+ROUND((ROUND(((AE260-(EU260))*AV260*1),2)*BS260),2))</f>
        <v>453.03</v>
      </c>
      <c r="CS260">
        <f t="shared" si="236"/>
        <v>0</v>
      </c>
      <c r="CT260">
        <f t="shared" si="237"/>
        <v>0</v>
      </c>
      <c r="CU260">
        <f t="shared" si="238"/>
        <v>0</v>
      </c>
      <c r="CV260">
        <f t="shared" si="239"/>
        <v>0</v>
      </c>
      <c r="CW260">
        <f t="shared" si="240"/>
        <v>0</v>
      </c>
      <c r="CX260">
        <f t="shared" si="241"/>
        <v>0</v>
      </c>
      <c r="CY260">
        <f t="shared" si="242"/>
        <v>0</v>
      </c>
      <c r="CZ260">
        <f t="shared" si="243"/>
        <v>0</v>
      </c>
      <c r="DC260" t="s">
        <v>3</v>
      </c>
      <c r="DD260" t="s">
        <v>3</v>
      </c>
      <c r="DE260" t="s">
        <v>3</v>
      </c>
      <c r="DF260" t="s">
        <v>3</v>
      </c>
      <c r="DG260" t="s">
        <v>3</v>
      </c>
      <c r="DH260" t="s">
        <v>3</v>
      </c>
      <c r="DI260" t="s">
        <v>3</v>
      </c>
      <c r="DJ260" t="s">
        <v>3</v>
      </c>
      <c r="DK260" t="s">
        <v>3</v>
      </c>
      <c r="DL260" t="s">
        <v>3</v>
      </c>
      <c r="DM260" t="s">
        <v>3</v>
      </c>
      <c r="DN260">
        <v>0</v>
      </c>
      <c r="DO260">
        <v>0</v>
      </c>
      <c r="DP260">
        <v>1</v>
      </c>
      <c r="DQ260">
        <v>1</v>
      </c>
      <c r="DU260">
        <v>1009</v>
      </c>
      <c r="DV260" t="s">
        <v>104</v>
      </c>
      <c r="DW260" t="s">
        <v>104</v>
      </c>
      <c r="DX260">
        <v>1000</v>
      </c>
      <c r="DZ260" t="s">
        <v>3</v>
      </c>
      <c r="EA260" t="s">
        <v>3</v>
      </c>
      <c r="EB260" t="s">
        <v>3</v>
      </c>
      <c r="EC260" t="s">
        <v>3</v>
      </c>
      <c r="EE260">
        <v>43089191</v>
      </c>
      <c r="EF260">
        <v>150</v>
      </c>
      <c r="EG260" t="s">
        <v>190</v>
      </c>
      <c r="EH260">
        <v>0</v>
      </c>
      <c r="EI260" t="s">
        <v>3</v>
      </c>
      <c r="EJ260">
        <v>4</v>
      </c>
      <c r="EK260">
        <v>1113</v>
      </c>
      <c r="EL260" t="s">
        <v>191</v>
      </c>
      <c r="EM260" t="s">
        <v>192</v>
      </c>
      <c r="EO260" t="s">
        <v>3</v>
      </c>
      <c r="EQ260">
        <v>0</v>
      </c>
      <c r="ER260">
        <v>38.92</v>
      </c>
      <c r="ES260">
        <v>0</v>
      </c>
      <c r="ET260">
        <v>38.92</v>
      </c>
      <c r="EU260">
        <v>0</v>
      </c>
      <c r="EV260">
        <v>0</v>
      </c>
      <c r="EW260">
        <v>0</v>
      </c>
      <c r="EX260">
        <v>0</v>
      </c>
      <c r="EY260">
        <v>0</v>
      </c>
      <c r="FQ260">
        <v>0</v>
      </c>
      <c r="FR260">
        <f t="shared" si="244"/>
        <v>0</v>
      </c>
      <c r="FS260">
        <v>0</v>
      </c>
      <c r="FX260">
        <v>0</v>
      </c>
      <c r="FY260">
        <v>0</v>
      </c>
      <c r="GA260" t="s">
        <v>3</v>
      </c>
      <c r="GD260">
        <v>0</v>
      </c>
      <c r="GF260">
        <v>733232356</v>
      </c>
      <c r="GG260">
        <v>2</v>
      </c>
      <c r="GH260">
        <v>1</v>
      </c>
      <c r="GI260">
        <v>2</v>
      </c>
      <c r="GJ260">
        <v>0</v>
      </c>
      <c r="GK260">
        <f>ROUND(R260*(R12)/100,2)</f>
        <v>0</v>
      </c>
      <c r="GL260">
        <f t="shared" si="245"/>
        <v>0</v>
      </c>
      <c r="GM260">
        <f t="shared" si="246"/>
        <v>35897.99</v>
      </c>
      <c r="GN260">
        <f t="shared" si="247"/>
        <v>0</v>
      </c>
      <c r="GO260">
        <f t="shared" si="248"/>
        <v>0</v>
      </c>
      <c r="GP260">
        <f t="shared" si="249"/>
        <v>35897.99</v>
      </c>
      <c r="GR260">
        <v>0</v>
      </c>
      <c r="GS260">
        <v>3</v>
      </c>
      <c r="GT260">
        <v>0</v>
      </c>
      <c r="GU260" t="s">
        <v>3</v>
      </c>
      <c r="GV260">
        <f t="shared" si="250"/>
        <v>0</v>
      </c>
      <c r="GW260">
        <v>1</v>
      </c>
      <c r="GX260">
        <f t="shared" si="251"/>
        <v>0</v>
      </c>
      <c r="HA260">
        <v>0</v>
      </c>
      <c r="HB260">
        <v>0</v>
      </c>
      <c r="HC260">
        <f t="shared" si="252"/>
        <v>0</v>
      </c>
      <c r="HE260" t="s">
        <v>3</v>
      </c>
      <c r="HF260" t="s">
        <v>3</v>
      </c>
      <c r="HM260" t="s">
        <v>3</v>
      </c>
      <c r="IK260">
        <v>0</v>
      </c>
    </row>
    <row r="261" spans="1:245" x14ac:dyDescent="0.2">
      <c r="A261">
        <v>17</v>
      </c>
      <c r="B261">
        <v>1</v>
      </c>
      <c r="C261">
        <f>ROW(SmtRes!A198)</f>
        <v>198</v>
      </c>
      <c r="D261">
        <f>ROW(EtalonRes!A193)</f>
        <v>193</v>
      </c>
      <c r="E261" t="s">
        <v>435</v>
      </c>
      <c r="F261" t="s">
        <v>204</v>
      </c>
      <c r="G261" t="s">
        <v>205</v>
      </c>
      <c r="H261" t="s">
        <v>104</v>
      </c>
      <c r="I261">
        <v>24.9</v>
      </c>
      <c r="J261">
        <v>0</v>
      </c>
      <c r="K261">
        <v>24.9</v>
      </c>
      <c r="O261">
        <f t="shared" si="220"/>
        <v>13985.33</v>
      </c>
      <c r="P261">
        <f t="shared" si="221"/>
        <v>0</v>
      </c>
      <c r="Q261">
        <f>(ROUND((ROUND(((ET261)*AV261*I261),2)*BB261),2)+ROUND((ROUND(((AE261-(EU261))*AV261*I261),2)*BS261),2))</f>
        <v>13985.33</v>
      </c>
      <c r="R261">
        <f t="shared" si="222"/>
        <v>0</v>
      </c>
      <c r="S261">
        <f t="shared" si="223"/>
        <v>0</v>
      </c>
      <c r="T261">
        <f t="shared" si="224"/>
        <v>0</v>
      </c>
      <c r="U261">
        <f t="shared" si="225"/>
        <v>0</v>
      </c>
      <c r="V261">
        <f t="shared" si="226"/>
        <v>0</v>
      </c>
      <c r="W261">
        <f t="shared" si="227"/>
        <v>0</v>
      </c>
      <c r="X261">
        <f t="shared" si="228"/>
        <v>0</v>
      </c>
      <c r="Y261">
        <f t="shared" si="229"/>
        <v>0</v>
      </c>
      <c r="AA261">
        <v>42938047</v>
      </c>
      <c r="AB261">
        <f t="shared" si="230"/>
        <v>46</v>
      </c>
      <c r="AC261">
        <f t="shared" si="231"/>
        <v>0</v>
      </c>
      <c r="AD261">
        <f>ROUND((((ET261)-(EU261))+AE261),6)</f>
        <v>46</v>
      </c>
      <c r="AE261">
        <f t="shared" si="255"/>
        <v>0</v>
      </c>
      <c r="AF261">
        <f t="shared" si="255"/>
        <v>0</v>
      </c>
      <c r="AG261">
        <f t="shared" si="232"/>
        <v>0</v>
      </c>
      <c r="AH261">
        <f t="shared" si="256"/>
        <v>0</v>
      </c>
      <c r="AI261">
        <f t="shared" si="256"/>
        <v>0</v>
      </c>
      <c r="AJ261">
        <f t="shared" si="233"/>
        <v>0</v>
      </c>
      <c r="AK261">
        <v>46</v>
      </c>
      <c r="AL261">
        <v>0</v>
      </c>
      <c r="AM261">
        <v>46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93</v>
      </c>
      <c r="AU261">
        <v>64</v>
      </c>
      <c r="AV261">
        <v>1</v>
      </c>
      <c r="AW261">
        <v>1</v>
      </c>
      <c r="AZ261">
        <v>1</v>
      </c>
      <c r="BA261">
        <v>1</v>
      </c>
      <c r="BB261">
        <v>12.21</v>
      </c>
      <c r="BC261">
        <v>1</v>
      </c>
      <c r="BD261" t="s">
        <v>3</v>
      </c>
      <c r="BE261" t="s">
        <v>3</v>
      </c>
      <c r="BF261" t="s">
        <v>3</v>
      </c>
      <c r="BG261" t="s">
        <v>3</v>
      </c>
      <c r="BH261">
        <v>0</v>
      </c>
      <c r="BI261">
        <v>4</v>
      </c>
      <c r="BJ261" t="s">
        <v>206</v>
      </c>
      <c r="BM261">
        <v>1111</v>
      </c>
      <c r="BN261">
        <v>0</v>
      </c>
      <c r="BO261" t="s">
        <v>204</v>
      </c>
      <c r="BP261">
        <v>1</v>
      </c>
      <c r="BQ261">
        <v>150</v>
      </c>
      <c r="BR261">
        <v>0</v>
      </c>
      <c r="BS261">
        <v>1</v>
      </c>
      <c r="BT261">
        <v>1</v>
      </c>
      <c r="BU261">
        <v>1</v>
      </c>
      <c r="BV261">
        <v>1</v>
      </c>
      <c r="BW261">
        <v>1</v>
      </c>
      <c r="BX261">
        <v>1</v>
      </c>
      <c r="BY261" t="s">
        <v>3</v>
      </c>
      <c r="BZ261">
        <v>93</v>
      </c>
      <c r="CA261">
        <v>64</v>
      </c>
      <c r="CB261" t="s">
        <v>3</v>
      </c>
      <c r="CE261">
        <v>30</v>
      </c>
      <c r="CF261">
        <v>0</v>
      </c>
      <c r="CG261">
        <v>0</v>
      </c>
      <c r="CM261">
        <v>0</v>
      </c>
      <c r="CN261" t="s">
        <v>3</v>
      </c>
      <c r="CO261">
        <v>0</v>
      </c>
      <c r="CP261">
        <f t="shared" si="234"/>
        <v>13985.33</v>
      </c>
      <c r="CQ261">
        <f t="shared" si="235"/>
        <v>0</v>
      </c>
      <c r="CR261">
        <f>(ROUND((ROUND(((ET261)*AV261*1),2)*BB261),2)+ROUND((ROUND(((AE261-(EU261))*AV261*1),2)*BS261),2))</f>
        <v>561.66</v>
      </c>
      <c r="CS261">
        <f t="shared" si="236"/>
        <v>0</v>
      </c>
      <c r="CT261">
        <f t="shared" si="237"/>
        <v>0</v>
      </c>
      <c r="CU261">
        <f t="shared" si="238"/>
        <v>0</v>
      </c>
      <c r="CV261">
        <f t="shared" si="239"/>
        <v>0</v>
      </c>
      <c r="CW261">
        <f t="shared" si="240"/>
        <v>0</v>
      </c>
      <c r="CX261">
        <f t="shared" si="241"/>
        <v>0</v>
      </c>
      <c r="CY261">
        <f t="shared" si="242"/>
        <v>0</v>
      </c>
      <c r="CZ261">
        <f t="shared" si="243"/>
        <v>0</v>
      </c>
      <c r="DC261" t="s">
        <v>3</v>
      </c>
      <c r="DD261" t="s">
        <v>3</v>
      </c>
      <c r="DE261" t="s">
        <v>3</v>
      </c>
      <c r="DF261" t="s">
        <v>3</v>
      </c>
      <c r="DG261" t="s">
        <v>3</v>
      </c>
      <c r="DH261" t="s">
        <v>3</v>
      </c>
      <c r="DI261" t="s">
        <v>3</v>
      </c>
      <c r="DJ261" t="s">
        <v>3</v>
      </c>
      <c r="DK261" t="s">
        <v>3</v>
      </c>
      <c r="DL261" t="s">
        <v>3</v>
      </c>
      <c r="DM261" t="s">
        <v>3</v>
      </c>
      <c r="DN261">
        <v>0</v>
      </c>
      <c r="DO261">
        <v>0</v>
      </c>
      <c r="DP261">
        <v>1</v>
      </c>
      <c r="DQ261">
        <v>1</v>
      </c>
      <c r="DU261">
        <v>1009</v>
      </c>
      <c r="DV261" t="s">
        <v>104</v>
      </c>
      <c r="DW261" t="s">
        <v>104</v>
      </c>
      <c r="DX261">
        <v>1000</v>
      </c>
      <c r="DZ261" t="s">
        <v>3</v>
      </c>
      <c r="EA261" t="s">
        <v>3</v>
      </c>
      <c r="EB261" t="s">
        <v>3</v>
      </c>
      <c r="EC261" t="s">
        <v>3</v>
      </c>
      <c r="EE261">
        <v>43089189</v>
      </c>
      <c r="EF261">
        <v>150</v>
      </c>
      <c r="EG261" t="s">
        <v>190</v>
      </c>
      <c r="EH261">
        <v>0</v>
      </c>
      <c r="EI261" t="s">
        <v>3</v>
      </c>
      <c r="EJ261">
        <v>4</v>
      </c>
      <c r="EK261">
        <v>1111</v>
      </c>
      <c r="EL261" t="s">
        <v>207</v>
      </c>
      <c r="EM261" t="s">
        <v>208</v>
      </c>
      <c r="EO261" t="s">
        <v>3</v>
      </c>
      <c r="EQ261">
        <v>0</v>
      </c>
      <c r="ER261">
        <v>46</v>
      </c>
      <c r="ES261">
        <v>0</v>
      </c>
      <c r="ET261">
        <v>46</v>
      </c>
      <c r="EU261">
        <v>0</v>
      </c>
      <c r="EV261">
        <v>0</v>
      </c>
      <c r="EW261">
        <v>0</v>
      </c>
      <c r="EX261">
        <v>0</v>
      </c>
      <c r="EY261">
        <v>0</v>
      </c>
      <c r="FQ261">
        <v>0</v>
      </c>
      <c r="FR261">
        <f t="shared" si="244"/>
        <v>0</v>
      </c>
      <c r="FS261">
        <v>0</v>
      </c>
      <c r="FX261">
        <v>0</v>
      </c>
      <c r="FY261">
        <v>0</v>
      </c>
      <c r="GA261" t="s">
        <v>3</v>
      </c>
      <c r="GD261">
        <v>0</v>
      </c>
      <c r="GF261">
        <v>1570066743</v>
      </c>
      <c r="GG261">
        <v>2</v>
      </c>
      <c r="GH261">
        <v>1</v>
      </c>
      <c r="GI261">
        <v>2</v>
      </c>
      <c r="GJ261">
        <v>0</v>
      </c>
      <c r="GK261">
        <f>ROUND(R261*(R12)/100,2)</f>
        <v>0</v>
      </c>
      <c r="GL261">
        <f t="shared" si="245"/>
        <v>0</v>
      </c>
      <c r="GM261">
        <f t="shared" si="246"/>
        <v>13985.33</v>
      </c>
      <c r="GN261">
        <f t="shared" si="247"/>
        <v>0</v>
      </c>
      <c r="GO261">
        <f t="shared" si="248"/>
        <v>0</v>
      </c>
      <c r="GP261">
        <f t="shared" si="249"/>
        <v>13985.33</v>
      </c>
      <c r="GR261">
        <v>0</v>
      </c>
      <c r="GS261">
        <v>3</v>
      </c>
      <c r="GT261">
        <v>0</v>
      </c>
      <c r="GU261" t="s">
        <v>3</v>
      </c>
      <c r="GV261">
        <f t="shared" si="250"/>
        <v>0</v>
      </c>
      <c r="GW261">
        <v>1</v>
      </c>
      <c r="GX261">
        <f t="shared" si="251"/>
        <v>0</v>
      </c>
      <c r="HA261">
        <v>0</v>
      </c>
      <c r="HB261">
        <v>0</v>
      </c>
      <c r="HC261">
        <f t="shared" si="252"/>
        <v>0</v>
      </c>
      <c r="HE261" t="s">
        <v>3</v>
      </c>
      <c r="HF261" t="s">
        <v>3</v>
      </c>
      <c r="HM261" t="s">
        <v>3</v>
      </c>
      <c r="IK261">
        <v>0</v>
      </c>
    </row>
    <row r="262" spans="1:245" x14ac:dyDescent="0.2">
      <c r="A262">
        <v>17</v>
      </c>
      <c r="B262">
        <v>1</v>
      </c>
      <c r="C262">
        <f>ROW(SmtRes!A199)</f>
        <v>199</v>
      </c>
      <c r="D262">
        <f>ROW(EtalonRes!A194)</f>
        <v>194</v>
      </c>
      <c r="E262" t="s">
        <v>436</v>
      </c>
      <c r="F262" t="s">
        <v>210</v>
      </c>
      <c r="G262" t="s">
        <v>211</v>
      </c>
      <c r="H262" t="s">
        <v>182</v>
      </c>
      <c r="I262">
        <v>24.9</v>
      </c>
      <c r="J262">
        <v>0</v>
      </c>
      <c r="K262">
        <v>24.9</v>
      </c>
      <c r="O262">
        <f t="shared" si="220"/>
        <v>2395.7399999999998</v>
      </c>
      <c r="P262">
        <f t="shared" si="221"/>
        <v>0</v>
      </c>
      <c r="Q262">
        <f>(ROUND((ROUND(((ET262)*AV262*I262),2)*BB262),2)+ROUND((ROUND(((AE262-(EU262))*AV262*I262),2)*BS262),2))</f>
        <v>2395.7399999999998</v>
      </c>
      <c r="R262">
        <f t="shared" si="222"/>
        <v>0</v>
      </c>
      <c r="S262">
        <f t="shared" si="223"/>
        <v>0</v>
      </c>
      <c r="T262">
        <f t="shared" si="224"/>
        <v>0</v>
      </c>
      <c r="U262">
        <f t="shared" si="225"/>
        <v>0</v>
      </c>
      <c r="V262">
        <f t="shared" si="226"/>
        <v>0</v>
      </c>
      <c r="W262">
        <f t="shared" si="227"/>
        <v>0</v>
      </c>
      <c r="X262">
        <f t="shared" si="228"/>
        <v>0</v>
      </c>
      <c r="Y262">
        <f t="shared" si="229"/>
        <v>0</v>
      </c>
      <c r="AA262">
        <v>42938047</v>
      </c>
      <c r="AB262">
        <f t="shared" si="230"/>
        <v>12.61</v>
      </c>
      <c r="AC262">
        <f t="shared" si="231"/>
        <v>0</v>
      </c>
      <c r="AD262">
        <f>ROUND((((ET262)-(EU262))+AE262),6)</f>
        <v>12.61</v>
      </c>
      <c r="AE262">
        <f t="shared" si="255"/>
        <v>0</v>
      </c>
      <c r="AF262">
        <f t="shared" si="255"/>
        <v>0</v>
      </c>
      <c r="AG262">
        <f t="shared" si="232"/>
        <v>0</v>
      </c>
      <c r="AH262">
        <f t="shared" si="256"/>
        <v>0</v>
      </c>
      <c r="AI262">
        <f t="shared" si="256"/>
        <v>0</v>
      </c>
      <c r="AJ262">
        <f t="shared" si="233"/>
        <v>0</v>
      </c>
      <c r="AK262">
        <v>12.61</v>
      </c>
      <c r="AL262">
        <v>0</v>
      </c>
      <c r="AM262">
        <v>12.61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93</v>
      </c>
      <c r="AU262">
        <v>64</v>
      </c>
      <c r="AV262">
        <v>1</v>
      </c>
      <c r="AW262">
        <v>1</v>
      </c>
      <c r="AZ262">
        <v>1</v>
      </c>
      <c r="BA262">
        <v>1</v>
      </c>
      <c r="BB262">
        <v>7.63</v>
      </c>
      <c r="BC262">
        <v>1</v>
      </c>
      <c r="BD262" t="s">
        <v>3</v>
      </c>
      <c r="BE262" t="s">
        <v>3</v>
      </c>
      <c r="BF262" t="s">
        <v>3</v>
      </c>
      <c r="BG262" t="s">
        <v>3</v>
      </c>
      <c r="BH262">
        <v>0</v>
      </c>
      <c r="BI262">
        <v>4</v>
      </c>
      <c r="BJ262" t="s">
        <v>212</v>
      </c>
      <c r="BM262">
        <v>1113</v>
      </c>
      <c r="BN262">
        <v>0</v>
      </c>
      <c r="BO262" t="s">
        <v>210</v>
      </c>
      <c r="BP262">
        <v>1</v>
      </c>
      <c r="BQ262">
        <v>150</v>
      </c>
      <c r="BR262">
        <v>0</v>
      </c>
      <c r="BS262">
        <v>1</v>
      </c>
      <c r="BT262">
        <v>1</v>
      </c>
      <c r="BU262">
        <v>1</v>
      </c>
      <c r="BV262">
        <v>1</v>
      </c>
      <c r="BW262">
        <v>1</v>
      </c>
      <c r="BX262">
        <v>1</v>
      </c>
      <c r="BY262" t="s">
        <v>3</v>
      </c>
      <c r="BZ262">
        <v>93</v>
      </c>
      <c r="CA262">
        <v>64</v>
      </c>
      <c r="CB262" t="s">
        <v>3</v>
      </c>
      <c r="CE262">
        <v>30</v>
      </c>
      <c r="CF262">
        <v>0</v>
      </c>
      <c r="CG262">
        <v>0</v>
      </c>
      <c r="CM262">
        <v>0</v>
      </c>
      <c r="CN262" t="s">
        <v>3</v>
      </c>
      <c r="CO262">
        <v>0</v>
      </c>
      <c r="CP262">
        <f t="shared" si="234"/>
        <v>2395.7399999999998</v>
      </c>
      <c r="CQ262">
        <f t="shared" si="235"/>
        <v>0</v>
      </c>
      <c r="CR262">
        <f>(ROUND((ROUND(((ET262)*AV262*1),2)*BB262),2)+ROUND((ROUND(((AE262-(EU262))*AV262*1),2)*BS262),2))</f>
        <v>96.21</v>
      </c>
      <c r="CS262">
        <f t="shared" si="236"/>
        <v>0</v>
      </c>
      <c r="CT262">
        <f t="shared" si="237"/>
        <v>0</v>
      </c>
      <c r="CU262">
        <f t="shared" si="238"/>
        <v>0</v>
      </c>
      <c r="CV262">
        <f t="shared" si="239"/>
        <v>0</v>
      </c>
      <c r="CW262">
        <f t="shared" si="240"/>
        <v>0</v>
      </c>
      <c r="CX262">
        <f t="shared" si="241"/>
        <v>0</v>
      </c>
      <c r="CY262">
        <f t="shared" si="242"/>
        <v>0</v>
      </c>
      <c r="CZ262">
        <f t="shared" si="243"/>
        <v>0</v>
      </c>
      <c r="DC262" t="s">
        <v>3</v>
      </c>
      <c r="DD262" t="s">
        <v>3</v>
      </c>
      <c r="DE262" t="s">
        <v>3</v>
      </c>
      <c r="DF262" t="s">
        <v>3</v>
      </c>
      <c r="DG262" t="s">
        <v>3</v>
      </c>
      <c r="DH262" t="s">
        <v>3</v>
      </c>
      <c r="DI262" t="s">
        <v>3</v>
      </c>
      <c r="DJ262" t="s">
        <v>3</v>
      </c>
      <c r="DK262" t="s">
        <v>3</v>
      </c>
      <c r="DL262" t="s">
        <v>3</v>
      </c>
      <c r="DM262" t="s">
        <v>3</v>
      </c>
      <c r="DN262">
        <v>0</v>
      </c>
      <c r="DO262">
        <v>0</v>
      </c>
      <c r="DP262">
        <v>1</v>
      </c>
      <c r="DQ262">
        <v>1</v>
      </c>
      <c r="DU262">
        <v>1013</v>
      </c>
      <c r="DV262" t="s">
        <v>182</v>
      </c>
      <c r="DW262" t="s">
        <v>182</v>
      </c>
      <c r="DX262">
        <v>1</v>
      </c>
      <c r="DZ262" t="s">
        <v>3</v>
      </c>
      <c r="EA262" t="s">
        <v>3</v>
      </c>
      <c r="EB262" t="s">
        <v>3</v>
      </c>
      <c r="EC262" t="s">
        <v>3</v>
      </c>
      <c r="EE262">
        <v>43089191</v>
      </c>
      <c r="EF262">
        <v>150</v>
      </c>
      <c r="EG262" t="s">
        <v>190</v>
      </c>
      <c r="EH262">
        <v>0</v>
      </c>
      <c r="EI262" t="s">
        <v>3</v>
      </c>
      <c r="EJ262">
        <v>4</v>
      </c>
      <c r="EK262">
        <v>1113</v>
      </c>
      <c r="EL262" t="s">
        <v>191</v>
      </c>
      <c r="EM262" t="s">
        <v>192</v>
      </c>
      <c r="EO262" t="s">
        <v>3</v>
      </c>
      <c r="EQ262">
        <v>0</v>
      </c>
      <c r="ER262">
        <v>12.61</v>
      </c>
      <c r="ES262">
        <v>0</v>
      </c>
      <c r="ET262">
        <v>12.61</v>
      </c>
      <c r="EU262">
        <v>0</v>
      </c>
      <c r="EV262">
        <v>0</v>
      </c>
      <c r="EW262">
        <v>0</v>
      </c>
      <c r="EX262">
        <v>0</v>
      </c>
      <c r="EY262">
        <v>0</v>
      </c>
      <c r="FQ262">
        <v>0</v>
      </c>
      <c r="FR262">
        <f t="shared" si="244"/>
        <v>0</v>
      </c>
      <c r="FS262">
        <v>0</v>
      </c>
      <c r="FX262">
        <v>0</v>
      </c>
      <c r="FY262">
        <v>0</v>
      </c>
      <c r="GA262" t="s">
        <v>3</v>
      </c>
      <c r="GD262">
        <v>0</v>
      </c>
      <c r="GF262">
        <v>-1630031867</v>
      </c>
      <c r="GG262">
        <v>2</v>
      </c>
      <c r="GH262">
        <v>1</v>
      </c>
      <c r="GI262">
        <v>2</v>
      </c>
      <c r="GJ262">
        <v>0</v>
      </c>
      <c r="GK262">
        <f>ROUND(R262*(R12)/100,2)</f>
        <v>0</v>
      </c>
      <c r="GL262">
        <f t="shared" si="245"/>
        <v>0</v>
      </c>
      <c r="GM262">
        <f t="shared" si="246"/>
        <v>2395.7399999999998</v>
      </c>
      <c r="GN262">
        <f t="shared" si="247"/>
        <v>0</v>
      </c>
      <c r="GO262">
        <f t="shared" si="248"/>
        <v>0</v>
      </c>
      <c r="GP262">
        <f t="shared" si="249"/>
        <v>2395.7399999999998</v>
      </c>
      <c r="GR262">
        <v>0</v>
      </c>
      <c r="GS262">
        <v>3</v>
      </c>
      <c r="GT262">
        <v>0</v>
      </c>
      <c r="GU262" t="s">
        <v>3</v>
      </c>
      <c r="GV262">
        <f t="shared" si="250"/>
        <v>0</v>
      </c>
      <c r="GW262">
        <v>1</v>
      </c>
      <c r="GX262">
        <f t="shared" si="251"/>
        <v>0</v>
      </c>
      <c r="HA262">
        <v>0</v>
      </c>
      <c r="HB262">
        <v>0</v>
      </c>
      <c r="HC262">
        <f t="shared" si="252"/>
        <v>0</v>
      </c>
      <c r="HE262" t="s">
        <v>3</v>
      </c>
      <c r="HF262" t="s">
        <v>3</v>
      </c>
      <c r="HM262" t="s">
        <v>3</v>
      </c>
      <c r="IK262">
        <v>0</v>
      </c>
    </row>
    <row r="264" spans="1:245" x14ac:dyDescent="0.2">
      <c r="A264" s="2">
        <v>51</v>
      </c>
      <c r="B264" s="2">
        <f>B245</f>
        <v>1</v>
      </c>
      <c r="C264" s="2">
        <f>A245</f>
        <v>4</v>
      </c>
      <c r="D264" s="2">
        <f>ROW(A245)</f>
        <v>245</v>
      </c>
      <c r="E264" s="2"/>
      <c r="F264" s="2" t="str">
        <f>IF(F245&lt;&gt;"",F245,"")</f>
        <v>Новый раздел</v>
      </c>
      <c r="G264" s="2" t="str">
        <f>IF(G245&lt;&gt;"",G245,"")</f>
        <v>Замена покрытия из камней типа "Валун" 166 кв.м</v>
      </c>
      <c r="H264" s="2">
        <v>0</v>
      </c>
      <c r="I264" s="2"/>
      <c r="J264" s="2"/>
      <c r="K264" s="2"/>
      <c r="L264" s="2"/>
      <c r="M264" s="2"/>
      <c r="N264" s="2"/>
      <c r="O264" s="2">
        <f t="shared" ref="O264:T264" si="257">ROUND(AB264,2)</f>
        <v>860863.29</v>
      </c>
      <c r="P264" s="2">
        <f t="shared" si="257"/>
        <v>717485.4</v>
      </c>
      <c r="Q264" s="2">
        <f t="shared" si="257"/>
        <v>66590.05</v>
      </c>
      <c r="R264" s="2">
        <f t="shared" si="257"/>
        <v>7232.08</v>
      </c>
      <c r="S264" s="2">
        <f t="shared" si="257"/>
        <v>76787.839999999997</v>
      </c>
      <c r="T264" s="2">
        <f t="shared" si="257"/>
        <v>0</v>
      </c>
      <c r="U264" s="2">
        <f>AH264</f>
        <v>266.96295499999997</v>
      </c>
      <c r="V264" s="2">
        <f>AI264</f>
        <v>0</v>
      </c>
      <c r="W264" s="2">
        <f>ROUND(AJ264,2)</f>
        <v>0</v>
      </c>
      <c r="X264" s="2">
        <f>ROUND(AK264,2)</f>
        <v>65203.360000000001</v>
      </c>
      <c r="Y264" s="2">
        <f>ROUND(AL264,2)</f>
        <v>31483.02</v>
      </c>
      <c r="Z264" s="2"/>
      <c r="AA264" s="2"/>
      <c r="AB264" s="2">
        <f>ROUND(SUMIF(AA249:AA262,"=42938047",O249:O262),2)</f>
        <v>860863.29</v>
      </c>
      <c r="AC264" s="2">
        <f>ROUND(SUMIF(AA249:AA262,"=42938047",P249:P262),2)</f>
        <v>717485.4</v>
      </c>
      <c r="AD264" s="2">
        <f>ROUND(SUMIF(AA249:AA262,"=42938047",Q249:Q262),2)</f>
        <v>66590.05</v>
      </c>
      <c r="AE264" s="2">
        <f>ROUND(SUMIF(AA249:AA262,"=42938047",R249:R262),2)</f>
        <v>7232.08</v>
      </c>
      <c r="AF264" s="2">
        <f>ROUND(SUMIF(AA249:AA262,"=42938047",S249:S262),2)</f>
        <v>76787.839999999997</v>
      </c>
      <c r="AG264" s="2">
        <f>ROUND(SUMIF(AA249:AA262,"=42938047",T249:T262),2)</f>
        <v>0</v>
      </c>
      <c r="AH264" s="2">
        <f>SUMIF(AA249:AA262,"=42938047",U249:U262)</f>
        <v>266.96295499999997</v>
      </c>
      <c r="AI264" s="2">
        <f>SUMIF(AA249:AA262,"=42938047",V249:V262)</f>
        <v>0</v>
      </c>
      <c r="AJ264" s="2">
        <f>ROUND(SUMIF(AA249:AA262,"=42938047",W249:W262),2)</f>
        <v>0</v>
      </c>
      <c r="AK264" s="2">
        <f>ROUND(SUMIF(AA249:AA262,"=42938047",X249:X262),2)</f>
        <v>65203.360000000001</v>
      </c>
      <c r="AL264" s="2">
        <f>ROUND(SUMIF(AA249:AA262,"=42938047",Y249:Y262),2)</f>
        <v>31483.02</v>
      </c>
      <c r="AM264" s="2"/>
      <c r="AN264" s="2"/>
      <c r="AO264" s="2">
        <f t="shared" ref="AO264:BD264" si="258">ROUND(BX264,2)</f>
        <v>0</v>
      </c>
      <c r="AP264" s="2">
        <f t="shared" si="258"/>
        <v>0</v>
      </c>
      <c r="AQ264" s="2">
        <f t="shared" si="258"/>
        <v>0</v>
      </c>
      <c r="AR264" s="2">
        <f t="shared" si="258"/>
        <v>968904.04</v>
      </c>
      <c r="AS264" s="2">
        <f t="shared" si="258"/>
        <v>916624.98</v>
      </c>
      <c r="AT264" s="2">
        <f t="shared" si="258"/>
        <v>0</v>
      </c>
      <c r="AU264" s="2">
        <f t="shared" si="258"/>
        <v>52279.06</v>
      </c>
      <c r="AV264" s="2">
        <f t="shared" si="258"/>
        <v>717485.4</v>
      </c>
      <c r="AW264" s="2">
        <f t="shared" si="258"/>
        <v>717485.4</v>
      </c>
      <c r="AX264" s="2">
        <f t="shared" si="258"/>
        <v>0</v>
      </c>
      <c r="AY264" s="2">
        <f t="shared" si="258"/>
        <v>717485.4</v>
      </c>
      <c r="AZ264" s="2">
        <f t="shared" si="258"/>
        <v>0</v>
      </c>
      <c r="BA264" s="2">
        <f t="shared" si="258"/>
        <v>0</v>
      </c>
      <c r="BB264" s="2">
        <f t="shared" si="258"/>
        <v>0</v>
      </c>
      <c r="BC264" s="2">
        <f t="shared" si="258"/>
        <v>0</v>
      </c>
      <c r="BD264" s="2">
        <f t="shared" si="258"/>
        <v>0</v>
      </c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>
        <f>ROUND(SUMIF(AA249:AA262,"=42938047",FQ249:FQ262),2)</f>
        <v>0</v>
      </c>
      <c r="BY264" s="2">
        <f>ROUND(SUMIF(AA249:AA262,"=42938047",FR249:FR262),2)</f>
        <v>0</v>
      </c>
      <c r="BZ264" s="2">
        <f>ROUND(SUMIF(AA249:AA262,"=42938047",GL249:GL262),2)</f>
        <v>0</v>
      </c>
      <c r="CA264" s="2">
        <f>ROUND(SUMIF(AA249:AA262,"=42938047",GM249:GM262),2)</f>
        <v>968904.04</v>
      </c>
      <c r="CB264" s="2">
        <f>ROUND(SUMIF(AA249:AA262,"=42938047",GN249:GN262),2)</f>
        <v>916624.98</v>
      </c>
      <c r="CC264" s="2">
        <f>ROUND(SUMIF(AA249:AA262,"=42938047",GO249:GO262),2)</f>
        <v>0</v>
      </c>
      <c r="CD264" s="2">
        <f>ROUND(SUMIF(AA249:AA262,"=42938047",GP249:GP262),2)</f>
        <v>52279.06</v>
      </c>
      <c r="CE264" s="2">
        <f>AC264-BX264</f>
        <v>717485.4</v>
      </c>
      <c r="CF264" s="2">
        <f>AC264-BY264</f>
        <v>717485.4</v>
      </c>
      <c r="CG264" s="2">
        <f>BX264-BZ264</f>
        <v>0</v>
      </c>
      <c r="CH264" s="2">
        <f>AC264-BX264-BY264+BZ264</f>
        <v>717485.4</v>
      </c>
      <c r="CI264" s="2">
        <f>BY264-BZ264</f>
        <v>0</v>
      </c>
      <c r="CJ264" s="2">
        <f>ROUND(SUMIF(AA249:AA262,"=42938047",GX249:GX262),2)</f>
        <v>0</v>
      </c>
      <c r="CK264" s="2">
        <f>ROUND(SUMIF(AA249:AA262,"=42938047",GY249:GY262),2)</f>
        <v>0</v>
      </c>
      <c r="CL264" s="2">
        <f>ROUND(SUMIF(AA249:AA262,"=42938047",GZ249:GZ262),2)</f>
        <v>0</v>
      </c>
      <c r="CM264" s="2">
        <f>ROUND(SUMIF(AA249:AA262,"=42938047",HD249:HD262),2)</f>
        <v>0</v>
      </c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3"/>
      <c r="DH264" s="3"/>
      <c r="DI264" s="3"/>
      <c r="DJ264" s="3"/>
      <c r="DK264" s="3"/>
      <c r="DL264" s="3"/>
      <c r="DM264" s="3"/>
      <c r="DN264" s="3"/>
      <c r="DO264" s="3"/>
      <c r="DP264" s="3"/>
      <c r="DQ264" s="3"/>
      <c r="DR264" s="3"/>
      <c r="DS264" s="3"/>
      <c r="DT264" s="3"/>
      <c r="DU264" s="3"/>
      <c r="DV264" s="3"/>
      <c r="DW264" s="3"/>
      <c r="DX264" s="3"/>
      <c r="DY264" s="3"/>
      <c r="DZ264" s="3"/>
      <c r="EA264" s="3"/>
      <c r="EB264" s="3"/>
      <c r="EC264" s="3"/>
      <c r="ED264" s="3"/>
      <c r="EE264" s="3"/>
      <c r="EF264" s="3"/>
      <c r="EG264" s="3"/>
      <c r="EH264" s="3"/>
      <c r="EI264" s="3"/>
      <c r="EJ264" s="3"/>
      <c r="EK264" s="3"/>
      <c r="EL264" s="3"/>
      <c r="EM264" s="3"/>
      <c r="EN264" s="3"/>
      <c r="EO264" s="3"/>
      <c r="EP264" s="3"/>
      <c r="EQ264" s="3"/>
      <c r="ER264" s="3"/>
      <c r="ES264" s="3"/>
      <c r="ET264" s="3"/>
      <c r="EU264" s="3"/>
      <c r="EV264" s="3"/>
      <c r="EW264" s="3"/>
      <c r="EX264" s="3"/>
      <c r="EY264" s="3"/>
      <c r="EZ264" s="3"/>
      <c r="FA264" s="3"/>
      <c r="FB264" s="3"/>
      <c r="FC264" s="3"/>
      <c r="FD264" s="3"/>
      <c r="FE264" s="3"/>
      <c r="FF264" s="3"/>
      <c r="FG264" s="3"/>
      <c r="FH264" s="3"/>
      <c r="FI264" s="3"/>
      <c r="FJ264" s="3"/>
      <c r="FK264" s="3"/>
      <c r="FL264" s="3"/>
      <c r="FM264" s="3"/>
      <c r="FN264" s="3"/>
      <c r="FO264" s="3"/>
      <c r="FP264" s="3"/>
      <c r="FQ264" s="3"/>
      <c r="FR264" s="3"/>
      <c r="FS264" s="3"/>
      <c r="FT264" s="3"/>
      <c r="FU264" s="3"/>
      <c r="FV264" s="3"/>
      <c r="FW264" s="3"/>
      <c r="FX264" s="3"/>
      <c r="FY264" s="3"/>
      <c r="FZ264" s="3"/>
      <c r="GA264" s="3"/>
      <c r="GB264" s="3"/>
      <c r="GC264" s="3"/>
      <c r="GD264" s="3"/>
      <c r="GE264" s="3"/>
      <c r="GF264" s="3"/>
      <c r="GG264" s="3"/>
      <c r="GH264" s="3"/>
      <c r="GI264" s="3"/>
      <c r="GJ264" s="3"/>
      <c r="GK264" s="3"/>
      <c r="GL264" s="3"/>
      <c r="GM264" s="3"/>
      <c r="GN264" s="3"/>
      <c r="GO264" s="3"/>
      <c r="GP264" s="3"/>
      <c r="GQ264" s="3"/>
      <c r="GR264" s="3"/>
      <c r="GS264" s="3"/>
      <c r="GT264" s="3"/>
      <c r="GU264" s="3"/>
      <c r="GV264" s="3"/>
      <c r="GW264" s="3"/>
      <c r="GX264" s="3">
        <v>0</v>
      </c>
    </row>
    <row r="266" spans="1:245" x14ac:dyDescent="0.2">
      <c r="A266" s="4">
        <v>50</v>
      </c>
      <c r="B266" s="4">
        <v>0</v>
      </c>
      <c r="C266" s="4">
        <v>0</v>
      </c>
      <c r="D266" s="4">
        <v>1</v>
      </c>
      <c r="E266" s="4">
        <v>201</v>
      </c>
      <c r="F266" s="4">
        <f>ROUND(Source!O264,O266)</f>
        <v>860863.29</v>
      </c>
      <c r="G266" s="4" t="s">
        <v>213</v>
      </c>
      <c r="H266" s="4" t="s">
        <v>214</v>
      </c>
      <c r="I266" s="4"/>
      <c r="J266" s="4"/>
      <c r="K266" s="4">
        <v>201</v>
      </c>
      <c r="L266" s="4">
        <v>1</v>
      </c>
      <c r="M266" s="4">
        <v>3</v>
      </c>
      <c r="N266" s="4" t="s">
        <v>3</v>
      </c>
      <c r="O266" s="4">
        <v>2</v>
      </c>
      <c r="P266" s="4"/>
      <c r="Q266" s="4"/>
      <c r="R266" s="4"/>
      <c r="S266" s="4"/>
      <c r="T266" s="4"/>
      <c r="U266" s="4"/>
      <c r="V266" s="4"/>
      <c r="W266" s="4"/>
    </row>
    <row r="267" spans="1:245" x14ac:dyDescent="0.2">
      <c r="A267" s="4">
        <v>50</v>
      </c>
      <c r="B267" s="4">
        <v>0</v>
      </c>
      <c r="C267" s="4">
        <v>0</v>
      </c>
      <c r="D267" s="4">
        <v>1</v>
      </c>
      <c r="E267" s="4">
        <v>202</v>
      </c>
      <c r="F267" s="4">
        <f>ROUND(Source!P264,O267)</f>
        <v>717485.4</v>
      </c>
      <c r="G267" s="4" t="s">
        <v>215</v>
      </c>
      <c r="H267" s="4" t="s">
        <v>216</v>
      </c>
      <c r="I267" s="4"/>
      <c r="J267" s="4"/>
      <c r="K267" s="4">
        <v>202</v>
      </c>
      <c r="L267" s="4">
        <v>2</v>
      </c>
      <c r="M267" s="4">
        <v>3</v>
      </c>
      <c r="N267" s="4" t="s">
        <v>3</v>
      </c>
      <c r="O267" s="4">
        <v>2</v>
      </c>
      <c r="P267" s="4"/>
      <c r="Q267" s="4"/>
      <c r="R267" s="4"/>
      <c r="S267" s="4"/>
      <c r="T267" s="4"/>
      <c r="U267" s="4"/>
      <c r="V267" s="4"/>
      <c r="W267" s="4"/>
    </row>
    <row r="268" spans="1:245" x14ac:dyDescent="0.2">
      <c r="A268" s="4">
        <v>50</v>
      </c>
      <c r="B268" s="4">
        <v>0</v>
      </c>
      <c r="C268" s="4">
        <v>0</v>
      </c>
      <c r="D268" s="4">
        <v>1</v>
      </c>
      <c r="E268" s="4">
        <v>222</v>
      </c>
      <c r="F268" s="4">
        <f>ROUND(Source!AO264,O268)</f>
        <v>0</v>
      </c>
      <c r="G268" s="4" t="s">
        <v>217</v>
      </c>
      <c r="H268" s="4" t="s">
        <v>218</v>
      </c>
      <c r="I268" s="4"/>
      <c r="J268" s="4"/>
      <c r="K268" s="4">
        <v>222</v>
      </c>
      <c r="L268" s="4">
        <v>3</v>
      </c>
      <c r="M268" s="4">
        <v>3</v>
      </c>
      <c r="N268" s="4" t="s">
        <v>3</v>
      </c>
      <c r="O268" s="4">
        <v>2</v>
      </c>
      <c r="P268" s="4"/>
      <c r="Q268" s="4"/>
      <c r="R268" s="4"/>
      <c r="S268" s="4"/>
      <c r="T268" s="4"/>
      <c r="U268" s="4"/>
      <c r="V268" s="4"/>
      <c r="W268" s="4"/>
    </row>
    <row r="269" spans="1:245" x14ac:dyDescent="0.2">
      <c r="A269" s="4">
        <v>50</v>
      </c>
      <c r="B269" s="4">
        <v>0</v>
      </c>
      <c r="C269" s="4">
        <v>0</v>
      </c>
      <c r="D269" s="4">
        <v>1</v>
      </c>
      <c r="E269" s="4">
        <v>225</v>
      </c>
      <c r="F269" s="4">
        <f>ROUND(Source!AV264,O269)</f>
        <v>717485.4</v>
      </c>
      <c r="G269" s="4" t="s">
        <v>219</v>
      </c>
      <c r="H269" s="4" t="s">
        <v>220</v>
      </c>
      <c r="I269" s="4"/>
      <c r="J269" s="4"/>
      <c r="K269" s="4">
        <v>225</v>
      </c>
      <c r="L269" s="4">
        <v>4</v>
      </c>
      <c r="M269" s="4">
        <v>3</v>
      </c>
      <c r="N269" s="4" t="s">
        <v>3</v>
      </c>
      <c r="O269" s="4">
        <v>2</v>
      </c>
      <c r="P269" s="4"/>
      <c r="Q269" s="4"/>
      <c r="R269" s="4"/>
      <c r="S269" s="4"/>
      <c r="T269" s="4"/>
      <c r="U269" s="4"/>
      <c r="V269" s="4"/>
      <c r="W269" s="4"/>
    </row>
    <row r="270" spans="1:245" x14ac:dyDescent="0.2">
      <c r="A270" s="4">
        <v>50</v>
      </c>
      <c r="B270" s="4">
        <v>0</v>
      </c>
      <c r="C270" s="4">
        <v>0</v>
      </c>
      <c r="D270" s="4">
        <v>1</v>
      </c>
      <c r="E270" s="4">
        <v>226</v>
      </c>
      <c r="F270" s="4">
        <f>ROUND(Source!AW264,O270)</f>
        <v>717485.4</v>
      </c>
      <c r="G270" s="4" t="s">
        <v>221</v>
      </c>
      <c r="H270" s="4" t="s">
        <v>222</v>
      </c>
      <c r="I270" s="4"/>
      <c r="J270" s="4"/>
      <c r="K270" s="4">
        <v>226</v>
      </c>
      <c r="L270" s="4">
        <v>5</v>
      </c>
      <c r="M270" s="4">
        <v>3</v>
      </c>
      <c r="N270" s="4" t="s">
        <v>3</v>
      </c>
      <c r="O270" s="4">
        <v>2</v>
      </c>
      <c r="P270" s="4"/>
      <c r="Q270" s="4"/>
      <c r="R270" s="4"/>
      <c r="S270" s="4"/>
      <c r="T270" s="4"/>
      <c r="U270" s="4"/>
      <c r="V270" s="4"/>
      <c r="W270" s="4"/>
    </row>
    <row r="271" spans="1:245" x14ac:dyDescent="0.2">
      <c r="A271" s="4">
        <v>50</v>
      </c>
      <c r="B271" s="4">
        <v>0</v>
      </c>
      <c r="C271" s="4">
        <v>0</v>
      </c>
      <c r="D271" s="4">
        <v>1</v>
      </c>
      <c r="E271" s="4">
        <v>227</v>
      </c>
      <c r="F271" s="4">
        <f>ROUND(Source!AX264,O271)</f>
        <v>0</v>
      </c>
      <c r="G271" s="4" t="s">
        <v>223</v>
      </c>
      <c r="H271" s="4" t="s">
        <v>224</v>
      </c>
      <c r="I271" s="4"/>
      <c r="J271" s="4"/>
      <c r="K271" s="4">
        <v>227</v>
      </c>
      <c r="L271" s="4">
        <v>6</v>
      </c>
      <c r="M271" s="4">
        <v>3</v>
      </c>
      <c r="N271" s="4" t="s">
        <v>3</v>
      </c>
      <c r="O271" s="4">
        <v>2</v>
      </c>
      <c r="P271" s="4"/>
      <c r="Q271" s="4"/>
      <c r="R271" s="4"/>
      <c r="S271" s="4"/>
      <c r="T271" s="4"/>
      <c r="U271" s="4"/>
      <c r="V271" s="4"/>
      <c r="W271" s="4"/>
    </row>
    <row r="272" spans="1:245" x14ac:dyDescent="0.2">
      <c r="A272" s="4">
        <v>50</v>
      </c>
      <c r="B272" s="4">
        <v>0</v>
      </c>
      <c r="C272" s="4">
        <v>0</v>
      </c>
      <c r="D272" s="4">
        <v>1</v>
      </c>
      <c r="E272" s="4">
        <v>228</v>
      </c>
      <c r="F272" s="4">
        <f>ROUND(Source!AY264,O272)</f>
        <v>717485.4</v>
      </c>
      <c r="G272" s="4" t="s">
        <v>225</v>
      </c>
      <c r="H272" s="4" t="s">
        <v>226</v>
      </c>
      <c r="I272" s="4"/>
      <c r="J272" s="4"/>
      <c r="K272" s="4">
        <v>228</v>
      </c>
      <c r="L272" s="4">
        <v>7</v>
      </c>
      <c r="M272" s="4">
        <v>3</v>
      </c>
      <c r="N272" s="4" t="s">
        <v>3</v>
      </c>
      <c r="O272" s="4">
        <v>2</v>
      </c>
      <c r="P272" s="4"/>
      <c r="Q272" s="4"/>
      <c r="R272" s="4"/>
      <c r="S272" s="4"/>
      <c r="T272" s="4"/>
      <c r="U272" s="4"/>
      <c r="V272" s="4"/>
      <c r="W272" s="4"/>
    </row>
    <row r="273" spans="1:23" x14ac:dyDescent="0.2">
      <c r="A273" s="4">
        <v>50</v>
      </c>
      <c r="B273" s="4">
        <v>0</v>
      </c>
      <c r="C273" s="4">
        <v>0</v>
      </c>
      <c r="D273" s="4">
        <v>1</v>
      </c>
      <c r="E273" s="4">
        <v>216</v>
      </c>
      <c r="F273" s="4">
        <f>ROUND(Source!AP264,O273)</f>
        <v>0</v>
      </c>
      <c r="G273" s="4" t="s">
        <v>227</v>
      </c>
      <c r="H273" s="4" t="s">
        <v>228</v>
      </c>
      <c r="I273" s="4"/>
      <c r="J273" s="4"/>
      <c r="K273" s="4">
        <v>216</v>
      </c>
      <c r="L273" s="4">
        <v>8</v>
      </c>
      <c r="M273" s="4">
        <v>3</v>
      </c>
      <c r="N273" s="4" t="s">
        <v>3</v>
      </c>
      <c r="O273" s="4">
        <v>2</v>
      </c>
      <c r="P273" s="4"/>
      <c r="Q273" s="4"/>
      <c r="R273" s="4"/>
      <c r="S273" s="4"/>
      <c r="T273" s="4"/>
      <c r="U273" s="4"/>
      <c r="V273" s="4"/>
      <c r="W273" s="4"/>
    </row>
    <row r="274" spans="1:23" x14ac:dyDescent="0.2">
      <c r="A274" s="4">
        <v>50</v>
      </c>
      <c r="B274" s="4">
        <v>0</v>
      </c>
      <c r="C274" s="4">
        <v>0</v>
      </c>
      <c r="D274" s="4">
        <v>1</v>
      </c>
      <c r="E274" s="4">
        <v>223</v>
      </c>
      <c r="F274" s="4">
        <f>ROUND(Source!AQ264,O274)</f>
        <v>0</v>
      </c>
      <c r="G274" s="4" t="s">
        <v>229</v>
      </c>
      <c r="H274" s="4" t="s">
        <v>230</v>
      </c>
      <c r="I274" s="4"/>
      <c r="J274" s="4"/>
      <c r="K274" s="4">
        <v>223</v>
      </c>
      <c r="L274" s="4">
        <v>9</v>
      </c>
      <c r="M274" s="4">
        <v>3</v>
      </c>
      <c r="N274" s="4" t="s">
        <v>3</v>
      </c>
      <c r="O274" s="4">
        <v>2</v>
      </c>
      <c r="P274" s="4"/>
      <c r="Q274" s="4"/>
      <c r="R274" s="4"/>
      <c r="S274" s="4"/>
      <c r="T274" s="4"/>
      <c r="U274" s="4"/>
      <c r="V274" s="4"/>
      <c r="W274" s="4"/>
    </row>
    <row r="275" spans="1:23" x14ac:dyDescent="0.2">
      <c r="A275" s="4">
        <v>50</v>
      </c>
      <c r="B275" s="4">
        <v>0</v>
      </c>
      <c r="C275" s="4">
        <v>0</v>
      </c>
      <c r="D275" s="4">
        <v>1</v>
      </c>
      <c r="E275" s="4">
        <v>229</v>
      </c>
      <c r="F275" s="4">
        <f>ROUND(Source!AZ264,O275)</f>
        <v>0</v>
      </c>
      <c r="G275" s="4" t="s">
        <v>231</v>
      </c>
      <c r="H275" s="4" t="s">
        <v>232</v>
      </c>
      <c r="I275" s="4"/>
      <c r="J275" s="4"/>
      <c r="K275" s="4">
        <v>229</v>
      </c>
      <c r="L275" s="4">
        <v>10</v>
      </c>
      <c r="M275" s="4">
        <v>3</v>
      </c>
      <c r="N275" s="4" t="s">
        <v>3</v>
      </c>
      <c r="O275" s="4">
        <v>2</v>
      </c>
      <c r="P275" s="4"/>
      <c r="Q275" s="4"/>
      <c r="R275" s="4"/>
      <c r="S275" s="4"/>
      <c r="T275" s="4"/>
      <c r="U275" s="4"/>
      <c r="V275" s="4"/>
      <c r="W275" s="4"/>
    </row>
    <row r="276" spans="1:23" x14ac:dyDescent="0.2">
      <c r="A276" s="4">
        <v>50</v>
      </c>
      <c r="B276" s="4">
        <v>0</v>
      </c>
      <c r="C276" s="4">
        <v>0</v>
      </c>
      <c r="D276" s="4">
        <v>1</v>
      </c>
      <c r="E276" s="4">
        <v>203</v>
      </c>
      <c r="F276" s="4">
        <f>ROUND(Source!Q264,O276)</f>
        <v>66590.05</v>
      </c>
      <c r="G276" s="4" t="s">
        <v>233</v>
      </c>
      <c r="H276" s="4" t="s">
        <v>234</v>
      </c>
      <c r="I276" s="4"/>
      <c r="J276" s="4"/>
      <c r="K276" s="4">
        <v>203</v>
      </c>
      <c r="L276" s="4">
        <v>11</v>
      </c>
      <c r="M276" s="4">
        <v>3</v>
      </c>
      <c r="N276" s="4" t="s">
        <v>3</v>
      </c>
      <c r="O276" s="4">
        <v>2</v>
      </c>
      <c r="P276" s="4"/>
      <c r="Q276" s="4"/>
      <c r="R276" s="4"/>
      <c r="S276" s="4"/>
      <c r="T276" s="4"/>
      <c r="U276" s="4"/>
      <c r="V276" s="4"/>
      <c r="W276" s="4"/>
    </row>
    <row r="277" spans="1:23" x14ac:dyDescent="0.2">
      <c r="A277" s="4">
        <v>50</v>
      </c>
      <c r="B277" s="4">
        <v>0</v>
      </c>
      <c r="C277" s="4">
        <v>0</v>
      </c>
      <c r="D277" s="4">
        <v>1</v>
      </c>
      <c r="E277" s="4">
        <v>231</v>
      </c>
      <c r="F277" s="4">
        <f>ROUND(Source!BB264,O277)</f>
        <v>0</v>
      </c>
      <c r="G277" s="4" t="s">
        <v>235</v>
      </c>
      <c r="H277" s="4" t="s">
        <v>236</v>
      </c>
      <c r="I277" s="4"/>
      <c r="J277" s="4"/>
      <c r="K277" s="4">
        <v>231</v>
      </c>
      <c r="L277" s="4">
        <v>12</v>
      </c>
      <c r="M277" s="4">
        <v>3</v>
      </c>
      <c r="N277" s="4" t="s">
        <v>3</v>
      </c>
      <c r="O277" s="4">
        <v>2</v>
      </c>
      <c r="P277" s="4"/>
      <c r="Q277" s="4"/>
      <c r="R277" s="4"/>
      <c r="S277" s="4"/>
      <c r="T277" s="4"/>
      <c r="U277" s="4"/>
      <c r="V277" s="4"/>
      <c r="W277" s="4"/>
    </row>
    <row r="278" spans="1:23" x14ac:dyDescent="0.2">
      <c r="A278" s="4">
        <v>50</v>
      </c>
      <c r="B278" s="4">
        <v>0</v>
      </c>
      <c r="C278" s="4">
        <v>0</v>
      </c>
      <c r="D278" s="4">
        <v>1</v>
      </c>
      <c r="E278" s="4">
        <v>204</v>
      </c>
      <c r="F278" s="4">
        <f>ROUND(Source!R264,O278)</f>
        <v>7232.08</v>
      </c>
      <c r="G278" s="4" t="s">
        <v>237</v>
      </c>
      <c r="H278" s="4" t="s">
        <v>238</v>
      </c>
      <c r="I278" s="4"/>
      <c r="J278" s="4"/>
      <c r="K278" s="4">
        <v>204</v>
      </c>
      <c r="L278" s="4">
        <v>13</v>
      </c>
      <c r="M278" s="4">
        <v>3</v>
      </c>
      <c r="N278" s="4" t="s">
        <v>3</v>
      </c>
      <c r="O278" s="4">
        <v>2</v>
      </c>
      <c r="P278" s="4"/>
      <c r="Q278" s="4"/>
      <c r="R278" s="4"/>
      <c r="S278" s="4"/>
      <c r="T278" s="4"/>
      <c r="U278" s="4"/>
      <c r="V278" s="4"/>
      <c r="W278" s="4"/>
    </row>
    <row r="279" spans="1:23" x14ac:dyDescent="0.2">
      <c r="A279" s="4">
        <v>50</v>
      </c>
      <c r="B279" s="4">
        <v>0</v>
      </c>
      <c r="C279" s="4">
        <v>0</v>
      </c>
      <c r="D279" s="4">
        <v>1</v>
      </c>
      <c r="E279" s="4">
        <v>205</v>
      </c>
      <c r="F279" s="4">
        <f>ROUND(Source!S264,O279)</f>
        <v>76787.839999999997</v>
      </c>
      <c r="G279" s="4" t="s">
        <v>239</v>
      </c>
      <c r="H279" s="4" t="s">
        <v>240</v>
      </c>
      <c r="I279" s="4"/>
      <c r="J279" s="4"/>
      <c r="K279" s="4">
        <v>205</v>
      </c>
      <c r="L279" s="4">
        <v>14</v>
      </c>
      <c r="M279" s="4">
        <v>3</v>
      </c>
      <c r="N279" s="4" t="s">
        <v>3</v>
      </c>
      <c r="O279" s="4">
        <v>2</v>
      </c>
      <c r="P279" s="4"/>
      <c r="Q279" s="4"/>
      <c r="R279" s="4"/>
      <c r="S279" s="4"/>
      <c r="T279" s="4"/>
      <c r="U279" s="4"/>
      <c r="V279" s="4"/>
      <c r="W279" s="4"/>
    </row>
    <row r="280" spans="1:23" x14ac:dyDescent="0.2">
      <c r="A280" s="4">
        <v>50</v>
      </c>
      <c r="B280" s="4">
        <v>0</v>
      </c>
      <c r="C280" s="4">
        <v>0</v>
      </c>
      <c r="D280" s="4">
        <v>1</v>
      </c>
      <c r="E280" s="4">
        <v>232</v>
      </c>
      <c r="F280" s="4">
        <f>ROUND(Source!BC264,O280)</f>
        <v>0</v>
      </c>
      <c r="G280" s="4" t="s">
        <v>241</v>
      </c>
      <c r="H280" s="4" t="s">
        <v>242</v>
      </c>
      <c r="I280" s="4"/>
      <c r="J280" s="4"/>
      <c r="K280" s="4">
        <v>232</v>
      </c>
      <c r="L280" s="4">
        <v>15</v>
      </c>
      <c r="M280" s="4">
        <v>3</v>
      </c>
      <c r="N280" s="4" t="s">
        <v>3</v>
      </c>
      <c r="O280" s="4">
        <v>2</v>
      </c>
      <c r="P280" s="4"/>
      <c r="Q280" s="4"/>
      <c r="R280" s="4"/>
      <c r="S280" s="4"/>
      <c r="T280" s="4"/>
      <c r="U280" s="4"/>
      <c r="V280" s="4"/>
      <c r="W280" s="4"/>
    </row>
    <row r="281" spans="1:23" x14ac:dyDescent="0.2">
      <c r="A281" s="4">
        <v>50</v>
      </c>
      <c r="B281" s="4">
        <v>0</v>
      </c>
      <c r="C281" s="4">
        <v>0</v>
      </c>
      <c r="D281" s="4">
        <v>1</v>
      </c>
      <c r="E281" s="4">
        <v>214</v>
      </c>
      <c r="F281" s="4">
        <f>ROUND(Source!AS264,O281)</f>
        <v>916624.98</v>
      </c>
      <c r="G281" s="4" t="s">
        <v>243</v>
      </c>
      <c r="H281" s="4" t="s">
        <v>244</v>
      </c>
      <c r="I281" s="4"/>
      <c r="J281" s="4"/>
      <c r="K281" s="4">
        <v>214</v>
      </c>
      <c r="L281" s="4">
        <v>16</v>
      </c>
      <c r="M281" s="4">
        <v>3</v>
      </c>
      <c r="N281" s="4" t="s">
        <v>3</v>
      </c>
      <c r="O281" s="4">
        <v>2</v>
      </c>
      <c r="P281" s="4"/>
      <c r="Q281" s="4"/>
      <c r="R281" s="4"/>
      <c r="S281" s="4"/>
      <c r="T281" s="4"/>
      <c r="U281" s="4"/>
      <c r="V281" s="4"/>
      <c r="W281" s="4"/>
    </row>
    <row r="282" spans="1:23" x14ac:dyDescent="0.2">
      <c r="A282" s="4">
        <v>50</v>
      </c>
      <c r="B282" s="4">
        <v>0</v>
      </c>
      <c r="C282" s="4">
        <v>0</v>
      </c>
      <c r="D282" s="4">
        <v>1</v>
      </c>
      <c r="E282" s="4">
        <v>215</v>
      </c>
      <c r="F282" s="4">
        <f>ROUND(Source!AT264,O282)</f>
        <v>0</v>
      </c>
      <c r="G282" s="4" t="s">
        <v>245</v>
      </c>
      <c r="H282" s="4" t="s">
        <v>246</v>
      </c>
      <c r="I282" s="4"/>
      <c r="J282" s="4"/>
      <c r="K282" s="4">
        <v>215</v>
      </c>
      <c r="L282" s="4">
        <v>17</v>
      </c>
      <c r="M282" s="4">
        <v>3</v>
      </c>
      <c r="N282" s="4" t="s">
        <v>3</v>
      </c>
      <c r="O282" s="4">
        <v>2</v>
      </c>
      <c r="P282" s="4"/>
      <c r="Q282" s="4"/>
      <c r="R282" s="4"/>
      <c r="S282" s="4"/>
      <c r="T282" s="4"/>
      <c r="U282" s="4"/>
      <c r="V282" s="4"/>
      <c r="W282" s="4"/>
    </row>
    <row r="283" spans="1:23" x14ac:dyDescent="0.2">
      <c r="A283" s="4">
        <v>50</v>
      </c>
      <c r="B283" s="4">
        <v>0</v>
      </c>
      <c r="C283" s="4">
        <v>0</v>
      </c>
      <c r="D283" s="4">
        <v>1</v>
      </c>
      <c r="E283" s="4">
        <v>217</v>
      </c>
      <c r="F283" s="4">
        <f>ROUND(Source!AU264,O283)</f>
        <v>52279.06</v>
      </c>
      <c r="G283" s="4" t="s">
        <v>247</v>
      </c>
      <c r="H283" s="4" t="s">
        <v>248</v>
      </c>
      <c r="I283" s="4"/>
      <c r="J283" s="4"/>
      <c r="K283" s="4">
        <v>217</v>
      </c>
      <c r="L283" s="4">
        <v>18</v>
      </c>
      <c r="M283" s="4">
        <v>3</v>
      </c>
      <c r="N283" s="4" t="s">
        <v>3</v>
      </c>
      <c r="O283" s="4">
        <v>2</v>
      </c>
      <c r="P283" s="4"/>
      <c r="Q283" s="4"/>
      <c r="R283" s="4"/>
      <c r="S283" s="4"/>
      <c r="T283" s="4"/>
      <c r="U283" s="4"/>
      <c r="V283" s="4"/>
      <c r="W283" s="4"/>
    </row>
    <row r="284" spans="1:23" x14ac:dyDescent="0.2">
      <c r="A284" s="4">
        <v>50</v>
      </c>
      <c r="B284" s="4">
        <v>0</v>
      </c>
      <c r="C284" s="4">
        <v>0</v>
      </c>
      <c r="D284" s="4">
        <v>1</v>
      </c>
      <c r="E284" s="4">
        <v>230</v>
      </c>
      <c r="F284" s="4">
        <f>ROUND(Source!BA264,O284)</f>
        <v>0</v>
      </c>
      <c r="G284" s="4" t="s">
        <v>249</v>
      </c>
      <c r="H284" s="4" t="s">
        <v>250</v>
      </c>
      <c r="I284" s="4"/>
      <c r="J284" s="4"/>
      <c r="K284" s="4">
        <v>230</v>
      </c>
      <c r="L284" s="4">
        <v>19</v>
      </c>
      <c r="M284" s="4">
        <v>3</v>
      </c>
      <c r="N284" s="4" t="s">
        <v>3</v>
      </c>
      <c r="O284" s="4">
        <v>2</v>
      </c>
      <c r="P284" s="4"/>
      <c r="Q284" s="4"/>
      <c r="R284" s="4"/>
      <c r="S284" s="4"/>
      <c r="T284" s="4"/>
      <c r="U284" s="4"/>
      <c r="V284" s="4"/>
      <c r="W284" s="4"/>
    </row>
    <row r="285" spans="1:23" x14ac:dyDescent="0.2">
      <c r="A285" s="4">
        <v>50</v>
      </c>
      <c r="B285" s="4">
        <v>0</v>
      </c>
      <c r="C285" s="4">
        <v>0</v>
      </c>
      <c r="D285" s="4">
        <v>1</v>
      </c>
      <c r="E285" s="4">
        <v>206</v>
      </c>
      <c r="F285" s="4">
        <f>ROUND(Source!T264,O285)</f>
        <v>0</v>
      </c>
      <c r="G285" s="4" t="s">
        <v>251</v>
      </c>
      <c r="H285" s="4" t="s">
        <v>252</v>
      </c>
      <c r="I285" s="4"/>
      <c r="J285" s="4"/>
      <c r="K285" s="4">
        <v>206</v>
      </c>
      <c r="L285" s="4">
        <v>20</v>
      </c>
      <c r="M285" s="4">
        <v>3</v>
      </c>
      <c r="N285" s="4" t="s">
        <v>3</v>
      </c>
      <c r="O285" s="4">
        <v>2</v>
      </c>
      <c r="P285" s="4"/>
      <c r="Q285" s="4"/>
      <c r="R285" s="4"/>
      <c r="S285" s="4"/>
      <c r="T285" s="4"/>
      <c r="U285" s="4"/>
      <c r="V285" s="4"/>
      <c r="W285" s="4"/>
    </row>
    <row r="286" spans="1:23" x14ac:dyDescent="0.2">
      <c r="A286" s="4">
        <v>50</v>
      </c>
      <c r="B286" s="4">
        <v>0</v>
      </c>
      <c r="C286" s="4">
        <v>0</v>
      </c>
      <c r="D286" s="4">
        <v>1</v>
      </c>
      <c r="E286" s="4">
        <v>207</v>
      </c>
      <c r="F286" s="4">
        <f>Source!U264</f>
        <v>266.96295499999997</v>
      </c>
      <c r="G286" s="4" t="s">
        <v>253</v>
      </c>
      <c r="H286" s="4" t="s">
        <v>254</v>
      </c>
      <c r="I286" s="4"/>
      <c r="J286" s="4"/>
      <c r="K286" s="4">
        <v>207</v>
      </c>
      <c r="L286" s="4">
        <v>21</v>
      </c>
      <c r="M286" s="4">
        <v>3</v>
      </c>
      <c r="N286" s="4" t="s">
        <v>3</v>
      </c>
      <c r="O286" s="4">
        <v>-1</v>
      </c>
      <c r="P286" s="4"/>
      <c r="Q286" s="4"/>
      <c r="R286" s="4"/>
      <c r="S286" s="4"/>
      <c r="T286" s="4"/>
      <c r="U286" s="4"/>
      <c r="V286" s="4"/>
      <c r="W286" s="4"/>
    </row>
    <row r="287" spans="1:23" x14ac:dyDescent="0.2">
      <c r="A287" s="4">
        <v>50</v>
      </c>
      <c r="B287" s="4">
        <v>0</v>
      </c>
      <c r="C287" s="4">
        <v>0</v>
      </c>
      <c r="D287" s="4">
        <v>1</v>
      </c>
      <c r="E287" s="4">
        <v>208</v>
      </c>
      <c r="F287" s="4">
        <f>Source!V264</f>
        <v>0</v>
      </c>
      <c r="G287" s="4" t="s">
        <v>255</v>
      </c>
      <c r="H287" s="4" t="s">
        <v>256</v>
      </c>
      <c r="I287" s="4"/>
      <c r="J287" s="4"/>
      <c r="K287" s="4">
        <v>208</v>
      </c>
      <c r="L287" s="4">
        <v>22</v>
      </c>
      <c r="M287" s="4">
        <v>3</v>
      </c>
      <c r="N287" s="4" t="s">
        <v>3</v>
      </c>
      <c r="O287" s="4">
        <v>-1</v>
      </c>
      <c r="P287" s="4"/>
      <c r="Q287" s="4"/>
      <c r="R287" s="4"/>
      <c r="S287" s="4"/>
      <c r="T287" s="4"/>
      <c r="U287" s="4"/>
      <c r="V287" s="4"/>
      <c r="W287" s="4"/>
    </row>
    <row r="288" spans="1:23" x14ac:dyDescent="0.2">
      <c r="A288" s="4">
        <v>50</v>
      </c>
      <c r="B288" s="4">
        <v>0</v>
      </c>
      <c r="C288" s="4">
        <v>0</v>
      </c>
      <c r="D288" s="4">
        <v>1</v>
      </c>
      <c r="E288" s="4">
        <v>209</v>
      </c>
      <c r="F288" s="4">
        <f>ROUND(Source!W264,O288)</f>
        <v>0</v>
      </c>
      <c r="G288" s="4" t="s">
        <v>257</v>
      </c>
      <c r="H288" s="4" t="s">
        <v>258</v>
      </c>
      <c r="I288" s="4"/>
      <c r="J288" s="4"/>
      <c r="K288" s="4">
        <v>209</v>
      </c>
      <c r="L288" s="4">
        <v>23</v>
      </c>
      <c r="M288" s="4">
        <v>3</v>
      </c>
      <c r="N288" s="4" t="s">
        <v>3</v>
      </c>
      <c r="O288" s="4">
        <v>2</v>
      </c>
      <c r="P288" s="4"/>
      <c r="Q288" s="4"/>
      <c r="R288" s="4"/>
      <c r="S288" s="4"/>
      <c r="T288" s="4"/>
      <c r="U288" s="4"/>
      <c r="V288" s="4"/>
      <c r="W288" s="4"/>
    </row>
    <row r="289" spans="1:245" x14ac:dyDescent="0.2">
      <c r="A289" s="4">
        <v>50</v>
      </c>
      <c r="B289" s="4">
        <v>0</v>
      </c>
      <c r="C289" s="4">
        <v>0</v>
      </c>
      <c r="D289" s="4">
        <v>1</v>
      </c>
      <c r="E289" s="4">
        <v>233</v>
      </c>
      <c r="F289" s="4">
        <f>ROUND(Source!BD264,O289)</f>
        <v>0</v>
      </c>
      <c r="G289" s="4" t="s">
        <v>259</v>
      </c>
      <c r="H289" s="4" t="s">
        <v>260</v>
      </c>
      <c r="I289" s="4"/>
      <c r="J289" s="4"/>
      <c r="K289" s="4">
        <v>233</v>
      </c>
      <c r="L289" s="4">
        <v>24</v>
      </c>
      <c r="M289" s="4">
        <v>3</v>
      </c>
      <c r="N289" s="4" t="s">
        <v>3</v>
      </c>
      <c r="O289" s="4">
        <v>2</v>
      </c>
      <c r="P289" s="4"/>
      <c r="Q289" s="4"/>
      <c r="R289" s="4"/>
      <c r="S289" s="4"/>
      <c r="T289" s="4"/>
      <c r="U289" s="4"/>
      <c r="V289" s="4"/>
      <c r="W289" s="4"/>
    </row>
    <row r="290" spans="1:245" x14ac:dyDescent="0.2">
      <c r="A290" s="4">
        <v>50</v>
      </c>
      <c r="B290" s="4">
        <v>0</v>
      </c>
      <c r="C290" s="4">
        <v>0</v>
      </c>
      <c r="D290" s="4">
        <v>1</v>
      </c>
      <c r="E290" s="4">
        <v>210</v>
      </c>
      <c r="F290" s="4">
        <f>ROUND(Source!X264,O290)</f>
        <v>65203.360000000001</v>
      </c>
      <c r="G290" s="4" t="s">
        <v>261</v>
      </c>
      <c r="H290" s="4" t="s">
        <v>262</v>
      </c>
      <c r="I290" s="4"/>
      <c r="J290" s="4"/>
      <c r="K290" s="4">
        <v>210</v>
      </c>
      <c r="L290" s="4">
        <v>25</v>
      </c>
      <c r="M290" s="4">
        <v>3</v>
      </c>
      <c r="N290" s="4" t="s">
        <v>3</v>
      </c>
      <c r="O290" s="4">
        <v>2</v>
      </c>
      <c r="P290" s="4"/>
      <c r="Q290" s="4"/>
      <c r="R290" s="4"/>
      <c r="S290" s="4"/>
      <c r="T290" s="4"/>
      <c r="U290" s="4"/>
      <c r="V290" s="4"/>
      <c r="W290" s="4"/>
    </row>
    <row r="291" spans="1:245" x14ac:dyDescent="0.2">
      <c r="A291" s="4">
        <v>50</v>
      </c>
      <c r="B291" s="4">
        <v>0</v>
      </c>
      <c r="C291" s="4">
        <v>0</v>
      </c>
      <c r="D291" s="4">
        <v>1</v>
      </c>
      <c r="E291" s="4">
        <v>211</v>
      </c>
      <c r="F291" s="4">
        <f>ROUND(Source!Y264,O291)</f>
        <v>31483.02</v>
      </c>
      <c r="G291" s="4" t="s">
        <v>263</v>
      </c>
      <c r="H291" s="4" t="s">
        <v>264</v>
      </c>
      <c r="I291" s="4"/>
      <c r="J291" s="4"/>
      <c r="K291" s="4">
        <v>211</v>
      </c>
      <c r="L291" s="4">
        <v>26</v>
      </c>
      <c r="M291" s="4">
        <v>3</v>
      </c>
      <c r="N291" s="4" t="s">
        <v>3</v>
      </c>
      <c r="O291" s="4">
        <v>2</v>
      </c>
      <c r="P291" s="4"/>
      <c r="Q291" s="4"/>
      <c r="R291" s="4"/>
      <c r="S291" s="4"/>
      <c r="T291" s="4"/>
      <c r="U291" s="4"/>
      <c r="V291" s="4"/>
      <c r="W291" s="4"/>
    </row>
    <row r="292" spans="1:245" x14ac:dyDescent="0.2">
      <c r="A292" s="4">
        <v>50</v>
      </c>
      <c r="B292" s="4">
        <v>0</v>
      </c>
      <c r="C292" s="4">
        <v>0</v>
      </c>
      <c r="D292" s="4">
        <v>1</v>
      </c>
      <c r="E292" s="4">
        <v>224</v>
      </c>
      <c r="F292" s="4">
        <f>ROUND(Source!AR264,O292)</f>
        <v>968904.04</v>
      </c>
      <c r="G292" s="4" t="s">
        <v>265</v>
      </c>
      <c r="H292" s="4" t="s">
        <v>266</v>
      </c>
      <c r="I292" s="4"/>
      <c r="J292" s="4"/>
      <c r="K292" s="4">
        <v>224</v>
      </c>
      <c r="L292" s="4">
        <v>27</v>
      </c>
      <c r="M292" s="4">
        <v>3</v>
      </c>
      <c r="N292" s="4" t="s">
        <v>3</v>
      </c>
      <c r="O292" s="4">
        <v>2</v>
      </c>
      <c r="P292" s="4"/>
      <c r="Q292" s="4"/>
      <c r="R292" s="4"/>
      <c r="S292" s="4"/>
      <c r="T292" s="4"/>
      <c r="U292" s="4"/>
      <c r="V292" s="4"/>
      <c r="W292" s="4"/>
    </row>
    <row r="294" spans="1:245" x14ac:dyDescent="0.2">
      <c r="A294" s="1">
        <v>4</v>
      </c>
      <c r="B294" s="1">
        <v>1</v>
      </c>
      <c r="C294" s="1"/>
      <c r="D294" s="1">
        <f>ROW(A305)</f>
        <v>305</v>
      </c>
      <c r="E294" s="1"/>
      <c r="F294" s="1" t="s">
        <v>13</v>
      </c>
      <c r="G294" s="1" t="s">
        <v>437</v>
      </c>
      <c r="H294" s="1" t="s">
        <v>3</v>
      </c>
      <c r="I294" s="1">
        <v>0</v>
      </c>
      <c r="J294" s="1"/>
      <c r="K294" s="1">
        <v>-1</v>
      </c>
      <c r="L294" s="1"/>
      <c r="M294" s="1" t="s">
        <v>3</v>
      </c>
      <c r="N294" s="1"/>
      <c r="O294" s="1"/>
      <c r="P294" s="1"/>
      <c r="Q294" s="1"/>
      <c r="R294" s="1"/>
      <c r="S294" s="1">
        <v>0</v>
      </c>
      <c r="T294" s="1"/>
      <c r="U294" s="1" t="s">
        <v>3</v>
      </c>
      <c r="V294" s="1">
        <v>0</v>
      </c>
      <c r="W294" s="1"/>
      <c r="X294" s="1"/>
      <c r="Y294" s="1"/>
      <c r="Z294" s="1"/>
      <c r="AA294" s="1"/>
      <c r="AB294" s="1" t="s">
        <v>3</v>
      </c>
      <c r="AC294" s="1" t="s">
        <v>3</v>
      </c>
      <c r="AD294" s="1" t="s">
        <v>3</v>
      </c>
      <c r="AE294" s="1" t="s">
        <v>3</v>
      </c>
      <c r="AF294" s="1" t="s">
        <v>3</v>
      </c>
      <c r="AG294" s="1" t="s">
        <v>3</v>
      </c>
      <c r="AH294" s="1"/>
      <c r="AI294" s="1"/>
      <c r="AJ294" s="1"/>
      <c r="AK294" s="1"/>
      <c r="AL294" s="1"/>
      <c r="AM294" s="1"/>
      <c r="AN294" s="1"/>
      <c r="AO294" s="1"/>
      <c r="AP294" s="1" t="s">
        <v>3</v>
      </c>
      <c r="AQ294" s="1" t="s">
        <v>3</v>
      </c>
      <c r="AR294" s="1" t="s">
        <v>3</v>
      </c>
      <c r="AS294" s="1"/>
      <c r="AT294" s="1"/>
      <c r="AU294" s="1"/>
      <c r="AV294" s="1"/>
      <c r="AW294" s="1"/>
      <c r="AX294" s="1"/>
      <c r="AY294" s="1"/>
      <c r="AZ294" s="1" t="s">
        <v>3</v>
      </c>
      <c r="BA294" s="1"/>
      <c r="BB294" s="1" t="s">
        <v>3</v>
      </c>
      <c r="BC294" s="1" t="s">
        <v>3</v>
      </c>
      <c r="BD294" s="1" t="s">
        <v>3</v>
      </c>
      <c r="BE294" s="1" t="s">
        <v>3</v>
      </c>
      <c r="BF294" s="1" t="s">
        <v>3</v>
      </c>
      <c r="BG294" s="1" t="s">
        <v>3</v>
      </c>
      <c r="BH294" s="1" t="s">
        <v>3</v>
      </c>
      <c r="BI294" s="1" t="s">
        <v>3</v>
      </c>
      <c r="BJ294" s="1" t="s">
        <v>3</v>
      </c>
      <c r="BK294" s="1" t="s">
        <v>3</v>
      </c>
      <c r="BL294" s="1" t="s">
        <v>3</v>
      </c>
      <c r="BM294" s="1" t="s">
        <v>3</v>
      </c>
      <c r="BN294" s="1" t="s">
        <v>3</v>
      </c>
      <c r="BO294" s="1" t="s">
        <v>3</v>
      </c>
      <c r="BP294" s="1" t="s">
        <v>3</v>
      </c>
      <c r="BQ294" s="1"/>
      <c r="BR294" s="1"/>
      <c r="BS294" s="1"/>
      <c r="BT294" s="1"/>
      <c r="BU294" s="1"/>
      <c r="BV294" s="1"/>
      <c r="BW294" s="1"/>
      <c r="BX294" s="1">
        <v>0</v>
      </c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>
        <v>0</v>
      </c>
    </row>
    <row r="296" spans="1:245" x14ac:dyDescent="0.2">
      <c r="A296" s="2">
        <v>52</v>
      </c>
      <c r="B296" s="2">
        <f t="shared" ref="B296:G296" si="259">B305</f>
        <v>1</v>
      </c>
      <c r="C296" s="2">
        <f t="shared" si="259"/>
        <v>4</v>
      </c>
      <c r="D296" s="2">
        <f t="shared" si="259"/>
        <v>294</v>
      </c>
      <c r="E296" s="2">
        <f t="shared" si="259"/>
        <v>0</v>
      </c>
      <c r="F296" s="2" t="str">
        <f t="shared" si="259"/>
        <v>Новый раздел</v>
      </c>
      <c r="G296" s="2" t="str">
        <f t="shared" si="259"/>
        <v>Демонтаж подпорной стены из бутового камня 118 кв.м (каменная кладка и ж/б стена)</v>
      </c>
      <c r="H296" s="2"/>
      <c r="I296" s="2"/>
      <c r="J296" s="2"/>
      <c r="K296" s="2"/>
      <c r="L296" s="2"/>
      <c r="M296" s="2"/>
      <c r="N296" s="2"/>
      <c r="O296" s="2">
        <f t="shared" ref="O296:AT296" si="260">O305</f>
        <v>469100.57</v>
      </c>
      <c r="P296" s="2">
        <f t="shared" si="260"/>
        <v>0</v>
      </c>
      <c r="Q296" s="2">
        <f t="shared" si="260"/>
        <v>278774.01</v>
      </c>
      <c r="R296" s="2">
        <f t="shared" si="260"/>
        <v>56298.720000000001</v>
      </c>
      <c r="S296" s="2">
        <f t="shared" si="260"/>
        <v>190326.56</v>
      </c>
      <c r="T296" s="2">
        <f t="shared" si="260"/>
        <v>0</v>
      </c>
      <c r="U296" s="2">
        <f t="shared" si="260"/>
        <v>753.31080000000009</v>
      </c>
      <c r="V296" s="2">
        <f t="shared" si="260"/>
        <v>0</v>
      </c>
      <c r="W296" s="2">
        <f t="shared" si="260"/>
        <v>0</v>
      </c>
      <c r="X296" s="2">
        <f t="shared" si="260"/>
        <v>129422.06</v>
      </c>
      <c r="Y296" s="2">
        <f t="shared" si="260"/>
        <v>78033.89</v>
      </c>
      <c r="Z296" s="2">
        <f t="shared" si="260"/>
        <v>0</v>
      </c>
      <c r="AA296" s="2">
        <f t="shared" si="260"/>
        <v>0</v>
      </c>
      <c r="AB296" s="2">
        <f t="shared" si="260"/>
        <v>469100.57</v>
      </c>
      <c r="AC296" s="2">
        <f t="shared" si="260"/>
        <v>0</v>
      </c>
      <c r="AD296" s="2">
        <f t="shared" si="260"/>
        <v>278774.01</v>
      </c>
      <c r="AE296" s="2">
        <f t="shared" si="260"/>
        <v>56298.720000000001</v>
      </c>
      <c r="AF296" s="2">
        <f t="shared" si="260"/>
        <v>190326.56</v>
      </c>
      <c r="AG296" s="2">
        <f t="shared" si="260"/>
        <v>0</v>
      </c>
      <c r="AH296" s="2">
        <f t="shared" si="260"/>
        <v>753.31080000000009</v>
      </c>
      <c r="AI296" s="2">
        <f t="shared" si="260"/>
        <v>0</v>
      </c>
      <c r="AJ296" s="2">
        <f t="shared" si="260"/>
        <v>0</v>
      </c>
      <c r="AK296" s="2">
        <f t="shared" si="260"/>
        <v>129422.06</v>
      </c>
      <c r="AL296" s="2">
        <f t="shared" si="260"/>
        <v>78033.89</v>
      </c>
      <c r="AM296" s="2">
        <f t="shared" si="260"/>
        <v>0</v>
      </c>
      <c r="AN296" s="2">
        <f t="shared" si="260"/>
        <v>0</v>
      </c>
      <c r="AO296" s="2">
        <f t="shared" si="260"/>
        <v>0</v>
      </c>
      <c r="AP296" s="2">
        <f t="shared" si="260"/>
        <v>0</v>
      </c>
      <c r="AQ296" s="2">
        <f t="shared" si="260"/>
        <v>0</v>
      </c>
      <c r="AR296" s="2">
        <f t="shared" si="260"/>
        <v>764945.5</v>
      </c>
      <c r="AS296" s="2">
        <f t="shared" si="260"/>
        <v>580055.43999999994</v>
      </c>
      <c r="AT296" s="2">
        <f t="shared" si="260"/>
        <v>0</v>
      </c>
      <c r="AU296" s="2">
        <f t="shared" ref="AU296:BZ296" si="261">AU305</f>
        <v>184890.06</v>
      </c>
      <c r="AV296" s="2">
        <f t="shared" si="261"/>
        <v>0</v>
      </c>
      <c r="AW296" s="2">
        <f t="shared" si="261"/>
        <v>0</v>
      </c>
      <c r="AX296" s="2">
        <f t="shared" si="261"/>
        <v>0</v>
      </c>
      <c r="AY296" s="2">
        <f t="shared" si="261"/>
        <v>0</v>
      </c>
      <c r="AZ296" s="2">
        <f t="shared" si="261"/>
        <v>0</v>
      </c>
      <c r="BA296" s="2">
        <f t="shared" si="261"/>
        <v>0</v>
      </c>
      <c r="BB296" s="2">
        <f t="shared" si="261"/>
        <v>0</v>
      </c>
      <c r="BC296" s="2">
        <f t="shared" si="261"/>
        <v>0</v>
      </c>
      <c r="BD296" s="2">
        <f t="shared" si="261"/>
        <v>0</v>
      </c>
      <c r="BE296" s="2">
        <f t="shared" si="261"/>
        <v>0</v>
      </c>
      <c r="BF296" s="2">
        <f t="shared" si="261"/>
        <v>0</v>
      </c>
      <c r="BG296" s="2">
        <f t="shared" si="261"/>
        <v>0</v>
      </c>
      <c r="BH296" s="2">
        <f t="shared" si="261"/>
        <v>0</v>
      </c>
      <c r="BI296" s="2">
        <f t="shared" si="261"/>
        <v>0</v>
      </c>
      <c r="BJ296" s="2">
        <f t="shared" si="261"/>
        <v>0</v>
      </c>
      <c r="BK296" s="2">
        <f t="shared" si="261"/>
        <v>0</v>
      </c>
      <c r="BL296" s="2">
        <f t="shared" si="261"/>
        <v>0</v>
      </c>
      <c r="BM296" s="2">
        <f t="shared" si="261"/>
        <v>0</v>
      </c>
      <c r="BN296" s="2">
        <f t="shared" si="261"/>
        <v>0</v>
      </c>
      <c r="BO296" s="2">
        <f t="shared" si="261"/>
        <v>0</v>
      </c>
      <c r="BP296" s="2">
        <f t="shared" si="261"/>
        <v>0</v>
      </c>
      <c r="BQ296" s="2">
        <f t="shared" si="261"/>
        <v>0</v>
      </c>
      <c r="BR296" s="2">
        <f t="shared" si="261"/>
        <v>0</v>
      </c>
      <c r="BS296" s="2">
        <f t="shared" si="261"/>
        <v>0</v>
      </c>
      <c r="BT296" s="2">
        <f t="shared" si="261"/>
        <v>0</v>
      </c>
      <c r="BU296" s="2">
        <f t="shared" si="261"/>
        <v>0</v>
      </c>
      <c r="BV296" s="2">
        <f t="shared" si="261"/>
        <v>0</v>
      </c>
      <c r="BW296" s="2">
        <f t="shared" si="261"/>
        <v>0</v>
      </c>
      <c r="BX296" s="2">
        <f t="shared" si="261"/>
        <v>0</v>
      </c>
      <c r="BY296" s="2">
        <f t="shared" si="261"/>
        <v>0</v>
      </c>
      <c r="BZ296" s="2">
        <f t="shared" si="261"/>
        <v>0</v>
      </c>
      <c r="CA296" s="2">
        <f t="shared" ref="CA296:DF296" si="262">CA305</f>
        <v>764945.5</v>
      </c>
      <c r="CB296" s="2">
        <f t="shared" si="262"/>
        <v>580055.43999999994</v>
      </c>
      <c r="CC296" s="2">
        <f t="shared" si="262"/>
        <v>0</v>
      </c>
      <c r="CD296" s="2">
        <f t="shared" si="262"/>
        <v>184890.06</v>
      </c>
      <c r="CE296" s="2">
        <f t="shared" si="262"/>
        <v>0</v>
      </c>
      <c r="CF296" s="2">
        <f t="shared" si="262"/>
        <v>0</v>
      </c>
      <c r="CG296" s="2">
        <f t="shared" si="262"/>
        <v>0</v>
      </c>
      <c r="CH296" s="2">
        <f t="shared" si="262"/>
        <v>0</v>
      </c>
      <c r="CI296" s="2">
        <f t="shared" si="262"/>
        <v>0</v>
      </c>
      <c r="CJ296" s="2">
        <f t="shared" si="262"/>
        <v>0</v>
      </c>
      <c r="CK296" s="2">
        <f t="shared" si="262"/>
        <v>0</v>
      </c>
      <c r="CL296" s="2">
        <f t="shared" si="262"/>
        <v>0</v>
      </c>
      <c r="CM296" s="2">
        <f t="shared" si="262"/>
        <v>0</v>
      </c>
      <c r="CN296" s="2">
        <f t="shared" si="262"/>
        <v>0</v>
      </c>
      <c r="CO296" s="2">
        <f t="shared" si="262"/>
        <v>0</v>
      </c>
      <c r="CP296" s="2">
        <f t="shared" si="262"/>
        <v>0</v>
      </c>
      <c r="CQ296" s="2">
        <f t="shared" si="262"/>
        <v>0</v>
      </c>
      <c r="CR296" s="2">
        <f t="shared" si="262"/>
        <v>0</v>
      </c>
      <c r="CS296" s="2">
        <f t="shared" si="262"/>
        <v>0</v>
      </c>
      <c r="CT296" s="2">
        <f t="shared" si="262"/>
        <v>0</v>
      </c>
      <c r="CU296" s="2">
        <f t="shared" si="262"/>
        <v>0</v>
      </c>
      <c r="CV296" s="2">
        <f t="shared" si="262"/>
        <v>0</v>
      </c>
      <c r="CW296" s="2">
        <f t="shared" si="262"/>
        <v>0</v>
      </c>
      <c r="CX296" s="2">
        <f t="shared" si="262"/>
        <v>0</v>
      </c>
      <c r="CY296" s="2">
        <f t="shared" si="262"/>
        <v>0</v>
      </c>
      <c r="CZ296" s="2">
        <f t="shared" si="262"/>
        <v>0</v>
      </c>
      <c r="DA296" s="2">
        <f t="shared" si="262"/>
        <v>0</v>
      </c>
      <c r="DB296" s="2">
        <f t="shared" si="262"/>
        <v>0</v>
      </c>
      <c r="DC296" s="2">
        <f t="shared" si="262"/>
        <v>0</v>
      </c>
      <c r="DD296" s="2">
        <f t="shared" si="262"/>
        <v>0</v>
      </c>
      <c r="DE296" s="2">
        <f t="shared" si="262"/>
        <v>0</v>
      </c>
      <c r="DF296" s="2">
        <f t="shared" si="262"/>
        <v>0</v>
      </c>
      <c r="DG296" s="3">
        <f t="shared" ref="DG296:EL296" si="263">DG305</f>
        <v>0</v>
      </c>
      <c r="DH296" s="3">
        <f t="shared" si="263"/>
        <v>0</v>
      </c>
      <c r="DI296" s="3">
        <f t="shared" si="263"/>
        <v>0</v>
      </c>
      <c r="DJ296" s="3">
        <f t="shared" si="263"/>
        <v>0</v>
      </c>
      <c r="DK296" s="3">
        <f t="shared" si="263"/>
        <v>0</v>
      </c>
      <c r="DL296" s="3">
        <f t="shared" si="263"/>
        <v>0</v>
      </c>
      <c r="DM296" s="3">
        <f t="shared" si="263"/>
        <v>0</v>
      </c>
      <c r="DN296" s="3">
        <f t="shared" si="263"/>
        <v>0</v>
      </c>
      <c r="DO296" s="3">
        <f t="shared" si="263"/>
        <v>0</v>
      </c>
      <c r="DP296" s="3">
        <f t="shared" si="263"/>
        <v>0</v>
      </c>
      <c r="DQ296" s="3">
        <f t="shared" si="263"/>
        <v>0</v>
      </c>
      <c r="DR296" s="3">
        <f t="shared" si="263"/>
        <v>0</v>
      </c>
      <c r="DS296" s="3">
        <f t="shared" si="263"/>
        <v>0</v>
      </c>
      <c r="DT296" s="3">
        <f t="shared" si="263"/>
        <v>0</v>
      </c>
      <c r="DU296" s="3">
        <f t="shared" si="263"/>
        <v>0</v>
      </c>
      <c r="DV296" s="3">
        <f t="shared" si="263"/>
        <v>0</v>
      </c>
      <c r="DW296" s="3">
        <f t="shared" si="263"/>
        <v>0</v>
      </c>
      <c r="DX296" s="3">
        <f t="shared" si="263"/>
        <v>0</v>
      </c>
      <c r="DY296" s="3">
        <f t="shared" si="263"/>
        <v>0</v>
      </c>
      <c r="DZ296" s="3">
        <f t="shared" si="263"/>
        <v>0</v>
      </c>
      <c r="EA296" s="3">
        <f t="shared" si="263"/>
        <v>0</v>
      </c>
      <c r="EB296" s="3">
        <f t="shared" si="263"/>
        <v>0</v>
      </c>
      <c r="EC296" s="3">
        <f t="shared" si="263"/>
        <v>0</v>
      </c>
      <c r="ED296" s="3">
        <f t="shared" si="263"/>
        <v>0</v>
      </c>
      <c r="EE296" s="3">
        <f t="shared" si="263"/>
        <v>0</v>
      </c>
      <c r="EF296" s="3">
        <f t="shared" si="263"/>
        <v>0</v>
      </c>
      <c r="EG296" s="3">
        <f t="shared" si="263"/>
        <v>0</v>
      </c>
      <c r="EH296" s="3">
        <f t="shared" si="263"/>
        <v>0</v>
      </c>
      <c r="EI296" s="3">
        <f t="shared" si="263"/>
        <v>0</v>
      </c>
      <c r="EJ296" s="3">
        <f t="shared" si="263"/>
        <v>0</v>
      </c>
      <c r="EK296" s="3">
        <f t="shared" si="263"/>
        <v>0</v>
      </c>
      <c r="EL296" s="3">
        <f t="shared" si="263"/>
        <v>0</v>
      </c>
      <c r="EM296" s="3">
        <f t="shared" ref="EM296:FR296" si="264">EM305</f>
        <v>0</v>
      </c>
      <c r="EN296" s="3">
        <f t="shared" si="264"/>
        <v>0</v>
      </c>
      <c r="EO296" s="3">
        <f t="shared" si="264"/>
        <v>0</v>
      </c>
      <c r="EP296" s="3">
        <f t="shared" si="264"/>
        <v>0</v>
      </c>
      <c r="EQ296" s="3">
        <f t="shared" si="264"/>
        <v>0</v>
      </c>
      <c r="ER296" s="3">
        <f t="shared" si="264"/>
        <v>0</v>
      </c>
      <c r="ES296" s="3">
        <f t="shared" si="264"/>
        <v>0</v>
      </c>
      <c r="ET296" s="3">
        <f t="shared" si="264"/>
        <v>0</v>
      </c>
      <c r="EU296" s="3">
        <f t="shared" si="264"/>
        <v>0</v>
      </c>
      <c r="EV296" s="3">
        <f t="shared" si="264"/>
        <v>0</v>
      </c>
      <c r="EW296" s="3">
        <f t="shared" si="264"/>
        <v>0</v>
      </c>
      <c r="EX296" s="3">
        <f t="shared" si="264"/>
        <v>0</v>
      </c>
      <c r="EY296" s="3">
        <f t="shared" si="264"/>
        <v>0</v>
      </c>
      <c r="EZ296" s="3">
        <f t="shared" si="264"/>
        <v>0</v>
      </c>
      <c r="FA296" s="3">
        <f t="shared" si="264"/>
        <v>0</v>
      </c>
      <c r="FB296" s="3">
        <f t="shared" si="264"/>
        <v>0</v>
      </c>
      <c r="FC296" s="3">
        <f t="shared" si="264"/>
        <v>0</v>
      </c>
      <c r="FD296" s="3">
        <f t="shared" si="264"/>
        <v>0</v>
      </c>
      <c r="FE296" s="3">
        <f t="shared" si="264"/>
        <v>0</v>
      </c>
      <c r="FF296" s="3">
        <f t="shared" si="264"/>
        <v>0</v>
      </c>
      <c r="FG296" s="3">
        <f t="shared" si="264"/>
        <v>0</v>
      </c>
      <c r="FH296" s="3">
        <f t="shared" si="264"/>
        <v>0</v>
      </c>
      <c r="FI296" s="3">
        <f t="shared" si="264"/>
        <v>0</v>
      </c>
      <c r="FJ296" s="3">
        <f t="shared" si="264"/>
        <v>0</v>
      </c>
      <c r="FK296" s="3">
        <f t="shared" si="264"/>
        <v>0</v>
      </c>
      <c r="FL296" s="3">
        <f t="shared" si="264"/>
        <v>0</v>
      </c>
      <c r="FM296" s="3">
        <f t="shared" si="264"/>
        <v>0</v>
      </c>
      <c r="FN296" s="3">
        <f t="shared" si="264"/>
        <v>0</v>
      </c>
      <c r="FO296" s="3">
        <f t="shared" si="264"/>
        <v>0</v>
      </c>
      <c r="FP296" s="3">
        <f t="shared" si="264"/>
        <v>0</v>
      </c>
      <c r="FQ296" s="3">
        <f t="shared" si="264"/>
        <v>0</v>
      </c>
      <c r="FR296" s="3">
        <f t="shared" si="264"/>
        <v>0</v>
      </c>
      <c r="FS296" s="3">
        <f t="shared" ref="FS296:GX296" si="265">FS305</f>
        <v>0</v>
      </c>
      <c r="FT296" s="3">
        <f t="shared" si="265"/>
        <v>0</v>
      </c>
      <c r="FU296" s="3">
        <f t="shared" si="265"/>
        <v>0</v>
      </c>
      <c r="FV296" s="3">
        <f t="shared" si="265"/>
        <v>0</v>
      </c>
      <c r="FW296" s="3">
        <f t="shared" si="265"/>
        <v>0</v>
      </c>
      <c r="FX296" s="3">
        <f t="shared" si="265"/>
        <v>0</v>
      </c>
      <c r="FY296" s="3">
        <f t="shared" si="265"/>
        <v>0</v>
      </c>
      <c r="FZ296" s="3">
        <f t="shared" si="265"/>
        <v>0</v>
      </c>
      <c r="GA296" s="3">
        <f t="shared" si="265"/>
        <v>0</v>
      </c>
      <c r="GB296" s="3">
        <f t="shared" si="265"/>
        <v>0</v>
      </c>
      <c r="GC296" s="3">
        <f t="shared" si="265"/>
        <v>0</v>
      </c>
      <c r="GD296" s="3">
        <f t="shared" si="265"/>
        <v>0</v>
      </c>
      <c r="GE296" s="3">
        <f t="shared" si="265"/>
        <v>0</v>
      </c>
      <c r="GF296" s="3">
        <f t="shared" si="265"/>
        <v>0</v>
      </c>
      <c r="GG296" s="3">
        <f t="shared" si="265"/>
        <v>0</v>
      </c>
      <c r="GH296" s="3">
        <f t="shared" si="265"/>
        <v>0</v>
      </c>
      <c r="GI296" s="3">
        <f t="shared" si="265"/>
        <v>0</v>
      </c>
      <c r="GJ296" s="3">
        <f t="shared" si="265"/>
        <v>0</v>
      </c>
      <c r="GK296" s="3">
        <f t="shared" si="265"/>
        <v>0</v>
      </c>
      <c r="GL296" s="3">
        <f t="shared" si="265"/>
        <v>0</v>
      </c>
      <c r="GM296" s="3">
        <f t="shared" si="265"/>
        <v>0</v>
      </c>
      <c r="GN296" s="3">
        <f t="shared" si="265"/>
        <v>0</v>
      </c>
      <c r="GO296" s="3">
        <f t="shared" si="265"/>
        <v>0</v>
      </c>
      <c r="GP296" s="3">
        <f t="shared" si="265"/>
        <v>0</v>
      </c>
      <c r="GQ296" s="3">
        <f t="shared" si="265"/>
        <v>0</v>
      </c>
      <c r="GR296" s="3">
        <f t="shared" si="265"/>
        <v>0</v>
      </c>
      <c r="GS296" s="3">
        <f t="shared" si="265"/>
        <v>0</v>
      </c>
      <c r="GT296" s="3">
        <f t="shared" si="265"/>
        <v>0</v>
      </c>
      <c r="GU296" s="3">
        <f t="shared" si="265"/>
        <v>0</v>
      </c>
      <c r="GV296" s="3">
        <f t="shared" si="265"/>
        <v>0</v>
      </c>
      <c r="GW296" s="3">
        <f t="shared" si="265"/>
        <v>0</v>
      </c>
      <c r="GX296" s="3">
        <f t="shared" si="265"/>
        <v>0</v>
      </c>
    </row>
    <row r="298" spans="1:245" x14ac:dyDescent="0.2">
      <c r="A298">
        <v>17</v>
      </c>
      <c r="B298">
        <v>1</v>
      </c>
      <c r="C298">
        <f>ROW(SmtRes!A204)</f>
        <v>204</v>
      </c>
      <c r="D298">
        <f>ROW(EtalonRes!A199)</f>
        <v>199</v>
      </c>
      <c r="E298" t="s">
        <v>438</v>
      </c>
      <c r="F298" t="s">
        <v>439</v>
      </c>
      <c r="G298" t="s">
        <v>440</v>
      </c>
      <c r="H298" t="s">
        <v>441</v>
      </c>
      <c r="I298">
        <f>ROUND(120/10,9)</f>
        <v>12</v>
      </c>
      <c r="J298">
        <v>0</v>
      </c>
      <c r="K298">
        <f>ROUND(120/10,9)</f>
        <v>12</v>
      </c>
      <c r="O298">
        <f t="shared" ref="O298:O303" si="266">ROUND(CP298,2)</f>
        <v>255833.27</v>
      </c>
      <c r="P298">
        <f t="shared" ref="P298:P303" si="267">ROUND((ROUND((AC298*AW298*I298),2)*BC298),2)</f>
        <v>0</v>
      </c>
      <c r="Q298">
        <f t="shared" ref="Q298:Q303" si="268">(ROUND((ROUND(((ET298)*AV298*I298),2)*BB298),2)+ROUND((ROUND(((AE298-(EU298))*AV298*I298),2)*BS298),2))</f>
        <v>67413.69</v>
      </c>
      <c r="R298">
        <f t="shared" ref="R298:R303" si="269">ROUND((ROUND((AE298*AV298*I298),2)*BS298),2)</f>
        <v>44387.71</v>
      </c>
      <c r="S298">
        <f t="shared" ref="S298:S303" si="270">ROUND((ROUND((AF298*AV298*I298),2)*BA298),2)</f>
        <v>188419.58</v>
      </c>
      <c r="T298">
        <f t="shared" ref="T298:T303" si="271">ROUND(CU298*I298,2)</f>
        <v>0</v>
      </c>
      <c r="U298">
        <f t="shared" ref="U298:U303" si="272">CV298*I298</f>
        <v>747.37080000000003</v>
      </c>
      <c r="V298">
        <f t="shared" ref="V298:V303" si="273">CW298*I298</f>
        <v>0</v>
      </c>
      <c r="W298">
        <f t="shared" ref="W298:W303" si="274">ROUND(CX298*I298,2)</f>
        <v>0</v>
      </c>
      <c r="X298">
        <f t="shared" ref="X298:Y303" si="275">ROUND(CY298,2)</f>
        <v>128125.31</v>
      </c>
      <c r="Y298">
        <f t="shared" si="275"/>
        <v>77252.03</v>
      </c>
      <c r="AA298">
        <v>42938047</v>
      </c>
      <c r="AB298">
        <f t="shared" ref="AB298:AB303" si="276">ROUND((AC298+AD298+AF298),6)</f>
        <v>1128.8423</v>
      </c>
      <c r="AC298">
        <f t="shared" ref="AC298:AC303" si="277">ROUND((ES298),6)</f>
        <v>0</v>
      </c>
      <c r="AD298">
        <f t="shared" ref="AD298:AD303" si="278">ROUND((((ET298)-(EU298))+AE298),6)</f>
        <v>511.64</v>
      </c>
      <c r="AE298">
        <f t="shared" ref="AE298:AE303" si="279">ROUND((EU298),6)</f>
        <v>145.4</v>
      </c>
      <c r="AF298">
        <f>ROUND(((EV298*0.33)),6)</f>
        <v>617.20230000000004</v>
      </c>
      <c r="AG298">
        <f t="shared" ref="AG298:AG303" si="280">ROUND((AP298),6)</f>
        <v>0</v>
      </c>
      <c r="AH298">
        <f>((EW298*0.33))</f>
        <v>62.280900000000003</v>
      </c>
      <c r="AI298">
        <f t="shared" ref="AI298:AI303" si="281">(EX298)</f>
        <v>0</v>
      </c>
      <c r="AJ298">
        <f t="shared" ref="AJ298:AJ303" si="282">(AS298)</f>
        <v>0</v>
      </c>
      <c r="AK298">
        <v>2381.9499999999998</v>
      </c>
      <c r="AL298">
        <v>0</v>
      </c>
      <c r="AM298">
        <v>511.64</v>
      </c>
      <c r="AN298">
        <v>145.4</v>
      </c>
      <c r="AO298">
        <v>1870.31</v>
      </c>
      <c r="AP298">
        <v>0</v>
      </c>
      <c r="AQ298">
        <v>188.73</v>
      </c>
      <c r="AR298">
        <v>0</v>
      </c>
      <c r="AS298">
        <v>0</v>
      </c>
      <c r="AT298">
        <v>68</v>
      </c>
      <c r="AU298">
        <v>41</v>
      </c>
      <c r="AV298">
        <v>1</v>
      </c>
      <c r="AW298">
        <v>1</v>
      </c>
      <c r="AZ298">
        <v>1</v>
      </c>
      <c r="BA298">
        <v>25.44</v>
      </c>
      <c r="BB298">
        <v>10.98</v>
      </c>
      <c r="BC298">
        <v>1</v>
      </c>
      <c r="BD298" t="s">
        <v>3</v>
      </c>
      <c r="BE298" t="s">
        <v>3</v>
      </c>
      <c r="BF298" t="s">
        <v>3</v>
      </c>
      <c r="BG298" t="s">
        <v>3</v>
      </c>
      <c r="BH298">
        <v>0</v>
      </c>
      <c r="BI298">
        <v>1</v>
      </c>
      <c r="BJ298" t="s">
        <v>442</v>
      </c>
      <c r="BM298">
        <v>406</v>
      </c>
      <c r="BN298">
        <v>0</v>
      </c>
      <c r="BO298" t="s">
        <v>439</v>
      </c>
      <c r="BP298">
        <v>1</v>
      </c>
      <c r="BQ298">
        <v>60</v>
      </c>
      <c r="BR298">
        <v>0</v>
      </c>
      <c r="BS298">
        <v>25.44</v>
      </c>
      <c r="BT298">
        <v>1</v>
      </c>
      <c r="BU298">
        <v>1</v>
      </c>
      <c r="BV298">
        <v>1</v>
      </c>
      <c r="BW298">
        <v>1</v>
      </c>
      <c r="BX298">
        <v>1</v>
      </c>
      <c r="BY298" t="s">
        <v>3</v>
      </c>
      <c r="BZ298">
        <v>68</v>
      </c>
      <c r="CA298">
        <v>41</v>
      </c>
      <c r="CB298" t="s">
        <v>3</v>
      </c>
      <c r="CE298">
        <v>30</v>
      </c>
      <c r="CF298">
        <v>0</v>
      </c>
      <c r="CG298">
        <v>0</v>
      </c>
      <c r="CM298">
        <v>0</v>
      </c>
      <c r="CN298" t="s">
        <v>3</v>
      </c>
      <c r="CO298">
        <v>0</v>
      </c>
      <c r="CP298">
        <f t="shared" ref="CP298:CP303" si="283">(P298+Q298+S298)</f>
        <v>255833.27</v>
      </c>
      <c r="CQ298">
        <f t="shared" ref="CQ298:CQ303" si="284">ROUND((ROUND((AC298*AW298*1),2)*BC298),2)</f>
        <v>0</v>
      </c>
      <c r="CR298">
        <f t="shared" ref="CR298:CR303" si="285">(ROUND((ROUND(((ET298)*AV298*1),2)*BB298),2)+ROUND((ROUND(((AE298-(EU298))*AV298*1),2)*BS298),2))</f>
        <v>5617.81</v>
      </c>
      <c r="CS298">
        <f t="shared" ref="CS298:CS303" si="286">ROUND((ROUND((AE298*AV298*1),2)*BS298),2)</f>
        <v>3698.98</v>
      </c>
      <c r="CT298">
        <f t="shared" ref="CT298:CT303" si="287">ROUND((ROUND((AF298*AV298*1),2)*BA298),2)</f>
        <v>15701.57</v>
      </c>
      <c r="CU298">
        <f t="shared" ref="CU298:CU303" si="288">AG298</f>
        <v>0</v>
      </c>
      <c r="CV298">
        <f t="shared" ref="CV298:CV303" si="289">(AH298*AV298)</f>
        <v>62.280900000000003</v>
      </c>
      <c r="CW298">
        <f t="shared" ref="CW298:CX303" si="290">AI298</f>
        <v>0</v>
      </c>
      <c r="CX298">
        <f t="shared" si="290"/>
        <v>0</v>
      </c>
      <c r="CY298">
        <f t="shared" ref="CY298:CY303" si="291">S298*(BZ298/100)</f>
        <v>128125.3144</v>
      </c>
      <c r="CZ298">
        <f t="shared" ref="CZ298:CZ303" si="292">S298*(CA298/100)</f>
        <v>77252.027799999996</v>
      </c>
      <c r="DC298" t="s">
        <v>3</v>
      </c>
      <c r="DD298" t="s">
        <v>3</v>
      </c>
      <c r="DE298" t="s">
        <v>3</v>
      </c>
      <c r="DF298" t="s">
        <v>3</v>
      </c>
      <c r="DG298" t="s">
        <v>443</v>
      </c>
      <c r="DH298" t="s">
        <v>3</v>
      </c>
      <c r="DI298" t="s">
        <v>443</v>
      </c>
      <c r="DJ298" t="s">
        <v>3</v>
      </c>
      <c r="DK298" t="s">
        <v>3</v>
      </c>
      <c r="DL298" t="s">
        <v>3</v>
      </c>
      <c r="DM298" t="s">
        <v>3</v>
      </c>
      <c r="DN298">
        <v>80</v>
      </c>
      <c r="DO298">
        <v>55</v>
      </c>
      <c r="DP298">
        <v>1</v>
      </c>
      <c r="DQ298">
        <v>1</v>
      </c>
      <c r="DU298">
        <v>1013</v>
      </c>
      <c r="DV298" t="s">
        <v>441</v>
      </c>
      <c r="DW298" t="s">
        <v>441</v>
      </c>
      <c r="DX298">
        <v>1</v>
      </c>
      <c r="DZ298" t="s">
        <v>3</v>
      </c>
      <c r="EA298" t="s">
        <v>3</v>
      </c>
      <c r="EB298" t="s">
        <v>3</v>
      </c>
      <c r="EC298" t="s">
        <v>3</v>
      </c>
      <c r="EE298">
        <v>43088484</v>
      </c>
      <c r="EF298">
        <v>60</v>
      </c>
      <c r="EG298" t="s">
        <v>40</v>
      </c>
      <c r="EH298">
        <v>0</v>
      </c>
      <c r="EI298" t="s">
        <v>3</v>
      </c>
      <c r="EJ298">
        <v>1</v>
      </c>
      <c r="EK298">
        <v>406</v>
      </c>
      <c r="EL298" t="s">
        <v>444</v>
      </c>
      <c r="EM298" t="s">
        <v>445</v>
      </c>
      <c r="EO298" t="s">
        <v>3</v>
      </c>
      <c r="EQ298">
        <v>0</v>
      </c>
      <c r="ER298">
        <v>2381.9499999999998</v>
      </c>
      <c r="ES298">
        <v>0</v>
      </c>
      <c r="ET298">
        <v>511.64</v>
      </c>
      <c r="EU298">
        <v>145.4</v>
      </c>
      <c r="EV298">
        <v>1870.31</v>
      </c>
      <c r="EW298">
        <v>188.73</v>
      </c>
      <c r="EX298">
        <v>0</v>
      </c>
      <c r="EY298">
        <v>0</v>
      </c>
      <c r="FQ298">
        <v>0</v>
      </c>
      <c r="FR298">
        <f t="shared" ref="FR298:FR303" si="293">ROUND(IF(AND(BH298=3,BI298=3),P298,0),2)</f>
        <v>0</v>
      </c>
      <c r="FS298">
        <v>0</v>
      </c>
      <c r="FX298">
        <v>80</v>
      </c>
      <c r="FY298">
        <v>55</v>
      </c>
      <c r="GA298" t="s">
        <v>3</v>
      </c>
      <c r="GD298">
        <v>0</v>
      </c>
      <c r="GF298">
        <v>1687448684</v>
      </c>
      <c r="GG298">
        <v>2</v>
      </c>
      <c r="GH298">
        <v>1</v>
      </c>
      <c r="GI298">
        <v>2</v>
      </c>
      <c r="GJ298">
        <v>0</v>
      </c>
      <c r="GK298">
        <f>ROUND(R298*(R12)/100,2)</f>
        <v>69688.7</v>
      </c>
      <c r="GL298">
        <f t="shared" ref="GL298:GL303" si="294">ROUND(IF(AND(BH298=3,BI298=3,FS298&lt;&gt;0),P298,0),2)</f>
        <v>0</v>
      </c>
      <c r="GM298">
        <f t="shared" ref="GM298:GM303" si="295">ROUND(O298+X298+Y298+GK298,2)+GX298</f>
        <v>530899.31000000006</v>
      </c>
      <c r="GN298">
        <f t="shared" ref="GN298:GN303" si="296">IF(OR(BI298=0,BI298=1),ROUND(O298+X298+Y298+GK298,2),0)</f>
        <v>530899.31000000006</v>
      </c>
      <c r="GO298">
        <f t="shared" ref="GO298:GO303" si="297">IF(BI298=2,ROUND(O298+X298+Y298+GK298,2),0)</f>
        <v>0</v>
      </c>
      <c r="GP298">
        <f t="shared" ref="GP298:GP303" si="298">IF(BI298=4,ROUND(O298+X298+Y298+GK298,2)+GX298,0)</f>
        <v>0</v>
      </c>
      <c r="GR298">
        <v>0</v>
      </c>
      <c r="GS298">
        <v>3</v>
      </c>
      <c r="GT298">
        <v>0</v>
      </c>
      <c r="GU298" t="s">
        <v>3</v>
      </c>
      <c r="GV298">
        <f t="shared" ref="GV298:GV303" si="299">ROUND((GT298),6)</f>
        <v>0</v>
      </c>
      <c r="GW298">
        <v>1</v>
      </c>
      <c r="GX298">
        <f t="shared" ref="GX298:GX303" si="300">ROUND(HC298*I298,2)</f>
        <v>0</v>
      </c>
      <c r="HA298">
        <v>0</v>
      </c>
      <c r="HB298">
        <v>0</v>
      </c>
      <c r="HC298">
        <f t="shared" ref="HC298:HC303" si="301">GV298*GW298</f>
        <v>0</v>
      </c>
      <c r="HE298" t="s">
        <v>3</v>
      </c>
      <c r="HF298" t="s">
        <v>3</v>
      </c>
      <c r="HM298" t="s">
        <v>3</v>
      </c>
      <c r="IK298">
        <v>0</v>
      </c>
    </row>
    <row r="299" spans="1:245" x14ac:dyDescent="0.2">
      <c r="A299">
        <v>17</v>
      </c>
      <c r="B299">
        <v>1</v>
      </c>
      <c r="C299">
        <f>ROW(SmtRes!A208)</f>
        <v>208</v>
      </c>
      <c r="D299">
        <f>ROW(EtalonRes!A203)</f>
        <v>203</v>
      </c>
      <c r="E299" t="s">
        <v>446</v>
      </c>
      <c r="F299" t="s">
        <v>36</v>
      </c>
      <c r="G299" t="s">
        <v>447</v>
      </c>
      <c r="H299" t="s">
        <v>38</v>
      </c>
      <c r="I299">
        <f>ROUND(12/100,9)</f>
        <v>0.12</v>
      </c>
      <c r="J299">
        <v>0</v>
      </c>
      <c r="K299">
        <f>ROUND(12/100,9)</f>
        <v>0.12</v>
      </c>
      <c r="O299">
        <f t="shared" si="266"/>
        <v>4077.44</v>
      </c>
      <c r="P299">
        <f t="shared" si="267"/>
        <v>0</v>
      </c>
      <c r="Q299">
        <f t="shared" si="268"/>
        <v>2170.46</v>
      </c>
      <c r="R299">
        <f t="shared" si="269"/>
        <v>578.51</v>
      </c>
      <c r="S299">
        <f t="shared" si="270"/>
        <v>1906.98</v>
      </c>
      <c r="T299">
        <f t="shared" si="271"/>
        <v>0</v>
      </c>
      <c r="U299">
        <f t="shared" si="272"/>
        <v>5.9399999999999995</v>
      </c>
      <c r="V299">
        <f t="shared" si="273"/>
        <v>0</v>
      </c>
      <c r="W299">
        <f t="shared" si="274"/>
        <v>0</v>
      </c>
      <c r="X299">
        <f t="shared" si="275"/>
        <v>1296.75</v>
      </c>
      <c r="Y299">
        <f t="shared" si="275"/>
        <v>781.86</v>
      </c>
      <c r="AA299">
        <v>42938047</v>
      </c>
      <c r="AB299">
        <f t="shared" si="276"/>
        <v>2830.41</v>
      </c>
      <c r="AC299">
        <f t="shared" si="277"/>
        <v>0</v>
      </c>
      <c r="AD299">
        <f t="shared" si="278"/>
        <v>2205.7199999999998</v>
      </c>
      <c r="AE299">
        <f t="shared" si="279"/>
        <v>189.47</v>
      </c>
      <c r="AF299">
        <f>ROUND((EV299),6)</f>
        <v>624.69000000000005</v>
      </c>
      <c r="AG299">
        <f t="shared" si="280"/>
        <v>0</v>
      </c>
      <c r="AH299">
        <f>(EW299)</f>
        <v>49.5</v>
      </c>
      <c r="AI299">
        <f t="shared" si="281"/>
        <v>0</v>
      </c>
      <c r="AJ299">
        <f t="shared" si="282"/>
        <v>0</v>
      </c>
      <c r="AK299">
        <v>2830.41</v>
      </c>
      <c r="AL299">
        <v>0</v>
      </c>
      <c r="AM299">
        <v>2205.7199999999998</v>
      </c>
      <c r="AN299">
        <v>189.47</v>
      </c>
      <c r="AO299">
        <v>624.69000000000005</v>
      </c>
      <c r="AP299">
        <v>0</v>
      </c>
      <c r="AQ299">
        <v>49.5</v>
      </c>
      <c r="AR299">
        <v>0</v>
      </c>
      <c r="AS299">
        <v>0</v>
      </c>
      <c r="AT299">
        <v>68</v>
      </c>
      <c r="AU299">
        <v>41</v>
      </c>
      <c r="AV299">
        <v>1</v>
      </c>
      <c r="AW299">
        <v>1</v>
      </c>
      <c r="AZ299">
        <v>1</v>
      </c>
      <c r="BA299">
        <v>25.44</v>
      </c>
      <c r="BB299">
        <v>8.1999999999999993</v>
      </c>
      <c r="BC299">
        <v>1</v>
      </c>
      <c r="BD299" t="s">
        <v>3</v>
      </c>
      <c r="BE299" t="s">
        <v>3</v>
      </c>
      <c r="BF299" t="s">
        <v>3</v>
      </c>
      <c r="BG299" t="s">
        <v>3</v>
      </c>
      <c r="BH299">
        <v>0</v>
      </c>
      <c r="BI299">
        <v>1</v>
      </c>
      <c r="BJ299" t="s">
        <v>39</v>
      </c>
      <c r="BM299">
        <v>674</v>
      </c>
      <c r="BN299">
        <v>0</v>
      </c>
      <c r="BO299" t="s">
        <v>36</v>
      </c>
      <c r="BP299">
        <v>1</v>
      </c>
      <c r="BQ299">
        <v>60</v>
      </c>
      <c r="BR299">
        <v>0</v>
      </c>
      <c r="BS299">
        <v>25.44</v>
      </c>
      <c r="BT299">
        <v>1</v>
      </c>
      <c r="BU299">
        <v>1</v>
      </c>
      <c r="BV299">
        <v>1</v>
      </c>
      <c r="BW299">
        <v>1</v>
      </c>
      <c r="BX299">
        <v>1</v>
      </c>
      <c r="BY299" t="s">
        <v>3</v>
      </c>
      <c r="BZ299">
        <v>68</v>
      </c>
      <c r="CA299">
        <v>41</v>
      </c>
      <c r="CB299" t="s">
        <v>3</v>
      </c>
      <c r="CE299">
        <v>30</v>
      </c>
      <c r="CF299">
        <v>0</v>
      </c>
      <c r="CG299">
        <v>0</v>
      </c>
      <c r="CM299">
        <v>0</v>
      </c>
      <c r="CN299" t="s">
        <v>3</v>
      </c>
      <c r="CO299">
        <v>0</v>
      </c>
      <c r="CP299">
        <f t="shared" si="283"/>
        <v>4077.44</v>
      </c>
      <c r="CQ299">
        <f t="shared" si="284"/>
        <v>0</v>
      </c>
      <c r="CR299">
        <f t="shared" si="285"/>
        <v>18086.900000000001</v>
      </c>
      <c r="CS299">
        <f t="shared" si="286"/>
        <v>4820.12</v>
      </c>
      <c r="CT299">
        <f t="shared" si="287"/>
        <v>15892.11</v>
      </c>
      <c r="CU299">
        <f t="shared" si="288"/>
        <v>0</v>
      </c>
      <c r="CV299">
        <f t="shared" si="289"/>
        <v>49.5</v>
      </c>
      <c r="CW299">
        <f t="shared" si="290"/>
        <v>0</v>
      </c>
      <c r="CX299">
        <f t="shared" si="290"/>
        <v>0</v>
      </c>
      <c r="CY299">
        <f t="shared" si="291"/>
        <v>1296.7464</v>
      </c>
      <c r="CZ299">
        <f t="shared" si="292"/>
        <v>781.86180000000002</v>
      </c>
      <c r="DC299" t="s">
        <v>3</v>
      </c>
      <c r="DD299" t="s">
        <v>3</v>
      </c>
      <c r="DE299" t="s">
        <v>3</v>
      </c>
      <c r="DF299" t="s">
        <v>3</v>
      </c>
      <c r="DG299" t="s">
        <v>3</v>
      </c>
      <c r="DH299" t="s">
        <v>3</v>
      </c>
      <c r="DI299" t="s">
        <v>3</v>
      </c>
      <c r="DJ299" t="s">
        <v>3</v>
      </c>
      <c r="DK299" t="s">
        <v>3</v>
      </c>
      <c r="DL299" t="s">
        <v>3</v>
      </c>
      <c r="DM299" t="s">
        <v>3</v>
      </c>
      <c r="DN299">
        <v>80</v>
      </c>
      <c r="DO299">
        <v>55</v>
      </c>
      <c r="DP299">
        <v>1</v>
      </c>
      <c r="DQ299">
        <v>1</v>
      </c>
      <c r="DU299">
        <v>1007</v>
      </c>
      <c r="DV299" t="s">
        <v>38</v>
      </c>
      <c r="DW299" t="s">
        <v>38</v>
      </c>
      <c r="DX299">
        <v>100</v>
      </c>
      <c r="DZ299" t="s">
        <v>3</v>
      </c>
      <c r="EA299" t="s">
        <v>3</v>
      </c>
      <c r="EB299" t="s">
        <v>3</v>
      </c>
      <c r="EC299" t="s">
        <v>3</v>
      </c>
      <c r="EE299">
        <v>43088752</v>
      </c>
      <c r="EF299">
        <v>60</v>
      </c>
      <c r="EG299" t="s">
        <v>40</v>
      </c>
      <c r="EH299">
        <v>0</v>
      </c>
      <c r="EI299" t="s">
        <v>3</v>
      </c>
      <c r="EJ299">
        <v>1</v>
      </c>
      <c r="EK299">
        <v>674</v>
      </c>
      <c r="EL299" t="s">
        <v>41</v>
      </c>
      <c r="EM299" t="s">
        <v>42</v>
      </c>
      <c r="EO299" t="s">
        <v>3</v>
      </c>
      <c r="EQ299">
        <v>0</v>
      </c>
      <c r="ER299">
        <v>2830.41</v>
      </c>
      <c r="ES299">
        <v>0</v>
      </c>
      <c r="ET299">
        <v>2205.7199999999998</v>
      </c>
      <c r="EU299">
        <v>189.47</v>
      </c>
      <c r="EV299">
        <v>624.69000000000005</v>
      </c>
      <c r="EW299">
        <v>49.5</v>
      </c>
      <c r="EX299">
        <v>0</v>
      </c>
      <c r="EY299">
        <v>0</v>
      </c>
      <c r="FQ299">
        <v>0</v>
      </c>
      <c r="FR299">
        <f t="shared" si="293"/>
        <v>0</v>
      </c>
      <c r="FS299">
        <v>0</v>
      </c>
      <c r="FX299">
        <v>80</v>
      </c>
      <c r="FY299">
        <v>55</v>
      </c>
      <c r="GA299" t="s">
        <v>3</v>
      </c>
      <c r="GD299">
        <v>0</v>
      </c>
      <c r="GF299">
        <v>612206401</v>
      </c>
      <c r="GG299">
        <v>2</v>
      </c>
      <c r="GH299">
        <v>1</v>
      </c>
      <c r="GI299">
        <v>2</v>
      </c>
      <c r="GJ299">
        <v>0</v>
      </c>
      <c r="GK299">
        <f>ROUND(R299*(R12)/100,2)</f>
        <v>908.26</v>
      </c>
      <c r="GL299">
        <f t="shared" si="294"/>
        <v>0</v>
      </c>
      <c r="GM299">
        <f t="shared" si="295"/>
        <v>7064.31</v>
      </c>
      <c r="GN299">
        <f t="shared" si="296"/>
        <v>7064.31</v>
      </c>
      <c r="GO299">
        <f t="shared" si="297"/>
        <v>0</v>
      </c>
      <c r="GP299">
        <f t="shared" si="298"/>
        <v>0</v>
      </c>
      <c r="GR299">
        <v>0</v>
      </c>
      <c r="GS299">
        <v>3</v>
      </c>
      <c r="GT299">
        <v>0</v>
      </c>
      <c r="GU299" t="s">
        <v>3</v>
      </c>
      <c r="GV299">
        <f t="shared" si="299"/>
        <v>0</v>
      </c>
      <c r="GW299">
        <v>1</v>
      </c>
      <c r="GX299">
        <f t="shared" si="300"/>
        <v>0</v>
      </c>
      <c r="HA299">
        <v>0</v>
      </c>
      <c r="HB299">
        <v>0</v>
      </c>
      <c r="HC299">
        <f t="shared" si="301"/>
        <v>0</v>
      </c>
      <c r="HE299" t="s">
        <v>3</v>
      </c>
      <c r="HF299" t="s">
        <v>3</v>
      </c>
      <c r="HM299" t="s">
        <v>3</v>
      </c>
      <c r="IK299">
        <v>0</v>
      </c>
    </row>
    <row r="300" spans="1:245" x14ac:dyDescent="0.2">
      <c r="A300">
        <v>17</v>
      </c>
      <c r="B300">
        <v>1</v>
      </c>
      <c r="C300">
        <f>ROW(SmtRes!A209)</f>
        <v>209</v>
      </c>
      <c r="D300">
        <f>ROW(EtalonRes!A204)</f>
        <v>204</v>
      </c>
      <c r="E300" t="s">
        <v>448</v>
      </c>
      <c r="F300" t="s">
        <v>51</v>
      </c>
      <c r="G300" t="s">
        <v>449</v>
      </c>
      <c r="H300" t="s">
        <v>53</v>
      </c>
      <c r="I300">
        <f>ROUND(27/100,9)</f>
        <v>0.27</v>
      </c>
      <c r="J300">
        <v>0</v>
      </c>
      <c r="K300">
        <f>ROUND(27/100,9)</f>
        <v>0.27</v>
      </c>
      <c r="O300">
        <f t="shared" si="266"/>
        <v>151.96</v>
      </c>
      <c r="P300">
        <f t="shared" si="267"/>
        <v>0</v>
      </c>
      <c r="Q300">
        <f t="shared" si="268"/>
        <v>151.96</v>
      </c>
      <c r="R300">
        <f t="shared" si="269"/>
        <v>80.39</v>
      </c>
      <c r="S300">
        <f t="shared" si="270"/>
        <v>0</v>
      </c>
      <c r="T300">
        <f t="shared" si="271"/>
        <v>0</v>
      </c>
      <c r="U300">
        <f t="shared" si="272"/>
        <v>0</v>
      </c>
      <c r="V300">
        <f t="shared" si="273"/>
        <v>0</v>
      </c>
      <c r="W300">
        <f t="shared" si="274"/>
        <v>0</v>
      </c>
      <c r="X300">
        <f t="shared" si="275"/>
        <v>0</v>
      </c>
      <c r="Y300">
        <f t="shared" si="275"/>
        <v>0</v>
      </c>
      <c r="AA300">
        <v>42938047</v>
      </c>
      <c r="AB300">
        <f t="shared" si="276"/>
        <v>60.01</v>
      </c>
      <c r="AC300">
        <f t="shared" si="277"/>
        <v>0</v>
      </c>
      <c r="AD300">
        <f t="shared" si="278"/>
        <v>60.01</v>
      </c>
      <c r="AE300">
        <f t="shared" si="279"/>
        <v>11.7</v>
      </c>
      <c r="AF300">
        <f>ROUND((EV300),6)</f>
        <v>0</v>
      </c>
      <c r="AG300">
        <f t="shared" si="280"/>
        <v>0</v>
      </c>
      <c r="AH300">
        <f>(EW300)</f>
        <v>0</v>
      </c>
      <c r="AI300">
        <f t="shared" si="281"/>
        <v>0</v>
      </c>
      <c r="AJ300">
        <f t="shared" si="282"/>
        <v>0</v>
      </c>
      <c r="AK300">
        <v>60.01</v>
      </c>
      <c r="AL300">
        <v>0</v>
      </c>
      <c r="AM300">
        <v>60.01</v>
      </c>
      <c r="AN300">
        <v>11.7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92</v>
      </c>
      <c r="AU300">
        <v>50</v>
      </c>
      <c r="AV300">
        <v>1</v>
      </c>
      <c r="AW300">
        <v>1</v>
      </c>
      <c r="AZ300">
        <v>1</v>
      </c>
      <c r="BA300">
        <v>25.44</v>
      </c>
      <c r="BB300">
        <v>9.3800000000000008</v>
      </c>
      <c r="BC300">
        <v>1</v>
      </c>
      <c r="BD300" t="s">
        <v>3</v>
      </c>
      <c r="BE300" t="s">
        <v>3</v>
      </c>
      <c r="BF300" t="s">
        <v>3</v>
      </c>
      <c r="BG300" t="s">
        <v>3</v>
      </c>
      <c r="BH300">
        <v>0</v>
      </c>
      <c r="BI300">
        <v>1</v>
      </c>
      <c r="BJ300" t="s">
        <v>54</v>
      </c>
      <c r="BM300">
        <v>1708</v>
      </c>
      <c r="BN300">
        <v>0</v>
      </c>
      <c r="BO300" t="s">
        <v>51</v>
      </c>
      <c r="BP300">
        <v>1</v>
      </c>
      <c r="BQ300">
        <v>30</v>
      </c>
      <c r="BR300">
        <v>0</v>
      </c>
      <c r="BS300">
        <v>25.44</v>
      </c>
      <c r="BT300">
        <v>1</v>
      </c>
      <c r="BU300">
        <v>1</v>
      </c>
      <c r="BV300">
        <v>1</v>
      </c>
      <c r="BW300">
        <v>1</v>
      </c>
      <c r="BX300">
        <v>1</v>
      </c>
      <c r="BY300" t="s">
        <v>3</v>
      </c>
      <c r="BZ300">
        <v>92</v>
      </c>
      <c r="CA300">
        <v>50</v>
      </c>
      <c r="CB300" t="s">
        <v>3</v>
      </c>
      <c r="CE300">
        <v>30</v>
      </c>
      <c r="CF300">
        <v>0</v>
      </c>
      <c r="CG300">
        <v>0</v>
      </c>
      <c r="CM300">
        <v>0</v>
      </c>
      <c r="CN300" t="s">
        <v>3</v>
      </c>
      <c r="CO300">
        <v>0</v>
      </c>
      <c r="CP300">
        <f t="shared" si="283"/>
        <v>151.96</v>
      </c>
      <c r="CQ300">
        <f t="shared" si="284"/>
        <v>0</v>
      </c>
      <c r="CR300">
        <f t="shared" si="285"/>
        <v>562.89</v>
      </c>
      <c r="CS300">
        <f t="shared" si="286"/>
        <v>297.64999999999998</v>
      </c>
      <c r="CT300">
        <f t="shared" si="287"/>
        <v>0</v>
      </c>
      <c r="CU300">
        <f t="shared" si="288"/>
        <v>0</v>
      </c>
      <c r="CV300">
        <f t="shared" si="289"/>
        <v>0</v>
      </c>
      <c r="CW300">
        <f t="shared" si="290"/>
        <v>0</v>
      </c>
      <c r="CX300">
        <f t="shared" si="290"/>
        <v>0</v>
      </c>
      <c r="CY300">
        <f t="shared" si="291"/>
        <v>0</v>
      </c>
      <c r="CZ300">
        <f t="shared" si="292"/>
        <v>0</v>
      </c>
      <c r="DC300" t="s">
        <v>3</v>
      </c>
      <c r="DD300" t="s">
        <v>3</v>
      </c>
      <c r="DE300" t="s">
        <v>3</v>
      </c>
      <c r="DF300" t="s">
        <v>3</v>
      </c>
      <c r="DG300" t="s">
        <v>3</v>
      </c>
      <c r="DH300" t="s">
        <v>3</v>
      </c>
      <c r="DI300" t="s">
        <v>3</v>
      </c>
      <c r="DJ300" t="s">
        <v>3</v>
      </c>
      <c r="DK300" t="s">
        <v>3</v>
      </c>
      <c r="DL300" t="s">
        <v>3</v>
      </c>
      <c r="DM300" t="s">
        <v>3</v>
      </c>
      <c r="DN300">
        <v>98</v>
      </c>
      <c r="DO300">
        <v>77</v>
      </c>
      <c r="DP300">
        <v>1</v>
      </c>
      <c r="DQ300">
        <v>1</v>
      </c>
      <c r="DU300">
        <v>1013</v>
      </c>
      <c r="DV300" t="s">
        <v>53</v>
      </c>
      <c r="DW300" t="s">
        <v>53</v>
      </c>
      <c r="DX300">
        <v>1</v>
      </c>
      <c r="DZ300" t="s">
        <v>3</v>
      </c>
      <c r="EA300" t="s">
        <v>3</v>
      </c>
      <c r="EB300" t="s">
        <v>3</v>
      </c>
      <c r="EC300" t="s">
        <v>3</v>
      </c>
      <c r="EE300">
        <v>43089786</v>
      </c>
      <c r="EF300">
        <v>30</v>
      </c>
      <c r="EG300" t="s">
        <v>22</v>
      </c>
      <c r="EH300">
        <v>0</v>
      </c>
      <c r="EI300" t="s">
        <v>3</v>
      </c>
      <c r="EJ300">
        <v>1</v>
      </c>
      <c r="EK300">
        <v>1708</v>
      </c>
      <c r="EL300" t="s">
        <v>57</v>
      </c>
      <c r="EM300" t="s">
        <v>58</v>
      </c>
      <c r="EO300" t="s">
        <v>3</v>
      </c>
      <c r="EQ300">
        <v>0</v>
      </c>
      <c r="ER300">
        <v>60.01</v>
      </c>
      <c r="ES300">
        <v>0</v>
      </c>
      <c r="ET300">
        <v>60.01</v>
      </c>
      <c r="EU300">
        <v>11.7</v>
      </c>
      <c r="EV300">
        <v>0</v>
      </c>
      <c r="EW300">
        <v>0</v>
      </c>
      <c r="EX300">
        <v>0</v>
      </c>
      <c r="EY300">
        <v>0</v>
      </c>
      <c r="FQ300">
        <v>0</v>
      </c>
      <c r="FR300">
        <f t="shared" si="293"/>
        <v>0</v>
      </c>
      <c r="FS300">
        <v>0</v>
      </c>
      <c r="FX300">
        <v>98</v>
      </c>
      <c r="FY300">
        <v>77</v>
      </c>
      <c r="GA300" t="s">
        <v>3</v>
      </c>
      <c r="GD300">
        <v>0</v>
      </c>
      <c r="GF300">
        <v>1657097077</v>
      </c>
      <c r="GG300">
        <v>2</v>
      </c>
      <c r="GH300">
        <v>1</v>
      </c>
      <c r="GI300">
        <v>2</v>
      </c>
      <c r="GJ300">
        <v>0</v>
      </c>
      <c r="GK300">
        <f>ROUND(R300*(R12)/100,2)</f>
        <v>126.21</v>
      </c>
      <c r="GL300">
        <f t="shared" si="294"/>
        <v>0</v>
      </c>
      <c r="GM300">
        <f t="shared" si="295"/>
        <v>278.17</v>
      </c>
      <c r="GN300">
        <f t="shared" si="296"/>
        <v>278.17</v>
      </c>
      <c r="GO300">
        <f t="shared" si="297"/>
        <v>0</v>
      </c>
      <c r="GP300">
        <f t="shared" si="298"/>
        <v>0</v>
      </c>
      <c r="GR300">
        <v>0</v>
      </c>
      <c r="GS300">
        <v>3</v>
      </c>
      <c r="GT300">
        <v>0</v>
      </c>
      <c r="GU300" t="s">
        <v>3</v>
      </c>
      <c r="GV300">
        <f t="shared" si="299"/>
        <v>0</v>
      </c>
      <c r="GW300">
        <v>1</v>
      </c>
      <c r="GX300">
        <f t="shared" si="300"/>
        <v>0</v>
      </c>
      <c r="HA300">
        <v>0</v>
      </c>
      <c r="HB300">
        <v>0</v>
      </c>
      <c r="HC300">
        <f t="shared" si="301"/>
        <v>0</v>
      </c>
      <c r="HE300" t="s">
        <v>3</v>
      </c>
      <c r="HF300" t="s">
        <v>3</v>
      </c>
      <c r="HM300" t="s">
        <v>3</v>
      </c>
      <c r="IK300">
        <v>0</v>
      </c>
    </row>
    <row r="301" spans="1:245" x14ac:dyDescent="0.2">
      <c r="A301">
        <v>17</v>
      </c>
      <c r="B301">
        <v>1</v>
      </c>
      <c r="C301">
        <f>ROW(SmtRes!A210)</f>
        <v>210</v>
      </c>
      <c r="D301">
        <f>ROW(EtalonRes!A205)</f>
        <v>205</v>
      </c>
      <c r="E301" t="s">
        <v>450</v>
      </c>
      <c r="F301" t="s">
        <v>180</v>
      </c>
      <c r="G301" t="s">
        <v>451</v>
      </c>
      <c r="H301" t="s">
        <v>182</v>
      </c>
      <c r="I301">
        <v>298.84800000000001</v>
      </c>
      <c r="J301">
        <v>0</v>
      </c>
      <c r="K301">
        <v>298.84800000000001</v>
      </c>
      <c r="O301">
        <f t="shared" si="266"/>
        <v>24147.84</v>
      </c>
      <c r="P301">
        <f t="shared" si="267"/>
        <v>0</v>
      </c>
      <c r="Q301">
        <f t="shared" si="268"/>
        <v>24147.84</v>
      </c>
      <c r="R301">
        <f t="shared" si="269"/>
        <v>11252.11</v>
      </c>
      <c r="S301">
        <f t="shared" si="270"/>
        <v>0</v>
      </c>
      <c r="T301">
        <f t="shared" si="271"/>
        <v>0</v>
      </c>
      <c r="U301">
        <f t="shared" si="272"/>
        <v>0</v>
      </c>
      <c r="V301">
        <f t="shared" si="273"/>
        <v>0</v>
      </c>
      <c r="W301">
        <f t="shared" si="274"/>
        <v>0</v>
      </c>
      <c r="X301">
        <f t="shared" si="275"/>
        <v>0</v>
      </c>
      <c r="Y301">
        <f t="shared" si="275"/>
        <v>0</v>
      </c>
      <c r="AA301">
        <v>42938047</v>
      </c>
      <c r="AB301">
        <f t="shared" si="276"/>
        <v>8.86</v>
      </c>
      <c r="AC301">
        <f t="shared" si="277"/>
        <v>0</v>
      </c>
      <c r="AD301">
        <f t="shared" si="278"/>
        <v>8.86</v>
      </c>
      <c r="AE301">
        <f t="shared" si="279"/>
        <v>1.48</v>
      </c>
      <c r="AF301">
        <f>ROUND((EV301),6)</f>
        <v>0</v>
      </c>
      <c r="AG301">
        <f t="shared" si="280"/>
        <v>0</v>
      </c>
      <c r="AH301">
        <f>(EW301)</f>
        <v>0</v>
      </c>
      <c r="AI301">
        <f t="shared" si="281"/>
        <v>0</v>
      </c>
      <c r="AJ301">
        <f t="shared" si="282"/>
        <v>0</v>
      </c>
      <c r="AK301">
        <v>8.86</v>
      </c>
      <c r="AL301">
        <v>0</v>
      </c>
      <c r="AM301">
        <v>8.86</v>
      </c>
      <c r="AN301">
        <v>1.48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73</v>
      </c>
      <c r="AU301">
        <v>41</v>
      </c>
      <c r="AV301">
        <v>1</v>
      </c>
      <c r="AW301">
        <v>1</v>
      </c>
      <c r="AZ301">
        <v>1</v>
      </c>
      <c r="BA301">
        <v>25.44</v>
      </c>
      <c r="BB301">
        <v>9.1199999999999992</v>
      </c>
      <c r="BC301">
        <v>1</v>
      </c>
      <c r="BD301" t="s">
        <v>3</v>
      </c>
      <c r="BE301" t="s">
        <v>3</v>
      </c>
      <c r="BF301" t="s">
        <v>3</v>
      </c>
      <c r="BG301" t="s">
        <v>3</v>
      </c>
      <c r="BH301">
        <v>0</v>
      </c>
      <c r="BI301">
        <v>1</v>
      </c>
      <c r="BJ301" t="s">
        <v>183</v>
      </c>
      <c r="BM301">
        <v>658</v>
      </c>
      <c r="BN301">
        <v>0</v>
      </c>
      <c r="BO301" t="s">
        <v>180</v>
      </c>
      <c r="BP301">
        <v>1</v>
      </c>
      <c r="BQ301">
        <v>60</v>
      </c>
      <c r="BR301">
        <v>0</v>
      </c>
      <c r="BS301">
        <v>25.44</v>
      </c>
      <c r="BT301">
        <v>1</v>
      </c>
      <c r="BU301">
        <v>1</v>
      </c>
      <c r="BV301">
        <v>1</v>
      </c>
      <c r="BW301">
        <v>1</v>
      </c>
      <c r="BX301">
        <v>1</v>
      </c>
      <c r="BY301" t="s">
        <v>3</v>
      </c>
      <c r="BZ301">
        <v>73</v>
      </c>
      <c r="CA301">
        <v>41</v>
      </c>
      <c r="CB301" t="s">
        <v>3</v>
      </c>
      <c r="CE301">
        <v>30</v>
      </c>
      <c r="CF301">
        <v>0</v>
      </c>
      <c r="CG301">
        <v>0</v>
      </c>
      <c r="CM301">
        <v>0</v>
      </c>
      <c r="CN301" t="s">
        <v>3</v>
      </c>
      <c r="CO301">
        <v>0</v>
      </c>
      <c r="CP301">
        <f t="shared" si="283"/>
        <v>24147.84</v>
      </c>
      <c r="CQ301">
        <f t="shared" si="284"/>
        <v>0</v>
      </c>
      <c r="CR301">
        <f t="shared" si="285"/>
        <v>80.8</v>
      </c>
      <c r="CS301">
        <f t="shared" si="286"/>
        <v>37.65</v>
      </c>
      <c r="CT301">
        <f t="shared" si="287"/>
        <v>0</v>
      </c>
      <c r="CU301">
        <f t="shared" si="288"/>
        <v>0</v>
      </c>
      <c r="CV301">
        <f t="shared" si="289"/>
        <v>0</v>
      </c>
      <c r="CW301">
        <f t="shared" si="290"/>
        <v>0</v>
      </c>
      <c r="CX301">
        <f t="shared" si="290"/>
        <v>0</v>
      </c>
      <c r="CY301">
        <f t="shared" si="291"/>
        <v>0</v>
      </c>
      <c r="CZ301">
        <f t="shared" si="292"/>
        <v>0</v>
      </c>
      <c r="DC301" t="s">
        <v>3</v>
      </c>
      <c r="DD301" t="s">
        <v>3</v>
      </c>
      <c r="DE301" t="s">
        <v>3</v>
      </c>
      <c r="DF301" t="s">
        <v>3</v>
      </c>
      <c r="DG301" t="s">
        <v>3</v>
      </c>
      <c r="DH301" t="s">
        <v>3</v>
      </c>
      <c r="DI301" t="s">
        <v>3</v>
      </c>
      <c r="DJ301" t="s">
        <v>3</v>
      </c>
      <c r="DK301" t="s">
        <v>3</v>
      </c>
      <c r="DL301" t="s">
        <v>3</v>
      </c>
      <c r="DM301" t="s">
        <v>3</v>
      </c>
      <c r="DN301">
        <v>91</v>
      </c>
      <c r="DO301">
        <v>70</v>
      </c>
      <c r="DP301">
        <v>1</v>
      </c>
      <c r="DQ301">
        <v>1</v>
      </c>
      <c r="DU301">
        <v>1013</v>
      </c>
      <c r="DV301" t="s">
        <v>182</v>
      </c>
      <c r="DW301" t="s">
        <v>182</v>
      </c>
      <c r="DX301">
        <v>1</v>
      </c>
      <c r="DZ301" t="s">
        <v>3</v>
      </c>
      <c r="EA301" t="s">
        <v>3</v>
      </c>
      <c r="EB301" t="s">
        <v>3</v>
      </c>
      <c r="EC301" t="s">
        <v>3</v>
      </c>
      <c r="EE301">
        <v>43088736</v>
      </c>
      <c r="EF301">
        <v>60</v>
      </c>
      <c r="EG301" t="s">
        <v>40</v>
      </c>
      <c r="EH301">
        <v>0</v>
      </c>
      <c r="EI301" t="s">
        <v>3</v>
      </c>
      <c r="EJ301">
        <v>1</v>
      </c>
      <c r="EK301">
        <v>658</v>
      </c>
      <c r="EL301" t="s">
        <v>184</v>
      </c>
      <c r="EM301" t="s">
        <v>185</v>
      </c>
      <c r="EO301" t="s">
        <v>3</v>
      </c>
      <c r="EQ301">
        <v>0</v>
      </c>
      <c r="ER301">
        <v>8.86</v>
      </c>
      <c r="ES301">
        <v>0</v>
      </c>
      <c r="ET301">
        <v>8.86</v>
      </c>
      <c r="EU301">
        <v>1.48</v>
      </c>
      <c r="EV301">
        <v>0</v>
      </c>
      <c r="EW301">
        <v>0</v>
      </c>
      <c r="EX301">
        <v>0</v>
      </c>
      <c r="EY301">
        <v>0</v>
      </c>
      <c r="FQ301">
        <v>0</v>
      </c>
      <c r="FR301">
        <f t="shared" si="293"/>
        <v>0</v>
      </c>
      <c r="FS301">
        <v>0</v>
      </c>
      <c r="FX301">
        <v>91</v>
      </c>
      <c r="FY301">
        <v>70</v>
      </c>
      <c r="GA301" t="s">
        <v>3</v>
      </c>
      <c r="GD301">
        <v>0</v>
      </c>
      <c r="GF301">
        <v>856507133</v>
      </c>
      <c r="GG301">
        <v>2</v>
      </c>
      <c r="GH301">
        <v>1</v>
      </c>
      <c r="GI301">
        <v>2</v>
      </c>
      <c r="GJ301">
        <v>0</v>
      </c>
      <c r="GK301">
        <f>ROUND(R301*(R12)/100,2)</f>
        <v>17665.810000000001</v>
      </c>
      <c r="GL301">
        <f t="shared" si="294"/>
        <v>0</v>
      </c>
      <c r="GM301">
        <f t="shared" si="295"/>
        <v>41813.65</v>
      </c>
      <c r="GN301">
        <f t="shared" si="296"/>
        <v>41813.65</v>
      </c>
      <c r="GO301">
        <f t="shared" si="297"/>
        <v>0</v>
      </c>
      <c r="GP301">
        <f t="shared" si="298"/>
        <v>0</v>
      </c>
      <c r="GR301">
        <v>0</v>
      </c>
      <c r="GS301">
        <v>3</v>
      </c>
      <c r="GT301">
        <v>0</v>
      </c>
      <c r="GU301" t="s">
        <v>3</v>
      </c>
      <c r="GV301">
        <f t="shared" si="299"/>
        <v>0</v>
      </c>
      <c r="GW301">
        <v>1</v>
      </c>
      <c r="GX301">
        <f t="shared" si="300"/>
        <v>0</v>
      </c>
      <c r="HA301">
        <v>0</v>
      </c>
      <c r="HB301">
        <v>0</v>
      </c>
      <c r="HC301">
        <f t="shared" si="301"/>
        <v>0</v>
      </c>
      <c r="HE301" t="s">
        <v>3</v>
      </c>
      <c r="HF301" t="s">
        <v>3</v>
      </c>
      <c r="HM301" t="s">
        <v>3</v>
      </c>
      <c r="IK301">
        <v>0</v>
      </c>
    </row>
    <row r="302" spans="1:245" x14ac:dyDescent="0.2">
      <c r="A302">
        <v>17</v>
      </c>
      <c r="B302">
        <v>1</v>
      </c>
      <c r="C302">
        <f>ROW(SmtRes!A211)</f>
        <v>211</v>
      </c>
      <c r="D302">
        <f>ROW(EtalonRes!A206)</f>
        <v>206</v>
      </c>
      <c r="E302" t="s">
        <v>452</v>
      </c>
      <c r="F302" t="s">
        <v>187</v>
      </c>
      <c r="G302" t="s">
        <v>188</v>
      </c>
      <c r="H302" t="s">
        <v>104</v>
      </c>
      <c r="I302">
        <v>298.84800000000001</v>
      </c>
      <c r="J302">
        <v>0</v>
      </c>
      <c r="K302">
        <v>298.84800000000001</v>
      </c>
      <c r="O302">
        <f t="shared" si="266"/>
        <v>135386.70000000001</v>
      </c>
      <c r="P302">
        <f t="shared" si="267"/>
        <v>0</v>
      </c>
      <c r="Q302">
        <f t="shared" si="268"/>
        <v>135386.70000000001</v>
      </c>
      <c r="R302">
        <f t="shared" si="269"/>
        <v>0</v>
      </c>
      <c r="S302">
        <f t="shared" si="270"/>
        <v>0</v>
      </c>
      <c r="T302">
        <f t="shared" si="271"/>
        <v>0</v>
      </c>
      <c r="U302">
        <f t="shared" si="272"/>
        <v>0</v>
      </c>
      <c r="V302">
        <f t="shared" si="273"/>
        <v>0</v>
      </c>
      <c r="W302">
        <f t="shared" si="274"/>
        <v>0</v>
      </c>
      <c r="X302">
        <f t="shared" si="275"/>
        <v>0</v>
      </c>
      <c r="Y302">
        <f t="shared" si="275"/>
        <v>0</v>
      </c>
      <c r="AA302">
        <v>42938047</v>
      </c>
      <c r="AB302">
        <f t="shared" si="276"/>
        <v>38.92</v>
      </c>
      <c r="AC302">
        <f t="shared" si="277"/>
        <v>0</v>
      </c>
      <c r="AD302">
        <f t="shared" si="278"/>
        <v>38.92</v>
      </c>
      <c r="AE302">
        <f t="shared" si="279"/>
        <v>0</v>
      </c>
      <c r="AF302">
        <f>ROUND((EV302),6)</f>
        <v>0</v>
      </c>
      <c r="AG302">
        <f t="shared" si="280"/>
        <v>0</v>
      </c>
      <c r="AH302">
        <f>(EW302)</f>
        <v>0</v>
      </c>
      <c r="AI302">
        <f t="shared" si="281"/>
        <v>0</v>
      </c>
      <c r="AJ302">
        <f t="shared" si="282"/>
        <v>0</v>
      </c>
      <c r="AK302">
        <v>38.92</v>
      </c>
      <c r="AL302">
        <v>0</v>
      </c>
      <c r="AM302">
        <v>38.92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93</v>
      </c>
      <c r="AU302">
        <v>64</v>
      </c>
      <c r="AV302">
        <v>1</v>
      </c>
      <c r="AW302">
        <v>1</v>
      </c>
      <c r="AZ302">
        <v>1</v>
      </c>
      <c r="BA302">
        <v>1</v>
      </c>
      <c r="BB302">
        <v>11.64</v>
      </c>
      <c r="BC302">
        <v>1</v>
      </c>
      <c r="BD302" t="s">
        <v>3</v>
      </c>
      <c r="BE302" t="s">
        <v>3</v>
      </c>
      <c r="BF302" t="s">
        <v>3</v>
      </c>
      <c r="BG302" t="s">
        <v>3</v>
      </c>
      <c r="BH302">
        <v>0</v>
      </c>
      <c r="BI302">
        <v>4</v>
      </c>
      <c r="BJ302" t="s">
        <v>189</v>
      </c>
      <c r="BM302">
        <v>1113</v>
      </c>
      <c r="BN302">
        <v>0</v>
      </c>
      <c r="BO302" t="s">
        <v>187</v>
      </c>
      <c r="BP302">
        <v>1</v>
      </c>
      <c r="BQ302">
        <v>150</v>
      </c>
      <c r="BR302">
        <v>0</v>
      </c>
      <c r="BS302">
        <v>1</v>
      </c>
      <c r="BT302">
        <v>1</v>
      </c>
      <c r="BU302">
        <v>1</v>
      </c>
      <c r="BV302">
        <v>1</v>
      </c>
      <c r="BW302">
        <v>1</v>
      </c>
      <c r="BX302">
        <v>1</v>
      </c>
      <c r="BY302" t="s">
        <v>3</v>
      </c>
      <c r="BZ302">
        <v>93</v>
      </c>
      <c r="CA302">
        <v>64</v>
      </c>
      <c r="CB302" t="s">
        <v>3</v>
      </c>
      <c r="CE302">
        <v>30</v>
      </c>
      <c r="CF302">
        <v>0</v>
      </c>
      <c r="CG302">
        <v>0</v>
      </c>
      <c r="CM302">
        <v>0</v>
      </c>
      <c r="CN302" t="s">
        <v>3</v>
      </c>
      <c r="CO302">
        <v>0</v>
      </c>
      <c r="CP302">
        <f t="shared" si="283"/>
        <v>135386.70000000001</v>
      </c>
      <c r="CQ302">
        <f t="shared" si="284"/>
        <v>0</v>
      </c>
      <c r="CR302">
        <f t="shared" si="285"/>
        <v>453.03</v>
      </c>
      <c r="CS302">
        <f t="shared" si="286"/>
        <v>0</v>
      </c>
      <c r="CT302">
        <f t="shared" si="287"/>
        <v>0</v>
      </c>
      <c r="CU302">
        <f t="shared" si="288"/>
        <v>0</v>
      </c>
      <c r="CV302">
        <f t="shared" si="289"/>
        <v>0</v>
      </c>
      <c r="CW302">
        <f t="shared" si="290"/>
        <v>0</v>
      </c>
      <c r="CX302">
        <f t="shared" si="290"/>
        <v>0</v>
      </c>
      <c r="CY302">
        <f t="shared" si="291"/>
        <v>0</v>
      </c>
      <c r="CZ302">
        <f t="shared" si="292"/>
        <v>0</v>
      </c>
      <c r="DC302" t="s">
        <v>3</v>
      </c>
      <c r="DD302" t="s">
        <v>3</v>
      </c>
      <c r="DE302" t="s">
        <v>3</v>
      </c>
      <c r="DF302" t="s">
        <v>3</v>
      </c>
      <c r="DG302" t="s">
        <v>3</v>
      </c>
      <c r="DH302" t="s">
        <v>3</v>
      </c>
      <c r="DI302" t="s">
        <v>3</v>
      </c>
      <c r="DJ302" t="s">
        <v>3</v>
      </c>
      <c r="DK302" t="s">
        <v>3</v>
      </c>
      <c r="DL302" t="s">
        <v>3</v>
      </c>
      <c r="DM302" t="s">
        <v>3</v>
      </c>
      <c r="DN302">
        <v>0</v>
      </c>
      <c r="DO302">
        <v>0</v>
      </c>
      <c r="DP302">
        <v>1</v>
      </c>
      <c r="DQ302">
        <v>1</v>
      </c>
      <c r="DU302">
        <v>1009</v>
      </c>
      <c r="DV302" t="s">
        <v>104</v>
      </c>
      <c r="DW302" t="s">
        <v>104</v>
      </c>
      <c r="DX302">
        <v>1000</v>
      </c>
      <c r="DZ302" t="s">
        <v>3</v>
      </c>
      <c r="EA302" t="s">
        <v>3</v>
      </c>
      <c r="EB302" t="s">
        <v>3</v>
      </c>
      <c r="EC302" t="s">
        <v>3</v>
      </c>
      <c r="EE302">
        <v>43089191</v>
      </c>
      <c r="EF302">
        <v>150</v>
      </c>
      <c r="EG302" t="s">
        <v>190</v>
      </c>
      <c r="EH302">
        <v>0</v>
      </c>
      <c r="EI302" t="s">
        <v>3</v>
      </c>
      <c r="EJ302">
        <v>4</v>
      </c>
      <c r="EK302">
        <v>1113</v>
      </c>
      <c r="EL302" t="s">
        <v>191</v>
      </c>
      <c r="EM302" t="s">
        <v>192</v>
      </c>
      <c r="EO302" t="s">
        <v>3</v>
      </c>
      <c r="EQ302">
        <v>0</v>
      </c>
      <c r="ER302">
        <v>38.92</v>
      </c>
      <c r="ES302">
        <v>0</v>
      </c>
      <c r="ET302">
        <v>38.92</v>
      </c>
      <c r="EU302">
        <v>0</v>
      </c>
      <c r="EV302">
        <v>0</v>
      </c>
      <c r="EW302">
        <v>0</v>
      </c>
      <c r="EX302">
        <v>0</v>
      </c>
      <c r="EY302">
        <v>0</v>
      </c>
      <c r="FQ302">
        <v>0</v>
      </c>
      <c r="FR302">
        <f t="shared" si="293"/>
        <v>0</v>
      </c>
      <c r="FS302">
        <v>0</v>
      </c>
      <c r="FX302">
        <v>0</v>
      </c>
      <c r="FY302">
        <v>0</v>
      </c>
      <c r="GA302" t="s">
        <v>3</v>
      </c>
      <c r="GD302">
        <v>0</v>
      </c>
      <c r="GF302">
        <v>733232356</v>
      </c>
      <c r="GG302">
        <v>2</v>
      </c>
      <c r="GH302">
        <v>1</v>
      </c>
      <c r="GI302">
        <v>2</v>
      </c>
      <c r="GJ302">
        <v>0</v>
      </c>
      <c r="GK302">
        <f>ROUND(R302*(R12)/100,2)</f>
        <v>0</v>
      </c>
      <c r="GL302">
        <f t="shared" si="294"/>
        <v>0</v>
      </c>
      <c r="GM302">
        <f t="shared" si="295"/>
        <v>135386.70000000001</v>
      </c>
      <c r="GN302">
        <f t="shared" si="296"/>
        <v>0</v>
      </c>
      <c r="GO302">
        <f t="shared" si="297"/>
        <v>0</v>
      </c>
      <c r="GP302">
        <f t="shared" si="298"/>
        <v>135386.70000000001</v>
      </c>
      <c r="GR302">
        <v>0</v>
      </c>
      <c r="GS302">
        <v>3</v>
      </c>
      <c r="GT302">
        <v>0</v>
      </c>
      <c r="GU302" t="s">
        <v>3</v>
      </c>
      <c r="GV302">
        <f t="shared" si="299"/>
        <v>0</v>
      </c>
      <c r="GW302">
        <v>1</v>
      </c>
      <c r="GX302">
        <f t="shared" si="300"/>
        <v>0</v>
      </c>
      <c r="HA302">
        <v>0</v>
      </c>
      <c r="HB302">
        <v>0</v>
      </c>
      <c r="HC302">
        <f t="shared" si="301"/>
        <v>0</v>
      </c>
      <c r="HE302" t="s">
        <v>3</v>
      </c>
      <c r="HF302" t="s">
        <v>3</v>
      </c>
      <c r="HM302" t="s">
        <v>3</v>
      </c>
      <c r="IK302">
        <v>0</v>
      </c>
    </row>
    <row r="303" spans="1:245" x14ac:dyDescent="0.2">
      <c r="A303">
        <v>17</v>
      </c>
      <c r="B303">
        <v>1</v>
      </c>
      <c r="C303">
        <f>ROW(SmtRes!A212)</f>
        <v>212</v>
      </c>
      <c r="D303">
        <f>ROW(EtalonRes!A207)</f>
        <v>207</v>
      </c>
      <c r="E303" t="s">
        <v>453</v>
      </c>
      <c r="F303" t="s">
        <v>319</v>
      </c>
      <c r="G303" t="s">
        <v>320</v>
      </c>
      <c r="H303" t="s">
        <v>182</v>
      </c>
      <c r="I303">
        <v>298.84800000000001</v>
      </c>
      <c r="J303">
        <v>0</v>
      </c>
      <c r="K303">
        <v>298.84800000000001</v>
      </c>
      <c r="O303">
        <f t="shared" si="266"/>
        <v>49503.360000000001</v>
      </c>
      <c r="P303">
        <f t="shared" si="267"/>
        <v>0</v>
      </c>
      <c r="Q303">
        <f t="shared" si="268"/>
        <v>49503.360000000001</v>
      </c>
      <c r="R303">
        <f t="shared" si="269"/>
        <v>0</v>
      </c>
      <c r="S303">
        <f t="shared" si="270"/>
        <v>0</v>
      </c>
      <c r="T303">
        <f t="shared" si="271"/>
        <v>0</v>
      </c>
      <c r="U303">
        <f t="shared" si="272"/>
        <v>0</v>
      </c>
      <c r="V303">
        <f t="shared" si="273"/>
        <v>0</v>
      </c>
      <c r="W303">
        <f t="shared" si="274"/>
        <v>0</v>
      </c>
      <c r="X303">
        <f t="shared" si="275"/>
        <v>0</v>
      </c>
      <c r="Y303">
        <f t="shared" si="275"/>
        <v>0</v>
      </c>
      <c r="AA303">
        <v>42938047</v>
      </c>
      <c r="AB303">
        <f t="shared" si="276"/>
        <v>21.71</v>
      </c>
      <c r="AC303">
        <f t="shared" si="277"/>
        <v>0</v>
      </c>
      <c r="AD303">
        <f t="shared" si="278"/>
        <v>21.71</v>
      </c>
      <c r="AE303">
        <f t="shared" si="279"/>
        <v>0</v>
      </c>
      <c r="AF303">
        <f>ROUND((EV303),6)</f>
        <v>0</v>
      </c>
      <c r="AG303">
        <f t="shared" si="280"/>
        <v>0</v>
      </c>
      <c r="AH303">
        <f>(EW303)</f>
        <v>0</v>
      </c>
      <c r="AI303">
        <f t="shared" si="281"/>
        <v>0</v>
      </c>
      <c r="AJ303">
        <f t="shared" si="282"/>
        <v>0</v>
      </c>
      <c r="AK303">
        <v>21.71</v>
      </c>
      <c r="AL303">
        <v>0</v>
      </c>
      <c r="AM303">
        <v>21.71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93</v>
      </c>
      <c r="AU303">
        <v>64</v>
      </c>
      <c r="AV303">
        <v>1</v>
      </c>
      <c r="AW303">
        <v>1</v>
      </c>
      <c r="AZ303">
        <v>1</v>
      </c>
      <c r="BA303">
        <v>1</v>
      </c>
      <c r="BB303">
        <v>7.63</v>
      </c>
      <c r="BC303">
        <v>1</v>
      </c>
      <c r="BD303" t="s">
        <v>3</v>
      </c>
      <c r="BE303" t="s">
        <v>3</v>
      </c>
      <c r="BF303" t="s">
        <v>3</v>
      </c>
      <c r="BG303" t="s">
        <v>3</v>
      </c>
      <c r="BH303">
        <v>0</v>
      </c>
      <c r="BI303">
        <v>4</v>
      </c>
      <c r="BJ303" t="s">
        <v>321</v>
      </c>
      <c r="BM303">
        <v>1113</v>
      </c>
      <c r="BN303">
        <v>0</v>
      </c>
      <c r="BO303" t="s">
        <v>319</v>
      </c>
      <c r="BP303">
        <v>1</v>
      </c>
      <c r="BQ303">
        <v>150</v>
      </c>
      <c r="BR303">
        <v>0</v>
      </c>
      <c r="BS303">
        <v>1</v>
      </c>
      <c r="BT303">
        <v>1</v>
      </c>
      <c r="BU303">
        <v>1</v>
      </c>
      <c r="BV303">
        <v>1</v>
      </c>
      <c r="BW303">
        <v>1</v>
      </c>
      <c r="BX303">
        <v>1</v>
      </c>
      <c r="BY303" t="s">
        <v>3</v>
      </c>
      <c r="BZ303">
        <v>93</v>
      </c>
      <c r="CA303">
        <v>64</v>
      </c>
      <c r="CB303" t="s">
        <v>3</v>
      </c>
      <c r="CE303">
        <v>30</v>
      </c>
      <c r="CF303">
        <v>0</v>
      </c>
      <c r="CG303">
        <v>0</v>
      </c>
      <c r="CM303">
        <v>0</v>
      </c>
      <c r="CN303" t="s">
        <v>3</v>
      </c>
      <c r="CO303">
        <v>0</v>
      </c>
      <c r="CP303">
        <f t="shared" si="283"/>
        <v>49503.360000000001</v>
      </c>
      <c r="CQ303">
        <f t="shared" si="284"/>
        <v>0</v>
      </c>
      <c r="CR303">
        <f t="shared" si="285"/>
        <v>165.65</v>
      </c>
      <c r="CS303">
        <f t="shared" si="286"/>
        <v>0</v>
      </c>
      <c r="CT303">
        <f t="shared" si="287"/>
        <v>0</v>
      </c>
      <c r="CU303">
        <f t="shared" si="288"/>
        <v>0</v>
      </c>
      <c r="CV303">
        <f t="shared" si="289"/>
        <v>0</v>
      </c>
      <c r="CW303">
        <f t="shared" si="290"/>
        <v>0</v>
      </c>
      <c r="CX303">
        <f t="shared" si="290"/>
        <v>0</v>
      </c>
      <c r="CY303">
        <f t="shared" si="291"/>
        <v>0</v>
      </c>
      <c r="CZ303">
        <f t="shared" si="292"/>
        <v>0</v>
      </c>
      <c r="DC303" t="s">
        <v>3</v>
      </c>
      <c r="DD303" t="s">
        <v>3</v>
      </c>
      <c r="DE303" t="s">
        <v>3</v>
      </c>
      <c r="DF303" t="s">
        <v>3</v>
      </c>
      <c r="DG303" t="s">
        <v>3</v>
      </c>
      <c r="DH303" t="s">
        <v>3</v>
      </c>
      <c r="DI303" t="s">
        <v>3</v>
      </c>
      <c r="DJ303" t="s">
        <v>3</v>
      </c>
      <c r="DK303" t="s">
        <v>3</v>
      </c>
      <c r="DL303" t="s">
        <v>3</v>
      </c>
      <c r="DM303" t="s">
        <v>3</v>
      </c>
      <c r="DN303">
        <v>0</v>
      </c>
      <c r="DO303">
        <v>0</v>
      </c>
      <c r="DP303">
        <v>1</v>
      </c>
      <c r="DQ303">
        <v>1</v>
      </c>
      <c r="DU303">
        <v>1013</v>
      </c>
      <c r="DV303" t="s">
        <v>182</v>
      </c>
      <c r="DW303" t="s">
        <v>182</v>
      </c>
      <c r="DX303">
        <v>1</v>
      </c>
      <c r="DZ303" t="s">
        <v>3</v>
      </c>
      <c r="EA303" t="s">
        <v>3</v>
      </c>
      <c r="EB303" t="s">
        <v>3</v>
      </c>
      <c r="EC303" t="s">
        <v>3</v>
      </c>
      <c r="EE303">
        <v>43089191</v>
      </c>
      <c r="EF303">
        <v>150</v>
      </c>
      <c r="EG303" t="s">
        <v>190</v>
      </c>
      <c r="EH303">
        <v>0</v>
      </c>
      <c r="EI303" t="s">
        <v>3</v>
      </c>
      <c r="EJ303">
        <v>4</v>
      </c>
      <c r="EK303">
        <v>1113</v>
      </c>
      <c r="EL303" t="s">
        <v>191</v>
      </c>
      <c r="EM303" t="s">
        <v>192</v>
      </c>
      <c r="EO303" t="s">
        <v>3</v>
      </c>
      <c r="EQ303">
        <v>0</v>
      </c>
      <c r="ER303">
        <v>21.71</v>
      </c>
      <c r="ES303">
        <v>0</v>
      </c>
      <c r="ET303">
        <v>21.71</v>
      </c>
      <c r="EU303">
        <v>0</v>
      </c>
      <c r="EV303">
        <v>0</v>
      </c>
      <c r="EW303">
        <v>0</v>
      </c>
      <c r="EX303">
        <v>0</v>
      </c>
      <c r="EY303">
        <v>0</v>
      </c>
      <c r="FQ303">
        <v>0</v>
      </c>
      <c r="FR303">
        <f t="shared" si="293"/>
        <v>0</v>
      </c>
      <c r="FS303">
        <v>0</v>
      </c>
      <c r="FX303">
        <v>0</v>
      </c>
      <c r="FY303">
        <v>0</v>
      </c>
      <c r="GA303" t="s">
        <v>3</v>
      </c>
      <c r="GD303">
        <v>0</v>
      </c>
      <c r="GF303">
        <v>1080444953</v>
      </c>
      <c r="GG303">
        <v>2</v>
      </c>
      <c r="GH303">
        <v>1</v>
      </c>
      <c r="GI303">
        <v>2</v>
      </c>
      <c r="GJ303">
        <v>0</v>
      </c>
      <c r="GK303">
        <f>ROUND(R303*(R12)/100,2)</f>
        <v>0</v>
      </c>
      <c r="GL303">
        <f t="shared" si="294"/>
        <v>0</v>
      </c>
      <c r="GM303">
        <f t="shared" si="295"/>
        <v>49503.360000000001</v>
      </c>
      <c r="GN303">
        <f t="shared" si="296"/>
        <v>0</v>
      </c>
      <c r="GO303">
        <f t="shared" si="297"/>
        <v>0</v>
      </c>
      <c r="GP303">
        <f t="shared" si="298"/>
        <v>49503.360000000001</v>
      </c>
      <c r="GR303">
        <v>0</v>
      </c>
      <c r="GS303">
        <v>3</v>
      </c>
      <c r="GT303">
        <v>0</v>
      </c>
      <c r="GU303" t="s">
        <v>3</v>
      </c>
      <c r="GV303">
        <f t="shared" si="299"/>
        <v>0</v>
      </c>
      <c r="GW303">
        <v>1</v>
      </c>
      <c r="GX303">
        <f t="shared" si="300"/>
        <v>0</v>
      </c>
      <c r="HA303">
        <v>0</v>
      </c>
      <c r="HB303">
        <v>0</v>
      </c>
      <c r="HC303">
        <f t="shared" si="301"/>
        <v>0</v>
      </c>
      <c r="HE303" t="s">
        <v>3</v>
      </c>
      <c r="HF303" t="s">
        <v>3</v>
      </c>
      <c r="HM303" t="s">
        <v>3</v>
      </c>
      <c r="IK303">
        <v>0</v>
      </c>
    </row>
    <row r="305" spans="1:206" x14ac:dyDescent="0.2">
      <c r="A305" s="2">
        <v>51</v>
      </c>
      <c r="B305" s="2">
        <f>B294</f>
        <v>1</v>
      </c>
      <c r="C305" s="2">
        <f>A294</f>
        <v>4</v>
      </c>
      <c r="D305" s="2">
        <f>ROW(A294)</f>
        <v>294</v>
      </c>
      <c r="E305" s="2"/>
      <c r="F305" s="2" t="str">
        <f>IF(F294&lt;&gt;"",F294,"")</f>
        <v>Новый раздел</v>
      </c>
      <c r="G305" s="2" t="str">
        <f>IF(G294&lt;&gt;"",G294,"")</f>
        <v>Демонтаж подпорной стены из бутового камня 118 кв.м (каменная кладка и ж/б стена)</v>
      </c>
      <c r="H305" s="2">
        <v>0</v>
      </c>
      <c r="I305" s="2"/>
      <c r="J305" s="2"/>
      <c r="K305" s="2"/>
      <c r="L305" s="2"/>
      <c r="M305" s="2"/>
      <c r="N305" s="2"/>
      <c r="O305" s="2">
        <f t="shared" ref="O305:T305" si="302">ROUND(AB305,2)</f>
        <v>469100.57</v>
      </c>
      <c r="P305" s="2">
        <f t="shared" si="302"/>
        <v>0</v>
      </c>
      <c r="Q305" s="2">
        <f t="shared" si="302"/>
        <v>278774.01</v>
      </c>
      <c r="R305" s="2">
        <f t="shared" si="302"/>
        <v>56298.720000000001</v>
      </c>
      <c r="S305" s="2">
        <f t="shared" si="302"/>
        <v>190326.56</v>
      </c>
      <c r="T305" s="2">
        <f t="shared" si="302"/>
        <v>0</v>
      </c>
      <c r="U305" s="2">
        <f>AH305</f>
        <v>753.31080000000009</v>
      </c>
      <c r="V305" s="2">
        <f>AI305</f>
        <v>0</v>
      </c>
      <c r="W305" s="2">
        <f>ROUND(AJ305,2)</f>
        <v>0</v>
      </c>
      <c r="X305" s="2">
        <f>ROUND(AK305,2)</f>
        <v>129422.06</v>
      </c>
      <c r="Y305" s="2">
        <f>ROUND(AL305,2)</f>
        <v>78033.89</v>
      </c>
      <c r="Z305" s="2"/>
      <c r="AA305" s="2"/>
      <c r="AB305" s="2">
        <f>ROUND(SUMIF(AA298:AA303,"=42938047",O298:O303),2)</f>
        <v>469100.57</v>
      </c>
      <c r="AC305" s="2">
        <f>ROUND(SUMIF(AA298:AA303,"=42938047",P298:P303),2)</f>
        <v>0</v>
      </c>
      <c r="AD305" s="2">
        <f>ROUND(SUMIF(AA298:AA303,"=42938047",Q298:Q303),2)</f>
        <v>278774.01</v>
      </c>
      <c r="AE305" s="2">
        <f>ROUND(SUMIF(AA298:AA303,"=42938047",R298:R303),2)</f>
        <v>56298.720000000001</v>
      </c>
      <c r="AF305" s="2">
        <f>ROUND(SUMIF(AA298:AA303,"=42938047",S298:S303),2)</f>
        <v>190326.56</v>
      </c>
      <c r="AG305" s="2">
        <f>ROUND(SUMIF(AA298:AA303,"=42938047",T298:T303),2)</f>
        <v>0</v>
      </c>
      <c r="AH305" s="2">
        <f>SUMIF(AA298:AA303,"=42938047",U298:U303)</f>
        <v>753.31080000000009</v>
      </c>
      <c r="AI305" s="2">
        <f>SUMIF(AA298:AA303,"=42938047",V298:V303)</f>
        <v>0</v>
      </c>
      <c r="AJ305" s="2">
        <f>ROUND(SUMIF(AA298:AA303,"=42938047",W298:W303),2)</f>
        <v>0</v>
      </c>
      <c r="AK305" s="2">
        <f>ROUND(SUMIF(AA298:AA303,"=42938047",X298:X303),2)</f>
        <v>129422.06</v>
      </c>
      <c r="AL305" s="2">
        <f>ROUND(SUMIF(AA298:AA303,"=42938047",Y298:Y303),2)</f>
        <v>78033.89</v>
      </c>
      <c r="AM305" s="2"/>
      <c r="AN305" s="2"/>
      <c r="AO305" s="2">
        <f t="shared" ref="AO305:BD305" si="303">ROUND(BX305,2)</f>
        <v>0</v>
      </c>
      <c r="AP305" s="2">
        <f t="shared" si="303"/>
        <v>0</v>
      </c>
      <c r="AQ305" s="2">
        <f t="shared" si="303"/>
        <v>0</v>
      </c>
      <c r="AR305" s="2">
        <f t="shared" si="303"/>
        <v>764945.5</v>
      </c>
      <c r="AS305" s="2">
        <f t="shared" si="303"/>
        <v>580055.43999999994</v>
      </c>
      <c r="AT305" s="2">
        <f t="shared" si="303"/>
        <v>0</v>
      </c>
      <c r="AU305" s="2">
        <f t="shared" si="303"/>
        <v>184890.06</v>
      </c>
      <c r="AV305" s="2">
        <f t="shared" si="303"/>
        <v>0</v>
      </c>
      <c r="AW305" s="2">
        <f t="shared" si="303"/>
        <v>0</v>
      </c>
      <c r="AX305" s="2">
        <f t="shared" si="303"/>
        <v>0</v>
      </c>
      <c r="AY305" s="2">
        <f t="shared" si="303"/>
        <v>0</v>
      </c>
      <c r="AZ305" s="2">
        <f t="shared" si="303"/>
        <v>0</v>
      </c>
      <c r="BA305" s="2">
        <f t="shared" si="303"/>
        <v>0</v>
      </c>
      <c r="BB305" s="2">
        <f t="shared" si="303"/>
        <v>0</v>
      </c>
      <c r="BC305" s="2">
        <f t="shared" si="303"/>
        <v>0</v>
      </c>
      <c r="BD305" s="2">
        <f t="shared" si="303"/>
        <v>0</v>
      </c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>
        <f>ROUND(SUMIF(AA298:AA303,"=42938047",FQ298:FQ303),2)</f>
        <v>0</v>
      </c>
      <c r="BY305" s="2">
        <f>ROUND(SUMIF(AA298:AA303,"=42938047",FR298:FR303),2)</f>
        <v>0</v>
      </c>
      <c r="BZ305" s="2">
        <f>ROUND(SUMIF(AA298:AA303,"=42938047",GL298:GL303),2)</f>
        <v>0</v>
      </c>
      <c r="CA305" s="2">
        <f>ROUND(SUMIF(AA298:AA303,"=42938047",GM298:GM303),2)</f>
        <v>764945.5</v>
      </c>
      <c r="CB305" s="2">
        <f>ROUND(SUMIF(AA298:AA303,"=42938047",GN298:GN303),2)</f>
        <v>580055.43999999994</v>
      </c>
      <c r="CC305" s="2">
        <f>ROUND(SUMIF(AA298:AA303,"=42938047",GO298:GO303),2)</f>
        <v>0</v>
      </c>
      <c r="CD305" s="2">
        <f>ROUND(SUMIF(AA298:AA303,"=42938047",GP298:GP303),2)</f>
        <v>184890.06</v>
      </c>
      <c r="CE305" s="2">
        <f>AC305-BX305</f>
        <v>0</v>
      </c>
      <c r="CF305" s="2">
        <f>AC305-BY305</f>
        <v>0</v>
      </c>
      <c r="CG305" s="2">
        <f>BX305-BZ305</f>
        <v>0</v>
      </c>
      <c r="CH305" s="2">
        <f>AC305-BX305-BY305+BZ305</f>
        <v>0</v>
      </c>
      <c r="CI305" s="2">
        <f>BY305-BZ305</f>
        <v>0</v>
      </c>
      <c r="CJ305" s="2">
        <f>ROUND(SUMIF(AA298:AA303,"=42938047",GX298:GX303),2)</f>
        <v>0</v>
      </c>
      <c r="CK305" s="2">
        <f>ROUND(SUMIF(AA298:AA303,"=42938047",GY298:GY303),2)</f>
        <v>0</v>
      </c>
      <c r="CL305" s="2">
        <f>ROUND(SUMIF(AA298:AA303,"=42938047",GZ298:GZ303),2)</f>
        <v>0</v>
      </c>
      <c r="CM305" s="2">
        <f>ROUND(SUMIF(AA298:AA303,"=42938047",HD298:HD303),2)</f>
        <v>0</v>
      </c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3"/>
      <c r="DH305" s="3"/>
      <c r="DI305" s="3"/>
      <c r="DJ305" s="3"/>
      <c r="DK305" s="3"/>
      <c r="DL305" s="3"/>
      <c r="DM305" s="3"/>
      <c r="DN305" s="3"/>
      <c r="DO305" s="3"/>
      <c r="DP305" s="3"/>
      <c r="DQ305" s="3"/>
      <c r="DR305" s="3"/>
      <c r="DS305" s="3"/>
      <c r="DT305" s="3"/>
      <c r="DU305" s="3"/>
      <c r="DV305" s="3"/>
      <c r="DW305" s="3"/>
      <c r="DX305" s="3"/>
      <c r="DY305" s="3"/>
      <c r="DZ305" s="3"/>
      <c r="EA305" s="3"/>
      <c r="EB305" s="3"/>
      <c r="EC305" s="3"/>
      <c r="ED305" s="3"/>
      <c r="EE305" s="3"/>
      <c r="EF305" s="3"/>
      <c r="EG305" s="3"/>
      <c r="EH305" s="3"/>
      <c r="EI305" s="3"/>
      <c r="EJ305" s="3"/>
      <c r="EK305" s="3"/>
      <c r="EL305" s="3"/>
      <c r="EM305" s="3"/>
      <c r="EN305" s="3"/>
      <c r="EO305" s="3"/>
      <c r="EP305" s="3"/>
      <c r="EQ305" s="3"/>
      <c r="ER305" s="3"/>
      <c r="ES305" s="3"/>
      <c r="ET305" s="3"/>
      <c r="EU305" s="3"/>
      <c r="EV305" s="3"/>
      <c r="EW305" s="3"/>
      <c r="EX305" s="3"/>
      <c r="EY305" s="3"/>
      <c r="EZ305" s="3"/>
      <c r="FA305" s="3"/>
      <c r="FB305" s="3"/>
      <c r="FC305" s="3"/>
      <c r="FD305" s="3"/>
      <c r="FE305" s="3"/>
      <c r="FF305" s="3"/>
      <c r="FG305" s="3"/>
      <c r="FH305" s="3"/>
      <c r="FI305" s="3"/>
      <c r="FJ305" s="3"/>
      <c r="FK305" s="3"/>
      <c r="FL305" s="3"/>
      <c r="FM305" s="3"/>
      <c r="FN305" s="3"/>
      <c r="FO305" s="3"/>
      <c r="FP305" s="3"/>
      <c r="FQ305" s="3"/>
      <c r="FR305" s="3"/>
      <c r="FS305" s="3"/>
      <c r="FT305" s="3"/>
      <c r="FU305" s="3"/>
      <c r="FV305" s="3"/>
      <c r="FW305" s="3"/>
      <c r="FX305" s="3"/>
      <c r="FY305" s="3"/>
      <c r="FZ305" s="3"/>
      <c r="GA305" s="3"/>
      <c r="GB305" s="3"/>
      <c r="GC305" s="3"/>
      <c r="GD305" s="3"/>
      <c r="GE305" s="3"/>
      <c r="GF305" s="3"/>
      <c r="GG305" s="3"/>
      <c r="GH305" s="3"/>
      <c r="GI305" s="3"/>
      <c r="GJ305" s="3"/>
      <c r="GK305" s="3"/>
      <c r="GL305" s="3"/>
      <c r="GM305" s="3"/>
      <c r="GN305" s="3"/>
      <c r="GO305" s="3"/>
      <c r="GP305" s="3"/>
      <c r="GQ305" s="3"/>
      <c r="GR305" s="3"/>
      <c r="GS305" s="3"/>
      <c r="GT305" s="3"/>
      <c r="GU305" s="3"/>
      <c r="GV305" s="3"/>
      <c r="GW305" s="3"/>
      <c r="GX305" s="3">
        <v>0</v>
      </c>
    </row>
    <row r="307" spans="1:206" x14ac:dyDescent="0.2">
      <c r="A307" s="4">
        <v>50</v>
      </c>
      <c r="B307" s="4">
        <v>0</v>
      </c>
      <c r="C307" s="4">
        <v>0</v>
      </c>
      <c r="D307" s="4">
        <v>1</v>
      </c>
      <c r="E307" s="4">
        <v>201</v>
      </c>
      <c r="F307" s="4">
        <f>ROUND(Source!O305,O307)</f>
        <v>469100.57</v>
      </c>
      <c r="G307" s="4" t="s">
        <v>213</v>
      </c>
      <c r="H307" s="4" t="s">
        <v>214</v>
      </c>
      <c r="I307" s="4"/>
      <c r="J307" s="4"/>
      <c r="K307" s="4">
        <v>201</v>
      </c>
      <c r="L307" s="4">
        <v>1</v>
      </c>
      <c r="M307" s="4">
        <v>3</v>
      </c>
      <c r="N307" s="4" t="s">
        <v>3</v>
      </c>
      <c r="O307" s="4">
        <v>2</v>
      </c>
      <c r="P307" s="4"/>
      <c r="Q307" s="4"/>
      <c r="R307" s="4"/>
      <c r="S307" s="4"/>
      <c r="T307" s="4"/>
      <c r="U307" s="4"/>
      <c r="V307" s="4"/>
      <c r="W307" s="4"/>
    </row>
    <row r="308" spans="1:206" x14ac:dyDescent="0.2">
      <c r="A308" s="4">
        <v>50</v>
      </c>
      <c r="B308" s="4">
        <v>0</v>
      </c>
      <c r="C308" s="4">
        <v>0</v>
      </c>
      <c r="D308" s="4">
        <v>1</v>
      </c>
      <c r="E308" s="4">
        <v>202</v>
      </c>
      <c r="F308" s="4">
        <f>ROUND(Source!P305,O308)</f>
        <v>0</v>
      </c>
      <c r="G308" s="4" t="s">
        <v>215</v>
      </c>
      <c r="H308" s="4" t="s">
        <v>216</v>
      </c>
      <c r="I308" s="4"/>
      <c r="J308" s="4"/>
      <c r="K308" s="4">
        <v>202</v>
      </c>
      <c r="L308" s="4">
        <v>2</v>
      </c>
      <c r="M308" s="4">
        <v>3</v>
      </c>
      <c r="N308" s="4" t="s">
        <v>3</v>
      </c>
      <c r="O308" s="4">
        <v>2</v>
      </c>
      <c r="P308" s="4"/>
      <c r="Q308" s="4"/>
      <c r="R308" s="4"/>
      <c r="S308" s="4"/>
      <c r="T308" s="4"/>
      <c r="U308" s="4"/>
      <c r="V308" s="4"/>
      <c r="W308" s="4"/>
    </row>
    <row r="309" spans="1:206" x14ac:dyDescent="0.2">
      <c r="A309" s="4">
        <v>50</v>
      </c>
      <c r="B309" s="4">
        <v>0</v>
      </c>
      <c r="C309" s="4">
        <v>0</v>
      </c>
      <c r="D309" s="4">
        <v>1</v>
      </c>
      <c r="E309" s="4">
        <v>222</v>
      </c>
      <c r="F309" s="4">
        <f>ROUND(Source!AO305,O309)</f>
        <v>0</v>
      </c>
      <c r="G309" s="4" t="s">
        <v>217</v>
      </c>
      <c r="H309" s="4" t="s">
        <v>218</v>
      </c>
      <c r="I309" s="4"/>
      <c r="J309" s="4"/>
      <c r="K309" s="4">
        <v>222</v>
      </c>
      <c r="L309" s="4">
        <v>3</v>
      </c>
      <c r="M309" s="4">
        <v>3</v>
      </c>
      <c r="N309" s="4" t="s">
        <v>3</v>
      </c>
      <c r="O309" s="4">
        <v>2</v>
      </c>
      <c r="P309" s="4"/>
      <c r="Q309" s="4"/>
      <c r="R309" s="4"/>
      <c r="S309" s="4"/>
      <c r="T309" s="4"/>
      <c r="U309" s="4"/>
      <c r="V309" s="4"/>
      <c r="W309" s="4"/>
    </row>
    <row r="310" spans="1:206" x14ac:dyDescent="0.2">
      <c r="A310" s="4">
        <v>50</v>
      </c>
      <c r="B310" s="4">
        <v>0</v>
      </c>
      <c r="C310" s="4">
        <v>0</v>
      </c>
      <c r="D310" s="4">
        <v>1</v>
      </c>
      <c r="E310" s="4">
        <v>225</v>
      </c>
      <c r="F310" s="4">
        <f>ROUND(Source!AV305,O310)</f>
        <v>0</v>
      </c>
      <c r="G310" s="4" t="s">
        <v>219</v>
      </c>
      <c r="H310" s="4" t="s">
        <v>220</v>
      </c>
      <c r="I310" s="4"/>
      <c r="J310" s="4"/>
      <c r="K310" s="4">
        <v>225</v>
      </c>
      <c r="L310" s="4">
        <v>4</v>
      </c>
      <c r="M310" s="4">
        <v>3</v>
      </c>
      <c r="N310" s="4" t="s">
        <v>3</v>
      </c>
      <c r="O310" s="4">
        <v>2</v>
      </c>
      <c r="P310" s="4"/>
      <c r="Q310" s="4"/>
      <c r="R310" s="4"/>
      <c r="S310" s="4"/>
      <c r="T310" s="4"/>
      <c r="U310" s="4"/>
      <c r="V310" s="4"/>
      <c r="W310" s="4"/>
    </row>
    <row r="311" spans="1:206" x14ac:dyDescent="0.2">
      <c r="A311" s="4">
        <v>50</v>
      </c>
      <c r="B311" s="4">
        <v>0</v>
      </c>
      <c r="C311" s="4">
        <v>0</v>
      </c>
      <c r="D311" s="4">
        <v>1</v>
      </c>
      <c r="E311" s="4">
        <v>226</v>
      </c>
      <c r="F311" s="4">
        <f>ROUND(Source!AW305,O311)</f>
        <v>0</v>
      </c>
      <c r="G311" s="4" t="s">
        <v>221</v>
      </c>
      <c r="H311" s="4" t="s">
        <v>222</v>
      </c>
      <c r="I311" s="4"/>
      <c r="J311" s="4"/>
      <c r="K311" s="4">
        <v>226</v>
      </c>
      <c r="L311" s="4">
        <v>5</v>
      </c>
      <c r="M311" s="4">
        <v>3</v>
      </c>
      <c r="N311" s="4" t="s">
        <v>3</v>
      </c>
      <c r="O311" s="4">
        <v>2</v>
      </c>
      <c r="P311" s="4"/>
      <c r="Q311" s="4"/>
      <c r="R311" s="4"/>
      <c r="S311" s="4"/>
      <c r="T311" s="4"/>
      <c r="U311" s="4"/>
      <c r="V311" s="4"/>
      <c r="W311" s="4"/>
    </row>
    <row r="312" spans="1:206" x14ac:dyDescent="0.2">
      <c r="A312" s="4">
        <v>50</v>
      </c>
      <c r="B312" s="4">
        <v>0</v>
      </c>
      <c r="C312" s="4">
        <v>0</v>
      </c>
      <c r="D312" s="4">
        <v>1</v>
      </c>
      <c r="E312" s="4">
        <v>227</v>
      </c>
      <c r="F312" s="4">
        <f>ROUND(Source!AX305,O312)</f>
        <v>0</v>
      </c>
      <c r="G312" s="4" t="s">
        <v>223</v>
      </c>
      <c r="H312" s="4" t="s">
        <v>224</v>
      </c>
      <c r="I312" s="4"/>
      <c r="J312" s="4"/>
      <c r="K312" s="4">
        <v>227</v>
      </c>
      <c r="L312" s="4">
        <v>6</v>
      </c>
      <c r="M312" s="4">
        <v>3</v>
      </c>
      <c r="N312" s="4" t="s">
        <v>3</v>
      </c>
      <c r="O312" s="4">
        <v>2</v>
      </c>
      <c r="P312" s="4"/>
      <c r="Q312" s="4"/>
      <c r="R312" s="4"/>
      <c r="S312" s="4"/>
      <c r="T312" s="4"/>
      <c r="U312" s="4"/>
      <c r="V312" s="4"/>
      <c r="W312" s="4"/>
    </row>
    <row r="313" spans="1:206" x14ac:dyDescent="0.2">
      <c r="A313" s="4">
        <v>50</v>
      </c>
      <c r="B313" s="4">
        <v>0</v>
      </c>
      <c r="C313" s="4">
        <v>0</v>
      </c>
      <c r="D313" s="4">
        <v>1</v>
      </c>
      <c r="E313" s="4">
        <v>228</v>
      </c>
      <c r="F313" s="4">
        <f>ROUND(Source!AY305,O313)</f>
        <v>0</v>
      </c>
      <c r="G313" s="4" t="s">
        <v>225</v>
      </c>
      <c r="H313" s="4" t="s">
        <v>226</v>
      </c>
      <c r="I313" s="4"/>
      <c r="J313" s="4"/>
      <c r="K313" s="4">
        <v>228</v>
      </c>
      <c r="L313" s="4">
        <v>7</v>
      </c>
      <c r="M313" s="4">
        <v>3</v>
      </c>
      <c r="N313" s="4" t="s">
        <v>3</v>
      </c>
      <c r="O313" s="4">
        <v>2</v>
      </c>
      <c r="P313" s="4"/>
      <c r="Q313" s="4"/>
      <c r="R313" s="4"/>
      <c r="S313" s="4"/>
      <c r="T313" s="4"/>
      <c r="U313" s="4"/>
      <c r="V313" s="4"/>
      <c r="W313" s="4"/>
    </row>
    <row r="314" spans="1:206" x14ac:dyDescent="0.2">
      <c r="A314" s="4">
        <v>50</v>
      </c>
      <c r="B314" s="4">
        <v>0</v>
      </c>
      <c r="C314" s="4">
        <v>0</v>
      </c>
      <c r="D314" s="4">
        <v>1</v>
      </c>
      <c r="E314" s="4">
        <v>216</v>
      </c>
      <c r="F314" s="4">
        <f>ROUND(Source!AP305,O314)</f>
        <v>0</v>
      </c>
      <c r="G314" s="4" t="s">
        <v>227</v>
      </c>
      <c r="H314" s="4" t="s">
        <v>228</v>
      </c>
      <c r="I314" s="4"/>
      <c r="J314" s="4"/>
      <c r="K314" s="4">
        <v>216</v>
      </c>
      <c r="L314" s="4">
        <v>8</v>
      </c>
      <c r="M314" s="4">
        <v>3</v>
      </c>
      <c r="N314" s="4" t="s">
        <v>3</v>
      </c>
      <c r="O314" s="4">
        <v>2</v>
      </c>
      <c r="P314" s="4"/>
      <c r="Q314" s="4"/>
      <c r="R314" s="4"/>
      <c r="S314" s="4"/>
      <c r="T314" s="4"/>
      <c r="U314" s="4"/>
      <c r="V314" s="4"/>
      <c r="W314" s="4"/>
    </row>
    <row r="315" spans="1:206" x14ac:dyDescent="0.2">
      <c r="A315" s="4">
        <v>50</v>
      </c>
      <c r="B315" s="4">
        <v>0</v>
      </c>
      <c r="C315" s="4">
        <v>0</v>
      </c>
      <c r="D315" s="4">
        <v>1</v>
      </c>
      <c r="E315" s="4">
        <v>223</v>
      </c>
      <c r="F315" s="4">
        <f>ROUND(Source!AQ305,O315)</f>
        <v>0</v>
      </c>
      <c r="G315" s="4" t="s">
        <v>229</v>
      </c>
      <c r="H315" s="4" t="s">
        <v>230</v>
      </c>
      <c r="I315" s="4"/>
      <c r="J315" s="4"/>
      <c r="K315" s="4">
        <v>223</v>
      </c>
      <c r="L315" s="4">
        <v>9</v>
      </c>
      <c r="M315" s="4">
        <v>3</v>
      </c>
      <c r="N315" s="4" t="s">
        <v>3</v>
      </c>
      <c r="O315" s="4">
        <v>2</v>
      </c>
      <c r="P315" s="4"/>
      <c r="Q315" s="4"/>
      <c r="R315" s="4"/>
      <c r="S315" s="4"/>
      <c r="T315" s="4"/>
      <c r="U315" s="4"/>
      <c r="V315" s="4"/>
      <c r="W315" s="4"/>
    </row>
    <row r="316" spans="1:206" x14ac:dyDescent="0.2">
      <c r="A316" s="4">
        <v>50</v>
      </c>
      <c r="B316" s="4">
        <v>0</v>
      </c>
      <c r="C316" s="4">
        <v>0</v>
      </c>
      <c r="D316" s="4">
        <v>1</v>
      </c>
      <c r="E316" s="4">
        <v>229</v>
      </c>
      <c r="F316" s="4">
        <f>ROUND(Source!AZ305,O316)</f>
        <v>0</v>
      </c>
      <c r="G316" s="4" t="s">
        <v>231</v>
      </c>
      <c r="H316" s="4" t="s">
        <v>232</v>
      </c>
      <c r="I316" s="4"/>
      <c r="J316" s="4"/>
      <c r="K316" s="4">
        <v>229</v>
      </c>
      <c r="L316" s="4">
        <v>10</v>
      </c>
      <c r="M316" s="4">
        <v>3</v>
      </c>
      <c r="N316" s="4" t="s">
        <v>3</v>
      </c>
      <c r="O316" s="4">
        <v>2</v>
      </c>
      <c r="P316" s="4"/>
      <c r="Q316" s="4"/>
      <c r="R316" s="4"/>
      <c r="S316" s="4"/>
      <c r="T316" s="4"/>
      <c r="U316" s="4"/>
      <c r="V316" s="4"/>
      <c r="W316" s="4"/>
    </row>
    <row r="317" spans="1:206" x14ac:dyDescent="0.2">
      <c r="A317" s="4">
        <v>50</v>
      </c>
      <c r="B317" s="4">
        <v>0</v>
      </c>
      <c r="C317" s="4">
        <v>0</v>
      </c>
      <c r="D317" s="4">
        <v>1</v>
      </c>
      <c r="E317" s="4">
        <v>203</v>
      </c>
      <c r="F317" s="4">
        <f>ROUND(Source!Q305,O317)</f>
        <v>278774.01</v>
      </c>
      <c r="G317" s="4" t="s">
        <v>233</v>
      </c>
      <c r="H317" s="4" t="s">
        <v>234</v>
      </c>
      <c r="I317" s="4"/>
      <c r="J317" s="4"/>
      <c r="K317" s="4">
        <v>203</v>
      </c>
      <c r="L317" s="4">
        <v>11</v>
      </c>
      <c r="M317" s="4">
        <v>3</v>
      </c>
      <c r="N317" s="4" t="s">
        <v>3</v>
      </c>
      <c r="O317" s="4">
        <v>2</v>
      </c>
      <c r="P317" s="4"/>
      <c r="Q317" s="4"/>
      <c r="R317" s="4"/>
      <c r="S317" s="4"/>
      <c r="T317" s="4"/>
      <c r="U317" s="4"/>
      <c r="V317" s="4"/>
      <c r="W317" s="4"/>
    </row>
    <row r="318" spans="1:206" x14ac:dyDescent="0.2">
      <c r="A318" s="4">
        <v>50</v>
      </c>
      <c r="B318" s="4">
        <v>0</v>
      </c>
      <c r="C318" s="4">
        <v>0</v>
      </c>
      <c r="D318" s="4">
        <v>1</v>
      </c>
      <c r="E318" s="4">
        <v>231</v>
      </c>
      <c r="F318" s="4">
        <f>ROUND(Source!BB305,O318)</f>
        <v>0</v>
      </c>
      <c r="G318" s="4" t="s">
        <v>235</v>
      </c>
      <c r="H318" s="4" t="s">
        <v>236</v>
      </c>
      <c r="I318" s="4"/>
      <c r="J318" s="4"/>
      <c r="K318" s="4">
        <v>231</v>
      </c>
      <c r="L318" s="4">
        <v>12</v>
      </c>
      <c r="M318" s="4">
        <v>3</v>
      </c>
      <c r="N318" s="4" t="s">
        <v>3</v>
      </c>
      <c r="O318" s="4">
        <v>2</v>
      </c>
      <c r="P318" s="4"/>
      <c r="Q318" s="4"/>
      <c r="R318" s="4"/>
      <c r="S318" s="4"/>
      <c r="T318" s="4"/>
      <c r="U318" s="4"/>
      <c r="V318" s="4"/>
      <c r="W318" s="4"/>
    </row>
    <row r="319" spans="1:206" x14ac:dyDescent="0.2">
      <c r="A319" s="4">
        <v>50</v>
      </c>
      <c r="B319" s="4">
        <v>0</v>
      </c>
      <c r="C319" s="4">
        <v>0</v>
      </c>
      <c r="D319" s="4">
        <v>1</v>
      </c>
      <c r="E319" s="4">
        <v>204</v>
      </c>
      <c r="F319" s="4">
        <f>ROUND(Source!R305,O319)</f>
        <v>56298.720000000001</v>
      </c>
      <c r="G319" s="4" t="s">
        <v>237</v>
      </c>
      <c r="H319" s="4" t="s">
        <v>238</v>
      </c>
      <c r="I319" s="4"/>
      <c r="J319" s="4"/>
      <c r="K319" s="4">
        <v>204</v>
      </c>
      <c r="L319" s="4">
        <v>13</v>
      </c>
      <c r="M319" s="4">
        <v>3</v>
      </c>
      <c r="N319" s="4" t="s">
        <v>3</v>
      </c>
      <c r="O319" s="4">
        <v>2</v>
      </c>
      <c r="P319" s="4"/>
      <c r="Q319" s="4"/>
      <c r="R319" s="4"/>
      <c r="S319" s="4"/>
      <c r="T319" s="4"/>
      <c r="U319" s="4"/>
      <c r="V319" s="4"/>
      <c r="W319" s="4"/>
    </row>
    <row r="320" spans="1:206" x14ac:dyDescent="0.2">
      <c r="A320" s="4">
        <v>50</v>
      </c>
      <c r="B320" s="4">
        <v>0</v>
      </c>
      <c r="C320" s="4">
        <v>0</v>
      </c>
      <c r="D320" s="4">
        <v>1</v>
      </c>
      <c r="E320" s="4">
        <v>205</v>
      </c>
      <c r="F320" s="4">
        <f>ROUND(Source!S305,O320)</f>
        <v>190326.56</v>
      </c>
      <c r="G320" s="4" t="s">
        <v>239</v>
      </c>
      <c r="H320" s="4" t="s">
        <v>240</v>
      </c>
      <c r="I320" s="4"/>
      <c r="J320" s="4"/>
      <c r="K320" s="4">
        <v>205</v>
      </c>
      <c r="L320" s="4">
        <v>14</v>
      </c>
      <c r="M320" s="4">
        <v>3</v>
      </c>
      <c r="N320" s="4" t="s">
        <v>3</v>
      </c>
      <c r="O320" s="4">
        <v>2</v>
      </c>
      <c r="P320" s="4"/>
      <c r="Q320" s="4"/>
      <c r="R320" s="4"/>
      <c r="S320" s="4"/>
      <c r="T320" s="4"/>
      <c r="U320" s="4"/>
      <c r="V320" s="4"/>
      <c r="W320" s="4"/>
    </row>
    <row r="321" spans="1:88" x14ac:dyDescent="0.2">
      <c r="A321" s="4">
        <v>50</v>
      </c>
      <c r="B321" s="4">
        <v>0</v>
      </c>
      <c r="C321" s="4">
        <v>0</v>
      </c>
      <c r="D321" s="4">
        <v>1</v>
      </c>
      <c r="E321" s="4">
        <v>232</v>
      </c>
      <c r="F321" s="4">
        <f>ROUND(Source!BC305,O321)</f>
        <v>0</v>
      </c>
      <c r="G321" s="4" t="s">
        <v>241</v>
      </c>
      <c r="H321" s="4" t="s">
        <v>242</v>
      </c>
      <c r="I321" s="4"/>
      <c r="J321" s="4"/>
      <c r="K321" s="4">
        <v>232</v>
      </c>
      <c r="L321" s="4">
        <v>15</v>
      </c>
      <c r="M321" s="4">
        <v>3</v>
      </c>
      <c r="N321" s="4" t="s">
        <v>3</v>
      </c>
      <c r="O321" s="4">
        <v>2</v>
      </c>
      <c r="P321" s="4"/>
      <c r="Q321" s="4"/>
      <c r="R321" s="4"/>
      <c r="S321" s="4"/>
      <c r="T321" s="4"/>
      <c r="U321" s="4"/>
      <c r="V321" s="4"/>
      <c r="W321" s="4"/>
    </row>
    <row r="322" spans="1:88" x14ac:dyDescent="0.2">
      <c r="A322" s="4">
        <v>50</v>
      </c>
      <c r="B322" s="4">
        <v>0</v>
      </c>
      <c r="C322" s="4">
        <v>0</v>
      </c>
      <c r="D322" s="4">
        <v>1</v>
      </c>
      <c r="E322" s="4">
        <v>214</v>
      </c>
      <c r="F322" s="4">
        <f>ROUND(Source!AS305,O322)</f>
        <v>580055.43999999994</v>
      </c>
      <c r="G322" s="4" t="s">
        <v>243</v>
      </c>
      <c r="H322" s="4" t="s">
        <v>244</v>
      </c>
      <c r="I322" s="4"/>
      <c r="J322" s="4"/>
      <c r="K322" s="4">
        <v>214</v>
      </c>
      <c r="L322" s="4">
        <v>16</v>
      </c>
      <c r="M322" s="4">
        <v>3</v>
      </c>
      <c r="N322" s="4" t="s">
        <v>3</v>
      </c>
      <c r="O322" s="4">
        <v>2</v>
      </c>
      <c r="P322" s="4"/>
      <c r="Q322" s="4"/>
      <c r="R322" s="4"/>
      <c r="S322" s="4"/>
      <c r="T322" s="4"/>
      <c r="U322" s="4"/>
      <c r="V322" s="4"/>
      <c r="W322" s="4"/>
    </row>
    <row r="323" spans="1:88" x14ac:dyDescent="0.2">
      <c r="A323" s="4">
        <v>50</v>
      </c>
      <c r="B323" s="4">
        <v>0</v>
      </c>
      <c r="C323" s="4">
        <v>0</v>
      </c>
      <c r="D323" s="4">
        <v>1</v>
      </c>
      <c r="E323" s="4">
        <v>215</v>
      </c>
      <c r="F323" s="4">
        <f>ROUND(Source!AT305,O323)</f>
        <v>0</v>
      </c>
      <c r="G323" s="4" t="s">
        <v>245</v>
      </c>
      <c r="H323" s="4" t="s">
        <v>246</v>
      </c>
      <c r="I323" s="4"/>
      <c r="J323" s="4"/>
      <c r="K323" s="4">
        <v>215</v>
      </c>
      <c r="L323" s="4">
        <v>17</v>
      </c>
      <c r="M323" s="4">
        <v>3</v>
      </c>
      <c r="N323" s="4" t="s">
        <v>3</v>
      </c>
      <c r="O323" s="4">
        <v>2</v>
      </c>
      <c r="P323" s="4"/>
      <c r="Q323" s="4"/>
      <c r="R323" s="4"/>
      <c r="S323" s="4"/>
      <c r="T323" s="4"/>
      <c r="U323" s="4"/>
      <c r="V323" s="4"/>
      <c r="W323" s="4"/>
    </row>
    <row r="324" spans="1:88" x14ac:dyDescent="0.2">
      <c r="A324" s="4">
        <v>50</v>
      </c>
      <c r="B324" s="4">
        <v>0</v>
      </c>
      <c r="C324" s="4">
        <v>0</v>
      </c>
      <c r="D324" s="4">
        <v>1</v>
      </c>
      <c r="E324" s="4">
        <v>217</v>
      </c>
      <c r="F324" s="4">
        <f>ROUND(Source!AU305,O324)</f>
        <v>184890.06</v>
      </c>
      <c r="G324" s="4" t="s">
        <v>247</v>
      </c>
      <c r="H324" s="4" t="s">
        <v>248</v>
      </c>
      <c r="I324" s="4"/>
      <c r="J324" s="4"/>
      <c r="K324" s="4">
        <v>217</v>
      </c>
      <c r="L324" s="4">
        <v>18</v>
      </c>
      <c r="M324" s="4">
        <v>3</v>
      </c>
      <c r="N324" s="4" t="s">
        <v>3</v>
      </c>
      <c r="O324" s="4">
        <v>2</v>
      </c>
      <c r="P324" s="4"/>
      <c r="Q324" s="4"/>
      <c r="R324" s="4"/>
      <c r="S324" s="4"/>
      <c r="T324" s="4"/>
      <c r="U324" s="4"/>
      <c r="V324" s="4"/>
      <c r="W324" s="4"/>
    </row>
    <row r="325" spans="1:88" x14ac:dyDescent="0.2">
      <c r="A325" s="4">
        <v>50</v>
      </c>
      <c r="B325" s="4">
        <v>0</v>
      </c>
      <c r="C325" s="4">
        <v>0</v>
      </c>
      <c r="D325" s="4">
        <v>1</v>
      </c>
      <c r="E325" s="4">
        <v>230</v>
      </c>
      <c r="F325" s="4">
        <f>ROUND(Source!BA305,O325)</f>
        <v>0</v>
      </c>
      <c r="G325" s="4" t="s">
        <v>249</v>
      </c>
      <c r="H325" s="4" t="s">
        <v>250</v>
      </c>
      <c r="I325" s="4"/>
      <c r="J325" s="4"/>
      <c r="K325" s="4">
        <v>230</v>
      </c>
      <c r="L325" s="4">
        <v>19</v>
      </c>
      <c r="M325" s="4">
        <v>3</v>
      </c>
      <c r="N325" s="4" t="s">
        <v>3</v>
      </c>
      <c r="O325" s="4">
        <v>2</v>
      </c>
      <c r="P325" s="4"/>
      <c r="Q325" s="4"/>
      <c r="R325" s="4"/>
      <c r="S325" s="4"/>
      <c r="T325" s="4"/>
      <c r="U325" s="4"/>
      <c r="V325" s="4"/>
      <c r="W325" s="4"/>
    </row>
    <row r="326" spans="1:88" x14ac:dyDescent="0.2">
      <c r="A326" s="4">
        <v>50</v>
      </c>
      <c r="B326" s="4">
        <v>0</v>
      </c>
      <c r="C326" s="4">
        <v>0</v>
      </c>
      <c r="D326" s="4">
        <v>1</v>
      </c>
      <c r="E326" s="4">
        <v>206</v>
      </c>
      <c r="F326" s="4">
        <f>ROUND(Source!T305,O326)</f>
        <v>0</v>
      </c>
      <c r="G326" s="4" t="s">
        <v>251</v>
      </c>
      <c r="H326" s="4" t="s">
        <v>252</v>
      </c>
      <c r="I326" s="4"/>
      <c r="J326" s="4"/>
      <c r="K326" s="4">
        <v>206</v>
      </c>
      <c r="L326" s="4">
        <v>20</v>
      </c>
      <c r="M326" s="4">
        <v>3</v>
      </c>
      <c r="N326" s="4" t="s">
        <v>3</v>
      </c>
      <c r="O326" s="4">
        <v>2</v>
      </c>
      <c r="P326" s="4"/>
      <c r="Q326" s="4"/>
      <c r="R326" s="4"/>
      <c r="S326" s="4"/>
      <c r="T326" s="4"/>
      <c r="U326" s="4"/>
      <c r="V326" s="4"/>
      <c r="W326" s="4"/>
    </row>
    <row r="327" spans="1:88" x14ac:dyDescent="0.2">
      <c r="A327" s="4">
        <v>50</v>
      </c>
      <c r="B327" s="4">
        <v>0</v>
      </c>
      <c r="C327" s="4">
        <v>0</v>
      </c>
      <c r="D327" s="4">
        <v>1</v>
      </c>
      <c r="E327" s="4">
        <v>207</v>
      </c>
      <c r="F327" s="4">
        <f>Source!U305</f>
        <v>753.31080000000009</v>
      </c>
      <c r="G327" s="4" t="s">
        <v>253</v>
      </c>
      <c r="H327" s="4" t="s">
        <v>254</v>
      </c>
      <c r="I327" s="4"/>
      <c r="J327" s="4"/>
      <c r="K327" s="4">
        <v>207</v>
      </c>
      <c r="L327" s="4">
        <v>21</v>
      </c>
      <c r="M327" s="4">
        <v>3</v>
      </c>
      <c r="N327" s="4" t="s">
        <v>3</v>
      </c>
      <c r="O327" s="4">
        <v>-1</v>
      </c>
      <c r="P327" s="4"/>
      <c r="Q327" s="4"/>
      <c r="R327" s="4"/>
      <c r="S327" s="4"/>
      <c r="T327" s="4"/>
      <c r="U327" s="4"/>
      <c r="V327" s="4"/>
      <c r="W327" s="4"/>
    </row>
    <row r="328" spans="1:88" x14ac:dyDescent="0.2">
      <c r="A328" s="4">
        <v>50</v>
      </c>
      <c r="B328" s="4">
        <v>0</v>
      </c>
      <c r="C328" s="4">
        <v>0</v>
      </c>
      <c r="D328" s="4">
        <v>1</v>
      </c>
      <c r="E328" s="4">
        <v>208</v>
      </c>
      <c r="F328" s="4">
        <f>Source!V305</f>
        <v>0</v>
      </c>
      <c r="G328" s="4" t="s">
        <v>255</v>
      </c>
      <c r="H328" s="4" t="s">
        <v>256</v>
      </c>
      <c r="I328" s="4"/>
      <c r="J328" s="4"/>
      <c r="K328" s="4">
        <v>208</v>
      </c>
      <c r="L328" s="4">
        <v>22</v>
      </c>
      <c r="M328" s="4">
        <v>3</v>
      </c>
      <c r="N328" s="4" t="s">
        <v>3</v>
      </c>
      <c r="O328" s="4">
        <v>-1</v>
      </c>
      <c r="P328" s="4"/>
      <c r="Q328" s="4"/>
      <c r="R328" s="4"/>
      <c r="S328" s="4"/>
      <c r="T328" s="4"/>
      <c r="U328" s="4"/>
      <c r="V328" s="4"/>
      <c r="W328" s="4"/>
    </row>
    <row r="329" spans="1:88" x14ac:dyDescent="0.2">
      <c r="A329" s="4">
        <v>50</v>
      </c>
      <c r="B329" s="4">
        <v>0</v>
      </c>
      <c r="C329" s="4">
        <v>0</v>
      </c>
      <c r="D329" s="4">
        <v>1</v>
      </c>
      <c r="E329" s="4">
        <v>209</v>
      </c>
      <c r="F329" s="4">
        <f>ROUND(Source!W305,O329)</f>
        <v>0</v>
      </c>
      <c r="G329" s="4" t="s">
        <v>257</v>
      </c>
      <c r="H329" s="4" t="s">
        <v>258</v>
      </c>
      <c r="I329" s="4"/>
      <c r="J329" s="4"/>
      <c r="K329" s="4">
        <v>209</v>
      </c>
      <c r="L329" s="4">
        <v>23</v>
      </c>
      <c r="M329" s="4">
        <v>3</v>
      </c>
      <c r="N329" s="4" t="s">
        <v>3</v>
      </c>
      <c r="O329" s="4">
        <v>2</v>
      </c>
      <c r="P329" s="4"/>
      <c r="Q329" s="4"/>
      <c r="R329" s="4"/>
      <c r="S329" s="4"/>
      <c r="T329" s="4"/>
      <c r="U329" s="4"/>
      <c r="V329" s="4"/>
      <c r="W329" s="4"/>
    </row>
    <row r="330" spans="1:88" x14ac:dyDescent="0.2">
      <c r="A330" s="4">
        <v>50</v>
      </c>
      <c r="B330" s="4">
        <v>0</v>
      </c>
      <c r="C330" s="4">
        <v>0</v>
      </c>
      <c r="D330" s="4">
        <v>1</v>
      </c>
      <c r="E330" s="4">
        <v>233</v>
      </c>
      <c r="F330" s="4">
        <f>ROUND(Source!BD305,O330)</f>
        <v>0</v>
      </c>
      <c r="G330" s="4" t="s">
        <v>259</v>
      </c>
      <c r="H330" s="4" t="s">
        <v>260</v>
      </c>
      <c r="I330" s="4"/>
      <c r="J330" s="4"/>
      <c r="K330" s="4">
        <v>233</v>
      </c>
      <c r="L330" s="4">
        <v>24</v>
      </c>
      <c r="M330" s="4">
        <v>3</v>
      </c>
      <c r="N330" s="4" t="s">
        <v>3</v>
      </c>
      <c r="O330" s="4">
        <v>2</v>
      </c>
      <c r="P330" s="4"/>
      <c r="Q330" s="4"/>
      <c r="R330" s="4"/>
      <c r="S330" s="4"/>
      <c r="T330" s="4"/>
      <c r="U330" s="4"/>
      <c r="V330" s="4"/>
      <c r="W330" s="4"/>
    </row>
    <row r="331" spans="1:88" x14ac:dyDescent="0.2">
      <c r="A331" s="4">
        <v>50</v>
      </c>
      <c r="B331" s="4">
        <v>0</v>
      </c>
      <c r="C331" s="4">
        <v>0</v>
      </c>
      <c r="D331" s="4">
        <v>1</v>
      </c>
      <c r="E331" s="4">
        <v>210</v>
      </c>
      <c r="F331" s="4">
        <f>ROUND(Source!X305,O331)</f>
        <v>129422.06</v>
      </c>
      <c r="G331" s="4" t="s">
        <v>261</v>
      </c>
      <c r="H331" s="4" t="s">
        <v>262</v>
      </c>
      <c r="I331" s="4"/>
      <c r="J331" s="4"/>
      <c r="K331" s="4">
        <v>210</v>
      </c>
      <c r="L331" s="4">
        <v>25</v>
      </c>
      <c r="M331" s="4">
        <v>3</v>
      </c>
      <c r="N331" s="4" t="s">
        <v>3</v>
      </c>
      <c r="O331" s="4">
        <v>2</v>
      </c>
      <c r="P331" s="4"/>
      <c r="Q331" s="4"/>
      <c r="R331" s="4"/>
      <c r="S331" s="4"/>
      <c r="T331" s="4"/>
      <c r="U331" s="4"/>
      <c r="V331" s="4"/>
      <c r="W331" s="4"/>
    </row>
    <row r="332" spans="1:88" x14ac:dyDescent="0.2">
      <c r="A332" s="4">
        <v>50</v>
      </c>
      <c r="B332" s="4">
        <v>0</v>
      </c>
      <c r="C332" s="4">
        <v>0</v>
      </c>
      <c r="D332" s="4">
        <v>1</v>
      </c>
      <c r="E332" s="4">
        <v>211</v>
      </c>
      <c r="F332" s="4">
        <f>ROUND(Source!Y305,O332)</f>
        <v>78033.89</v>
      </c>
      <c r="G332" s="4" t="s">
        <v>263</v>
      </c>
      <c r="H332" s="4" t="s">
        <v>264</v>
      </c>
      <c r="I332" s="4"/>
      <c r="J332" s="4"/>
      <c r="K332" s="4">
        <v>211</v>
      </c>
      <c r="L332" s="4">
        <v>26</v>
      </c>
      <c r="M332" s="4">
        <v>3</v>
      </c>
      <c r="N332" s="4" t="s">
        <v>3</v>
      </c>
      <c r="O332" s="4">
        <v>2</v>
      </c>
      <c r="P332" s="4"/>
      <c r="Q332" s="4"/>
      <c r="R332" s="4"/>
      <c r="S332" s="4"/>
      <c r="T332" s="4"/>
      <c r="U332" s="4"/>
      <c r="V332" s="4"/>
      <c r="W332" s="4"/>
    </row>
    <row r="333" spans="1:88" x14ac:dyDescent="0.2">
      <c r="A333" s="4">
        <v>50</v>
      </c>
      <c r="B333" s="4">
        <v>0</v>
      </c>
      <c r="C333" s="4">
        <v>0</v>
      </c>
      <c r="D333" s="4">
        <v>1</v>
      </c>
      <c r="E333" s="4">
        <v>224</v>
      </c>
      <c r="F333" s="4">
        <f>ROUND(Source!AR305,O333)</f>
        <v>764945.5</v>
      </c>
      <c r="G333" s="4" t="s">
        <v>265</v>
      </c>
      <c r="H333" s="4" t="s">
        <v>266</v>
      </c>
      <c r="I333" s="4"/>
      <c r="J333" s="4"/>
      <c r="K333" s="4">
        <v>224</v>
      </c>
      <c r="L333" s="4">
        <v>27</v>
      </c>
      <c r="M333" s="4">
        <v>3</v>
      </c>
      <c r="N333" s="4" t="s">
        <v>3</v>
      </c>
      <c r="O333" s="4">
        <v>2</v>
      </c>
      <c r="P333" s="4"/>
      <c r="Q333" s="4"/>
      <c r="R333" s="4"/>
      <c r="S333" s="4"/>
      <c r="T333" s="4"/>
      <c r="U333" s="4"/>
      <c r="V333" s="4"/>
      <c r="W333" s="4"/>
    </row>
    <row r="335" spans="1:88" x14ac:dyDescent="0.2">
      <c r="A335" s="1">
        <v>4</v>
      </c>
      <c r="B335" s="1">
        <v>1</v>
      </c>
      <c r="C335" s="1"/>
      <c r="D335" s="1">
        <f>ROW(A348)</f>
        <v>348</v>
      </c>
      <c r="E335" s="1"/>
      <c r="F335" s="1" t="s">
        <v>13</v>
      </c>
      <c r="G335" s="1" t="s">
        <v>454</v>
      </c>
      <c r="H335" s="1" t="s">
        <v>3</v>
      </c>
      <c r="I335" s="1">
        <v>0</v>
      </c>
      <c r="J335" s="1"/>
      <c r="K335" s="1">
        <v>-1</v>
      </c>
      <c r="L335" s="1"/>
      <c r="M335" s="1" t="s">
        <v>3</v>
      </c>
      <c r="N335" s="1"/>
      <c r="O335" s="1"/>
      <c r="P335" s="1"/>
      <c r="Q335" s="1"/>
      <c r="R335" s="1"/>
      <c r="S335" s="1">
        <v>0</v>
      </c>
      <c r="T335" s="1"/>
      <c r="U335" s="1" t="s">
        <v>3</v>
      </c>
      <c r="V335" s="1">
        <v>0</v>
      </c>
      <c r="W335" s="1"/>
      <c r="X335" s="1"/>
      <c r="Y335" s="1"/>
      <c r="Z335" s="1"/>
      <c r="AA335" s="1"/>
      <c r="AB335" s="1" t="s">
        <v>3</v>
      </c>
      <c r="AC335" s="1" t="s">
        <v>3</v>
      </c>
      <c r="AD335" s="1" t="s">
        <v>3</v>
      </c>
      <c r="AE335" s="1" t="s">
        <v>3</v>
      </c>
      <c r="AF335" s="1" t="s">
        <v>3</v>
      </c>
      <c r="AG335" s="1" t="s">
        <v>3</v>
      </c>
      <c r="AH335" s="1"/>
      <c r="AI335" s="1"/>
      <c r="AJ335" s="1"/>
      <c r="AK335" s="1"/>
      <c r="AL335" s="1"/>
      <c r="AM335" s="1"/>
      <c r="AN335" s="1"/>
      <c r="AO335" s="1"/>
      <c r="AP335" s="1" t="s">
        <v>3</v>
      </c>
      <c r="AQ335" s="1" t="s">
        <v>3</v>
      </c>
      <c r="AR335" s="1" t="s">
        <v>3</v>
      </c>
      <c r="AS335" s="1"/>
      <c r="AT335" s="1"/>
      <c r="AU335" s="1"/>
      <c r="AV335" s="1"/>
      <c r="AW335" s="1"/>
      <c r="AX335" s="1"/>
      <c r="AY335" s="1"/>
      <c r="AZ335" s="1" t="s">
        <v>3</v>
      </c>
      <c r="BA335" s="1"/>
      <c r="BB335" s="1" t="s">
        <v>3</v>
      </c>
      <c r="BC335" s="1" t="s">
        <v>3</v>
      </c>
      <c r="BD335" s="1" t="s">
        <v>3</v>
      </c>
      <c r="BE335" s="1" t="s">
        <v>3</v>
      </c>
      <c r="BF335" s="1" t="s">
        <v>3</v>
      </c>
      <c r="BG335" s="1" t="s">
        <v>3</v>
      </c>
      <c r="BH335" s="1" t="s">
        <v>3</v>
      </c>
      <c r="BI335" s="1" t="s">
        <v>3</v>
      </c>
      <c r="BJ335" s="1" t="s">
        <v>3</v>
      </c>
      <c r="BK335" s="1" t="s">
        <v>3</v>
      </c>
      <c r="BL335" s="1" t="s">
        <v>3</v>
      </c>
      <c r="BM335" s="1" t="s">
        <v>3</v>
      </c>
      <c r="BN335" s="1" t="s">
        <v>3</v>
      </c>
      <c r="BO335" s="1" t="s">
        <v>3</v>
      </c>
      <c r="BP335" s="1" t="s">
        <v>3</v>
      </c>
      <c r="BQ335" s="1"/>
      <c r="BR335" s="1"/>
      <c r="BS335" s="1"/>
      <c r="BT335" s="1"/>
      <c r="BU335" s="1"/>
      <c r="BV335" s="1"/>
      <c r="BW335" s="1"/>
      <c r="BX335" s="1">
        <v>0</v>
      </c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>
        <v>0</v>
      </c>
    </row>
    <row r="337" spans="1:245" x14ac:dyDescent="0.2">
      <c r="A337" s="2">
        <v>52</v>
      </c>
      <c r="B337" s="2">
        <f t="shared" ref="B337:G337" si="304">B348</f>
        <v>1</v>
      </c>
      <c r="C337" s="2">
        <f t="shared" si="304"/>
        <v>4</v>
      </c>
      <c r="D337" s="2">
        <f t="shared" si="304"/>
        <v>335</v>
      </c>
      <c r="E337" s="2">
        <f t="shared" si="304"/>
        <v>0</v>
      </c>
      <c r="F337" s="2" t="str">
        <f t="shared" si="304"/>
        <v>Новый раздел</v>
      </c>
      <c r="G337" s="2" t="str">
        <f t="shared" si="304"/>
        <v>Ремонт бетонных конструкций</v>
      </c>
      <c r="H337" s="2"/>
      <c r="I337" s="2"/>
      <c r="J337" s="2"/>
      <c r="K337" s="2"/>
      <c r="L337" s="2"/>
      <c r="M337" s="2"/>
      <c r="N337" s="2"/>
      <c r="O337" s="2">
        <f t="shared" ref="O337:AT337" si="305">O348</f>
        <v>119358.61</v>
      </c>
      <c r="P337" s="2">
        <f t="shared" si="305"/>
        <v>93319.18</v>
      </c>
      <c r="Q337" s="2">
        <f t="shared" si="305"/>
        <v>1110.78</v>
      </c>
      <c r="R337" s="2">
        <f t="shared" si="305"/>
        <v>624.54999999999995</v>
      </c>
      <c r="S337" s="2">
        <f t="shared" si="305"/>
        <v>24928.65</v>
      </c>
      <c r="T337" s="2">
        <f t="shared" si="305"/>
        <v>0</v>
      </c>
      <c r="U337" s="2">
        <f t="shared" si="305"/>
        <v>85.884299999999996</v>
      </c>
      <c r="V337" s="2">
        <f t="shared" si="305"/>
        <v>0</v>
      </c>
      <c r="W337" s="2">
        <f t="shared" si="305"/>
        <v>0</v>
      </c>
      <c r="X337" s="2">
        <f t="shared" si="305"/>
        <v>19667.45</v>
      </c>
      <c r="Y337" s="2">
        <f t="shared" si="305"/>
        <v>10220.75</v>
      </c>
      <c r="Z337" s="2">
        <f t="shared" si="305"/>
        <v>0</v>
      </c>
      <c r="AA337" s="2">
        <f t="shared" si="305"/>
        <v>0</v>
      </c>
      <c r="AB337" s="2">
        <f t="shared" si="305"/>
        <v>119358.61</v>
      </c>
      <c r="AC337" s="2">
        <f t="shared" si="305"/>
        <v>93319.18</v>
      </c>
      <c r="AD337" s="2">
        <f t="shared" si="305"/>
        <v>1110.78</v>
      </c>
      <c r="AE337" s="2">
        <f t="shared" si="305"/>
        <v>624.54999999999995</v>
      </c>
      <c r="AF337" s="2">
        <f t="shared" si="305"/>
        <v>24928.65</v>
      </c>
      <c r="AG337" s="2">
        <f t="shared" si="305"/>
        <v>0</v>
      </c>
      <c r="AH337" s="2">
        <f t="shared" si="305"/>
        <v>85.884299999999996</v>
      </c>
      <c r="AI337" s="2">
        <f t="shared" si="305"/>
        <v>0</v>
      </c>
      <c r="AJ337" s="2">
        <f t="shared" si="305"/>
        <v>0</v>
      </c>
      <c r="AK337" s="2">
        <f t="shared" si="305"/>
        <v>19667.45</v>
      </c>
      <c r="AL337" s="2">
        <f t="shared" si="305"/>
        <v>10220.75</v>
      </c>
      <c r="AM337" s="2">
        <f t="shared" si="305"/>
        <v>0</v>
      </c>
      <c r="AN337" s="2">
        <f t="shared" si="305"/>
        <v>0</v>
      </c>
      <c r="AO337" s="2">
        <f t="shared" si="305"/>
        <v>0</v>
      </c>
      <c r="AP337" s="2">
        <f t="shared" si="305"/>
        <v>0</v>
      </c>
      <c r="AQ337" s="2">
        <f t="shared" si="305"/>
        <v>0</v>
      </c>
      <c r="AR337" s="2">
        <f t="shared" si="305"/>
        <v>150227.35</v>
      </c>
      <c r="AS337" s="2">
        <f t="shared" si="305"/>
        <v>150227.35</v>
      </c>
      <c r="AT337" s="2">
        <f t="shared" si="305"/>
        <v>0</v>
      </c>
      <c r="AU337" s="2">
        <f t="shared" ref="AU337:BZ337" si="306">AU348</f>
        <v>0</v>
      </c>
      <c r="AV337" s="2">
        <f t="shared" si="306"/>
        <v>93319.18</v>
      </c>
      <c r="AW337" s="2">
        <f t="shared" si="306"/>
        <v>93319.18</v>
      </c>
      <c r="AX337" s="2">
        <f t="shared" si="306"/>
        <v>0</v>
      </c>
      <c r="AY337" s="2">
        <f t="shared" si="306"/>
        <v>93319.18</v>
      </c>
      <c r="AZ337" s="2">
        <f t="shared" si="306"/>
        <v>0</v>
      </c>
      <c r="BA337" s="2">
        <f t="shared" si="306"/>
        <v>0</v>
      </c>
      <c r="BB337" s="2">
        <f t="shared" si="306"/>
        <v>0</v>
      </c>
      <c r="BC337" s="2">
        <f t="shared" si="306"/>
        <v>0</v>
      </c>
      <c r="BD337" s="2">
        <f t="shared" si="306"/>
        <v>0</v>
      </c>
      <c r="BE337" s="2">
        <f t="shared" si="306"/>
        <v>0</v>
      </c>
      <c r="BF337" s="2">
        <f t="shared" si="306"/>
        <v>0</v>
      </c>
      <c r="BG337" s="2">
        <f t="shared" si="306"/>
        <v>0</v>
      </c>
      <c r="BH337" s="2">
        <f t="shared" si="306"/>
        <v>0</v>
      </c>
      <c r="BI337" s="2">
        <f t="shared" si="306"/>
        <v>0</v>
      </c>
      <c r="BJ337" s="2">
        <f t="shared" si="306"/>
        <v>0</v>
      </c>
      <c r="BK337" s="2">
        <f t="shared" si="306"/>
        <v>0</v>
      </c>
      <c r="BL337" s="2">
        <f t="shared" si="306"/>
        <v>0</v>
      </c>
      <c r="BM337" s="2">
        <f t="shared" si="306"/>
        <v>0</v>
      </c>
      <c r="BN337" s="2">
        <f t="shared" si="306"/>
        <v>0</v>
      </c>
      <c r="BO337" s="2">
        <f t="shared" si="306"/>
        <v>0</v>
      </c>
      <c r="BP337" s="2">
        <f t="shared" si="306"/>
        <v>0</v>
      </c>
      <c r="BQ337" s="2">
        <f t="shared" si="306"/>
        <v>0</v>
      </c>
      <c r="BR337" s="2">
        <f t="shared" si="306"/>
        <v>0</v>
      </c>
      <c r="BS337" s="2">
        <f t="shared" si="306"/>
        <v>0</v>
      </c>
      <c r="BT337" s="2">
        <f t="shared" si="306"/>
        <v>0</v>
      </c>
      <c r="BU337" s="2">
        <f t="shared" si="306"/>
        <v>0</v>
      </c>
      <c r="BV337" s="2">
        <f t="shared" si="306"/>
        <v>0</v>
      </c>
      <c r="BW337" s="2">
        <f t="shared" si="306"/>
        <v>0</v>
      </c>
      <c r="BX337" s="2">
        <f t="shared" si="306"/>
        <v>0</v>
      </c>
      <c r="BY337" s="2">
        <f t="shared" si="306"/>
        <v>0</v>
      </c>
      <c r="BZ337" s="2">
        <f t="shared" si="306"/>
        <v>0</v>
      </c>
      <c r="CA337" s="2">
        <f t="shared" ref="CA337:DF337" si="307">CA348</f>
        <v>150227.35</v>
      </c>
      <c r="CB337" s="2">
        <f t="shared" si="307"/>
        <v>150227.35</v>
      </c>
      <c r="CC337" s="2">
        <f t="shared" si="307"/>
        <v>0</v>
      </c>
      <c r="CD337" s="2">
        <f t="shared" si="307"/>
        <v>0</v>
      </c>
      <c r="CE337" s="2">
        <f t="shared" si="307"/>
        <v>93319.18</v>
      </c>
      <c r="CF337" s="2">
        <f t="shared" si="307"/>
        <v>93319.18</v>
      </c>
      <c r="CG337" s="2">
        <f t="shared" si="307"/>
        <v>0</v>
      </c>
      <c r="CH337" s="2">
        <f t="shared" si="307"/>
        <v>93319.18</v>
      </c>
      <c r="CI337" s="2">
        <f t="shared" si="307"/>
        <v>0</v>
      </c>
      <c r="CJ337" s="2">
        <f t="shared" si="307"/>
        <v>0</v>
      </c>
      <c r="CK337" s="2">
        <f t="shared" si="307"/>
        <v>0</v>
      </c>
      <c r="CL337" s="2">
        <f t="shared" si="307"/>
        <v>0</v>
      </c>
      <c r="CM337" s="2">
        <f t="shared" si="307"/>
        <v>0</v>
      </c>
      <c r="CN337" s="2">
        <f t="shared" si="307"/>
        <v>0</v>
      </c>
      <c r="CO337" s="2">
        <f t="shared" si="307"/>
        <v>0</v>
      </c>
      <c r="CP337" s="2">
        <f t="shared" si="307"/>
        <v>0</v>
      </c>
      <c r="CQ337" s="2">
        <f t="shared" si="307"/>
        <v>0</v>
      </c>
      <c r="CR337" s="2">
        <f t="shared" si="307"/>
        <v>0</v>
      </c>
      <c r="CS337" s="2">
        <f t="shared" si="307"/>
        <v>0</v>
      </c>
      <c r="CT337" s="2">
        <f t="shared" si="307"/>
        <v>0</v>
      </c>
      <c r="CU337" s="2">
        <f t="shared" si="307"/>
        <v>0</v>
      </c>
      <c r="CV337" s="2">
        <f t="shared" si="307"/>
        <v>0</v>
      </c>
      <c r="CW337" s="2">
        <f t="shared" si="307"/>
        <v>0</v>
      </c>
      <c r="CX337" s="2">
        <f t="shared" si="307"/>
        <v>0</v>
      </c>
      <c r="CY337" s="2">
        <f t="shared" si="307"/>
        <v>0</v>
      </c>
      <c r="CZ337" s="2">
        <f t="shared" si="307"/>
        <v>0</v>
      </c>
      <c r="DA337" s="2">
        <f t="shared" si="307"/>
        <v>0</v>
      </c>
      <c r="DB337" s="2">
        <f t="shared" si="307"/>
        <v>0</v>
      </c>
      <c r="DC337" s="2">
        <f t="shared" si="307"/>
        <v>0</v>
      </c>
      <c r="DD337" s="2">
        <f t="shared" si="307"/>
        <v>0</v>
      </c>
      <c r="DE337" s="2">
        <f t="shared" si="307"/>
        <v>0</v>
      </c>
      <c r="DF337" s="2">
        <f t="shared" si="307"/>
        <v>0</v>
      </c>
      <c r="DG337" s="3">
        <f t="shared" ref="DG337:EL337" si="308">DG348</f>
        <v>0</v>
      </c>
      <c r="DH337" s="3">
        <f t="shared" si="308"/>
        <v>0</v>
      </c>
      <c r="DI337" s="3">
        <f t="shared" si="308"/>
        <v>0</v>
      </c>
      <c r="DJ337" s="3">
        <f t="shared" si="308"/>
        <v>0</v>
      </c>
      <c r="DK337" s="3">
        <f t="shared" si="308"/>
        <v>0</v>
      </c>
      <c r="DL337" s="3">
        <f t="shared" si="308"/>
        <v>0</v>
      </c>
      <c r="DM337" s="3">
        <f t="shared" si="308"/>
        <v>0</v>
      </c>
      <c r="DN337" s="3">
        <f t="shared" si="308"/>
        <v>0</v>
      </c>
      <c r="DO337" s="3">
        <f t="shared" si="308"/>
        <v>0</v>
      </c>
      <c r="DP337" s="3">
        <f t="shared" si="308"/>
        <v>0</v>
      </c>
      <c r="DQ337" s="3">
        <f t="shared" si="308"/>
        <v>0</v>
      </c>
      <c r="DR337" s="3">
        <f t="shared" si="308"/>
        <v>0</v>
      </c>
      <c r="DS337" s="3">
        <f t="shared" si="308"/>
        <v>0</v>
      </c>
      <c r="DT337" s="3">
        <f t="shared" si="308"/>
        <v>0</v>
      </c>
      <c r="DU337" s="3">
        <f t="shared" si="308"/>
        <v>0</v>
      </c>
      <c r="DV337" s="3">
        <f t="shared" si="308"/>
        <v>0</v>
      </c>
      <c r="DW337" s="3">
        <f t="shared" si="308"/>
        <v>0</v>
      </c>
      <c r="DX337" s="3">
        <f t="shared" si="308"/>
        <v>0</v>
      </c>
      <c r="DY337" s="3">
        <f t="shared" si="308"/>
        <v>0</v>
      </c>
      <c r="DZ337" s="3">
        <f t="shared" si="308"/>
        <v>0</v>
      </c>
      <c r="EA337" s="3">
        <f t="shared" si="308"/>
        <v>0</v>
      </c>
      <c r="EB337" s="3">
        <f t="shared" si="308"/>
        <v>0</v>
      </c>
      <c r="EC337" s="3">
        <f t="shared" si="308"/>
        <v>0</v>
      </c>
      <c r="ED337" s="3">
        <f t="shared" si="308"/>
        <v>0</v>
      </c>
      <c r="EE337" s="3">
        <f t="shared" si="308"/>
        <v>0</v>
      </c>
      <c r="EF337" s="3">
        <f t="shared" si="308"/>
        <v>0</v>
      </c>
      <c r="EG337" s="3">
        <f t="shared" si="308"/>
        <v>0</v>
      </c>
      <c r="EH337" s="3">
        <f t="shared" si="308"/>
        <v>0</v>
      </c>
      <c r="EI337" s="3">
        <f t="shared" si="308"/>
        <v>0</v>
      </c>
      <c r="EJ337" s="3">
        <f t="shared" si="308"/>
        <v>0</v>
      </c>
      <c r="EK337" s="3">
        <f t="shared" si="308"/>
        <v>0</v>
      </c>
      <c r="EL337" s="3">
        <f t="shared" si="308"/>
        <v>0</v>
      </c>
      <c r="EM337" s="3">
        <f t="shared" ref="EM337:FR337" si="309">EM348</f>
        <v>0</v>
      </c>
      <c r="EN337" s="3">
        <f t="shared" si="309"/>
        <v>0</v>
      </c>
      <c r="EO337" s="3">
        <f t="shared" si="309"/>
        <v>0</v>
      </c>
      <c r="EP337" s="3">
        <f t="shared" si="309"/>
        <v>0</v>
      </c>
      <c r="EQ337" s="3">
        <f t="shared" si="309"/>
        <v>0</v>
      </c>
      <c r="ER337" s="3">
        <f t="shared" si="309"/>
        <v>0</v>
      </c>
      <c r="ES337" s="3">
        <f t="shared" si="309"/>
        <v>0</v>
      </c>
      <c r="ET337" s="3">
        <f t="shared" si="309"/>
        <v>0</v>
      </c>
      <c r="EU337" s="3">
        <f t="shared" si="309"/>
        <v>0</v>
      </c>
      <c r="EV337" s="3">
        <f t="shared" si="309"/>
        <v>0</v>
      </c>
      <c r="EW337" s="3">
        <f t="shared" si="309"/>
        <v>0</v>
      </c>
      <c r="EX337" s="3">
        <f t="shared" si="309"/>
        <v>0</v>
      </c>
      <c r="EY337" s="3">
        <f t="shared" si="309"/>
        <v>0</v>
      </c>
      <c r="EZ337" s="3">
        <f t="shared" si="309"/>
        <v>0</v>
      </c>
      <c r="FA337" s="3">
        <f t="shared" si="309"/>
        <v>0</v>
      </c>
      <c r="FB337" s="3">
        <f t="shared" si="309"/>
        <v>0</v>
      </c>
      <c r="FC337" s="3">
        <f t="shared" si="309"/>
        <v>0</v>
      </c>
      <c r="FD337" s="3">
        <f t="shared" si="309"/>
        <v>0</v>
      </c>
      <c r="FE337" s="3">
        <f t="shared" si="309"/>
        <v>0</v>
      </c>
      <c r="FF337" s="3">
        <f t="shared" si="309"/>
        <v>0</v>
      </c>
      <c r="FG337" s="3">
        <f t="shared" si="309"/>
        <v>0</v>
      </c>
      <c r="FH337" s="3">
        <f t="shared" si="309"/>
        <v>0</v>
      </c>
      <c r="FI337" s="3">
        <f t="shared" si="309"/>
        <v>0</v>
      </c>
      <c r="FJ337" s="3">
        <f t="shared" si="309"/>
        <v>0</v>
      </c>
      <c r="FK337" s="3">
        <f t="shared" si="309"/>
        <v>0</v>
      </c>
      <c r="FL337" s="3">
        <f t="shared" si="309"/>
        <v>0</v>
      </c>
      <c r="FM337" s="3">
        <f t="shared" si="309"/>
        <v>0</v>
      </c>
      <c r="FN337" s="3">
        <f t="shared" si="309"/>
        <v>0</v>
      </c>
      <c r="FO337" s="3">
        <f t="shared" si="309"/>
        <v>0</v>
      </c>
      <c r="FP337" s="3">
        <f t="shared" si="309"/>
        <v>0</v>
      </c>
      <c r="FQ337" s="3">
        <f t="shared" si="309"/>
        <v>0</v>
      </c>
      <c r="FR337" s="3">
        <f t="shared" si="309"/>
        <v>0</v>
      </c>
      <c r="FS337" s="3">
        <f t="shared" ref="FS337:GX337" si="310">FS348</f>
        <v>0</v>
      </c>
      <c r="FT337" s="3">
        <f t="shared" si="310"/>
        <v>0</v>
      </c>
      <c r="FU337" s="3">
        <f t="shared" si="310"/>
        <v>0</v>
      </c>
      <c r="FV337" s="3">
        <f t="shared" si="310"/>
        <v>0</v>
      </c>
      <c r="FW337" s="3">
        <f t="shared" si="310"/>
        <v>0</v>
      </c>
      <c r="FX337" s="3">
        <f t="shared" si="310"/>
        <v>0</v>
      </c>
      <c r="FY337" s="3">
        <f t="shared" si="310"/>
        <v>0</v>
      </c>
      <c r="FZ337" s="3">
        <f t="shared" si="310"/>
        <v>0</v>
      </c>
      <c r="GA337" s="3">
        <f t="shared" si="310"/>
        <v>0</v>
      </c>
      <c r="GB337" s="3">
        <f t="shared" si="310"/>
        <v>0</v>
      </c>
      <c r="GC337" s="3">
        <f t="shared" si="310"/>
        <v>0</v>
      </c>
      <c r="GD337" s="3">
        <f t="shared" si="310"/>
        <v>0</v>
      </c>
      <c r="GE337" s="3">
        <f t="shared" si="310"/>
        <v>0</v>
      </c>
      <c r="GF337" s="3">
        <f t="shared" si="310"/>
        <v>0</v>
      </c>
      <c r="GG337" s="3">
        <f t="shared" si="310"/>
        <v>0</v>
      </c>
      <c r="GH337" s="3">
        <f t="shared" si="310"/>
        <v>0</v>
      </c>
      <c r="GI337" s="3">
        <f t="shared" si="310"/>
        <v>0</v>
      </c>
      <c r="GJ337" s="3">
        <f t="shared" si="310"/>
        <v>0</v>
      </c>
      <c r="GK337" s="3">
        <f t="shared" si="310"/>
        <v>0</v>
      </c>
      <c r="GL337" s="3">
        <f t="shared" si="310"/>
        <v>0</v>
      </c>
      <c r="GM337" s="3">
        <f t="shared" si="310"/>
        <v>0</v>
      </c>
      <c r="GN337" s="3">
        <f t="shared" si="310"/>
        <v>0</v>
      </c>
      <c r="GO337" s="3">
        <f t="shared" si="310"/>
        <v>0</v>
      </c>
      <c r="GP337" s="3">
        <f t="shared" si="310"/>
        <v>0</v>
      </c>
      <c r="GQ337" s="3">
        <f t="shared" si="310"/>
        <v>0</v>
      </c>
      <c r="GR337" s="3">
        <f t="shared" si="310"/>
        <v>0</v>
      </c>
      <c r="GS337" s="3">
        <f t="shared" si="310"/>
        <v>0</v>
      </c>
      <c r="GT337" s="3">
        <f t="shared" si="310"/>
        <v>0</v>
      </c>
      <c r="GU337" s="3">
        <f t="shared" si="310"/>
        <v>0</v>
      </c>
      <c r="GV337" s="3">
        <f t="shared" si="310"/>
        <v>0</v>
      </c>
      <c r="GW337" s="3">
        <f t="shared" si="310"/>
        <v>0</v>
      </c>
      <c r="GX337" s="3">
        <f t="shared" si="310"/>
        <v>0</v>
      </c>
    </row>
    <row r="339" spans="1:245" x14ac:dyDescent="0.2">
      <c r="A339">
        <v>17</v>
      </c>
      <c r="B339">
        <v>1</v>
      </c>
      <c r="E339" t="s">
        <v>455</v>
      </c>
      <c r="F339" t="s">
        <v>456</v>
      </c>
      <c r="G339" t="s">
        <v>457</v>
      </c>
      <c r="H339" t="s">
        <v>18</v>
      </c>
      <c r="I339">
        <f>ROUND(27/100,9)</f>
        <v>0.27</v>
      </c>
      <c r="J339">
        <v>0</v>
      </c>
      <c r="K339">
        <f>ROUND(27/100,9)</f>
        <v>0.27</v>
      </c>
      <c r="O339">
        <f t="shared" ref="O339:O346" si="311">ROUND(CP339,2)</f>
        <v>4036.56</v>
      </c>
      <c r="P339">
        <f t="shared" ref="P339:P346" si="312">ROUND((ROUND((AC339*AW339*I339),2)*BC339),2)</f>
        <v>0</v>
      </c>
      <c r="Q339">
        <f>(ROUND((ROUND(((ET339)*AV339*I339),2)*BB339),2)+ROUND((ROUND(((AE339-(EU339))*AV339*I339),2)*BS339),2))</f>
        <v>0</v>
      </c>
      <c r="R339">
        <f t="shared" ref="R339:R346" si="313">ROUND((ROUND((AE339*AV339*I339),2)*BS339),2)</f>
        <v>0</v>
      </c>
      <c r="S339">
        <f t="shared" ref="S339:S346" si="314">ROUND((ROUND((AF339*AV339*I339),2)*BA339),2)</f>
        <v>4036.56</v>
      </c>
      <c r="T339">
        <f t="shared" ref="T339:T346" si="315">ROUND(CU339*I339,2)</f>
        <v>0</v>
      </c>
      <c r="U339">
        <f t="shared" ref="U339:U346" si="316">CV339*I339</f>
        <v>15.525</v>
      </c>
      <c r="V339">
        <f t="shared" ref="V339:V346" si="317">CW339*I339</f>
        <v>0</v>
      </c>
      <c r="W339">
        <f t="shared" ref="W339:W346" si="318">ROUND(CX339*I339,2)</f>
        <v>0</v>
      </c>
      <c r="X339">
        <f t="shared" ref="X339:Y346" si="319">ROUND(CY339,2)</f>
        <v>2744.86</v>
      </c>
      <c r="Y339">
        <f t="shared" si="319"/>
        <v>1654.99</v>
      </c>
      <c r="AA339">
        <v>42938047</v>
      </c>
      <c r="AB339">
        <f t="shared" ref="AB339:AB346" si="320">ROUND((AC339+AD339+AF339),6)</f>
        <v>587.65</v>
      </c>
      <c r="AC339">
        <f>ROUND((ES339),6)</f>
        <v>0</v>
      </c>
      <c r="AD339">
        <f>ROUND((((ET339)-(EU339))+AE339),6)</f>
        <v>0</v>
      </c>
      <c r="AE339">
        <f>ROUND((EU339),6)</f>
        <v>0</v>
      </c>
      <c r="AF339">
        <f>ROUND((EV339),6)</f>
        <v>587.65</v>
      </c>
      <c r="AG339">
        <f t="shared" ref="AG339:AG346" si="321">ROUND((AP339),6)</f>
        <v>0</v>
      </c>
      <c r="AH339">
        <f>(EW339)</f>
        <v>57.5</v>
      </c>
      <c r="AI339">
        <f>(EX339)</f>
        <v>0</v>
      </c>
      <c r="AJ339">
        <f t="shared" ref="AJ339:AJ346" si="322">(AS339)</f>
        <v>0</v>
      </c>
      <c r="AK339">
        <v>587.65</v>
      </c>
      <c r="AL339">
        <v>0</v>
      </c>
      <c r="AM339">
        <v>0</v>
      </c>
      <c r="AN339">
        <v>0</v>
      </c>
      <c r="AO339">
        <v>587.65</v>
      </c>
      <c r="AP339">
        <v>0</v>
      </c>
      <c r="AQ339">
        <v>57.5</v>
      </c>
      <c r="AR339">
        <v>0</v>
      </c>
      <c r="AS339">
        <v>0</v>
      </c>
      <c r="AT339">
        <v>68</v>
      </c>
      <c r="AU339">
        <v>41</v>
      </c>
      <c r="AV339">
        <v>1</v>
      </c>
      <c r="AW339">
        <v>1</v>
      </c>
      <c r="AZ339">
        <v>1</v>
      </c>
      <c r="BA339">
        <v>25.44</v>
      </c>
      <c r="BB339">
        <v>1</v>
      </c>
      <c r="BC339">
        <v>1</v>
      </c>
      <c r="BD339" t="s">
        <v>3</v>
      </c>
      <c r="BE339" t="s">
        <v>3</v>
      </c>
      <c r="BF339" t="s">
        <v>3</v>
      </c>
      <c r="BG339" t="s">
        <v>3</v>
      </c>
      <c r="BH339">
        <v>0</v>
      </c>
      <c r="BI339">
        <v>1</v>
      </c>
      <c r="BJ339" t="s">
        <v>458</v>
      </c>
      <c r="BM339">
        <v>456</v>
      </c>
      <c r="BN339">
        <v>0</v>
      </c>
      <c r="BO339" t="s">
        <v>456</v>
      </c>
      <c r="BP339">
        <v>1</v>
      </c>
      <c r="BQ339">
        <v>60</v>
      </c>
      <c r="BR339">
        <v>0</v>
      </c>
      <c r="BS339">
        <v>25.44</v>
      </c>
      <c r="BT339">
        <v>1</v>
      </c>
      <c r="BU339">
        <v>1</v>
      </c>
      <c r="BV339">
        <v>1</v>
      </c>
      <c r="BW339">
        <v>1</v>
      </c>
      <c r="BX339">
        <v>1</v>
      </c>
      <c r="BY339" t="s">
        <v>3</v>
      </c>
      <c r="BZ339">
        <v>68</v>
      </c>
      <c r="CA339">
        <v>41</v>
      </c>
      <c r="CB339" t="s">
        <v>3</v>
      </c>
      <c r="CE339">
        <v>30</v>
      </c>
      <c r="CF339">
        <v>0</v>
      </c>
      <c r="CG339">
        <v>0</v>
      </c>
      <c r="CM339">
        <v>0</v>
      </c>
      <c r="CN339" t="s">
        <v>3</v>
      </c>
      <c r="CO339">
        <v>0</v>
      </c>
      <c r="CP339">
        <f t="shared" ref="CP339:CP346" si="323">(P339+Q339+S339)</f>
        <v>4036.56</v>
      </c>
      <c r="CQ339">
        <f t="shared" ref="CQ339:CQ346" si="324">ROUND((ROUND((AC339*AW339*1),2)*BC339),2)</f>
        <v>0</v>
      </c>
      <c r="CR339">
        <f>(ROUND((ROUND(((ET339)*AV339*1),2)*BB339),2)+ROUND((ROUND(((AE339-(EU339))*AV339*1),2)*BS339),2))</f>
        <v>0</v>
      </c>
      <c r="CS339">
        <f t="shared" ref="CS339:CS346" si="325">ROUND((ROUND((AE339*AV339*1),2)*BS339),2)</f>
        <v>0</v>
      </c>
      <c r="CT339">
        <f t="shared" ref="CT339:CT346" si="326">ROUND((ROUND((AF339*AV339*1),2)*BA339),2)</f>
        <v>14949.82</v>
      </c>
      <c r="CU339">
        <f t="shared" ref="CU339:CU346" si="327">AG339</f>
        <v>0</v>
      </c>
      <c r="CV339">
        <f t="shared" ref="CV339:CV346" si="328">(AH339*AV339)</f>
        <v>57.5</v>
      </c>
      <c r="CW339">
        <f t="shared" ref="CW339:CX346" si="329">AI339</f>
        <v>0</v>
      </c>
      <c r="CX339">
        <f t="shared" si="329"/>
        <v>0</v>
      </c>
      <c r="CY339">
        <f t="shared" ref="CY339:CY346" si="330">S339*(BZ339/100)</f>
        <v>2744.8608000000004</v>
      </c>
      <c r="CZ339">
        <f t="shared" ref="CZ339:CZ346" si="331">S339*(CA339/100)</f>
        <v>1654.9895999999999</v>
      </c>
      <c r="DC339" t="s">
        <v>3</v>
      </c>
      <c r="DD339" t="s">
        <v>3</v>
      </c>
      <c r="DE339" t="s">
        <v>3</v>
      </c>
      <c r="DF339" t="s">
        <v>3</v>
      </c>
      <c r="DG339" t="s">
        <v>3</v>
      </c>
      <c r="DH339" t="s">
        <v>3</v>
      </c>
      <c r="DI339" t="s">
        <v>3</v>
      </c>
      <c r="DJ339" t="s">
        <v>3</v>
      </c>
      <c r="DK339" t="s">
        <v>3</v>
      </c>
      <c r="DL339" t="s">
        <v>3</v>
      </c>
      <c r="DM339" t="s">
        <v>3</v>
      </c>
      <c r="DN339">
        <v>80</v>
      </c>
      <c r="DO339">
        <v>55</v>
      </c>
      <c r="DP339">
        <v>1</v>
      </c>
      <c r="DQ339">
        <v>1</v>
      </c>
      <c r="DU339">
        <v>1005</v>
      </c>
      <c r="DV339" t="s">
        <v>18</v>
      </c>
      <c r="DW339" t="s">
        <v>18</v>
      </c>
      <c r="DX339">
        <v>100</v>
      </c>
      <c r="DZ339" t="s">
        <v>3</v>
      </c>
      <c r="EA339" t="s">
        <v>3</v>
      </c>
      <c r="EB339" t="s">
        <v>3</v>
      </c>
      <c r="EC339" t="s">
        <v>3</v>
      </c>
      <c r="EE339">
        <v>43088534</v>
      </c>
      <c r="EF339">
        <v>60</v>
      </c>
      <c r="EG339" t="s">
        <v>40</v>
      </c>
      <c r="EH339">
        <v>0</v>
      </c>
      <c r="EI339" t="s">
        <v>3</v>
      </c>
      <c r="EJ339">
        <v>1</v>
      </c>
      <c r="EK339">
        <v>456</v>
      </c>
      <c r="EL339" t="s">
        <v>459</v>
      </c>
      <c r="EM339" t="s">
        <v>460</v>
      </c>
      <c r="EO339" t="s">
        <v>3</v>
      </c>
      <c r="EQ339">
        <v>0</v>
      </c>
      <c r="ER339">
        <v>587.65</v>
      </c>
      <c r="ES339">
        <v>0</v>
      </c>
      <c r="ET339">
        <v>0</v>
      </c>
      <c r="EU339">
        <v>0</v>
      </c>
      <c r="EV339">
        <v>587.65</v>
      </c>
      <c r="EW339">
        <v>57.5</v>
      </c>
      <c r="EX339">
        <v>0</v>
      </c>
      <c r="EY339">
        <v>0</v>
      </c>
      <c r="FQ339">
        <v>0</v>
      </c>
      <c r="FR339">
        <f t="shared" ref="FR339:FR346" si="332">ROUND(IF(AND(BH339=3,BI339=3),P339,0),2)</f>
        <v>0</v>
      </c>
      <c r="FS339">
        <v>0</v>
      </c>
      <c r="FX339">
        <v>80</v>
      </c>
      <c r="FY339">
        <v>55</v>
      </c>
      <c r="GA339" t="s">
        <v>3</v>
      </c>
      <c r="GD339">
        <v>0</v>
      </c>
      <c r="GF339">
        <v>386807673</v>
      </c>
      <c r="GG339">
        <v>2</v>
      </c>
      <c r="GH339">
        <v>1</v>
      </c>
      <c r="GI339">
        <v>2</v>
      </c>
      <c r="GJ339">
        <v>0</v>
      </c>
      <c r="GK339">
        <f>ROUND(R339*(R12)/100,2)</f>
        <v>0</v>
      </c>
      <c r="GL339">
        <f t="shared" ref="GL339:GL346" si="333">ROUND(IF(AND(BH339=3,BI339=3,FS339&lt;&gt;0),P339,0),2)</f>
        <v>0</v>
      </c>
      <c r="GM339">
        <f t="shared" ref="GM339:GM346" si="334">ROUND(O339+X339+Y339+GK339,2)+GX339</f>
        <v>8436.41</v>
      </c>
      <c r="GN339">
        <f t="shared" ref="GN339:GN346" si="335">IF(OR(BI339=0,BI339=1),ROUND(O339+X339+Y339+GK339,2),0)</f>
        <v>8436.41</v>
      </c>
      <c r="GO339">
        <f t="shared" ref="GO339:GO346" si="336">IF(BI339=2,ROUND(O339+X339+Y339+GK339,2),0)</f>
        <v>0</v>
      </c>
      <c r="GP339">
        <f t="shared" ref="GP339:GP346" si="337">IF(BI339=4,ROUND(O339+X339+Y339+GK339,2)+GX339,0)</f>
        <v>0</v>
      </c>
      <c r="GR339">
        <v>0</v>
      </c>
      <c r="GS339">
        <v>3</v>
      </c>
      <c r="GT339">
        <v>0</v>
      </c>
      <c r="GU339" t="s">
        <v>3</v>
      </c>
      <c r="GV339">
        <f t="shared" ref="GV339:GV346" si="338">ROUND((GT339),6)</f>
        <v>0</v>
      </c>
      <c r="GW339">
        <v>1</v>
      </c>
      <c r="GX339">
        <f t="shared" ref="GX339:GX346" si="339">ROUND(HC339*I339,2)</f>
        <v>0</v>
      </c>
      <c r="HA339">
        <v>0</v>
      </c>
      <c r="HB339">
        <v>0</v>
      </c>
      <c r="HC339">
        <f t="shared" ref="HC339:HC346" si="340">GV339*GW339</f>
        <v>0</v>
      </c>
      <c r="HE339" t="s">
        <v>3</v>
      </c>
      <c r="HF339" t="s">
        <v>3</v>
      </c>
      <c r="HM339" t="s">
        <v>3</v>
      </c>
      <c r="IK339">
        <v>0</v>
      </c>
    </row>
    <row r="340" spans="1:245" x14ac:dyDescent="0.2">
      <c r="A340">
        <v>17</v>
      </c>
      <c r="B340">
        <v>1</v>
      </c>
      <c r="C340">
        <f>ROW(SmtRes!A220)</f>
        <v>220</v>
      </c>
      <c r="D340">
        <f>ROW(EtalonRes!A216)</f>
        <v>216</v>
      </c>
      <c r="E340" t="s">
        <v>461</v>
      </c>
      <c r="F340" t="s">
        <v>462</v>
      </c>
      <c r="G340" t="s">
        <v>463</v>
      </c>
      <c r="H340" t="s">
        <v>464</v>
      </c>
      <c r="I340">
        <f>ROUND(27/100,9)</f>
        <v>0.27</v>
      </c>
      <c r="J340">
        <v>0</v>
      </c>
      <c r="K340">
        <f>ROUND(27/100,9)</f>
        <v>0.27</v>
      </c>
      <c r="O340">
        <f t="shared" si="311"/>
        <v>33695.1</v>
      </c>
      <c r="P340">
        <f t="shared" si="312"/>
        <v>20571.349999999999</v>
      </c>
      <c r="Q340">
        <f>(ROUND((ROUND((((ET340*1.25))*AV340*I340),2)*BB340),2)+ROUND((ROUND(((AE340-((EU340*1.25)))*AV340*I340),2)*BS340),2))</f>
        <v>926.54</v>
      </c>
      <c r="R340">
        <f t="shared" si="313"/>
        <v>518.72</v>
      </c>
      <c r="S340">
        <f t="shared" si="314"/>
        <v>12197.21</v>
      </c>
      <c r="T340">
        <f t="shared" si="315"/>
        <v>0</v>
      </c>
      <c r="U340">
        <f t="shared" si="316"/>
        <v>41.296500000000002</v>
      </c>
      <c r="V340">
        <f t="shared" si="317"/>
        <v>0</v>
      </c>
      <c r="W340">
        <f t="shared" si="318"/>
        <v>0</v>
      </c>
      <c r="X340">
        <f t="shared" si="319"/>
        <v>9879.74</v>
      </c>
      <c r="Y340">
        <f t="shared" si="319"/>
        <v>5000.8599999999997</v>
      </c>
      <c r="AA340">
        <v>42938047</v>
      </c>
      <c r="AB340">
        <f t="shared" si="320"/>
        <v>5905.7820000000002</v>
      </c>
      <c r="AC340">
        <f>ROUND((ES340),6)</f>
        <v>3796.22</v>
      </c>
      <c r="AD340">
        <f>ROUND(((((ET340*1.25))-((EU340*1.25)))+AE340),6)</f>
        <v>333.8125</v>
      </c>
      <c r="AE340">
        <f>ROUND(((EU340*1.25)),6)</f>
        <v>75.5</v>
      </c>
      <c r="AF340">
        <f>ROUND(((EV340*1.15)),6)</f>
        <v>1775.7494999999999</v>
      </c>
      <c r="AG340">
        <f t="shared" si="321"/>
        <v>0</v>
      </c>
      <c r="AH340">
        <f>((EW340*1.15))</f>
        <v>152.94999999999999</v>
      </c>
      <c r="AI340">
        <f>((EX340*1.25))</f>
        <v>0</v>
      </c>
      <c r="AJ340">
        <f t="shared" si="322"/>
        <v>0</v>
      </c>
      <c r="AK340">
        <v>5607.4</v>
      </c>
      <c r="AL340">
        <v>3796.22</v>
      </c>
      <c r="AM340">
        <v>267.05</v>
      </c>
      <c r="AN340">
        <v>60.4</v>
      </c>
      <c r="AO340">
        <v>1544.13</v>
      </c>
      <c r="AP340">
        <v>0</v>
      </c>
      <c r="AQ340">
        <v>133</v>
      </c>
      <c r="AR340">
        <v>0</v>
      </c>
      <c r="AS340">
        <v>0</v>
      </c>
      <c r="AT340">
        <v>81</v>
      </c>
      <c r="AU340">
        <v>41</v>
      </c>
      <c r="AV340">
        <v>1</v>
      </c>
      <c r="AW340">
        <v>1</v>
      </c>
      <c r="AZ340">
        <v>1</v>
      </c>
      <c r="BA340">
        <v>25.44</v>
      </c>
      <c r="BB340">
        <v>10.28</v>
      </c>
      <c r="BC340">
        <v>20.07</v>
      </c>
      <c r="BD340" t="s">
        <v>3</v>
      </c>
      <c r="BE340" t="s">
        <v>3</v>
      </c>
      <c r="BF340" t="s">
        <v>3</v>
      </c>
      <c r="BG340" t="s">
        <v>3</v>
      </c>
      <c r="BH340">
        <v>0</v>
      </c>
      <c r="BI340">
        <v>1</v>
      </c>
      <c r="BJ340" t="s">
        <v>465</v>
      </c>
      <c r="BM340">
        <v>115</v>
      </c>
      <c r="BN340">
        <v>0</v>
      </c>
      <c r="BO340" t="s">
        <v>462</v>
      </c>
      <c r="BP340">
        <v>1</v>
      </c>
      <c r="BQ340">
        <v>30</v>
      </c>
      <c r="BR340">
        <v>0</v>
      </c>
      <c r="BS340">
        <v>25.44</v>
      </c>
      <c r="BT340">
        <v>1</v>
      </c>
      <c r="BU340">
        <v>1</v>
      </c>
      <c r="BV340">
        <v>1</v>
      </c>
      <c r="BW340">
        <v>1</v>
      </c>
      <c r="BX340">
        <v>1</v>
      </c>
      <c r="BY340" t="s">
        <v>3</v>
      </c>
      <c r="BZ340">
        <v>81</v>
      </c>
      <c r="CA340">
        <v>41</v>
      </c>
      <c r="CB340" t="s">
        <v>3</v>
      </c>
      <c r="CE340">
        <v>30</v>
      </c>
      <c r="CF340">
        <v>0</v>
      </c>
      <c r="CG340">
        <v>0</v>
      </c>
      <c r="CM340">
        <v>0</v>
      </c>
      <c r="CN340" t="s">
        <v>1584</v>
      </c>
      <c r="CO340">
        <v>0</v>
      </c>
      <c r="CP340">
        <f t="shared" si="323"/>
        <v>33695.1</v>
      </c>
      <c r="CQ340">
        <f t="shared" si="324"/>
        <v>76190.14</v>
      </c>
      <c r="CR340">
        <f>(ROUND((ROUND((((ET340*1.25))*AV340*1),2)*BB340),2)+ROUND((ROUND(((AE340-((EU340*1.25)))*AV340*1),2)*BS340),2))</f>
        <v>3431.57</v>
      </c>
      <c r="CS340">
        <f t="shared" si="325"/>
        <v>1920.72</v>
      </c>
      <c r="CT340">
        <f t="shared" si="326"/>
        <v>45175.08</v>
      </c>
      <c r="CU340">
        <f t="shared" si="327"/>
        <v>0</v>
      </c>
      <c r="CV340">
        <f t="shared" si="328"/>
        <v>152.94999999999999</v>
      </c>
      <c r="CW340">
        <f t="shared" si="329"/>
        <v>0</v>
      </c>
      <c r="CX340">
        <f t="shared" si="329"/>
        <v>0</v>
      </c>
      <c r="CY340">
        <f t="shared" si="330"/>
        <v>9879.7400999999991</v>
      </c>
      <c r="CZ340">
        <f t="shared" si="331"/>
        <v>5000.8560999999991</v>
      </c>
      <c r="DC340" t="s">
        <v>3</v>
      </c>
      <c r="DD340" t="s">
        <v>3</v>
      </c>
      <c r="DE340" t="s">
        <v>20</v>
      </c>
      <c r="DF340" t="s">
        <v>20</v>
      </c>
      <c r="DG340" t="s">
        <v>21</v>
      </c>
      <c r="DH340" t="s">
        <v>3</v>
      </c>
      <c r="DI340" t="s">
        <v>21</v>
      </c>
      <c r="DJ340" t="s">
        <v>20</v>
      </c>
      <c r="DK340" t="s">
        <v>3</v>
      </c>
      <c r="DL340" t="s">
        <v>3</v>
      </c>
      <c r="DM340" t="s">
        <v>3</v>
      </c>
      <c r="DN340">
        <v>100</v>
      </c>
      <c r="DO340">
        <v>64</v>
      </c>
      <c r="DP340">
        <v>1</v>
      </c>
      <c r="DQ340">
        <v>1</v>
      </c>
      <c r="DU340">
        <v>1013</v>
      </c>
      <c r="DV340" t="s">
        <v>464</v>
      </c>
      <c r="DW340" t="s">
        <v>464</v>
      </c>
      <c r="DX340">
        <v>1</v>
      </c>
      <c r="DZ340" t="s">
        <v>3</v>
      </c>
      <c r="EA340" t="s">
        <v>3</v>
      </c>
      <c r="EB340" t="s">
        <v>3</v>
      </c>
      <c r="EC340" t="s">
        <v>3</v>
      </c>
      <c r="EE340">
        <v>43088193</v>
      </c>
      <c r="EF340">
        <v>30</v>
      </c>
      <c r="EG340" t="s">
        <v>22</v>
      </c>
      <c r="EH340">
        <v>0</v>
      </c>
      <c r="EI340" t="s">
        <v>3</v>
      </c>
      <c r="EJ340">
        <v>1</v>
      </c>
      <c r="EK340">
        <v>115</v>
      </c>
      <c r="EL340" t="s">
        <v>466</v>
      </c>
      <c r="EM340" t="s">
        <v>467</v>
      </c>
      <c r="EO340" t="s">
        <v>59</v>
      </c>
      <c r="EQ340">
        <v>0</v>
      </c>
      <c r="ER340">
        <v>5607.4</v>
      </c>
      <c r="ES340">
        <v>3796.22</v>
      </c>
      <c r="ET340">
        <v>267.05</v>
      </c>
      <c r="EU340">
        <v>60.4</v>
      </c>
      <c r="EV340">
        <v>1544.13</v>
      </c>
      <c r="EW340">
        <v>133</v>
      </c>
      <c r="EX340">
        <v>0</v>
      </c>
      <c r="EY340">
        <v>0</v>
      </c>
      <c r="FQ340">
        <v>0</v>
      </c>
      <c r="FR340">
        <f t="shared" si="332"/>
        <v>0</v>
      </c>
      <c r="FS340">
        <v>0</v>
      </c>
      <c r="FX340">
        <v>100</v>
      </c>
      <c r="FY340">
        <v>64</v>
      </c>
      <c r="GA340" t="s">
        <v>3</v>
      </c>
      <c r="GD340">
        <v>0</v>
      </c>
      <c r="GF340">
        <v>-996168045</v>
      </c>
      <c r="GG340">
        <v>2</v>
      </c>
      <c r="GH340">
        <v>1</v>
      </c>
      <c r="GI340">
        <v>2</v>
      </c>
      <c r="GJ340">
        <v>0</v>
      </c>
      <c r="GK340">
        <f>ROUND(R340*(R12)/100,2)</f>
        <v>814.39</v>
      </c>
      <c r="GL340">
        <f t="shared" si="333"/>
        <v>0</v>
      </c>
      <c r="GM340">
        <f t="shared" si="334"/>
        <v>49390.09</v>
      </c>
      <c r="GN340">
        <f t="shared" si="335"/>
        <v>49390.09</v>
      </c>
      <c r="GO340">
        <f t="shared" si="336"/>
        <v>0</v>
      </c>
      <c r="GP340">
        <f t="shared" si="337"/>
        <v>0</v>
      </c>
      <c r="GR340">
        <v>0</v>
      </c>
      <c r="GS340">
        <v>3</v>
      </c>
      <c r="GT340">
        <v>0</v>
      </c>
      <c r="GU340" t="s">
        <v>3</v>
      </c>
      <c r="GV340">
        <f t="shared" si="338"/>
        <v>0</v>
      </c>
      <c r="GW340">
        <v>1</v>
      </c>
      <c r="GX340">
        <f t="shared" si="339"/>
        <v>0</v>
      </c>
      <c r="HA340">
        <v>0</v>
      </c>
      <c r="HB340">
        <v>0</v>
      </c>
      <c r="HC340">
        <f t="shared" si="340"/>
        <v>0</v>
      </c>
      <c r="HE340" t="s">
        <v>3</v>
      </c>
      <c r="HF340" t="s">
        <v>3</v>
      </c>
      <c r="HM340" t="s">
        <v>3</v>
      </c>
      <c r="IK340">
        <v>0</v>
      </c>
    </row>
    <row r="341" spans="1:245" x14ac:dyDescent="0.2">
      <c r="A341">
        <v>18</v>
      </c>
      <c r="B341">
        <v>1</v>
      </c>
      <c r="C341">
        <v>216</v>
      </c>
      <c r="E341" t="s">
        <v>468</v>
      </c>
      <c r="F341" t="s">
        <v>469</v>
      </c>
      <c r="G341" t="s">
        <v>470</v>
      </c>
      <c r="H341" t="s">
        <v>84</v>
      </c>
      <c r="I341">
        <f>I340*J341</f>
        <v>4.9216000000000003E-2</v>
      </c>
      <c r="J341">
        <v>0.18228148148148149</v>
      </c>
      <c r="K341">
        <v>0.182281</v>
      </c>
      <c r="O341">
        <f t="shared" si="311"/>
        <v>1.8</v>
      </c>
      <c r="P341">
        <f t="shared" si="312"/>
        <v>1.8</v>
      </c>
      <c r="Q341">
        <f>(ROUND((ROUND(((ET341)*AV341*I341),2)*BB341),2)+ROUND((ROUND(((AE341-(EU341))*AV341*I341),2)*BS341),2))</f>
        <v>0</v>
      </c>
      <c r="R341">
        <f t="shared" si="313"/>
        <v>0</v>
      </c>
      <c r="S341">
        <f t="shared" si="314"/>
        <v>0</v>
      </c>
      <c r="T341">
        <f t="shared" si="315"/>
        <v>0</v>
      </c>
      <c r="U341">
        <f t="shared" si="316"/>
        <v>0</v>
      </c>
      <c r="V341">
        <f t="shared" si="317"/>
        <v>0</v>
      </c>
      <c r="W341">
        <f t="shared" si="318"/>
        <v>0</v>
      </c>
      <c r="X341">
        <f t="shared" si="319"/>
        <v>0</v>
      </c>
      <c r="Y341">
        <f t="shared" si="319"/>
        <v>0</v>
      </c>
      <c r="AA341">
        <v>42938047</v>
      </c>
      <c r="AB341">
        <f t="shared" si="320"/>
        <v>7.07</v>
      </c>
      <c r="AC341">
        <f>ROUND((ES341),6)</f>
        <v>7.07</v>
      </c>
      <c r="AD341">
        <f>ROUND((((ET341)-(EU341))+AE341),6)</f>
        <v>0</v>
      </c>
      <c r="AE341">
        <f>ROUND((EU341),6)</f>
        <v>0</v>
      </c>
      <c r="AF341">
        <f>ROUND((EV341),6)</f>
        <v>0</v>
      </c>
      <c r="AG341">
        <f t="shared" si="321"/>
        <v>0</v>
      </c>
      <c r="AH341">
        <f>(EW341)</f>
        <v>0</v>
      </c>
      <c r="AI341">
        <f>(EX341)</f>
        <v>0</v>
      </c>
      <c r="AJ341">
        <f t="shared" si="322"/>
        <v>0</v>
      </c>
      <c r="AK341">
        <v>7.07</v>
      </c>
      <c r="AL341">
        <v>7.07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1</v>
      </c>
      <c r="AW341">
        <v>1</v>
      </c>
      <c r="AZ341">
        <v>1</v>
      </c>
      <c r="BA341">
        <v>1</v>
      </c>
      <c r="BB341">
        <v>1</v>
      </c>
      <c r="BC341">
        <v>5.14</v>
      </c>
      <c r="BD341" t="s">
        <v>3</v>
      </c>
      <c r="BE341" t="s">
        <v>3</v>
      </c>
      <c r="BF341" t="s">
        <v>3</v>
      </c>
      <c r="BG341" t="s">
        <v>3</v>
      </c>
      <c r="BH341">
        <v>3</v>
      </c>
      <c r="BI341">
        <v>1</v>
      </c>
      <c r="BJ341" t="s">
        <v>471</v>
      </c>
      <c r="BM341">
        <v>115</v>
      </c>
      <c r="BN341">
        <v>0</v>
      </c>
      <c r="BO341" t="s">
        <v>469</v>
      </c>
      <c r="BP341">
        <v>1</v>
      </c>
      <c r="BQ341">
        <v>30</v>
      </c>
      <c r="BR341">
        <v>0</v>
      </c>
      <c r="BS341">
        <v>1</v>
      </c>
      <c r="BT341">
        <v>1</v>
      </c>
      <c r="BU341">
        <v>1</v>
      </c>
      <c r="BV341">
        <v>1</v>
      </c>
      <c r="BW341">
        <v>1</v>
      </c>
      <c r="BX341">
        <v>1</v>
      </c>
      <c r="BY341" t="s">
        <v>3</v>
      </c>
      <c r="BZ341">
        <v>0</v>
      </c>
      <c r="CA341">
        <v>0</v>
      </c>
      <c r="CB341" t="s">
        <v>3</v>
      </c>
      <c r="CE341">
        <v>30</v>
      </c>
      <c r="CF341">
        <v>0</v>
      </c>
      <c r="CG341">
        <v>0</v>
      </c>
      <c r="CM341">
        <v>0</v>
      </c>
      <c r="CN341" t="s">
        <v>3</v>
      </c>
      <c r="CO341">
        <v>0</v>
      </c>
      <c r="CP341">
        <f t="shared" si="323"/>
        <v>1.8</v>
      </c>
      <c r="CQ341">
        <f t="shared" si="324"/>
        <v>36.340000000000003</v>
      </c>
      <c r="CR341">
        <f>(ROUND((ROUND(((ET341)*AV341*1),2)*BB341),2)+ROUND((ROUND(((AE341-(EU341))*AV341*1),2)*BS341),2))</f>
        <v>0</v>
      </c>
      <c r="CS341">
        <f t="shared" si="325"/>
        <v>0</v>
      </c>
      <c r="CT341">
        <f t="shared" si="326"/>
        <v>0</v>
      </c>
      <c r="CU341">
        <f t="shared" si="327"/>
        <v>0</v>
      </c>
      <c r="CV341">
        <f t="shared" si="328"/>
        <v>0</v>
      </c>
      <c r="CW341">
        <f t="shared" si="329"/>
        <v>0</v>
      </c>
      <c r="CX341">
        <f t="shared" si="329"/>
        <v>0</v>
      </c>
      <c r="CY341">
        <f t="shared" si="330"/>
        <v>0</v>
      </c>
      <c r="CZ341">
        <f t="shared" si="331"/>
        <v>0</v>
      </c>
      <c r="DC341" t="s">
        <v>3</v>
      </c>
      <c r="DD341" t="s">
        <v>3</v>
      </c>
      <c r="DE341" t="s">
        <v>3</v>
      </c>
      <c r="DF341" t="s">
        <v>3</v>
      </c>
      <c r="DG341" t="s">
        <v>3</v>
      </c>
      <c r="DH341" t="s">
        <v>3</v>
      </c>
      <c r="DI341" t="s">
        <v>3</v>
      </c>
      <c r="DJ341" t="s">
        <v>3</v>
      </c>
      <c r="DK341" t="s">
        <v>3</v>
      </c>
      <c r="DL341" t="s">
        <v>3</v>
      </c>
      <c r="DM341" t="s">
        <v>3</v>
      </c>
      <c r="DN341">
        <v>100</v>
      </c>
      <c r="DO341">
        <v>64</v>
      </c>
      <c r="DP341">
        <v>1</v>
      </c>
      <c r="DQ341">
        <v>1</v>
      </c>
      <c r="DU341">
        <v>1007</v>
      </c>
      <c r="DV341" t="s">
        <v>84</v>
      </c>
      <c r="DW341" t="s">
        <v>84</v>
      </c>
      <c r="DX341">
        <v>1</v>
      </c>
      <c r="DZ341" t="s">
        <v>3</v>
      </c>
      <c r="EA341" t="s">
        <v>3</v>
      </c>
      <c r="EB341" t="s">
        <v>3</v>
      </c>
      <c r="EC341" t="s">
        <v>3</v>
      </c>
      <c r="EE341">
        <v>43088193</v>
      </c>
      <c r="EF341">
        <v>30</v>
      </c>
      <c r="EG341" t="s">
        <v>22</v>
      </c>
      <c r="EH341">
        <v>0</v>
      </c>
      <c r="EI341" t="s">
        <v>3</v>
      </c>
      <c r="EJ341">
        <v>1</v>
      </c>
      <c r="EK341">
        <v>115</v>
      </c>
      <c r="EL341" t="s">
        <v>466</v>
      </c>
      <c r="EM341" t="s">
        <v>467</v>
      </c>
      <c r="EO341" t="s">
        <v>3</v>
      </c>
      <c r="EQ341">
        <v>0</v>
      </c>
      <c r="ER341">
        <v>7.07</v>
      </c>
      <c r="ES341">
        <v>7.07</v>
      </c>
      <c r="ET341">
        <v>0</v>
      </c>
      <c r="EU341">
        <v>0</v>
      </c>
      <c r="EV341">
        <v>0</v>
      </c>
      <c r="EW341">
        <v>0</v>
      </c>
      <c r="EX341">
        <v>0</v>
      </c>
      <c r="FQ341">
        <v>0</v>
      </c>
      <c r="FR341">
        <f t="shared" si="332"/>
        <v>0</v>
      </c>
      <c r="FS341">
        <v>0</v>
      </c>
      <c r="FX341">
        <v>100</v>
      </c>
      <c r="FY341">
        <v>64</v>
      </c>
      <c r="GA341" t="s">
        <v>3</v>
      </c>
      <c r="GD341">
        <v>0</v>
      </c>
      <c r="GF341">
        <v>-862991314</v>
      </c>
      <c r="GG341">
        <v>2</v>
      </c>
      <c r="GH341">
        <v>1</v>
      </c>
      <c r="GI341">
        <v>2</v>
      </c>
      <c r="GJ341">
        <v>0</v>
      </c>
      <c r="GK341">
        <f>ROUND(R341*(R12)/100,2)</f>
        <v>0</v>
      </c>
      <c r="GL341">
        <f t="shared" si="333"/>
        <v>0</v>
      </c>
      <c r="GM341">
        <f t="shared" si="334"/>
        <v>1.8</v>
      </c>
      <c r="GN341">
        <f t="shared" si="335"/>
        <v>1.8</v>
      </c>
      <c r="GO341">
        <f t="shared" si="336"/>
        <v>0</v>
      </c>
      <c r="GP341">
        <f t="shared" si="337"/>
        <v>0</v>
      </c>
      <c r="GR341">
        <v>0</v>
      </c>
      <c r="GS341">
        <v>3</v>
      </c>
      <c r="GT341">
        <v>0</v>
      </c>
      <c r="GU341" t="s">
        <v>3</v>
      </c>
      <c r="GV341">
        <f t="shared" si="338"/>
        <v>0</v>
      </c>
      <c r="GW341">
        <v>1</v>
      </c>
      <c r="GX341">
        <f t="shared" si="339"/>
        <v>0</v>
      </c>
      <c r="HA341">
        <v>0</v>
      </c>
      <c r="HB341">
        <v>0</v>
      </c>
      <c r="HC341">
        <f t="shared" si="340"/>
        <v>0</v>
      </c>
      <c r="HE341" t="s">
        <v>3</v>
      </c>
      <c r="HF341" t="s">
        <v>3</v>
      </c>
      <c r="HM341" t="s">
        <v>3</v>
      </c>
      <c r="IK341">
        <v>0</v>
      </c>
    </row>
    <row r="342" spans="1:245" x14ac:dyDescent="0.2">
      <c r="A342">
        <v>18</v>
      </c>
      <c r="B342">
        <v>1</v>
      </c>
      <c r="C342">
        <v>219</v>
      </c>
      <c r="E342" t="s">
        <v>472</v>
      </c>
      <c r="F342" t="s">
        <v>473</v>
      </c>
      <c r="G342" t="s">
        <v>1587</v>
      </c>
      <c r="H342" t="s">
        <v>104</v>
      </c>
      <c r="I342">
        <f>I340*J342</f>
        <v>1.47</v>
      </c>
      <c r="J342">
        <v>5.4444444444444438</v>
      </c>
      <c r="K342">
        <v>5.4444439999999998</v>
      </c>
      <c r="O342">
        <f t="shared" si="311"/>
        <v>48782.43</v>
      </c>
      <c r="P342">
        <f t="shared" si="312"/>
        <v>48782.43</v>
      </c>
      <c r="Q342">
        <f>(ROUND((ROUND(((ET342)*AV342*I342),2)*BB342),2)+ROUND((ROUND(((AE342-(EU342))*AV342*I342),2)*BS342),2))</f>
        <v>0</v>
      </c>
      <c r="R342">
        <f t="shared" si="313"/>
        <v>0</v>
      </c>
      <c r="S342">
        <f t="shared" si="314"/>
        <v>0</v>
      </c>
      <c r="T342">
        <f t="shared" si="315"/>
        <v>0</v>
      </c>
      <c r="U342">
        <f t="shared" si="316"/>
        <v>0</v>
      </c>
      <c r="V342">
        <f t="shared" si="317"/>
        <v>0</v>
      </c>
      <c r="W342">
        <f t="shared" si="318"/>
        <v>0</v>
      </c>
      <c r="X342">
        <f t="shared" si="319"/>
        <v>0</v>
      </c>
      <c r="Y342">
        <f t="shared" si="319"/>
        <v>0</v>
      </c>
      <c r="AA342">
        <v>42938047</v>
      </c>
      <c r="AB342">
        <f t="shared" si="320"/>
        <v>18855.3</v>
      </c>
      <c r="AC342">
        <f>ROUND((ES342),6)</f>
        <v>18855.3</v>
      </c>
      <c r="AD342">
        <f>ROUND((((ET342)-(EU342))+AE342),6)</f>
        <v>0</v>
      </c>
      <c r="AE342">
        <f>ROUND((EU342),6)</f>
        <v>0</v>
      </c>
      <c r="AF342">
        <f>ROUND((EV342),6)</f>
        <v>0</v>
      </c>
      <c r="AG342">
        <f t="shared" si="321"/>
        <v>0</v>
      </c>
      <c r="AH342">
        <f>(EW342)</f>
        <v>0</v>
      </c>
      <c r="AI342">
        <f>(EX342)</f>
        <v>0</v>
      </c>
      <c r="AJ342">
        <f t="shared" si="322"/>
        <v>0</v>
      </c>
      <c r="AK342">
        <v>18855.3</v>
      </c>
      <c r="AL342">
        <v>18855.3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1</v>
      </c>
      <c r="AW342">
        <v>1</v>
      </c>
      <c r="AZ342">
        <v>1</v>
      </c>
      <c r="BA342">
        <v>1</v>
      </c>
      <c r="BB342">
        <v>1</v>
      </c>
      <c r="BC342">
        <v>1.76</v>
      </c>
      <c r="BD342" t="s">
        <v>3</v>
      </c>
      <c r="BE342" t="s">
        <v>3</v>
      </c>
      <c r="BF342" t="s">
        <v>3</v>
      </c>
      <c r="BG342" t="s">
        <v>3</v>
      </c>
      <c r="BH342">
        <v>3</v>
      </c>
      <c r="BI342">
        <v>1</v>
      </c>
      <c r="BJ342" t="s">
        <v>474</v>
      </c>
      <c r="BM342">
        <v>115</v>
      </c>
      <c r="BN342">
        <v>0</v>
      </c>
      <c r="BO342" t="s">
        <v>473</v>
      </c>
      <c r="BP342">
        <v>1</v>
      </c>
      <c r="BQ342">
        <v>30</v>
      </c>
      <c r="BR342">
        <v>0</v>
      </c>
      <c r="BS342">
        <v>1</v>
      </c>
      <c r="BT342">
        <v>1</v>
      </c>
      <c r="BU342">
        <v>1</v>
      </c>
      <c r="BV342">
        <v>1</v>
      </c>
      <c r="BW342">
        <v>1</v>
      </c>
      <c r="BX342">
        <v>1</v>
      </c>
      <c r="BY342" t="s">
        <v>3</v>
      </c>
      <c r="BZ342">
        <v>0</v>
      </c>
      <c r="CA342">
        <v>0</v>
      </c>
      <c r="CB342" t="s">
        <v>3</v>
      </c>
      <c r="CE342">
        <v>30</v>
      </c>
      <c r="CF342">
        <v>0</v>
      </c>
      <c r="CG342">
        <v>0</v>
      </c>
      <c r="CM342">
        <v>0</v>
      </c>
      <c r="CN342" t="s">
        <v>3</v>
      </c>
      <c r="CO342">
        <v>0</v>
      </c>
      <c r="CP342">
        <f t="shared" si="323"/>
        <v>48782.43</v>
      </c>
      <c r="CQ342">
        <f t="shared" si="324"/>
        <v>33185.33</v>
      </c>
      <c r="CR342">
        <f>(ROUND((ROUND(((ET342)*AV342*1),2)*BB342),2)+ROUND((ROUND(((AE342-(EU342))*AV342*1),2)*BS342),2))</f>
        <v>0</v>
      </c>
      <c r="CS342">
        <f t="shared" si="325"/>
        <v>0</v>
      </c>
      <c r="CT342">
        <f t="shared" si="326"/>
        <v>0</v>
      </c>
      <c r="CU342">
        <f t="shared" si="327"/>
        <v>0</v>
      </c>
      <c r="CV342">
        <f t="shared" si="328"/>
        <v>0</v>
      </c>
      <c r="CW342">
        <f t="shared" si="329"/>
        <v>0</v>
      </c>
      <c r="CX342">
        <f t="shared" si="329"/>
        <v>0</v>
      </c>
      <c r="CY342">
        <f t="shared" si="330"/>
        <v>0</v>
      </c>
      <c r="CZ342">
        <f t="shared" si="331"/>
        <v>0</v>
      </c>
      <c r="DC342" t="s">
        <v>3</v>
      </c>
      <c r="DD342" t="s">
        <v>3</v>
      </c>
      <c r="DE342" t="s">
        <v>3</v>
      </c>
      <c r="DF342" t="s">
        <v>3</v>
      </c>
      <c r="DG342" t="s">
        <v>3</v>
      </c>
      <c r="DH342" t="s">
        <v>3</v>
      </c>
      <c r="DI342" t="s">
        <v>3</v>
      </c>
      <c r="DJ342" t="s">
        <v>3</v>
      </c>
      <c r="DK342" t="s">
        <v>3</v>
      </c>
      <c r="DL342" t="s">
        <v>3</v>
      </c>
      <c r="DM342" t="s">
        <v>3</v>
      </c>
      <c r="DN342">
        <v>100</v>
      </c>
      <c r="DO342">
        <v>64</v>
      </c>
      <c r="DP342">
        <v>1</v>
      </c>
      <c r="DQ342">
        <v>1</v>
      </c>
      <c r="DU342">
        <v>1009</v>
      </c>
      <c r="DV342" t="s">
        <v>104</v>
      </c>
      <c r="DW342" t="s">
        <v>104</v>
      </c>
      <c r="DX342">
        <v>1000</v>
      </c>
      <c r="DZ342" t="s">
        <v>3</v>
      </c>
      <c r="EA342" t="s">
        <v>3</v>
      </c>
      <c r="EB342" t="s">
        <v>3</v>
      </c>
      <c r="EC342" t="s">
        <v>3</v>
      </c>
      <c r="EE342">
        <v>43088193</v>
      </c>
      <c r="EF342">
        <v>30</v>
      </c>
      <c r="EG342" t="s">
        <v>22</v>
      </c>
      <c r="EH342">
        <v>0</v>
      </c>
      <c r="EI342" t="s">
        <v>3</v>
      </c>
      <c r="EJ342">
        <v>1</v>
      </c>
      <c r="EK342">
        <v>115</v>
      </c>
      <c r="EL342" t="s">
        <v>466</v>
      </c>
      <c r="EM342" t="s">
        <v>467</v>
      </c>
      <c r="EO342" t="s">
        <v>3</v>
      </c>
      <c r="EQ342">
        <v>0</v>
      </c>
      <c r="ER342">
        <v>18855.3</v>
      </c>
      <c r="ES342">
        <v>18855.3</v>
      </c>
      <c r="ET342">
        <v>0</v>
      </c>
      <c r="EU342">
        <v>0</v>
      </c>
      <c r="EV342">
        <v>0</v>
      </c>
      <c r="EW342">
        <v>0</v>
      </c>
      <c r="EX342">
        <v>0</v>
      </c>
      <c r="FQ342">
        <v>0</v>
      </c>
      <c r="FR342">
        <f t="shared" si="332"/>
        <v>0</v>
      </c>
      <c r="FS342">
        <v>0</v>
      </c>
      <c r="FX342">
        <v>100</v>
      </c>
      <c r="FY342">
        <v>64</v>
      </c>
      <c r="GA342" t="s">
        <v>3</v>
      </c>
      <c r="GD342">
        <v>0</v>
      </c>
      <c r="GF342">
        <v>591180676</v>
      </c>
      <c r="GG342">
        <v>2</v>
      </c>
      <c r="GH342">
        <v>1</v>
      </c>
      <c r="GI342">
        <v>2</v>
      </c>
      <c r="GJ342">
        <v>0</v>
      </c>
      <c r="GK342">
        <f>ROUND(R342*(R12)/100,2)</f>
        <v>0</v>
      </c>
      <c r="GL342">
        <f t="shared" si="333"/>
        <v>0</v>
      </c>
      <c r="GM342">
        <f t="shared" si="334"/>
        <v>48782.43</v>
      </c>
      <c r="GN342">
        <f t="shared" si="335"/>
        <v>48782.43</v>
      </c>
      <c r="GO342">
        <f t="shared" si="336"/>
        <v>0</v>
      </c>
      <c r="GP342">
        <f t="shared" si="337"/>
        <v>0</v>
      </c>
      <c r="GR342">
        <v>0</v>
      </c>
      <c r="GS342">
        <v>3</v>
      </c>
      <c r="GT342">
        <v>0</v>
      </c>
      <c r="GU342" t="s">
        <v>3</v>
      </c>
      <c r="GV342">
        <f t="shared" si="338"/>
        <v>0</v>
      </c>
      <c r="GW342">
        <v>1</v>
      </c>
      <c r="GX342">
        <f t="shared" si="339"/>
        <v>0</v>
      </c>
      <c r="HA342">
        <v>0</v>
      </c>
      <c r="HB342">
        <v>0</v>
      </c>
      <c r="HC342">
        <f t="shared" si="340"/>
        <v>0</v>
      </c>
      <c r="HE342" t="s">
        <v>3</v>
      </c>
      <c r="HF342" t="s">
        <v>3</v>
      </c>
      <c r="HM342" t="s">
        <v>3</v>
      </c>
      <c r="IK342">
        <v>0</v>
      </c>
    </row>
    <row r="343" spans="1:245" x14ac:dyDescent="0.2">
      <c r="A343">
        <v>17</v>
      </c>
      <c r="B343">
        <v>1</v>
      </c>
      <c r="C343">
        <f>ROW(SmtRes!A226)</f>
        <v>226</v>
      </c>
      <c r="D343">
        <f>ROW(EtalonRes!A222)</f>
        <v>222</v>
      </c>
      <c r="E343" t="s">
        <v>475</v>
      </c>
      <c r="F343" t="s">
        <v>476</v>
      </c>
      <c r="G343" t="s">
        <v>477</v>
      </c>
      <c r="H343" t="s">
        <v>478</v>
      </c>
      <c r="I343">
        <f>ROUND(27/100,9)</f>
        <v>0.27</v>
      </c>
      <c r="J343">
        <v>0</v>
      </c>
      <c r="K343">
        <f>ROUND(27/100,9)</f>
        <v>0.27</v>
      </c>
      <c r="O343">
        <f t="shared" si="311"/>
        <v>8894.52</v>
      </c>
      <c r="P343">
        <f t="shared" si="312"/>
        <v>15.4</v>
      </c>
      <c r="Q343">
        <f>(ROUND((ROUND(((((ET343*2)*1.25))*AV343*I343),2)*BB343),2)+ROUND((ROUND(((AE343-(((EU343*2)*1.25)))*AV343*I343),2)*BS343),2))</f>
        <v>184.24</v>
      </c>
      <c r="R343">
        <f t="shared" si="313"/>
        <v>105.83</v>
      </c>
      <c r="S343">
        <f t="shared" si="314"/>
        <v>8694.8799999999992</v>
      </c>
      <c r="T343">
        <f t="shared" si="315"/>
        <v>0</v>
      </c>
      <c r="U343">
        <f t="shared" si="316"/>
        <v>29.062799999999999</v>
      </c>
      <c r="V343">
        <f t="shared" si="317"/>
        <v>0</v>
      </c>
      <c r="W343">
        <f t="shared" si="318"/>
        <v>0</v>
      </c>
      <c r="X343">
        <f t="shared" si="319"/>
        <v>7042.85</v>
      </c>
      <c r="Y343">
        <f t="shared" si="319"/>
        <v>3564.9</v>
      </c>
      <c r="AA343">
        <v>42938047</v>
      </c>
      <c r="AB343">
        <f t="shared" si="320"/>
        <v>1339.6559999999999</v>
      </c>
      <c r="AC343">
        <f>ROUND(((ES343*2)),6)</f>
        <v>8.68</v>
      </c>
      <c r="AD343">
        <f>ROUND((((((ET343*2)*1.25))-(((EU343*2)*1.25)))+AE343),6)</f>
        <v>65.125</v>
      </c>
      <c r="AE343">
        <f>ROUND((((EU343*2)*1.25)),6)</f>
        <v>15.4</v>
      </c>
      <c r="AF343">
        <f>ROUND((((EV343*2)*1.15)),6)</f>
        <v>1265.8510000000001</v>
      </c>
      <c r="AG343">
        <f t="shared" si="321"/>
        <v>0</v>
      </c>
      <c r="AH343">
        <f>(((EW343*2)*1.15))</f>
        <v>107.63999999999999</v>
      </c>
      <c r="AI343">
        <f>(((EX343*2)*1.25))</f>
        <v>0</v>
      </c>
      <c r="AJ343">
        <f t="shared" si="322"/>
        <v>0</v>
      </c>
      <c r="AK343">
        <v>580.76</v>
      </c>
      <c r="AL343">
        <v>4.34</v>
      </c>
      <c r="AM343">
        <v>26.05</v>
      </c>
      <c r="AN343">
        <v>6.16</v>
      </c>
      <c r="AO343">
        <v>550.37</v>
      </c>
      <c r="AP343">
        <v>0</v>
      </c>
      <c r="AQ343">
        <v>46.8</v>
      </c>
      <c r="AR343">
        <v>0</v>
      </c>
      <c r="AS343">
        <v>0</v>
      </c>
      <c r="AT343">
        <v>81</v>
      </c>
      <c r="AU343">
        <v>41</v>
      </c>
      <c r="AV343">
        <v>1</v>
      </c>
      <c r="AW343">
        <v>1</v>
      </c>
      <c r="AZ343">
        <v>1</v>
      </c>
      <c r="BA343">
        <v>25.44</v>
      </c>
      <c r="BB343">
        <v>10.48</v>
      </c>
      <c r="BC343">
        <v>6.58</v>
      </c>
      <c r="BD343" t="s">
        <v>3</v>
      </c>
      <c r="BE343" t="s">
        <v>3</v>
      </c>
      <c r="BF343" t="s">
        <v>3</v>
      </c>
      <c r="BG343" t="s">
        <v>3</v>
      </c>
      <c r="BH343">
        <v>0</v>
      </c>
      <c r="BI343">
        <v>1</v>
      </c>
      <c r="BJ343" t="s">
        <v>479</v>
      </c>
      <c r="BM343">
        <v>117</v>
      </c>
      <c r="BN343">
        <v>0</v>
      </c>
      <c r="BO343" t="s">
        <v>476</v>
      </c>
      <c r="BP343">
        <v>1</v>
      </c>
      <c r="BQ343">
        <v>30</v>
      </c>
      <c r="BR343">
        <v>0</v>
      </c>
      <c r="BS343">
        <v>25.44</v>
      </c>
      <c r="BT343">
        <v>1</v>
      </c>
      <c r="BU343">
        <v>1</v>
      </c>
      <c r="BV343">
        <v>1</v>
      </c>
      <c r="BW343">
        <v>1</v>
      </c>
      <c r="BX343">
        <v>1</v>
      </c>
      <c r="BY343" t="s">
        <v>3</v>
      </c>
      <c r="BZ343">
        <v>81</v>
      </c>
      <c r="CA343">
        <v>41</v>
      </c>
      <c r="CB343" t="s">
        <v>3</v>
      </c>
      <c r="CE343">
        <v>30</v>
      </c>
      <c r="CF343">
        <v>0</v>
      </c>
      <c r="CG343">
        <v>0</v>
      </c>
      <c r="CM343">
        <v>0</v>
      </c>
      <c r="CN343" t="s">
        <v>1584</v>
      </c>
      <c r="CO343">
        <v>0</v>
      </c>
      <c r="CP343">
        <f t="shared" si="323"/>
        <v>8894.5199999999986</v>
      </c>
      <c r="CQ343">
        <f t="shared" si="324"/>
        <v>57.11</v>
      </c>
      <c r="CR343">
        <f>(ROUND((ROUND(((((ET343*2)*1.25))*AV343*1),2)*BB343),2)+ROUND((ROUND(((AE343-(((EU343*2)*1.25)))*AV343*1),2)*BS343),2))</f>
        <v>682.56</v>
      </c>
      <c r="CS343">
        <f t="shared" si="325"/>
        <v>391.78</v>
      </c>
      <c r="CT343">
        <f t="shared" si="326"/>
        <v>32203.22</v>
      </c>
      <c r="CU343">
        <f t="shared" si="327"/>
        <v>0</v>
      </c>
      <c r="CV343">
        <f t="shared" si="328"/>
        <v>107.63999999999999</v>
      </c>
      <c r="CW343">
        <f t="shared" si="329"/>
        <v>0</v>
      </c>
      <c r="CX343">
        <f t="shared" si="329"/>
        <v>0</v>
      </c>
      <c r="CY343">
        <f t="shared" si="330"/>
        <v>7042.8527999999997</v>
      </c>
      <c r="CZ343">
        <f t="shared" si="331"/>
        <v>3564.9007999999994</v>
      </c>
      <c r="DC343" t="s">
        <v>3</v>
      </c>
      <c r="DD343" t="s">
        <v>480</v>
      </c>
      <c r="DE343" t="s">
        <v>481</v>
      </c>
      <c r="DF343" t="s">
        <v>481</v>
      </c>
      <c r="DG343" t="s">
        <v>482</v>
      </c>
      <c r="DH343" t="s">
        <v>3</v>
      </c>
      <c r="DI343" t="s">
        <v>482</v>
      </c>
      <c r="DJ343" t="s">
        <v>481</v>
      </c>
      <c r="DK343" t="s">
        <v>3</v>
      </c>
      <c r="DL343" t="s">
        <v>3</v>
      </c>
      <c r="DM343" t="s">
        <v>3</v>
      </c>
      <c r="DN343">
        <v>100</v>
      </c>
      <c r="DO343">
        <v>64</v>
      </c>
      <c r="DP343">
        <v>1</v>
      </c>
      <c r="DQ343">
        <v>1</v>
      </c>
      <c r="DU343">
        <v>1005</v>
      </c>
      <c r="DV343" t="s">
        <v>478</v>
      </c>
      <c r="DW343" t="s">
        <v>478</v>
      </c>
      <c r="DX343">
        <v>100</v>
      </c>
      <c r="DZ343" t="s">
        <v>3</v>
      </c>
      <c r="EA343" t="s">
        <v>3</v>
      </c>
      <c r="EB343" t="s">
        <v>3</v>
      </c>
      <c r="EC343" t="s">
        <v>3</v>
      </c>
      <c r="EE343">
        <v>43088195</v>
      </c>
      <c r="EF343">
        <v>30</v>
      </c>
      <c r="EG343" t="s">
        <v>22</v>
      </c>
      <c r="EH343">
        <v>0</v>
      </c>
      <c r="EI343" t="s">
        <v>3</v>
      </c>
      <c r="EJ343">
        <v>1</v>
      </c>
      <c r="EK343">
        <v>117</v>
      </c>
      <c r="EL343" t="s">
        <v>483</v>
      </c>
      <c r="EM343" t="s">
        <v>484</v>
      </c>
      <c r="EO343" t="s">
        <v>59</v>
      </c>
      <c r="EQ343">
        <v>0</v>
      </c>
      <c r="ER343">
        <v>580.76</v>
      </c>
      <c r="ES343">
        <v>4.34</v>
      </c>
      <c r="ET343">
        <v>26.05</v>
      </c>
      <c r="EU343">
        <v>6.16</v>
      </c>
      <c r="EV343">
        <v>550.37</v>
      </c>
      <c r="EW343">
        <v>46.8</v>
      </c>
      <c r="EX343">
        <v>0</v>
      </c>
      <c r="EY343">
        <v>0</v>
      </c>
      <c r="FQ343">
        <v>0</v>
      </c>
      <c r="FR343">
        <f t="shared" si="332"/>
        <v>0</v>
      </c>
      <c r="FS343">
        <v>0</v>
      </c>
      <c r="FX343">
        <v>100</v>
      </c>
      <c r="FY343">
        <v>64</v>
      </c>
      <c r="GA343" t="s">
        <v>3</v>
      </c>
      <c r="GD343">
        <v>0</v>
      </c>
      <c r="GF343">
        <v>-1217826150</v>
      </c>
      <c r="GG343">
        <v>2</v>
      </c>
      <c r="GH343">
        <v>1</v>
      </c>
      <c r="GI343">
        <v>2</v>
      </c>
      <c r="GJ343">
        <v>0</v>
      </c>
      <c r="GK343">
        <f>ROUND(R343*(R12)/100,2)</f>
        <v>166.15</v>
      </c>
      <c r="GL343">
        <f t="shared" si="333"/>
        <v>0</v>
      </c>
      <c r="GM343">
        <f t="shared" si="334"/>
        <v>19668.419999999998</v>
      </c>
      <c r="GN343">
        <f t="shared" si="335"/>
        <v>19668.419999999998</v>
      </c>
      <c r="GO343">
        <f t="shared" si="336"/>
        <v>0</v>
      </c>
      <c r="GP343">
        <f t="shared" si="337"/>
        <v>0</v>
      </c>
      <c r="GR343">
        <v>0</v>
      </c>
      <c r="GS343">
        <v>3</v>
      </c>
      <c r="GT343">
        <v>0</v>
      </c>
      <c r="GU343" t="s">
        <v>3</v>
      </c>
      <c r="GV343">
        <f t="shared" si="338"/>
        <v>0</v>
      </c>
      <c r="GW343">
        <v>1</v>
      </c>
      <c r="GX343">
        <f t="shared" si="339"/>
        <v>0</v>
      </c>
      <c r="HA343">
        <v>0</v>
      </c>
      <c r="HB343">
        <v>0</v>
      </c>
      <c r="HC343">
        <f t="shared" si="340"/>
        <v>0</v>
      </c>
      <c r="HE343" t="s">
        <v>3</v>
      </c>
      <c r="HF343" t="s">
        <v>3</v>
      </c>
      <c r="HM343" t="s">
        <v>3</v>
      </c>
      <c r="IK343">
        <v>0</v>
      </c>
    </row>
    <row r="344" spans="1:245" x14ac:dyDescent="0.2">
      <c r="A344">
        <v>18</v>
      </c>
      <c r="B344">
        <v>1</v>
      </c>
      <c r="C344">
        <v>223</v>
      </c>
      <c r="E344" t="s">
        <v>485</v>
      </c>
      <c r="F344" t="s">
        <v>486</v>
      </c>
      <c r="G344" t="s">
        <v>487</v>
      </c>
      <c r="H344" t="s">
        <v>104</v>
      </c>
      <c r="I344">
        <f>I343*J344</f>
        <v>2.7378E-2</v>
      </c>
      <c r="J344">
        <v>0.10139999999999999</v>
      </c>
      <c r="K344">
        <v>5.0700000000000002E-2</v>
      </c>
      <c r="O344">
        <f t="shared" si="311"/>
        <v>364.98</v>
      </c>
      <c r="P344">
        <f t="shared" si="312"/>
        <v>364.98</v>
      </c>
      <c r="Q344">
        <f>(ROUND((ROUND(((ET344)*AV344*I344),2)*BB344),2)+ROUND((ROUND(((AE344-(EU344))*AV344*I344),2)*BS344),2))</f>
        <v>0</v>
      </c>
      <c r="R344">
        <f t="shared" si="313"/>
        <v>0</v>
      </c>
      <c r="S344">
        <f t="shared" si="314"/>
        <v>0</v>
      </c>
      <c r="T344">
        <f t="shared" si="315"/>
        <v>0</v>
      </c>
      <c r="U344">
        <f t="shared" si="316"/>
        <v>0</v>
      </c>
      <c r="V344">
        <f t="shared" si="317"/>
        <v>0</v>
      </c>
      <c r="W344">
        <f t="shared" si="318"/>
        <v>0</v>
      </c>
      <c r="X344">
        <f t="shared" si="319"/>
        <v>0</v>
      </c>
      <c r="Y344">
        <f t="shared" si="319"/>
        <v>0</v>
      </c>
      <c r="AA344">
        <v>42938047</v>
      </c>
      <c r="AB344">
        <f t="shared" si="320"/>
        <v>2278.84</v>
      </c>
      <c r="AC344">
        <f>ROUND((ES344),6)</f>
        <v>2278.84</v>
      </c>
      <c r="AD344">
        <f>ROUND((((ET344)-(EU344))+AE344),6)</f>
        <v>0</v>
      </c>
      <c r="AE344">
        <f t="shared" ref="AE344:AF346" si="341">ROUND((EU344),6)</f>
        <v>0</v>
      </c>
      <c r="AF344">
        <f t="shared" si="341"/>
        <v>0</v>
      </c>
      <c r="AG344">
        <f t="shared" si="321"/>
        <v>0</v>
      </c>
      <c r="AH344">
        <f t="shared" ref="AH344:AI346" si="342">(EW344)</f>
        <v>0</v>
      </c>
      <c r="AI344">
        <f t="shared" si="342"/>
        <v>0</v>
      </c>
      <c r="AJ344">
        <f t="shared" si="322"/>
        <v>0</v>
      </c>
      <c r="AK344">
        <v>2278.84</v>
      </c>
      <c r="AL344">
        <v>2278.84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1</v>
      </c>
      <c r="AW344">
        <v>1</v>
      </c>
      <c r="AZ344">
        <v>1</v>
      </c>
      <c r="BA344">
        <v>1</v>
      </c>
      <c r="BB344">
        <v>1</v>
      </c>
      <c r="BC344">
        <v>5.85</v>
      </c>
      <c r="BD344" t="s">
        <v>3</v>
      </c>
      <c r="BE344" t="s">
        <v>3</v>
      </c>
      <c r="BF344" t="s">
        <v>3</v>
      </c>
      <c r="BG344" t="s">
        <v>3</v>
      </c>
      <c r="BH344">
        <v>3</v>
      </c>
      <c r="BI344">
        <v>1</v>
      </c>
      <c r="BJ344" t="s">
        <v>488</v>
      </c>
      <c r="BM344">
        <v>117</v>
      </c>
      <c r="BN344">
        <v>0</v>
      </c>
      <c r="BO344" t="s">
        <v>486</v>
      </c>
      <c r="BP344">
        <v>1</v>
      </c>
      <c r="BQ344">
        <v>30</v>
      </c>
      <c r="BR344">
        <v>0</v>
      </c>
      <c r="BS344">
        <v>1</v>
      </c>
      <c r="BT344">
        <v>1</v>
      </c>
      <c r="BU344">
        <v>1</v>
      </c>
      <c r="BV344">
        <v>1</v>
      </c>
      <c r="BW344">
        <v>1</v>
      </c>
      <c r="BX344">
        <v>1</v>
      </c>
      <c r="BY344" t="s">
        <v>3</v>
      </c>
      <c r="BZ344">
        <v>0</v>
      </c>
      <c r="CA344">
        <v>0</v>
      </c>
      <c r="CB344" t="s">
        <v>3</v>
      </c>
      <c r="CE344">
        <v>30</v>
      </c>
      <c r="CF344">
        <v>0</v>
      </c>
      <c r="CG344">
        <v>0</v>
      </c>
      <c r="CM344">
        <v>0</v>
      </c>
      <c r="CN344" t="s">
        <v>3</v>
      </c>
      <c r="CO344">
        <v>0</v>
      </c>
      <c r="CP344">
        <f t="shared" si="323"/>
        <v>364.98</v>
      </c>
      <c r="CQ344">
        <f t="shared" si="324"/>
        <v>13331.21</v>
      </c>
      <c r="CR344">
        <f>(ROUND((ROUND(((ET344)*AV344*1),2)*BB344),2)+ROUND((ROUND(((AE344-(EU344))*AV344*1),2)*BS344),2))</f>
        <v>0</v>
      </c>
      <c r="CS344">
        <f t="shared" si="325"/>
        <v>0</v>
      </c>
      <c r="CT344">
        <f t="shared" si="326"/>
        <v>0</v>
      </c>
      <c r="CU344">
        <f t="shared" si="327"/>
        <v>0</v>
      </c>
      <c r="CV344">
        <f t="shared" si="328"/>
        <v>0</v>
      </c>
      <c r="CW344">
        <f t="shared" si="329"/>
        <v>0</v>
      </c>
      <c r="CX344">
        <f t="shared" si="329"/>
        <v>0</v>
      </c>
      <c r="CY344">
        <f t="shared" si="330"/>
        <v>0</v>
      </c>
      <c r="CZ344">
        <f t="shared" si="331"/>
        <v>0</v>
      </c>
      <c r="DC344" t="s">
        <v>3</v>
      </c>
      <c r="DD344" t="s">
        <v>3</v>
      </c>
      <c r="DE344" t="s">
        <v>3</v>
      </c>
      <c r="DF344" t="s">
        <v>3</v>
      </c>
      <c r="DG344" t="s">
        <v>3</v>
      </c>
      <c r="DH344" t="s">
        <v>3</v>
      </c>
      <c r="DI344" t="s">
        <v>3</v>
      </c>
      <c r="DJ344" t="s">
        <v>3</v>
      </c>
      <c r="DK344" t="s">
        <v>3</v>
      </c>
      <c r="DL344" t="s">
        <v>3</v>
      </c>
      <c r="DM344" t="s">
        <v>3</v>
      </c>
      <c r="DN344">
        <v>100</v>
      </c>
      <c r="DO344">
        <v>64</v>
      </c>
      <c r="DP344">
        <v>1</v>
      </c>
      <c r="DQ344">
        <v>1</v>
      </c>
      <c r="DU344">
        <v>1009</v>
      </c>
      <c r="DV344" t="s">
        <v>104</v>
      </c>
      <c r="DW344" t="s">
        <v>104</v>
      </c>
      <c r="DX344">
        <v>1000</v>
      </c>
      <c r="DZ344" t="s">
        <v>3</v>
      </c>
      <c r="EA344" t="s">
        <v>3</v>
      </c>
      <c r="EB344" t="s">
        <v>3</v>
      </c>
      <c r="EC344" t="s">
        <v>3</v>
      </c>
      <c r="EE344">
        <v>43088195</v>
      </c>
      <c r="EF344">
        <v>30</v>
      </c>
      <c r="EG344" t="s">
        <v>22</v>
      </c>
      <c r="EH344">
        <v>0</v>
      </c>
      <c r="EI344" t="s">
        <v>3</v>
      </c>
      <c r="EJ344">
        <v>1</v>
      </c>
      <c r="EK344">
        <v>117</v>
      </c>
      <c r="EL344" t="s">
        <v>483</v>
      </c>
      <c r="EM344" t="s">
        <v>484</v>
      </c>
      <c r="EO344" t="s">
        <v>3</v>
      </c>
      <c r="EQ344">
        <v>0</v>
      </c>
      <c r="ER344">
        <v>2278.84</v>
      </c>
      <c r="ES344">
        <v>2278.84</v>
      </c>
      <c r="ET344">
        <v>0</v>
      </c>
      <c r="EU344">
        <v>0</v>
      </c>
      <c r="EV344">
        <v>0</v>
      </c>
      <c r="EW344">
        <v>0</v>
      </c>
      <c r="EX344">
        <v>0</v>
      </c>
      <c r="FQ344">
        <v>0</v>
      </c>
      <c r="FR344">
        <f t="shared" si="332"/>
        <v>0</v>
      </c>
      <c r="FS344">
        <v>0</v>
      </c>
      <c r="FX344">
        <v>100</v>
      </c>
      <c r="FY344">
        <v>64</v>
      </c>
      <c r="GA344" t="s">
        <v>3</v>
      </c>
      <c r="GD344">
        <v>0</v>
      </c>
      <c r="GF344">
        <v>1793685401</v>
      </c>
      <c r="GG344">
        <v>2</v>
      </c>
      <c r="GH344">
        <v>1</v>
      </c>
      <c r="GI344">
        <v>2</v>
      </c>
      <c r="GJ344">
        <v>0</v>
      </c>
      <c r="GK344">
        <f>ROUND(R344*(R12)/100,2)</f>
        <v>0</v>
      </c>
      <c r="GL344">
        <f t="shared" si="333"/>
        <v>0</v>
      </c>
      <c r="GM344">
        <f t="shared" si="334"/>
        <v>364.98</v>
      </c>
      <c r="GN344">
        <f t="shared" si="335"/>
        <v>364.98</v>
      </c>
      <c r="GO344">
        <f t="shared" si="336"/>
        <v>0</v>
      </c>
      <c r="GP344">
        <f t="shared" si="337"/>
        <v>0</v>
      </c>
      <c r="GR344">
        <v>0</v>
      </c>
      <c r="GS344">
        <v>3</v>
      </c>
      <c r="GT344">
        <v>0</v>
      </c>
      <c r="GU344" t="s">
        <v>3</v>
      </c>
      <c r="GV344">
        <f t="shared" si="338"/>
        <v>0</v>
      </c>
      <c r="GW344">
        <v>1</v>
      </c>
      <c r="GX344">
        <f t="shared" si="339"/>
        <v>0</v>
      </c>
      <c r="HA344">
        <v>0</v>
      </c>
      <c r="HB344">
        <v>0</v>
      </c>
      <c r="HC344">
        <f t="shared" si="340"/>
        <v>0</v>
      </c>
      <c r="HE344" t="s">
        <v>3</v>
      </c>
      <c r="HF344" t="s">
        <v>3</v>
      </c>
      <c r="HM344" t="s">
        <v>480</v>
      </c>
      <c r="IK344">
        <v>0</v>
      </c>
    </row>
    <row r="345" spans="1:245" x14ac:dyDescent="0.2">
      <c r="A345">
        <v>18</v>
      </c>
      <c r="B345">
        <v>1</v>
      </c>
      <c r="C345">
        <v>224</v>
      </c>
      <c r="E345" t="s">
        <v>489</v>
      </c>
      <c r="F345" t="s">
        <v>490</v>
      </c>
      <c r="G345" t="s">
        <v>491</v>
      </c>
      <c r="H345" t="s">
        <v>131</v>
      </c>
      <c r="I345">
        <f>I343*J345</f>
        <v>6.9119999999999999</v>
      </c>
      <c r="J345">
        <v>25.599999999999998</v>
      </c>
      <c r="K345">
        <v>12.8</v>
      </c>
      <c r="O345">
        <f t="shared" si="311"/>
        <v>401.9</v>
      </c>
      <c r="P345">
        <f t="shared" si="312"/>
        <v>401.9</v>
      </c>
      <c r="Q345">
        <f>(ROUND((ROUND(((ET345)*AV345*I345),2)*BB345),2)+ROUND((ROUND(((AE345-(EU345))*AV345*I345),2)*BS345),2))</f>
        <v>0</v>
      </c>
      <c r="R345">
        <f t="shared" si="313"/>
        <v>0</v>
      </c>
      <c r="S345">
        <f t="shared" si="314"/>
        <v>0</v>
      </c>
      <c r="T345">
        <f t="shared" si="315"/>
        <v>0</v>
      </c>
      <c r="U345">
        <f t="shared" si="316"/>
        <v>0</v>
      </c>
      <c r="V345">
        <f t="shared" si="317"/>
        <v>0</v>
      </c>
      <c r="W345">
        <f t="shared" si="318"/>
        <v>0</v>
      </c>
      <c r="X345">
        <f t="shared" si="319"/>
        <v>0</v>
      </c>
      <c r="Y345">
        <f t="shared" si="319"/>
        <v>0</v>
      </c>
      <c r="AA345">
        <v>42938047</v>
      </c>
      <c r="AB345">
        <f t="shared" si="320"/>
        <v>20.190000000000001</v>
      </c>
      <c r="AC345">
        <f>ROUND((ES345),6)</f>
        <v>20.190000000000001</v>
      </c>
      <c r="AD345">
        <f>ROUND((((ET345)-(EU345))+AE345),6)</f>
        <v>0</v>
      </c>
      <c r="AE345">
        <f t="shared" si="341"/>
        <v>0</v>
      </c>
      <c r="AF345">
        <f t="shared" si="341"/>
        <v>0</v>
      </c>
      <c r="AG345">
        <f t="shared" si="321"/>
        <v>0</v>
      </c>
      <c r="AH345">
        <f t="shared" si="342"/>
        <v>0</v>
      </c>
      <c r="AI345">
        <f t="shared" si="342"/>
        <v>0</v>
      </c>
      <c r="AJ345">
        <f t="shared" si="322"/>
        <v>0</v>
      </c>
      <c r="AK345">
        <v>20.190000000000001</v>
      </c>
      <c r="AL345">
        <v>20.190000000000001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1</v>
      </c>
      <c r="AW345">
        <v>1</v>
      </c>
      <c r="AZ345">
        <v>1</v>
      </c>
      <c r="BA345">
        <v>1</v>
      </c>
      <c r="BB345">
        <v>1</v>
      </c>
      <c r="BC345">
        <v>2.88</v>
      </c>
      <c r="BD345" t="s">
        <v>3</v>
      </c>
      <c r="BE345" t="s">
        <v>3</v>
      </c>
      <c r="BF345" t="s">
        <v>3</v>
      </c>
      <c r="BG345" t="s">
        <v>3</v>
      </c>
      <c r="BH345">
        <v>3</v>
      </c>
      <c r="BI345">
        <v>1</v>
      </c>
      <c r="BJ345" t="s">
        <v>492</v>
      </c>
      <c r="BM345">
        <v>117</v>
      </c>
      <c r="BN345">
        <v>0</v>
      </c>
      <c r="BO345" t="s">
        <v>490</v>
      </c>
      <c r="BP345">
        <v>1</v>
      </c>
      <c r="BQ345">
        <v>30</v>
      </c>
      <c r="BR345">
        <v>0</v>
      </c>
      <c r="BS345">
        <v>1</v>
      </c>
      <c r="BT345">
        <v>1</v>
      </c>
      <c r="BU345">
        <v>1</v>
      </c>
      <c r="BV345">
        <v>1</v>
      </c>
      <c r="BW345">
        <v>1</v>
      </c>
      <c r="BX345">
        <v>1</v>
      </c>
      <c r="BY345" t="s">
        <v>3</v>
      </c>
      <c r="BZ345">
        <v>0</v>
      </c>
      <c r="CA345">
        <v>0</v>
      </c>
      <c r="CB345" t="s">
        <v>3</v>
      </c>
      <c r="CE345">
        <v>30</v>
      </c>
      <c r="CF345">
        <v>0</v>
      </c>
      <c r="CG345">
        <v>0</v>
      </c>
      <c r="CM345">
        <v>0</v>
      </c>
      <c r="CN345" t="s">
        <v>3</v>
      </c>
      <c r="CO345">
        <v>0</v>
      </c>
      <c r="CP345">
        <f t="shared" si="323"/>
        <v>401.9</v>
      </c>
      <c r="CQ345">
        <f t="shared" si="324"/>
        <v>58.15</v>
      </c>
      <c r="CR345">
        <f>(ROUND((ROUND(((ET345)*AV345*1),2)*BB345),2)+ROUND((ROUND(((AE345-(EU345))*AV345*1),2)*BS345),2))</f>
        <v>0</v>
      </c>
      <c r="CS345">
        <f t="shared" si="325"/>
        <v>0</v>
      </c>
      <c r="CT345">
        <f t="shared" si="326"/>
        <v>0</v>
      </c>
      <c r="CU345">
        <f t="shared" si="327"/>
        <v>0</v>
      </c>
      <c r="CV345">
        <f t="shared" si="328"/>
        <v>0</v>
      </c>
      <c r="CW345">
        <f t="shared" si="329"/>
        <v>0</v>
      </c>
      <c r="CX345">
        <f t="shared" si="329"/>
        <v>0</v>
      </c>
      <c r="CY345">
        <f t="shared" si="330"/>
        <v>0</v>
      </c>
      <c r="CZ345">
        <f t="shared" si="331"/>
        <v>0</v>
      </c>
      <c r="DC345" t="s">
        <v>3</v>
      </c>
      <c r="DD345" t="s">
        <v>3</v>
      </c>
      <c r="DE345" t="s">
        <v>3</v>
      </c>
      <c r="DF345" t="s">
        <v>3</v>
      </c>
      <c r="DG345" t="s">
        <v>3</v>
      </c>
      <c r="DH345" t="s">
        <v>3</v>
      </c>
      <c r="DI345" t="s">
        <v>3</v>
      </c>
      <c r="DJ345" t="s">
        <v>3</v>
      </c>
      <c r="DK345" t="s">
        <v>3</v>
      </c>
      <c r="DL345" t="s">
        <v>3</v>
      </c>
      <c r="DM345" t="s">
        <v>3</v>
      </c>
      <c r="DN345">
        <v>100</v>
      </c>
      <c r="DO345">
        <v>64</v>
      </c>
      <c r="DP345">
        <v>1</v>
      </c>
      <c r="DQ345">
        <v>1</v>
      </c>
      <c r="DU345">
        <v>1009</v>
      </c>
      <c r="DV345" t="s">
        <v>131</v>
      </c>
      <c r="DW345" t="s">
        <v>131</v>
      </c>
      <c r="DX345">
        <v>1</v>
      </c>
      <c r="DZ345" t="s">
        <v>3</v>
      </c>
      <c r="EA345" t="s">
        <v>3</v>
      </c>
      <c r="EB345" t="s">
        <v>3</v>
      </c>
      <c r="EC345" t="s">
        <v>3</v>
      </c>
      <c r="EE345">
        <v>43088195</v>
      </c>
      <c r="EF345">
        <v>30</v>
      </c>
      <c r="EG345" t="s">
        <v>22</v>
      </c>
      <c r="EH345">
        <v>0</v>
      </c>
      <c r="EI345" t="s">
        <v>3</v>
      </c>
      <c r="EJ345">
        <v>1</v>
      </c>
      <c r="EK345">
        <v>117</v>
      </c>
      <c r="EL345" t="s">
        <v>483</v>
      </c>
      <c r="EM345" t="s">
        <v>484</v>
      </c>
      <c r="EO345" t="s">
        <v>3</v>
      </c>
      <c r="EQ345">
        <v>0</v>
      </c>
      <c r="ER345">
        <v>20.190000000000001</v>
      </c>
      <c r="ES345">
        <v>20.190000000000001</v>
      </c>
      <c r="ET345">
        <v>0</v>
      </c>
      <c r="EU345">
        <v>0</v>
      </c>
      <c r="EV345">
        <v>0</v>
      </c>
      <c r="EW345">
        <v>0</v>
      </c>
      <c r="EX345">
        <v>0</v>
      </c>
      <c r="FQ345">
        <v>0</v>
      </c>
      <c r="FR345">
        <f t="shared" si="332"/>
        <v>0</v>
      </c>
      <c r="FS345">
        <v>0</v>
      </c>
      <c r="FX345">
        <v>100</v>
      </c>
      <c r="FY345">
        <v>64</v>
      </c>
      <c r="GA345" t="s">
        <v>3</v>
      </c>
      <c r="GD345">
        <v>0</v>
      </c>
      <c r="GF345">
        <v>-1082935818</v>
      </c>
      <c r="GG345">
        <v>2</v>
      </c>
      <c r="GH345">
        <v>1</v>
      </c>
      <c r="GI345">
        <v>2</v>
      </c>
      <c r="GJ345">
        <v>0</v>
      </c>
      <c r="GK345">
        <f>ROUND(R345*(R12)/100,2)</f>
        <v>0</v>
      </c>
      <c r="GL345">
        <f t="shared" si="333"/>
        <v>0</v>
      </c>
      <c r="GM345">
        <f t="shared" si="334"/>
        <v>401.9</v>
      </c>
      <c r="GN345">
        <f t="shared" si="335"/>
        <v>401.9</v>
      </c>
      <c r="GO345">
        <f t="shared" si="336"/>
        <v>0</v>
      </c>
      <c r="GP345">
        <f t="shared" si="337"/>
        <v>0</v>
      </c>
      <c r="GR345">
        <v>0</v>
      </c>
      <c r="GS345">
        <v>3</v>
      </c>
      <c r="GT345">
        <v>0</v>
      </c>
      <c r="GU345" t="s">
        <v>3</v>
      </c>
      <c r="GV345">
        <f t="shared" si="338"/>
        <v>0</v>
      </c>
      <c r="GW345">
        <v>1</v>
      </c>
      <c r="GX345">
        <f t="shared" si="339"/>
        <v>0</v>
      </c>
      <c r="HA345">
        <v>0</v>
      </c>
      <c r="HB345">
        <v>0</v>
      </c>
      <c r="HC345">
        <f t="shared" si="340"/>
        <v>0</v>
      </c>
      <c r="HE345" t="s">
        <v>3</v>
      </c>
      <c r="HF345" t="s">
        <v>3</v>
      </c>
      <c r="HM345" t="s">
        <v>480</v>
      </c>
      <c r="IK345">
        <v>0</v>
      </c>
    </row>
    <row r="346" spans="1:245" x14ac:dyDescent="0.2">
      <c r="A346">
        <v>18</v>
      </c>
      <c r="B346">
        <v>1</v>
      </c>
      <c r="C346">
        <v>226</v>
      </c>
      <c r="E346" t="s">
        <v>493</v>
      </c>
      <c r="F346" t="s">
        <v>118</v>
      </c>
      <c r="G346" t="s">
        <v>494</v>
      </c>
      <c r="H346" t="s">
        <v>104</v>
      </c>
      <c r="I346">
        <f>I343*J346</f>
        <v>3.1859999999999999E-2</v>
      </c>
      <c r="J346">
        <v>0.11799999999999999</v>
      </c>
      <c r="K346">
        <v>5.8999999999999997E-2</v>
      </c>
      <c r="O346">
        <f t="shared" si="311"/>
        <v>23181.32</v>
      </c>
      <c r="P346">
        <f t="shared" si="312"/>
        <v>23181.32</v>
      </c>
      <c r="Q346">
        <f>(ROUND((ROUND(((ET346)*AV346*I346),2)*BB346),2)+ROUND((ROUND(((AE346-(EU346))*AV346*I346),2)*BS346),2))</f>
        <v>0</v>
      </c>
      <c r="R346">
        <f t="shared" si="313"/>
        <v>0</v>
      </c>
      <c r="S346">
        <f t="shared" si="314"/>
        <v>0</v>
      </c>
      <c r="T346">
        <f t="shared" si="315"/>
        <v>0</v>
      </c>
      <c r="U346">
        <f t="shared" si="316"/>
        <v>0</v>
      </c>
      <c r="V346">
        <f t="shared" si="317"/>
        <v>0</v>
      </c>
      <c r="W346">
        <f t="shared" si="318"/>
        <v>0</v>
      </c>
      <c r="X346">
        <f t="shared" si="319"/>
        <v>0</v>
      </c>
      <c r="Y346">
        <f t="shared" si="319"/>
        <v>0</v>
      </c>
      <c r="AA346">
        <v>42938047</v>
      </c>
      <c r="AB346">
        <f t="shared" si="320"/>
        <v>114763.4</v>
      </c>
      <c r="AC346">
        <f>ROUND((ES346),6)</f>
        <v>114763.4</v>
      </c>
      <c r="AD346">
        <f>ROUND((((ET346)-(EU346))+AE346),6)</f>
        <v>0</v>
      </c>
      <c r="AE346">
        <f t="shared" si="341"/>
        <v>0</v>
      </c>
      <c r="AF346">
        <f t="shared" si="341"/>
        <v>0</v>
      </c>
      <c r="AG346">
        <f t="shared" si="321"/>
        <v>0</v>
      </c>
      <c r="AH346">
        <f t="shared" si="342"/>
        <v>0</v>
      </c>
      <c r="AI346">
        <f t="shared" si="342"/>
        <v>0</v>
      </c>
      <c r="AJ346">
        <f t="shared" si="322"/>
        <v>0</v>
      </c>
      <c r="AK346">
        <v>114763.4</v>
      </c>
      <c r="AL346">
        <v>114763.4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1</v>
      </c>
      <c r="AW346">
        <v>1</v>
      </c>
      <c r="AZ346">
        <v>1</v>
      </c>
      <c r="BA346">
        <v>1</v>
      </c>
      <c r="BB346">
        <v>1</v>
      </c>
      <c r="BC346">
        <v>6.34</v>
      </c>
      <c r="BD346" t="s">
        <v>3</v>
      </c>
      <c r="BE346" t="s">
        <v>3</v>
      </c>
      <c r="BF346" t="s">
        <v>3</v>
      </c>
      <c r="BG346" t="s">
        <v>3</v>
      </c>
      <c r="BH346">
        <v>3</v>
      </c>
      <c r="BI346">
        <v>1</v>
      </c>
      <c r="BJ346" t="s">
        <v>3</v>
      </c>
      <c r="BM346">
        <v>116</v>
      </c>
      <c r="BN346">
        <v>0</v>
      </c>
      <c r="BO346" t="s">
        <v>3</v>
      </c>
      <c r="BP346">
        <v>0</v>
      </c>
      <c r="BQ346">
        <v>30</v>
      </c>
      <c r="BR346">
        <v>0</v>
      </c>
      <c r="BS346">
        <v>1</v>
      </c>
      <c r="BT346">
        <v>1</v>
      </c>
      <c r="BU346">
        <v>1</v>
      </c>
      <c r="BV346">
        <v>1</v>
      </c>
      <c r="BW346">
        <v>1</v>
      </c>
      <c r="BX346">
        <v>1</v>
      </c>
      <c r="BY346" t="s">
        <v>3</v>
      </c>
      <c r="BZ346">
        <v>0</v>
      </c>
      <c r="CA346">
        <v>0</v>
      </c>
      <c r="CB346" t="s">
        <v>3</v>
      </c>
      <c r="CE346">
        <v>30</v>
      </c>
      <c r="CF346">
        <v>0</v>
      </c>
      <c r="CG346">
        <v>0</v>
      </c>
      <c r="CM346">
        <v>0</v>
      </c>
      <c r="CN346" t="s">
        <v>3</v>
      </c>
      <c r="CO346">
        <v>0</v>
      </c>
      <c r="CP346">
        <f t="shared" si="323"/>
        <v>23181.32</v>
      </c>
      <c r="CQ346">
        <f t="shared" si="324"/>
        <v>727599.96</v>
      </c>
      <c r="CR346">
        <f>(ROUND((ROUND(((ET346)*AV346*1),2)*BB346),2)+ROUND((ROUND(((AE346-(EU346))*AV346*1),2)*BS346),2))</f>
        <v>0</v>
      </c>
      <c r="CS346">
        <f t="shared" si="325"/>
        <v>0</v>
      </c>
      <c r="CT346">
        <f t="shared" si="326"/>
        <v>0</v>
      </c>
      <c r="CU346">
        <f t="shared" si="327"/>
        <v>0</v>
      </c>
      <c r="CV346">
        <f t="shared" si="328"/>
        <v>0</v>
      </c>
      <c r="CW346">
        <f t="shared" si="329"/>
        <v>0</v>
      </c>
      <c r="CX346">
        <f t="shared" si="329"/>
        <v>0</v>
      </c>
      <c r="CY346">
        <f t="shared" si="330"/>
        <v>0</v>
      </c>
      <c r="CZ346">
        <f t="shared" si="331"/>
        <v>0</v>
      </c>
      <c r="DC346" t="s">
        <v>3</v>
      </c>
      <c r="DD346" t="s">
        <v>3</v>
      </c>
      <c r="DE346" t="s">
        <v>3</v>
      </c>
      <c r="DF346" t="s">
        <v>3</v>
      </c>
      <c r="DG346" t="s">
        <v>3</v>
      </c>
      <c r="DH346" t="s">
        <v>3</v>
      </c>
      <c r="DI346" t="s">
        <v>3</v>
      </c>
      <c r="DJ346" t="s">
        <v>3</v>
      </c>
      <c r="DK346" t="s">
        <v>3</v>
      </c>
      <c r="DL346" t="s">
        <v>3</v>
      </c>
      <c r="DM346" t="s">
        <v>3</v>
      </c>
      <c r="DN346">
        <v>100</v>
      </c>
      <c r="DO346">
        <v>64</v>
      </c>
      <c r="DP346">
        <v>1</v>
      </c>
      <c r="DQ346">
        <v>1</v>
      </c>
      <c r="DU346">
        <v>1012</v>
      </c>
      <c r="DV346" t="s">
        <v>104</v>
      </c>
      <c r="DW346" t="s">
        <v>495</v>
      </c>
      <c r="DX346">
        <v>1</v>
      </c>
      <c r="DZ346" t="s">
        <v>3</v>
      </c>
      <c r="EA346" t="s">
        <v>3</v>
      </c>
      <c r="EB346" t="s">
        <v>3</v>
      </c>
      <c r="EC346" t="s">
        <v>3</v>
      </c>
      <c r="EE346">
        <v>43088194</v>
      </c>
      <c r="EF346">
        <v>30</v>
      </c>
      <c r="EG346" t="s">
        <v>22</v>
      </c>
      <c r="EH346">
        <v>0</v>
      </c>
      <c r="EI346" t="s">
        <v>3</v>
      </c>
      <c r="EJ346">
        <v>1</v>
      </c>
      <c r="EK346">
        <v>116</v>
      </c>
      <c r="EL346" t="s">
        <v>496</v>
      </c>
      <c r="EM346" t="s">
        <v>497</v>
      </c>
      <c r="EO346" t="s">
        <v>3</v>
      </c>
      <c r="EQ346">
        <v>0</v>
      </c>
      <c r="ER346">
        <v>114763.4</v>
      </c>
      <c r="ES346">
        <v>114763.4</v>
      </c>
      <c r="ET346">
        <v>0</v>
      </c>
      <c r="EU346">
        <v>0</v>
      </c>
      <c r="EV346">
        <v>0</v>
      </c>
      <c r="EW346">
        <v>0</v>
      </c>
      <c r="EX346">
        <v>0</v>
      </c>
      <c r="EZ346">
        <v>5</v>
      </c>
      <c r="FC346">
        <v>1</v>
      </c>
      <c r="FD346">
        <v>18</v>
      </c>
      <c r="FF346">
        <v>856000</v>
      </c>
      <c r="FQ346">
        <v>0</v>
      </c>
      <c r="FR346">
        <f t="shared" si="332"/>
        <v>0</v>
      </c>
      <c r="FS346">
        <v>0</v>
      </c>
      <c r="FX346">
        <v>100</v>
      </c>
      <c r="FY346">
        <v>64</v>
      </c>
      <c r="GA346" t="s">
        <v>498</v>
      </c>
      <c r="GD346">
        <v>0</v>
      </c>
      <c r="GF346">
        <v>582006861</v>
      </c>
      <c r="GG346">
        <v>2</v>
      </c>
      <c r="GH346">
        <v>3</v>
      </c>
      <c r="GI346">
        <v>3</v>
      </c>
      <c r="GJ346">
        <v>0</v>
      </c>
      <c r="GK346">
        <f>ROUND(R346*(R12)/100,2)</f>
        <v>0</v>
      </c>
      <c r="GL346">
        <f t="shared" si="333"/>
        <v>0</v>
      </c>
      <c r="GM346">
        <f t="shared" si="334"/>
        <v>23181.32</v>
      </c>
      <c r="GN346">
        <f t="shared" si="335"/>
        <v>23181.32</v>
      </c>
      <c r="GO346">
        <f t="shared" si="336"/>
        <v>0</v>
      </c>
      <c r="GP346">
        <f t="shared" si="337"/>
        <v>0</v>
      </c>
      <c r="GR346">
        <v>1</v>
      </c>
      <c r="GS346">
        <v>1</v>
      </c>
      <c r="GT346">
        <v>0</v>
      </c>
      <c r="GU346" t="s">
        <v>3</v>
      </c>
      <c r="GV346">
        <f t="shared" si="338"/>
        <v>0</v>
      </c>
      <c r="GW346">
        <v>1</v>
      </c>
      <c r="GX346">
        <f t="shared" si="339"/>
        <v>0</v>
      </c>
      <c r="HA346">
        <v>0</v>
      </c>
      <c r="HB346">
        <v>0</v>
      </c>
      <c r="HC346">
        <f t="shared" si="340"/>
        <v>0</v>
      </c>
      <c r="HE346" t="s">
        <v>26</v>
      </c>
      <c r="HF346" t="s">
        <v>122</v>
      </c>
      <c r="HM346" t="s">
        <v>480</v>
      </c>
      <c r="IK346">
        <v>0</v>
      </c>
    </row>
    <row r="348" spans="1:245" x14ac:dyDescent="0.2">
      <c r="A348" s="2">
        <v>51</v>
      </c>
      <c r="B348" s="2">
        <f>B335</f>
        <v>1</v>
      </c>
      <c r="C348" s="2">
        <f>A335</f>
        <v>4</v>
      </c>
      <c r="D348" s="2">
        <f>ROW(A335)</f>
        <v>335</v>
      </c>
      <c r="E348" s="2"/>
      <c r="F348" s="2" t="str">
        <f>IF(F335&lt;&gt;"",F335,"")</f>
        <v>Новый раздел</v>
      </c>
      <c r="G348" s="2" t="str">
        <f>IF(G335&lt;&gt;"",G335,"")</f>
        <v>Ремонт бетонных конструкций</v>
      </c>
      <c r="H348" s="2">
        <v>0</v>
      </c>
      <c r="I348" s="2"/>
      <c r="J348" s="2"/>
      <c r="K348" s="2"/>
      <c r="L348" s="2"/>
      <c r="M348" s="2"/>
      <c r="N348" s="2"/>
      <c r="O348" s="2">
        <f t="shared" ref="O348:T348" si="343">ROUND(AB348,2)</f>
        <v>119358.61</v>
      </c>
      <c r="P348" s="2">
        <f t="shared" si="343"/>
        <v>93319.18</v>
      </c>
      <c r="Q348" s="2">
        <f t="shared" si="343"/>
        <v>1110.78</v>
      </c>
      <c r="R348" s="2">
        <f t="shared" si="343"/>
        <v>624.54999999999995</v>
      </c>
      <c r="S348" s="2">
        <f t="shared" si="343"/>
        <v>24928.65</v>
      </c>
      <c r="T348" s="2">
        <f t="shared" si="343"/>
        <v>0</v>
      </c>
      <c r="U348" s="2">
        <f>AH348</f>
        <v>85.884299999999996</v>
      </c>
      <c r="V348" s="2">
        <f>AI348</f>
        <v>0</v>
      </c>
      <c r="W348" s="2">
        <f>ROUND(AJ348,2)</f>
        <v>0</v>
      </c>
      <c r="X348" s="2">
        <f>ROUND(AK348,2)</f>
        <v>19667.45</v>
      </c>
      <c r="Y348" s="2">
        <f>ROUND(AL348,2)</f>
        <v>10220.75</v>
      </c>
      <c r="Z348" s="2"/>
      <c r="AA348" s="2"/>
      <c r="AB348" s="2">
        <f>ROUND(SUMIF(AA339:AA346,"=42938047",O339:O346),2)</f>
        <v>119358.61</v>
      </c>
      <c r="AC348" s="2">
        <f>ROUND(SUMIF(AA339:AA346,"=42938047",P339:P346),2)</f>
        <v>93319.18</v>
      </c>
      <c r="AD348" s="2">
        <f>ROUND(SUMIF(AA339:AA346,"=42938047",Q339:Q346),2)</f>
        <v>1110.78</v>
      </c>
      <c r="AE348" s="2">
        <f>ROUND(SUMIF(AA339:AA346,"=42938047",R339:R346),2)</f>
        <v>624.54999999999995</v>
      </c>
      <c r="AF348" s="2">
        <f>ROUND(SUMIF(AA339:AA346,"=42938047",S339:S346),2)</f>
        <v>24928.65</v>
      </c>
      <c r="AG348" s="2">
        <f>ROUND(SUMIF(AA339:AA346,"=42938047",T339:T346),2)</f>
        <v>0</v>
      </c>
      <c r="AH348" s="2">
        <f>SUMIF(AA339:AA346,"=42938047",U339:U346)</f>
        <v>85.884299999999996</v>
      </c>
      <c r="AI348" s="2">
        <f>SUMIF(AA339:AA346,"=42938047",V339:V346)</f>
        <v>0</v>
      </c>
      <c r="AJ348" s="2">
        <f>ROUND(SUMIF(AA339:AA346,"=42938047",W339:W346),2)</f>
        <v>0</v>
      </c>
      <c r="AK348" s="2">
        <f>ROUND(SUMIF(AA339:AA346,"=42938047",X339:X346),2)</f>
        <v>19667.45</v>
      </c>
      <c r="AL348" s="2">
        <f>ROUND(SUMIF(AA339:AA346,"=42938047",Y339:Y346),2)</f>
        <v>10220.75</v>
      </c>
      <c r="AM348" s="2"/>
      <c r="AN348" s="2"/>
      <c r="AO348" s="2">
        <f t="shared" ref="AO348:BD348" si="344">ROUND(BX348,2)</f>
        <v>0</v>
      </c>
      <c r="AP348" s="2">
        <f t="shared" si="344"/>
        <v>0</v>
      </c>
      <c r="AQ348" s="2">
        <f t="shared" si="344"/>
        <v>0</v>
      </c>
      <c r="AR348" s="2">
        <f t="shared" si="344"/>
        <v>150227.35</v>
      </c>
      <c r="AS348" s="2">
        <f t="shared" si="344"/>
        <v>150227.35</v>
      </c>
      <c r="AT348" s="2">
        <f t="shared" si="344"/>
        <v>0</v>
      </c>
      <c r="AU348" s="2">
        <f t="shared" si="344"/>
        <v>0</v>
      </c>
      <c r="AV348" s="2">
        <f t="shared" si="344"/>
        <v>93319.18</v>
      </c>
      <c r="AW348" s="2">
        <f t="shared" si="344"/>
        <v>93319.18</v>
      </c>
      <c r="AX348" s="2">
        <f t="shared" si="344"/>
        <v>0</v>
      </c>
      <c r="AY348" s="2">
        <f t="shared" si="344"/>
        <v>93319.18</v>
      </c>
      <c r="AZ348" s="2">
        <f t="shared" si="344"/>
        <v>0</v>
      </c>
      <c r="BA348" s="2">
        <f t="shared" si="344"/>
        <v>0</v>
      </c>
      <c r="BB348" s="2">
        <f t="shared" si="344"/>
        <v>0</v>
      </c>
      <c r="BC348" s="2">
        <f t="shared" si="344"/>
        <v>0</v>
      </c>
      <c r="BD348" s="2">
        <f t="shared" si="344"/>
        <v>0</v>
      </c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>
        <f>ROUND(SUMIF(AA339:AA346,"=42938047",FQ339:FQ346),2)</f>
        <v>0</v>
      </c>
      <c r="BY348" s="2">
        <f>ROUND(SUMIF(AA339:AA346,"=42938047",FR339:FR346),2)</f>
        <v>0</v>
      </c>
      <c r="BZ348" s="2">
        <f>ROUND(SUMIF(AA339:AA346,"=42938047",GL339:GL346),2)</f>
        <v>0</v>
      </c>
      <c r="CA348" s="2">
        <f>ROUND(SUMIF(AA339:AA346,"=42938047",GM339:GM346),2)</f>
        <v>150227.35</v>
      </c>
      <c r="CB348" s="2">
        <f>ROUND(SUMIF(AA339:AA346,"=42938047",GN339:GN346),2)</f>
        <v>150227.35</v>
      </c>
      <c r="CC348" s="2">
        <f>ROUND(SUMIF(AA339:AA346,"=42938047",GO339:GO346),2)</f>
        <v>0</v>
      </c>
      <c r="CD348" s="2">
        <f>ROUND(SUMIF(AA339:AA346,"=42938047",GP339:GP346),2)</f>
        <v>0</v>
      </c>
      <c r="CE348" s="2">
        <f>AC348-BX348</f>
        <v>93319.18</v>
      </c>
      <c r="CF348" s="2">
        <f>AC348-BY348</f>
        <v>93319.18</v>
      </c>
      <c r="CG348" s="2">
        <f>BX348-BZ348</f>
        <v>0</v>
      </c>
      <c r="CH348" s="2">
        <f>AC348-BX348-BY348+BZ348</f>
        <v>93319.18</v>
      </c>
      <c r="CI348" s="2">
        <f>BY348-BZ348</f>
        <v>0</v>
      </c>
      <c r="CJ348" s="2">
        <f>ROUND(SUMIF(AA339:AA346,"=42938047",GX339:GX346),2)</f>
        <v>0</v>
      </c>
      <c r="CK348" s="2">
        <f>ROUND(SUMIF(AA339:AA346,"=42938047",GY339:GY346),2)</f>
        <v>0</v>
      </c>
      <c r="CL348" s="2">
        <f>ROUND(SUMIF(AA339:AA346,"=42938047",GZ339:GZ346),2)</f>
        <v>0</v>
      </c>
      <c r="CM348" s="2">
        <f>ROUND(SUMIF(AA339:AA346,"=42938047",HD339:HD346),2)</f>
        <v>0</v>
      </c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3"/>
      <c r="DH348" s="3"/>
      <c r="DI348" s="3"/>
      <c r="DJ348" s="3"/>
      <c r="DK348" s="3"/>
      <c r="DL348" s="3"/>
      <c r="DM348" s="3"/>
      <c r="DN348" s="3"/>
      <c r="DO348" s="3"/>
      <c r="DP348" s="3"/>
      <c r="DQ348" s="3"/>
      <c r="DR348" s="3"/>
      <c r="DS348" s="3"/>
      <c r="DT348" s="3"/>
      <c r="DU348" s="3"/>
      <c r="DV348" s="3"/>
      <c r="DW348" s="3"/>
      <c r="DX348" s="3"/>
      <c r="DY348" s="3"/>
      <c r="DZ348" s="3"/>
      <c r="EA348" s="3"/>
      <c r="EB348" s="3"/>
      <c r="EC348" s="3"/>
      <c r="ED348" s="3"/>
      <c r="EE348" s="3"/>
      <c r="EF348" s="3"/>
      <c r="EG348" s="3"/>
      <c r="EH348" s="3"/>
      <c r="EI348" s="3"/>
      <c r="EJ348" s="3"/>
      <c r="EK348" s="3"/>
      <c r="EL348" s="3"/>
      <c r="EM348" s="3"/>
      <c r="EN348" s="3"/>
      <c r="EO348" s="3"/>
      <c r="EP348" s="3"/>
      <c r="EQ348" s="3"/>
      <c r="ER348" s="3"/>
      <c r="ES348" s="3"/>
      <c r="ET348" s="3"/>
      <c r="EU348" s="3"/>
      <c r="EV348" s="3"/>
      <c r="EW348" s="3"/>
      <c r="EX348" s="3"/>
      <c r="EY348" s="3"/>
      <c r="EZ348" s="3"/>
      <c r="FA348" s="3"/>
      <c r="FB348" s="3"/>
      <c r="FC348" s="3"/>
      <c r="FD348" s="3"/>
      <c r="FE348" s="3"/>
      <c r="FF348" s="3"/>
      <c r="FG348" s="3"/>
      <c r="FH348" s="3"/>
      <c r="FI348" s="3"/>
      <c r="FJ348" s="3"/>
      <c r="FK348" s="3"/>
      <c r="FL348" s="3"/>
      <c r="FM348" s="3"/>
      <c r="FN348" s="3"/>
      <c r="FO348" s="3"/>
      <c r="FP348" s="3"/>
      <c r="FQ348" s="3"/>
      <c r="FR348" s="3"/>
      <c r="FS348" s="3"/>
      <c r="FT348" s="3"/>
      <c r="FU348" s="3"/>
      <c r="FV348" s="3"/>
      <c r="FW348" s="3"/>
      <c r="FX348" s="3"/>
      <c r="FY348" s="3"/>
      <c r="FZ348" s="3"/>
      <c r="GA348" s="3"/>
      <c r="GB348" s="3"/>
      <c r="GC348" s="3"/>
      <c r="GD348" s="3"/>
      <c r="GE348" s="3"/>
      <c r="GF348" s="3"/>
      <c r="GG348" s="3"/>
      <c r="GH348" s="3"/>
      <c r="GI348" s="3"/>
      <c r="GJ348" s="3"/>
      <c r="GK348" s="3"/>
      <c r="GL348" s="3"/>
      <c r="GM348" s="3"/>
      <c r="GN348" s="3"/>
      <c r="GO348" s="3"/>
      <c r="GP348" s="3"/>
      <c r="GQ348" s="3"/>
      <c r="GR348" s="3"/>
      <c r="GS348" s="3"/>
      <c r="GT348" s="3"/>
      <c r="GU348" s="3"/>
      <c r="GV348" s="3"/>
      <c r="GW348" s="3"/>
      <c r="GX348" s="3">
        <v>0</v>
      </c>
    </row>
    <row r="350" spans="1:245" x14ac:dyDescent="0.2">
      <c r="A350" s="4">
        <v>50</v>
      </c>
      <c r="B350" s="4">
        <v>0</v>
      </c>
      <c r="C350" s="4">
        <v>0</v>
      </c>
      <c r="D350" s="4">
        <v>1</v>
      </c>
      <c r="E350" s="4">
        <v>201</v>
      </c>
      <c r="F350" s="4">
        <f>ROUND(Source!O348,O350)</f>
        <v>119358.61</v>
      </c>
      <c r="G350" s="4" t="s">
        <v>213</v>
      </c>
      <c r="H350" s="4" t="s">
        <v>214</v>
      </c>
      <c r="I350" s="4"/>
      <c r="J350" s="4"/>
      <c r="K350" s="4">
        <v>201</v>
      </c>
      <c r="L350" s="4">
        <v>1</v>
      </c>
      <c r="M350" s="4">
        <v>3</v>
      </c>
      <c r="N350" s="4" t="s">
        <v>3</v>
      </c>
      <c r="O350" s="4">
        <v>2</v>
      </c>
      <c r="P350" s="4"/>
      <c r="Q350" s="4"/>
      <c r="R350" s="4"/>
      <c r="S350" s="4"/>
      <c r="T350" s="4"/>
      <c r="U350" s="4"/>
      <c r="V350" s="4"/>
      <c r="W350" s="4"/>
    </row>
    <row r="351" spans="1:245" x14ac:dyDescent="0.2">
      <c r="A351" s="4">
        <v>50</v>
      </c>
      <c r="B351" s="4">
        <v>0</v>
      </c>
      <c r="C351" s="4">
        <v>0</v>
      </c>
      <c r="D351" s="4">
        <v>1</v>
      </c>
      <c r="E351" s="4">
        <v>202</v>
      </c>
      <c r="F351" s="4">
        <f>ROUND(Source!P348,O351)</f>
        <v>93319.18</v>
      </c>
      <c r="G351" s="4" t="s">
        <v>215</v>
      </c>
      <c r="H351" s="4" t="s">
        <v>216</v>
      </c>
      <c r="I351" s="4"/>
      <c r="J351" s="4"/>
      <c r="K351" s="4">
        <v>202</v>
      </c>
      <c r="L351" s="4">
        <v>2</v>
      </c>
      <c r="M351" s="4">
        <v>3</v>
      </c>
      <c r="N351" s="4" t="s">
        <v>3</v>
      </c>
      <c r="O351" s="4">
        <v>2</v>
      </c>
      <c r="P351" s="4"/>
      <c r="Q351" s="4"/>
      <c r="R351" s="4"/>
      <c r="S351" s="4"/>
      <c r="T351" s="4"/>
      <c r="U351" s="4"/>
      <c r="V351" s="4"/>
      <c r="W351" s="4"/>
    </row>
    <row r="352" spans="1:245" x14ac:dyDescent="0.2">
      <c r="A352" s="4">
        <v>50</v>
      </c>
      <c r="B352" s="4">
        <v>0</v>
      </c>
      <c r="C352" s="4">
        <v>0</v>
      </c>
      <c r="D352" s="4">
        <v>1</v>
      </c>
      <c r="E352" s="4">
        <v>222</v>
      </c>
      <c r="F352" s="4">
        <f>ROUND(Source!AO348,O352)</f>
        <v>0</v>
      </c>
      <c r="G352" s="4" t="s">
        <v>217</v>
      </c>
      <c r="H352" s="4" t="s">
        <v>218</v>
      </c>
      <c r="I352" s="4"/>
      <c r="J352" s="4"/>
      <c r="K352" s="4">
        <v>222</v>
      </c>
      <c r="L352" s="4">
        <v>3</v>
      </c>
      <c r="M352" s="4">
        <v>3</v>
      </c>
      <c r="N352" s="4" t="s">
        <v>3</v>
      </c>
      <c r="O352" s="4">
        <v>2</v>
      </c>
      <c r="P352" s="4"/>
      <c r="Q352" s="4"/>
      <c r="R352" s="4"/>
      <c r="S352" s="4"/>
      <c r="T352" s="4"/>
      <c r="U352" s="4"/>
      <c r="V352" s="4"/>
      <c r="W352" s="4"/>
    </row>
    <row r="353" spans="1:23" x14ac:dyDescent="0.2">
      <c r="A353" s="4">
        <v>50</v>
      </c>
      <c r="B353" s="4">
        <v>0</v>
      </c>
      <c r="C353" s="4">
        <v>0</v>
      </c>
      <c r="D353" s="4">
        <v>1</v>
      </c>
      <c r="E353" s="4">
        <v>225</v>
      </c>
      <c r="F353" s="4">
        <f>ROUND(Source!AV348,O353)</f>
        <v>93319.18</v>
      </c>
      <c r="G353" s="4" t="s">
        <v>219</v>
      </c>
      <c r="H353" s="4" t="s">
        <v>220</v>
      </c>
      <c r="I353" s="4"/>
      <c r="J353" s="4"/>
      <c r="K353" s="4">
        <v>225</v>
      </c>
      <c r="L353" s="4">
        <v>4</v>
      </c>
      <c r="M353" s="4">
        <v>3</v>
      </c>
      <c r="N353" s="4" t="s">
        <v>3</v>
      </c>
      <c r="O353" s="4">
        <v>2</v>
      </c>
      <c r="P353" s="4"/>
      <c r="Q353" s="4"/>
      <c r="R353" s="4"/>
      <c r="S353" s="4"/>
      <c r="T353" s="4"/>
      <c r="U353" s="4"/>
      <c r="V353" s="4"/>
      <c r="W353" s="4"/>
    </row>
    <row r="354" spans="1:23" x14ac:dyDescent="0.2">
      <c r="A354" s="4">
        <v>50</v>
      </c>
      <c r="B354" s="4">
        <v>0</v>
      </c>
      <c r="C354" s="4">
        <v>0</v>
      </c>
      <c r="D354" s="4">
        <v>1</v>
      </c>
      <c r="E354" s="4">
        <v>226</v>
      </c>
      <c r="F354" s="4">
        <f>ROUND(Source!AW348,O354)</f>
        <v>93319.18</v>
      </c>
      <c r="G354" s="4" t="s">
        <v>221</v>
      </c>
      <c r="H354" s="4" t="s">
        <v>222</v>
      </c>
      <c r="I354" s="4"/>
      <c r="J354" s="4"/>
      <c r="K354" s="4">
        <v>226</v>
      </c>
      <c r="L354" s="4">
        <v>5</v>
      </c>
      <c r="M354" s="4">
        <v>3</v>
      </c>
      <c r="N354" s="4" t="s">
        <v>3</v>
      </c>
      <c r="O354" s="4">
        <v>2</v>
      </c>
      <c r="P354" s="4"/>
      <c r="Q354" s="4"/>
      <c r="R354" s="4"/>
      <c r="S354" s="4"/>
      <c r="T354" s="4"/>
      <c r="U354" s="4"/>
      <c r="V354" s="4"/>
      <c r="W354" s="4"/>
    </row>
    <row r="355" spans="1:23" x14ac:dyDescent="0.2">
      <c r="A355" s="4">
        <v>50</v>
      </c>
      <c r="B355" s="4">
        <v>0</v>
      </c>
      <c r="C355" s="4">
        <v>0</v>
      </c>
      <c r="D355" s="4">
        <v>1</v>
      </c>
      <c r="E355" s="4">
        <v>227</v>
      </c>
      <c r="F355" s="4">
        <f>ROUND(Source!AX348,O355)</f>
        <v>0</v>
      </c>
      <c r="G355" s="4" t="s">
        <v>223</v>
      </c>
      <c r="H355" s="4" t="s">
        <v>224</v>
      </c>
      <c r="I355" s="4"/>
      <c r="J355" s="4"/>
      <c r="K355" s="4">
        <v>227</v>
      </c>
      <c r="L355" s="4">
        <v>6</v>
      </c>
      <c r="M355" s="4">
        <v>3</v>
      </c>
      <c r="N355" s="4" t="s">
        <v>3</v>
      </c>
      <c r="O355" s="4">
        <v>2</v>
      </c>
      <c r="P355" s="4"/>
      <c r="Q355" s="4"/>
      <c r="R355" s="4"/>
      <c r="S355" s="4"/>
      <c r="T355" s="4"/>
      <c r="U355" s="4"/>
      <c r="V355" s="4"/>
      <c r="W355" s="4"/>
    </row>
    <row r="356" spans="1:23" x14ac:dyDescent="0.2">
      <c r="A356" s="4">
        <v>50</v>
      </c>
      <c r="B356" s="4">
        <v>0</v>
      </c>
      <c r="C356" s="4">
        <v>0</v>
      </c>
      <c r="D356" s="4">
        <v>1</v>
      </c>
      <c r="E356" s="4">
        <v>228</v>
      </c>
      <c r="F356" s="4">
        <f>ROUND(Source!AY348,O356)</f>
        <v>93319.18</v>
      </c>
      <c r="G356" s="4" t="s">
        <v>225</v>
      </c>
      <c r="H356" s="4" t="s">
        <v>226</v>
      </c>
      <c r="I356" s="4"/>
      <c r="J356" s="4"/>
      <c r="K356" s="4">
        <v>228</v>
      </c>
      <c r="L356" s="4">
        <v>7</v>
      </c>
      <c r="M356" s="4">
        <v>3</v>
      </c>
      <c r="N356" s="4" t="s">
        <v>3</v>
      </c>
      <c r="O356" s="4">
        <v>2</v>
      </c>
      <c r="P356" s="4"/>
      <c r="Q356" s="4"/>
      <c r="R356" s="4"/>
      <c r="S356" s="4"/>
      <c r="T356" s="4"/>
      <c r="U356" s="4"/>
      <c r="V356" s="4"/>
      <c r="W356" s="4"/>
    </row>
    <row r="357" spans="1:23" x14ac:dyDescent="0.2">
      <c r="A357" s="4">
        <v>50</v>
      </c>
      <c r="B357" s="4">
        <v>0</v>
      </c>
      <c r="C357" s="4">
        <v>0</v>
      </c>
      <c r="D357" s="4">
        <v>1</v>
      </c>
      <c r="E357" s="4">
        <v>216</v>
      </c>
      <c r="F357" s="4">
        <f>ROUND(Source!AP348,O357)</f>
        <v>0</v>
      </c>
      <c r="G357" s="4" t="s">
        <v>227</v>
      </c>
      <c r="H357" s="4" t="s">
        <v>228</v>
      </c>
      <c r="I357" s="4"/>
      <c r="J357" s="4"/>
      <c r="K357" s="4">
        <v>216</v>
      </c>
      <c r="L357" s="4">
        <v>8</v>
      </c>
      <c r="M357" s="4">
        <v>3</v>
      </c>
      <c r="N357" s="4" t="s">
        <v>3</v>
      </c>
      <c r="O357" s="4">
        <v>2</v>
      </c>
      <c r="P357" s="4"/>
      <c r="Q357" s="4"/>
      <c r="R357" s="4"/>
      <c r="S357" s="4"/>
      <c r="T357" s="4"/>
      <c r="U357" s="4"/>
      <c r="V357" s="4"/>
      <c r="W357" s="4"/>
    </row>
    <row r="358" spans="1:23" x14ac:dyDescent="0.2">
      <c r="A358" s="4">
        <v>50</v>
      </c>
      <c r="B358" s="4">
        <v>0</v>
      </c>
      <c r="C358" s="4">
        <v>0</v>
      </c>
      <c r="D358" s="4">
        <v>1</v>
      </c>
      <c r="E358" s="4">
        <v>223</v>
      </c>
      <c r="F358" s="4">
        <f>ROUND(Source!AQ348,O358)</f>
        <v>0</v>
      </c>
      <c r="G358" s="4" t="s">
        <v>229</v>
      </c>
      <c r="H358" s="4" t="s">
        <v>230</v>
      </c>
      <c r="I358" s="4"/>
      <c r="J358" s="4"/>
      <c r="K358" s="4">
        <v>223</v>
      </c>
      <c r="L358" s="4">
        <v>9</v>
      </c>
      <c r="M358" s="4">
        <v>3</v>
      </c>
      <c r="N358" s="4" t="s">
        <v>3</v>
      </c>
      <c r="O358" s="4">
        <v>2</v>
      </c>
      <c r="P358" s="4"/>
      <c r="Q358" s="4"/>
      <c r="R358" s="4"/>
      <c r="S358" s="4"/>
      <c r="T358" s="4"/>
      <c r="U358" s="4"/>
      <c r="V358" s="4"/>
      <c r="W358" s="4"/>
    </row>
    <row r="359" spans="1:23" x14ac:dyDescent="0.2">
      <c r="A359" s="4">
        <v>50</v>
      </c>
      <c r="B359" s="4">
        <v>0</v>
      </c>
      <c r="C359" s="4">
        <v>0</v>
      </c>
      <c r="D359" s="4">
        <v>1</v>
      </c>
      <c r="E359" s="4">
        <v>229</v>
      </c>
      <c r="F359" s="4">
        <f>ROUND(Source!AZ348,O359)</f>
        <v>0</v>
      </c>
      <c r="G359" s="4" t="s">
        <v>231</v>
      </c>
      <c r="H359" s="4" t="s">
        <v>232</v>
      </c>
      <c r="I359" s="4"/>
      <c r="J359" s="4"/>
      <c r="K359" s="4">
        <v>229</v>
      </c>
      <c r="L359" s="4">
        <v>10</v>
      </c>
      <c r="M359" s="4">
        <v>3</v>
      </c>
      <c r="N359" s="4" t="s">
        <v>3</v>
      </c>
      <c r="O359" s="4">
        <v>2</v>
      </c>
      <c r="P359" s="4"/>
      <c r="Q359" s="4"/>
      <c r="R359" s="4"/>
      <c r="S359" s="4"/>
      <c r="T359" s="4"/>
      <c r="U359" s="4"/>
      <c r="V359" s="4"/>
      <c r="W359" s="4"/>
    </row>
    <row r="360" spans="1:23" x14ac:dyDescent="0.2">
      <c r="A360" s="4">
        <v>50</v>
      </c>
      <c r="B360" s="4">
        <v>0</v>
      </c>
      <c r="C360" s="4">
        <v>0</v>
      </c>
      <c r="D360" s="4">
        <v>1</v>
      </c>
      <c r="E360" s="4">
        <v>203</v>
      </c>
      <c r="F360" s="4">
        <f>ROUND(Source!Q348,O360)</f>
        <v>1110.78</v>
      </c>
      <c r="G360" s="4" t="s">
        <v>233</v>
      </c>
      <c r="H360" s="4" t="s">
        <v>234</v>
      </c>
      <c r="I360" s="4"/>
      <c r="J360" s="4"/>
      <c r="K360" s="4">
        <v>203</v>
      </c>
      <c r="L360" s="4">
        <v>11</v>
      </c>
      <c r="M360" s="4">
        <v>3</v>
      </c>
      <c r="N360" s="4" t="s">
        <v>3</v>
      </c>
      <c r="O360" s="4">
        <v>2</v>
      </c>
      <c r="P360" s="4"/>
      <c r="Q360" s="4"/>
      <c r="R360" s="4"/>
      <c r="S360" s="4"/>
      <c r="T360" s="4"/>
      <c r="U360" s="4"/>
      <c r="V360" s="4"/>
      <c r="W360" s="4"/>
    </row>
    <row r="361" spans="1:23" x14ac:dyDescent="0.2">
      <c r="A361" s="4">
        <v>50</v>
      </c>
      <c r="B361" s="4">
        <v>0</v>
      </c>
      <c r="C361" s="4">
        <v>0</v>
      </c>
      <c r="D361" s="4">
        <v>1</v>
      </c>
      <c r="E361" s="4">
        <v>231</v>
      </c>
      <c r="F361" s="4">
        <f>ROUND(Source!BB348,O361)</f>
        <v>0</v>
      </c>
      <c r="G361" s="4" t="s">
        <v>235</v>
      </c>
      <c r="H361" s="4" t="s">
        <v>236</v>
      </c>
      <c r="I361" s="4"/>
      <c r="J361" s="4"/>
      <c r="K361" s="4">
        <v>231</v>
      </c>
      <c r="L361" s="4">
        <v>12</v>
      </c>
      <c r="M361" s="4">
        <v>3</v>
      </c>
      <c r="N361" s="4" t="s">
        <v>3</v>
      </c>
      <c r="O361" s="4">
        <v>2</v>
      </c>
      <c r="P361" s="4"/>
      <c r="Q361" s="4"/>
      <c r="R361" s="4"/>
      <c r="S361" s="4"/>
      <c r="T361" s="4"/>
      <c r="U361" s="4"/>
      <c r="V361" s="4"/>
      <c r="W361" s="4"/>
    </row>
    <row r="362" spans="1:23" x14ac:dyDescent="0.2">
      <c r="A362" s="4">
        <v>50</v>
      </c>
      <c r="B362" s="4">
        <v>0</v>
      </c>
      <c r="C362" s="4">
        <v>0</v>
      </c>
      <c r="D362" s="4">
        <v>1</v>
      </c>
      <c r="E362" s="4">
        <v>204</v>
      </c>
      <c r="F362" s="4">
        <f>ROUND(Source!R348,O362)</f>
        <v>624.54999999999995</v>
      </c>
      <c r="G362" s="4" t="s">
        <v>237</v>
      </c>
      <c r="H362" s="4" t="s">
        <v>238</v>
      </c>
      <c r="I362" s="4"/>
      <c r="J362" s="4"/>
      <c r="K362" s="4">
        <v>204</v>
      </c>
      <c r="L362" s="4">
        <v>13</v>
      </c>
      <c r="M362" s="4">
        <v>3</v>
      </c>
      <c r="N362" s="4" t="s">
        <v>3</v>
      </c>
      <c r="O362" s="4">
        <v>2</v>
      </c>
      <c r="P362" s="4"/>
      <c r="Q362" s="4"/>
      <c r="R362" s="4"/>
      <c r="S362" s="4"/>
      <c r="T362" s="4"/>
      <c r="U362" s="4"/>
      <c r="V362" s="4"/>
      <c r="W362" s="4"/>
    </row>
    <row r="363" spans="1:23" x14ac:dyDescent="0.2">
      <c r="A363" s="4">
        <v>50</v>
      </c>
      <c r="B363" s="4">
        <v>0</v>
      </c>
      <c r="C363" s="4">
        <v>0</v>
      </c>
      <c r="D363" s="4">
        <v>1</v>
      </c>
      <c r="E363" s="4">
        <v>205</v>
      </c>
      <c r="F363" s="4">
        <f>ROUND(Source!S348,O363)</f>
        <v>24928.65</v>
      </c>
      <c r="G363" s="4" t="s">
        <v>239</v>
      </c>
      <c r="H363" s="4" t="s">
        <v>240</v>
      </c>
      <c r="I363" s="4"/>
      <c r="J363" s="4"/>
      <c r="K363" s="4">
        <v>205</v>
      </c>
      <c r="L363" s="4">
        <v>14</v>
      </c>
      <c r="M363" s="4">
        <v>3</v>
      </c>
      <c r="N363" s="4" t="s">
        <v>3</v>
      </c>
      <c r="O363" s="4">
        <v>2</v>
      </c>
      <c r="P363" s="4"/>
      <c r="Q363" s="4"/>
      <c r="R363" s="4"/>
      <c r="S363" s="4"/>
      <c r="T363" s="4"/>
      <c r="U363" s="4"/>
      <c r="V363" s="4"/>
      <c r="W363" s="4"/>
    </row>
    <row r="364" spans="1:23" x14ac:dyDescent="0.2">
      <c r="A364" s="4">
        <v>50</v>
      </c>
      <c r="B364" s="4">
        <v>0</v>
      </c>
      <c r="C364" s="4">
        <v>0</v>
      </c>
      <c r="D364" s="4">
        <v>1</v>
      </c>
      <c r="E364" s="4">
        <v>232</v>
      </c>
      <c r="F364" s="4">
        <f>ROUND(Source!BC348,O364)</f>
        <v>0</v>
      </c>
      <c r="G364" s="4" t="s">
        <v>241</v>
      </c>
      <c r="H364" s="4" t="s">
        <v>242</v>
      </c>
      <c r="I364" s="4"/>
      <c r="J364" s="4"/>
      <c r="K364" s="4">
        <v>232</v>
      </c>
      <c r="L364" s="4">
        <v>15</v>
      </c>
      <c r="M364" s="4">
        <v>3</v>
      </c>
      <c r="N364" s="4" t="s">
        <v>3</v>
      </c>
      <c r="O364" s="4">
        <v>2</v>
      </c>
      <c r="P364" s="4"/>
      <c r="Q364" s="4"/>
      <c r="R364" s="4"/>
      <c r="S364" s="4"/>
      <c r="T364" s="4"/>
      <c r="U364" s="4"/>
      <c r="V364" s="4"/>
      <c r="W364" s="4"/>
    </row>
    <row r="365" spans="1:23" x14ac:dyDescent="0.2">
      <c r="A365" s="4">
        <v>50</v>
      </c>
      <c r="B365" s="4">
        <v>0</v>
      </c>
      <c r="C365" s="4">
        <v>0</v>
      </c>
      <c r="D365" s="4">
        <v>1</v>
      </c>
      <c r="E365" s="4">
        <v>214</v>
      </c>
      <c r="F365" s="4">
        <f>ROUND(Source!AS348,O365)</f>
        <v>150227.35</v>
      </c>
      <c r="G365" s="4" t="s">
        <v>243</v>
      </c>
      <c r="H365" s="4" t="s">
        <v>244</v>
      </c>
      <c r="I365" s="4"/>
      <c r="J365" s="4"/>
      <c r="K365" s="4">
        <v>214</v>
      </c>
      <c r="L365" s="4">
        <v>16</v>
      </c>
      <c r="M365" s="4">
        <v>3</v>
      </c>
      <c r="N365" s="4" t="s">
        <v>3</v>
      </c>
      <c r="O365" s="4">
        <v>2</v>
      </c>
      <c r="P365" s="4"/>
      <c r="Q365" s="4"/>
      <c r="R365" s="4"/>
      <c r="S365" s="4"/>
      <c r="T365" s="4"/>
      <c r="U365" s="4"/>
      <c r="V365" s="4"/>
      <c r="W365" s="4"/>
    </row>
    <row r="366" spans="1:23" x14ac:dyDescent="0.2">
      <c r="A366" s="4">
        <v>50</v>
      </c>
      <c r="B366" s="4">
        <v>0</v>
      </c>
      <c r="C366" s="4">
        <v>0</v>
      </c>
      <c r="D366" s="4">
        <v>1</v>
      </c>
      <c r="E366" s="4">
        <v>215</v>
      </c>
      <c r="F366" s="4">
        <f>ROUND(Source!AT348,O366)</f>
        <v>0</v>
      </c>
      <c r="G366" s="4" t="s">
        <v>245</v>
      </c>
      <c r="H366" s="4" t="s">
        <v>246</v>
      </c>
      <c r="I366" s="4"/>
      <c r="J366" s="4"/>
      <c r="K366" s="4">
        <v>215</v>
      </c>
      <c r="L366" s="4">
        <v>17</v>
      </c>
      <c r="M366" s="4">
        <v>3</v>
      </c>
      <c r="N366" s="4" t="s">
        <v>3</v>
      </c>
      <c r="O366" s="4">
        <v>2</v>
      </c>
      <c r="P366" s="4"/>
      <c r="Q366" s="4"/>
      <c r="R366" s="4"/>
      <c r="S366" s="4"/>
      <c r="T366" s="4"/>
      <c r="U366" s="4"/>
      <c r="V366" s="4"/>
      <c r="W366" s="4"/>
    </row>
    <row r="367" spans="1:23" x14ac:dyDescent="0.2">
      <c r="A367" s="4">
        <v>50</v>
      </c>
      <c r="B367" s="4">
        <v>0</v>
      </c>
      <c r="C367" s="4">
        <v>0</v>
      </c>
      <c r="D367" s="4">
        <v>1</v>
      </c>
      <c r="E367" s="4">
        <v>217</v>
      </c>
      <c r="F367" s="4">
        <f>ROUND(Source!AU348,O367)</f>
        <v>0</v>
      </c>
      <c r="G367" s="4" t="s">
        <v>247</v>
      </c>
      <c r="H367" s="4" t="s">
        <v>248</v>
      </c>
      <c r="I367" s="4"/>
      <c r="J367" s="4"/>
      <c r="K367" s="4">
        <v>217</v>
      </c>
      <c r="L367" s="4">
        <v>18</v>
      </c>
      <c r="M367" s="4">
        <v>3</v>
      </c>
      <c r="N367" s="4" t="s">
        <v>3</v>
      </c>
      <c r="O367" s="4">
        <v>2</v>
      </c>
      <c r="P367" s="4"/>
      <c r="Q367" s="4"/>
      <c r="R367" s="4"/>
      <c r="S367" s="4"/>
      <c r="T367" s="4"/>
      <c r="U367" s="4"/>
      <c r="V367" s="4"/>
      <c r="W367" s="4"/>
    </row>
    <row r="368" spans="1:23" x14ac:dyDescent="0.2">
      <c r="A368" s="4">
        <v>50</v>
      </c>
      <c r="B368" s="4">
        <v>0</v>
      </c>
      <c r="C368" s="4">
        <v>0</v>
      </c>
      <c r="D368" s="4">
        <v>1</v>
      </c>
      <c r="E368" s="4">
        <v>230</v>
      </c>
      <c r="F368" s="4">
        <f>ROUND(Source!BA348,O368)</f>
        <v>0</v>
      </c>
      <c r="G368" s="4" t="s">
        <v>249</v>
      </c>
      <c r="H368" s="4" t="s">
        <v>250</v>
      </c>
      <c r="I368" s="4"/>
      <c r="J368" s="4"/>
      <c r="K368" s="4">
        <v>230</v>
      </c>
      <c r="L368" s="4">
        <v>19</v>
      </c>
      <c r="M368" s="4">
        <v>3</v>
      </c>
      <c r="N368" s="4" t="s">
        <v>3</v>
      </c>
      <c r="O368" s="4">
        <v>2</v>
      </c>
      <c r="P368" s="4"/>
      <c r="Q368" s="4"/>
      <c r="R368" s="4"/>
      <c r="S368" s="4"/>
      <c r="T368" s="4"/>
      <c r="U368" s="4"/>
      <c r="V368" s="4"/>
      <c r="W368" s="4"/>
    </row>
    <row r="369" spans="1:245" x14ac:dyDescent="0.2">
      <c r="A369" s="4">
        <v>50</v>
      </c>
      <c r="B369" s="4">
        <v>0</v>
      </c>
      <c r="C369" s="4">
        <v>0</v>
      </c>
      <c r="D369" s="4">
        <v>1</v>
      </c>
      <c r="E369" s="4">
        <v>206</v>
      </c>
      <c r="F369" s="4">
        <f>ROUND(Source!T348,O369)</f>
        <v>0</v>
      </c>
      <c r="G369" s="4" t="s">
        <v>251</v>
      </c>
      <c r="H369" s="4" t="s">
        <v>252</v>
      </c>
      <c r="I369" s="4"/>
      <c r="J369" s="4"/>
      <c r="K369" s="4">
        <v>206</v>
      </c>
      <c r="L369" s="4">
        <v>20</v>
      </c>
      <c r="M369" s="4">
        <v>3</v>
      </c>
      <c r="N369" s="4" t="s">
        <v>3</v>
      </c>
      <c r="O369" s="4">
        <v>2</v>
      </c>
      <c r="P369" s="4"/>
      <c r="Q369" s="4"/>
      <c r="R369" s="4"/>
      <c r="S369" s="4"/>
      <c r="T369" s="4"/>
      <c r="U369" s="4"/>
      <c r="V369" s="4"/>
      <c r="W369" s="4"/>
    </row>
    <row r="370" spans="1:245" x14ac:dyDescent="0.2">
      <c r="A370" s="4">
        <v>50</v>
      </c>
      <c r="B370" s="4">
        <v>0</v>
      </c>
      <c r="C370" s="4">
        <v>0</v>
      </c>
      <c r="D370" s="4">
        <v>1</v>
      </c>
      <c r="E370" s="4">
        <v>207</v>
      </c>
      <c r="F370" s="4">
        <f>Source!U348</f>
        <v>85.884299999999996</v>
      </c>
      <c r="G370" s="4" t="s">
        <v>253</v>
      </c>
      <c r="H370" s="4" t="s">
        <v>254</v>
      </c>
      <c r="I370" s="4"/>
      <c r="J370" s="4"/>
      <c r="K370" s="4">
        <v>207</v>
      </c>
      <c r="L370" s="4">
        <v>21</v>
      </c>
      <c r="M370" s="4">
        <v>3</v>
      </c>
      <c r="N370" s="4" t="s">
        <v>3</v>
      </c>
      <c r="O370" s="4">
        <v>-1</v>
      </c>
      <c r="P370" s="4"/>
      <c r="Q370" s="4"/>
      <c r="R370" s="4"/>
      <c r="S370" s="4"/>
      <c r="T370" s="4"/>
      <c r="U370" s="4"/>
      <c r="V370" s="4"/>
      <c r="W370" s="4"/>
    </row>
    <row r="371" spans="1:245" x14ac:dyDescent="0.2">
      <c r="A371" s="4">
        <v>50</v>
      </c>
      <c r="B371" s="4">
        <v>0</v>
      </c>
      <c r="C371" s="4">
        <v>0</v>
      </c>
      <c r="D371" s="4">
        <v>1</v>
      </c>
      <c r="E371" s="4">
        <v>208</v>
      </c>
      <c r="F371" s="4">
        <f>Source!V348</f>
        <v>0</v>
      </c>
      <c r="G371" s="4" t="s">
        <v>255</v>
      </c>
      <c r="H371" s="4" t="s">
        <v>256</v>
      </c>
      <c r="I371" s="4"/>
      <c r="J371" s="4"/>
      <c r="K371" s="4">
        <v>208</v>
      </c>
      <c r="L371" s="4">
        <v>22</v>
      </c>
      <c r="M371" s="4">
        <v>3</v>
      </c>
      <c r="N371" s="4" t="s">
        <v>3</v>
      </c>
      <c r="O371" s="4">
        <v>-1</v>
      </c>
      <c r="P371" s="4"/>
      <c r="Q371" s="4"/>
      <c r="R371" s="4"/>
      <c r="S371" s="4"/>
      <c r="T371" s="4"/>
      <c r="U371" s="4"/>
      <c r="V371" s="4"/>
      <c r="W371" s="4"/>
    </row>
    <row r="372" spans="1:245" x14ac:dyDescent="0.2">
      <c r="A372" s="4">
        <v>50</v>
      </c>
      <c r="B372" s="4">
        <v>0</v>
      </c>
      <c r="C372" s="4">
        <v>0</v>
      </c>
      <c r="D372" s="4">
        <v>1</v>
      </c>
      <c r="E372" s="4">
        <v>209</v>
      </c>
      <c r="F372" s="4">
        <f>ROUND(Source!W348,O372)</f>
        <v>0</v>
      </c>
      <c r="G372" s="4" t="s">
        <v>257</v>
      </c>
      <c r="H372" s="4" t="s">
        <v>258</v>
      </c>
      <c r="I372" s="4"/>
      <c r="J372" s="4"/>
      <c r="K372" s="4">
        <v>209</v>
      </c>
      <c r="L372" s="4">
        <v>23</v>
      </c>
      <c r="M372" s="4">
        <v>3</v>
      </c>
      <c r="N372" s="4" t="s">
        <v>3</v>
      </c>
      <c r="O372" s="4">
        <v>2</v>
      </c>
      <c r="P372" s="4"/>
      <c r="Q372" s="4"/>
      <c r="R372" s="4"/>
      <c r="S372" s="4"/>
      <c r="T372" s="4"/>
      <c r="U372" s="4"/>
      <c r="V372" s="4"/>
      <c r="W372" s="4"/>
    </row>
    <row r="373" spans="1:245" x14ac:dyDescent="0.2">
      <c r="A373" s="4">
        <v>50</v>
      </c>
      <c r="B373" s="4">
        <v>0</v>
      </c>
      <c r="C373" s="4">
        <v>0</v>
      </c>
      <c r="D373" s="4">
        <v>1</v>
      </c>
      <c r="E373" s="4">
        <v>233</v>
      </c>
      <c r="F373" s="4">
        <f>ROUND(Source!BD348,O373)</f>
        <v>0</v>
      </c>
      <c r="G373" s="4" t="s">
        <v>259</v>
      </c>
      <c r="H373" s="4" t="s">
        <v>260</v>
      </c>
      <c r="I373" s="4"/>
      <c r="J373" s="4"/>
      <c r="K373" s="4">
        <v>233</v>
      </c>
      <c r="L373" s="4">
        <v>24</v>
      </c>
      <c r="M373" s="4">
        <v>3</v>
      </c>
      <c r="N373" s="4" t="s">
        <v>3</v>
      </c>
      <c r="O373" s="4">
        <v>2</v>
      </c>
      <c r="P373" s="4"/>
      <c r="Q373" s="4"/>
      <c r="R373" s="4"/>
      <c r="S373" s="4"/>
      <c r="T373" s="4"/>
      <c r="U373" s="4"/>
      <c r="V373" s="4"/>
      <c r="W373" s="4"/>
    </row>
    <row r="374" spans="1:245" x14ac:dyDescent="0.2">
      <c r="A374" s="4">
        <v>50</v>
      </c>
      <c r="B374" s="4">
        <v>0</v>
      </c>
      <c r="C374" s="4">
        <v>0</v>
      </c>
      <c r="D374" s="4">
        <v>1</v>
      </c>
      <c r="E374" s="4">
        <v>210</v>
      </c>
      <c r="F374" s="4">
        <f>ROUND(Source!X348,O374)</f>
        <v>19667.45</v>
      </c>
      <c r="G374" s="4" t="s">
        <v>261</v>
      </c>
      <c r="H374" s="4" t="s">
        <v>262</v>
      </c>
      <c r="I374" s="4"/>
      <c r="J374" s="4"/>
      <c r="K374" s="4">
        <v>210</v>
      </c>
      <c r="L374" s="4">
        <v>25</v>
      </c>
      <c r="M374" s="4">
        <v>3</v>
      </c>
      <c r="N374" s="4" t="s">
        <v>3</v>
      </c>
      <c r="O374" s="4">
        <v>2</v>
      </c>
      <c r="P374" s="4"/>
      <c r="Q374" s="4"/>
      <c r="R374" s="4"/>
      <c r="S374" s="4"/>
      <c r="T374" s="4"/>
      <c r="U374" s="4"/>
      <c r="V374" s="4"/>
      <c r="W374" s="4"/>
    </row>
    <row r="375" spans="1:245" x14ac:dyDescent="0.2">
      <c r="A375" s="4">
        <v>50</v>
      </c>
      <c r="B375" s="4">
        <v>0</v>
      </c>
      <c r="C375" s="4">
        <v>0</v>
      </c>
      <c r="D375" s="4">
        <v>1</v>
      </c>
      <c r="E375" s="4">
        <v>211</v>
      </c>
      <c r="F375" s="4">
        <f>ROUND(Source!Y348,O375)</f>
        <v>10220.75</v>
      </c>
      <c r="G375" s="4" t="s">
        <v>263</v>
      </c>
      <c r="H375" s="4" t="s">
        <v>264</v>
      </c>
      <c r="I375" s="4"/>
      <c r="J375" s="4"/>
      <c r="K375" s="4">
        <v>211</v>
      </c>
      <c r="L375" s="4">
        <v>26</v>
      </c>
      <c r="M375" s="4">
        <v>3</v>
      </c>
      <c r="N375" s="4" t="s">
        <v>3</v>
      </c>
      <c r="O375" s="4">
        <v>2</v>
      </c>
      <c r="P375" s="4"/>
      <c r="Q375" s="4"/>
      <c r="R375" s="4"/>
      <c r="S375" s="4"/>
      <c r="T375" s="4"/>
      <c r="U375" s="4"/>
      <c r="V375" s="4"/>
      <c r="W375" s="4"/>
    </row>
    <row r="376" spans="1:245" x14ac:dyDescent="0.2">
      <c r="A376" s="4">
        <v>50</v>
      </c>
      <c r="B376" s="4">
        <v>0</v>
      </c>
      <c r="C376" s="4">
        <v>0</v>
      </c>
      <c r="D376" s="4">
        <v>1</v>
      </c>
      <c r="E376" s="4">
        <v>224</v>
      </c>
      <c r="F376" s="4">
        <f>ROUND(Source!AR348,O376)</f>
        <v>150227.35</v>
      </c>
      <c r="G376" s="4" t="s">
        <v>265</v>
      </c>
      <c r="H376" s="4" t="s">
        <v>266</v>
      </c>
      <c r="I376" s="4"/>
      <c r="J376" s="4"/>
      <c r="K376" s="4">
        <v>224</v>
      </c>
      <c r="L376" s="4">
        <v>27</v>
      </c>
      <c r="M376" s="4">
        <v>3</v>
      </c>
      <c r="N376" s="4" t="s">
        <v>3</v>
      </c>
      <c r="O376" s="4">
        <v>2</v>
      </c>
      <c r="P376" s="4"/>
      <c r="Q376" s="4"/>
      <c r="R376" s="4"/>
      <c r="S376" s="4"/>
      <c r="T376" s="4"/>
      <c r="U376" s="4"/>
      <c r="V376" s="4"/>
      <c r="W376" s="4"/>
    </row>
    <row r="378" spans="1:245" x14ac:dyDescent="0.2">
      <c r="A378" s="1">
        <v>4</v>
      </c>
      <c r="B378" s="1">
        <v>1</v>
      </c>
      <c r="C378" s="1"/>
      <c r="D378" s="1">
        <f>ROW(A443)</f>
        <v>443</v>
      </c>
      <c r="E378" s="1"/>
      <c r="F378" s="1" t="s">
        <v>13</v>
      </c>
      <c r="G378" s="1" t="s">
        <v>499</v>
      </c>
      <c r="H378" s="1" t="s">
        <v>3</v>
      </c>
      <c r="I378" s="1">
        <v>0</v>
      </c>
      <c r="J378" s="1"/>
      <c r="K378" s="1">
        <v>-1</v>
      </c>
      <c r="L378" s="1"/>
      <c r="M378" s="1" t="s">
        <v>3</v>
      </c>
      <c r="N378" s="1"/>
      <c r="O378" s="1"/>
      <c r="P378" s="1"/>
      <c r="Q378" s="1"/>
      <c r="R378" s="1"/>
      <c r="S378" s="1">
        <v>0</v>
      </c>
      <c r="T378" s="1"/>
      <c r="U378" s="1" t="s">
        <v>3</v>
      </c>
      <c r="V378" s="1">
        <v>0</v>
      </c>
      <c r="W378" s="1"/>
      <c r="X378" s="1"/>
      <c r="Y378" s="1"/>
      <c r="Z378" s="1"/>
      <c r="AA378" s="1"/>
      <c r="AB378" s="1" t="s">
        <v>3</v>
      </c>
      <c r="AC378" s="1" t="s">
        <v>3</v>
      </c>
      <c r="AD378" s="1" t="s">
        <v>3</v>
      </c>
      <c r="AE378" s="1" t="s">
        <v>3</v>
      </c>
      <c r="AF378" s="1" t="s">
        <v>3</v>
      </c>
      <c r="AG378" s="1" t="s">
        <v>3</v>
      </c>
      <c r="AH378" s="1"/>
      <c r="AI378" s="1"/>
      <c r="AJ378" s="1"/>
      <c r="AK378" s="1"/>
      <c r="AL378" s="1"/>
      <c r="AM378" s="1"/>
      <c r="AN378" s="1"/>
      <c r="AO378" s="1"/>
      <c r="AP378" s="1" t="s">
        <v>3</v>
      </c>
      <c r="AQ378" s="1" t="s">
        <v>3</v>
      </c>
      <c r="AR378" s="1" t="s">
        <v>3</v>
      </c>
      <c r="AS378" s="1"/>
      <c r="AT378" s="1"/>
      <c r="AU378" s="1"/>
      <c r="AV378" s="1"/>
      <c r="AW378" s="1"/>
      <c r="AX378" s="1"/>
      <c r="AY378" s="1"/>
      <c r="AZ378" s="1" t="s">
        <v>3</v>
      </c>
      <c r="BA378" s="1"/>
      <c r="BB378" s="1" t="s">
        <v>3</v>
      </c>
      <c r="BC378" s="1" t="s">
        <v>3</v>
      </c>
      <c r="BD378" s="1" t="s">
        <v>3</v>
      </c>
      <c r="BE378" s="1" t="s">
        <v>3</v>
      </c>
      <c r="BF378" s="1" t="s">
        <v>3</v>
      </c>
      <c r="BG378" s="1" t="s">
        <v>3</v>
      </c>
      <c r="BH378" s="1" t="s">
        <v>3</v>
      </c>
      <c r="BI378" s="1" t="s">
        <v>3</v>
      </c>
      <c r="BJ378" s="1" t="s">
        <v>3</v>
      </c>
      <c r="BK378" s="1" t="s">
        <v>3</v>
      </c>
      <c r="BL378" s="1" t="s">
        <v>3</v>
      </c>
      <c r="BM378" s="1" t="s">
        <v>3</v>
      </c>
      <c r="BN378" s="1" t="s">
        <v>3</v>
      </c>
      <c r="BO378" s="1" t="s">
        <v>3</v>
      </c>
      <c r="BP378" s="1" t="s">
        <v>3</v>
      </c>
      <c r="BQ378" s="1"/>
      <c r="BR378" s="1"/>
      <c r="BS378" s="1"/>
      <c r="BT378" s="1"/>
      <c r="BU378" s="1"/>
      <c r="BV378" s="1"/>
      <c r="BW378" s="1"/>
      <c r="BX378" s="1">
        <v>0</v>
      </c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>
        <v>0</v>
      </c>
    </row>
    <row r="380" spans="1:245" x14ac:dyDescent="0.2">
      <c r="A380" s="2">
        <v>52</v>
      </c>
      <c r="B380" s="2">
        <f t="shared" ref="B380:G380" si="345">B443</f>
        <v>1</v>
      </c>
      <c r="C380" s="2">
        <f t="shared" si="345"/>
        <v>4</v>
      </c>
      <c r="D380" s="2">
        <f t="shared" si="345"/>
        <v>378</v>
      </c>
      <c r="E380" s="2">
        <f t="shared" si="345"/>
        <v>0</v>
      </c>
      <c r="F380" s="2" t="str">
        <f t="shared" si="345"/>
        <v>Новый раздел</v>
      </c>
      <c r="G380" s="2" t="str">
        <f t="shared" si="345"/>
        <v>Система автополива</v>
      </c>
      <c r="H380" s="2"/>
      <c r="I380" s="2"/>
      <c r="J380" s="2"/>
      <c r="K380" s="2"/>
      <c r="L380" s="2"/>
      <c r="M380" s="2"/>
      <c r="N380" s="2"/>
      <c r="O380" s="2">
        <f t="shared" ref="O380:AT380" si="346">O443</f>
        <v>3494814.8</v>
      </c>
      <c r="P380" s="2">
        <f t="shared" si="346"/>
        <v>2942536.72</v>
      </c>
      <c r="Q380" s="2">
        <f t="shared" si="346"/>
        <v>293169.91999999998</v>
      </c>
      <c r="R380" s="2">
        <f t="shared" si="346"/>
        <v>15124.09</v>
      </c>
      <c r="S380" s="2">
        <f t="shared" si="346"/>
        <v>259108.16</v>
      </c>
      <c r="T380" s="2">
        <f t="shared" si="346"/>
        <v>0</v>
      </c>
      <c r="U380" s="2">
        <f t="shared" si="346"/>
        <v>869.07292499999983</v>
      </c>
      <c r="V380" s="2">
        <f t="shared" si="346"/>
        <v>0</v>
      </c>
      <c r="W380" s="2">
        <f t="shared" si="346"/>
        <v>0</v>
      </c>
      <c r="X380" s="2">
        <f t="shared" si="346"/>
        <v>246444.2</v>
      </c>
      <c r="Y380" s="2">
        <f t="shared" si="346"/>
        <v>119364.23</v>
      </c>
      <c r="Z380" s="2">
        <f t="shared" si="346"/>
        <v>0</v>
      </c>
      <c r="AA380" s="2">
        <f t="shared" si="346"/>
        <v>0</v>
      </c>
      <c r="AB380" s="2">
        <f t="shared" si="346"/>
        <v>926996.81</v>
      </c>
      <c r="AC380" s="2">
        <f t="shared" si="346"/>
        <v>374718.73</v>
      </c>
      <c r="AD380" s="2">
        <f t="shared" si="346"/>
        <v>293169.91999999998</v>
      </c>
      <c r="AE380" s="2">
        <f t="shared" si="346"/>
        <v>15124.09</v>
      </c>
      <c r="AF380" s="2">
        <f t="shared" si="346"/>
        <v>259108.16</v>
      </c>
      <c r="AG380" s="2">
        <f t="shared" si="346"/>
        <v>0</v>
      </c>
      <c r="AH380" s="2">
        <f t="shared" si="346"/>
        <v>869.07292499999983</v>
      </c>
      <c r="AI380" s="2">
        <f t="shared" si="346"/>
        <v>0</v>
      </c>
      <c r="AJ380" s="2">
        <f t="shared" si="346"/>
        <v>0</v>
      </c>
      <c r="AK380" s="2">
        <f t="shared" si="346"/>
        <v>246444.2</v>
      </c>
      <c r="AL380" s="2">
        <f t="shared" si="346"/>
        <v>119364.23</v>
      </c>
      <c r="AM380" s="2">
        <f t="shared" si="346"/>
        <v>0</v>
      </c>
      <c r="AN380" s="2">
        <f t="shared" si="346"/>
        <v>0</v>
      </c>
      <c r="AO380" s="2">
        <f t="shared" si="346"/>
        <v>0</v>
      </c>
      <c r="AP380" s="2">
        <f t="shared" si="346"/>
        <v>0</v>
      </c>
      <c r="AQ380" s="2">
        <f t="shared" si="346"/>
        <v>0</v>
      </c>
      <c r="AR380" s="2">
        <f t="shared" si="346"/>
        <v>3884368.06</v>
      </c>
      <c r="AS380" s="2">
        <f t="shared" si="346"/>
        <v>3501555.32</v>
      </c>
      <c r="AT380" s="2">
        <f t="shared" si="346"/>
        <v>131175.78</v>
      </c>
      <c r="AU380" s="2">
        <f t="shared" ref="AU380:BZ380" si="347">AU443</f>
        <v>251636.96</v>
      </c>
      <c r="AV380" s="2">
        <f t="shared" si="347"/>
        <v>2942536.72</v>
      </c>
      <c r="AW380" s="2">
        <f t="shared" si="347"/>
        <v>2942536.72</v>
      </c>
      <c r="AX380" s="2">
        <f t="shared" si="347"/>
        <v>0</v>
      </c>
      <c r="AY380" s="2">
        <f t="shared" si="347"/>
        <v>2942536.72</v>
      </c>
      <c r="AZ380" s="2">
        <f t="shared" si="347"/>
        <v>0</v>
      </c>
      <c r="BA380" s="2">
        <f t="shared" si="347"/>
        <v>0</v>
      </c>
      <c r="BB380" s="2">
        <f t="shared" si="347"/>
        <v>0</v>
      </c>
      <c r="BC380" s="2">
        <f t="shared" si="347"/>
        <v>0</v>
      </c>
      <c r="BD380" s="2">
        <f t="shared" si="347"/>
        <v>0</v>
      </c>
      <c r="BE380" s="2">
        <f t="shared" si="347"/>
        <v>0</v>
      </c>
      <c r="BF380" s="2">
        <f t="shared" si="347"/>
        <v>0</v>
      </c>
      <c r="BG380" s="2">
        <f t="shared" si="347"/>
        <v>0</v>
      </c>
      <c r="BH380" s="2">
        <f t="shared" si="347"/>
        <v>0</v>
      </c>
      <c r="BI380" s="2">
        <f t="shared" si="347"/>
        <v>0</v>
      </c>
      <c r="BJ380" s="2">
        <f t="shared" si="347"/>
        <v>0</v>
      </c>
      <c r="BK380" s="2">
        <f t="shared" si="347"/>
        <v>0</v>
      </c>
      <c r="BL380" s="2">
        <f t="shared" si="347"/>
        <v>0</v>
      </c>
      <c r="BM380" s="2">
        <f t="shared" si="347"/>
        <v>0</v>
      </c>
      <c r="BN380" s="2">
        <f t="shared" si="347"/>
        <v>0</v>
      </c>
      <c r="BO380" s="2">
        <f t="shared" si="347"/>
        <v>0</v>
      </c>
      <c r="BP380" s="2">
        <f t="shared" si="347"/>
        <v>0</v>
      </c>
      <c r="BQ380" s="2">
        <f t="shared" si="347"/>
        <v>0</v>
      </c>
      <c r="BR380" s="2">
        <f t="shared" si="347"/>
        <v>0</v>
      </c>
      <c r="BS380" s="2">
        <f t="shared" si="347"/>
        <v>0</v>
      </c>
      <c r="BT380" s="2">
        <f t="shared" si="347"/>
        <v>0</v>
      </c>
      <c r="BU380" s="2">
        <f t="shared" si="347"/>
        <v>0</v>
      </c>
      <c r="BV380" s="2">
        <f t="shared" si="347"/>
        <v>0</v>
      </c>
      <c r="BW380" s="2">
        <f t="shared" si="347"/>
        <v>0</v>
      </c>
      <c r="BX380" s="2">
        <f t="shared" si="347"/>
        <v>0</v>
      </c>
      <c r="BY380" s="2">
        <f t="shared" si="347"/>
        <v>0</v>
      </c>
      <c r="BZ380" s="2">
        <f t="shared" si="347"/>
        <v>0</v>
      </c>
      <c r="CA380" s="2">
        <f t="shared" ref="CA380:DF380" si="348">CA443</f>
        <v>1316550.07</v>
      </c>
      <c r="CB380" s="2">
        <f t="shared" si="348"/>
        <v>933737.33</v>
      </c>
      <c r="CC380" s="2">
        <f t="shared" si="348"/>
        <v>131175.78</v>
      </c>
      <c r="CD380" s="2">
        <f t="shared" si="348"/>
        <v>251636.96</v>
      </c>
      <c r="CE380" s="2">
        <f t="shared" si="348"/>
        <v>374718.73</v>
      </c>
      <c r="CF380" s="2">
        <f t="shared" si="348"/>
        <v>374718.73</v>
      </c>
      <c r="CG380" s="2">
        <f t="shared" si="348"/>
        <v>0</v>
      </c>
      <c r="CH380" s="2">
        <f t="shared" si="348"/>
        <v>374718.73</v>
      </c>
      <c r="CI380" s="2">
        <f t="shared" si="348"/>
        <v>0</v>
      </c>
      <c r="CJ380" s="2">
        <f t="shared" si="348"/>
        <v>0</v>
      </c>
      <c r="CK380" s="2">
        <f t="shared" si="348"/>
        <v>0</v>
      </c>
      <c r="CL380" s="2">
        <f t="shared" si="348"/>
        <v>0</v>
      </c>
      <c r="CM380" s="2">
        <f t="shared" si="348"/>
        <v>0</v>
      </c>
      <c r="CN380" s="2">
        <f t="shared" si="348"/>
        <v>0</v>
      </c>
      <c r="CO380" s="2">
        <f t="shared" si="348"/>
        <v>0</v>
      </c>
      <c r="CP380" s="2">
        <f t="shared" si="348"/>
        <v>0</v>
      </c>
      <c r="CQ380" s="2">
        <f t="shared" si="348"/>
        <v>0</v>
      </c>
      <c r="CR380" s="2">
        <f t="shared" si="348"/>
        <v>0</v>
      </c>
      <c r="CS380" s="2">
        <f t="shared" si="348"/>
        <v>0</v>
      </c>
      <c r="CT380" s="2">
        <f t="shared" si="348"/>
        <v>0</v>
      </c>
      <c r="CU380" s="2">
        <f t="shared" si="348"/>
        <v>0</v>
      </c>
      <c r="CV380" s="2">
        <f t="shared" si="348"/>
        <v>0</v>
      </c>
      <c r="CW380" s="2">
        <f t="shared" si="348"/>
        <v>0</v>
      </c>
      <c r="CX380" s="2">
        <f t="shared" si="348"/>
        <v>0</v>
      </c>
      <c r="CY380" s="2">
        <f t="shared" si="348"/>
        <v>0</v>
      </c>
      <c r="CZ380" s="2">
        <f t="shared" si="348"/>
        <v>0</v>
      </c>
      <c r="DA380" s="2">
        <f t="shared" si="348"/>
        <v>0</v>
      </c>
      <c r="DB380" s="2">
        <f t="shared" si="348"/>
        <v>0</v>
      </c>
      <c r="DC380" s="2">
        <f t="shared" si="348"/>
        <v>0</v>
      </c>
      <c r="DD380" s="2">
        <f t="shared" si="348"/>
        <v>0</v>
      </c>
      <c r="DE380" s="2">
        <f t="shared" si="348"/>
        <v>0</v>
      </c>
      <c r="DF380" s="2">
        <f t="shared" si="348"/>
        <v>0</v>
      </c>
      <c r="DG380" s="3">
        <f t="shared" ref="DG380:EL380" si="349">DG443</f>
        <v>0</v>
      </c>
      <c r="DH380" s="3">
        <f t="shared" si="349"/>
        <v>0</v>
      </c>
      <c r="DI380" s="3">
        <f t="shared" si="349"/>
        <v>0</v>
      </c>
      <c r="DJ380" s="3">
        <f t="shared" si="349"/>
        <v>0</v>
      </c>
      <c r="DK380" s="3">
        <f t="shared" si="349"/>
        <v>0</v>
      </c>
      <c r="DL380" s="3">
        <f t="shared" si="349"/>
        <v>0</v>
      </c>
      <c r="DM380" s="3">
        <f t="shared" si="349"/>
        <v>0</v>
      </c>
      <c r="DN380" s="3">
        <f t="shared" si="349"/>
        <v>0</v>
      </c>
      <c r="DO380" s="3">
        <f t="shared" si="349"/>
        <v>0</v>
      </c>
      <c r="DP380" s="3">
        <f t="shared" si="349"/>
        <v>0</v>
      </c>
      <c r="DQ380" s="3">
        <f t="shared" si="349"/>
        <v>0</v>
      </c>
      <c r="DR380" s="3">
        <f t="shared" si="349"/>
        <v>0</v>
      </c>
      <c r="DS380" s="3">
        <f t="shared" si="349"/>
        <v>0</v>
      </c>
      <c r="DT380" s="3">
        <f t="shared" si="349"/>
        <v>0</v>
      </c>
      <c r="DU380" s="3">
        <f t="shared" si="349"/>
        <v>0</v>
      </c>
      <c r="DV380" s="3">
        <f t="shared" si="349"/>
        <v>0</v>
      </c>
      <c r="DW380" s="3">
        <f t="shared" si="349"/>
        <v>0</v>
      </c>
      <c r="DX380" s="3">
        <f t="shared" si="349"/>
        <v>0</v>
      </c>
      <c r="DY380" s="3">
        <f t="shared" si="349"/>
        <v>0</v>
      </c>
      <c r="DZ380" s="3">
        <f t="shared" si="349"/>
        <v>0</v>
      </c>
      <c r="EA380" s="3">
        <f t="shared" si="349"/>
        <v>0</v>
      </c>
      <c r="EB380" s="3">
        <f t="shared" si="349"/>
        <v>0</v>
      </c>
      <c r="EC380" s="3">
        <f t="shared" si="349"/>
        <v>0</v>
      </c>
      <c r="ED380" s="3">
        <f t="shared" si="349"/>
        <v>0</v>
      </c>
      <c r="EE380" s="3">
        <f t="shared" si="349"/>
        <v>0</v>
      </c>
      <c r="EF380" s="3">
        <f t="shared" si="349"/>
        <v>0</v>
      </c>
      <c r="EG380" s="3">
        <f t="shared" si="349"/>
        <v>0</v>
      </c>
      <c r="EH380" s="3">
        <f t="shared" si="349"/>
        <v>0</v>
      </c>
      <c r="EI380" s="3">
        <f t="shared" si="349"/>
        <v>0</v>
      </c>
      <c r="EJ380" s="3">
        <f t="shared" si="349"/>
        <v>0</v>
      </c>
      <c r="EK380" s="3">
        <f t="shared" si="349"/>
        <v>0</v>
      </c>
      <c r="EL380" s="3">
        <f t="shared" si="349"/>
        <v>0</v>
      </c>
      <c r="EM380" s="3">
        <f t="shared" ref="EM380:FR380" si="350">EM443</f>
        <v>0</v>
      </c>
      <c r="EN380" s="3">
        <f t="shared" si="350"/>
        <v>0</v>
      </c>
      <c r="EO380" s="3">
        <f t="shared" si="350"/>
        <v>0</v>
      </c>
      <c r="EP380" s="3">
        <f t="shared" si="350"/>
        <v>0</v>
      </c>
      <c r="EQ380" s="3">
        <f t="shared" si="350"/>
        <v>0</v>
      </c>
      <c r="ER380" s="3">
        <f t="shared" si="350"/>
        <v>0</v>
      </c>
      <c r="ES380" s="3">
        <f t="shared" si="350"/>
        <v>0</v>
      </c>
      <c r="ET380" s="3">
        <f t="shared" si="350"/>
        <v>0</v>
      </c>
      <c r="EU380" s="3">
        <f t="shared" si="350"/>
        <v>0</v>
      </c>
      <c r="EV380" s="3">
        <f t="shared" si="350"/>
        <v>0</v>
      </c>
      <c r="EW380" s="3">
        <f t="shared" si="350"/>
        <v>0</v>
      </c>
      <c r="EX380" s="3">
        <f t="shared" si="350"/>
        <v>0</v>
      </c>
      <c r="EY380" s="3">
        <f t="shared" si="350"/>
        <v>0</v>
      </c>
      <c r="EZ380" s="3">
        <f t="shared" si="350"/>
        <v>0</v>
      </c>
      <c r="FA380" s="3">
        <f t="shared" si="350"/>
        <v>0</v>
      </c>
      <c r="FB380" s="3">
        <f t="shared" si="350"/>
        <v>0</v>
      </c>
      <c r="FC380" s="3">
        <f t="shared" si="350"/>
        <v>0</v>
      </c>
      <c r="FD380" s="3">
        <f t="shared" si="350"/>
        <v>0</v>
      </c>
      <c r="FE380" s="3">
        <f t="shared" si="350"/>
        <v>0</v>
      </c>
      <c r="FF380" s="3">
        <f t="shared" si="350"/>
        <v>0</v>
      </c>
      <c r="FG380" s="3">
        <f t="shared" si="350"/>
        <v>0</v>
      </c>
      <c r="FH380" s="3">
        <f t="shared" si="350"/>
        <v>0</v>
      </c>
      <c r="FI380" s="3">
        <f t="shared" si="350"/>
        <v>0</v>
      </c>
      <c r="FJ380" s="3">
        <f t="shared" si="350"/>
        <v>0</v>
      </c>
      <c r="FK380" s="3">
        <f t="shared" si="350"/>
        <v>0</v>
      </c>
      <c r="FL380" s="3">
        <f t="shared" si="350"/>
        <v>0</v>
      </c>
      <c r="FM380" s="3">
        <f t="shared" si="350"/>
        <v>0</v>
      </c>
      <c r="FN380" s="3">
        <f t="shared" si="350"/>
        <v>0</v>
      </c>
      <c r="FO380" s="3">
        <f t="shared" si="350"/>
        <v>0</v>
      </c>
      <c r="FP380" s="3">
        <f t="shared" si="350"/>
        <v>0</v>
      </c>
      <c r="FQ380" s="3">
        <f t="shared" si="350"/>
        <v>0</v>
      </c>
      <c r="FR380" s="3">
        <f t="shared" si="350"/>
        <v>0</v>
      </c>
      <c r="FS380" s="3">
        <f t="shared" ref="FS380:GX380" si="351">FS443</f>
        <v>0</v>
      </c>
      <c r="FT380" s="3">
        <f t="shared" si="351"/>
        <v>0</v>
      </c>
      <c r="FU380" s="3">
        <f t="shared" si="351"/>
        <v>0</v>
      </c>
      <c r="FV380" s="3">
        <f t="shared" si="351"/>
        <v>0</v>
      </c>
      <c r="FW380" s="3">
        <f t="shared" si="351"/>
        <v>0</v>
      </c>
      <c r="FX380" s="3">
        <f t="shared" si="351"/>
        <v>0</v>
      </c>
      <c r="FY380" s="3">
        <f t="shared" si="351"/>
        <v>0</v>
      </c>
      <c r="FZ380" s="3">
        <f t="shared" si="351"/>
        <v>0</v>
      </c>
      <c r="GA380" s="3">
        <f t="shared" si="351"/>
        <v>0</v>
      </c>
      <c r="GB380" s="3">
        <f t="shared" si="351"/>
        <v>0</v>
      </c>
      <c r="GC380" s="3">
        <f t="shared" si="351"/>
        <v>0</v>
      </c>
      <c r="GD380" s="3">
        <f t="shared" si="351"/>
        <v>0</v>
      </c>
      <c r="GE380" s="3">
        <f t="shared" si="351"/>
        <v>0</v>
      </c>
      <c r="GF380" s="3">
        <f t="shared" si="351"/>
        <v>0</v>
      </c>
      <c r="GG380" s="3">
        <f t="shared" si="351"/>
        <v>0</v>
      </c>
      <c r="GH380" s="3">
        <f t="shared" si="351"/>
        <v>0</v>
      </c>
      <c r="GI380" s="3">
        <f t="shared" si="351"/>
        <v>0</v>
      </c>
      <c r="GJ380" s="3">
        <f t="shared" si="351"/>
        <v>0</v>
      </c>
      <c r="GK380" s="3">
        <f t="shared" si="351"/>
        <v>0</v>
      </c>
      <c r="GL380" s="3">
        <f t="shared" si="351"/>
        <v>0</v>
      </c>
      <c r="GM380" s="3">
        <f t="shared" si="351"/>
        <v>0</v>
      </c>
      <c r="GN380" s="3">
        <f t="shared" si="351"/>
        <v>0</v>
      </c>
      <c r="GO380" s="3">
        <f t="shared" si="351"/>
        <v>0</v>
      </c>
      <c r="GP380" s="3">
        <f t="shared" si="351"/>
        <v>0</v>
      </c>
      <c r="GQ380" s="3">
        <f t="shared" si="351"/>
        <v>0</v>
      </c>
      <c r="GR380" s="3">
        <f t="shared" si="351"/>
        <v>0</v>
      </c>
      <c r="GS380" s="3">
        <f t="shared" si="351"/>
        <v>0</v>
      </c>
      <c r="GT380" s="3">
        <f t="shared" si="351"/>
        <v>0</v>
      </c>
      <c r="GU380" s="3">
        <f t="shared" si="351"/>
        <v>0</v>
      </c>
      <c r="GV380" s="3">
        <f t="shared" si="351"/>
        <v>0</v>
      </c>
      <c r="GW380" s="3">
        <f t="shared" si="351"/>
        <v>0</v>
      </c>
      <c r="GX380" s="3">
        <f t="shared" si="351"/>
        <v>0</v>
      </c>
    </row>
    <row r="382" spans="1:245" x14ac:dyDescent="0.2">
      <c r="A382">
        <v>17</v>
      </c>
      <c r="B382">
        <v>1</v>
      </c>
      <c r="C382">
        <f>ROW(SmtRes!A229)</f>
        <v>229</v>
      </c>
      <c r="D382">
        <f>ROW(EtalonRes!A225)</f>
        <v>225</v>
      </c>
      <c r="E382" t="s">
        <v>500</v>
      </c>
      <c r="F382" t="s">
        <v>69</v>
      </c>
      <c r="G382" t="s">
        <v>501</v>
      </c>
      <c r="H382" t="s">
        <v>63</v>
      </c>
      <c r="I382">
        <f>ROUND(255/100,9)</f>
        <v>2.5499999999999998</v>
      </c>
      <c r="J382">
        <v>0</v>
      </c>
      <c r="K382">
        <f>ROUND(255/100,9)</f>
        <v>2.5499999999999998</v>
      </c>
      <c r="O382">
        <f t="shared" ref="O382:O404" si="352">ROUND(CP382,2)</f>
        <v>26147.03</v>
      </c>
      <c r="P382">
        <f t="shared" ref="P382:P404" si="353">ROUND((ROUND((AC382*AW382*I382),2)*BC382),2)</f>
        <v>0</v>
      </c>
      <c r="Q382">
        <f>(ROUND((ROUND((((ET382*1.25))*AV382*I382),2)*BB382),2)+ROUND((ROUND(((AE382-((EU382*1.25)))*AV382*I382),2)*BS382),2))</f>
        <v>25095.09</v>
      </c>
      <c r="R382">
        <f t="shared" ref="R382:R404" si="354">ROUND((ROUND((AE382*AV382*I382),2)*BS382),2)</f>
        <v>7092.93</v>
      </c>
      <c r="S382">
        <f t="shared" ref="S382:S404" si="355">ROUND((ROUND((AF382*AV382*I382),2)*BA382),2)</f>
        <v>1051.94</v>
      </c>
      <c r="T382">
        <f t="shared" ref="T382:T404" si="356">ROUND(CU382*I382,2)</f>
        <v>0</v>
      </c>
      <c r="U382">
        <f t="shared" ref="U382:U404" si="357">CV382*I382</f>
        <v>4.0468499999999992</v>
      </c>
      <c r="V382">
        <f t="shared" ref="V382:V404" si="358">CW382*I382</f>
        <v>0</v>
      </c>
      <c r="W382">
        <f t="shared" ref="W382:W404" si="359">ROUND(CX382*I382,2)</f>
        <v>0</v>
      </c>
      <c r="X382">
        <f t="shared" ref="X382:X404" si="360">ROUND(CY382,2)</f>
        <v>967.78</v>
      </c>
      <c r="Y382">
        <f t="shared" ref="Y382:Y404" si="361">ROUND(CZ382,2)</f>
        <v>525.97</v>
      </c>
      <c r="AA382">
        <v>42938047</v>
      </c>
      <c r="AB382">
        <f t="shared" ref="AB382:AB404" si="362">ROUND((AC382+AD382+AF382),6)</f>
        <v>1118.2525000000001</v>
      </c>
      <c r="AC382">
        <f t="shared" ref="AC382:AC404" si="363">ROUND((ES382),6)</f>
        <v>0</v>
      </c>
      <c r="AD382">
        <f>ROUND(((((ET382*1.25))-((EU382*1.25)))+AE382),6)</f>
        <v>1102.0374999999999</v>
      </c>
      <c r="AE382">
        <f>ROUND(((EU382*1.25)),6)</f>
        <v>109.33750000000001</v>
      </c>
      <c r="AF382">
        <f>ROUND(((EV382*1.15)),6)</f>
        <v>16.215</v>
      </c>
      <c r="AG382">
        <f t="shared" ref="AG382:AG404" si="364">ROUND((AP382),6)</f>
        <v>0</v>
      </c>
      <c r="AH382">
        <f>((EW382*1.15))</f>
        <v>1.5869999999999997</v>
      </c>
      <c r="AI382">
        <f>((EX382*1.25))</f>
        <v>0</v>
      </c>
      <c r="AJ382">
        <f t="shared" ref="AJ382:AJ404" si="365">(AS382)</f>
        <v>0</v>
      </c>
      <c r="AK382">
        <v>895.73</v>
      </c>
      <c r="AL382">
        <v>0</v>
      </c>
      <c r="AM382">
        <v>881.63</v>
      </c>
      <c r="AN382">
        <v>87.47</v>
      </c>
      <c r="AO382">
        <v>14.1</v>
      </c>
      <c r="AP382">
        <v>0</v>
      </c>
      <c r="AQ382">
        <v>1.38</v>
      </c>
      <c r="AR382">
        <v>0</v>
      </c>
      <c r="AS382">
        <v>0</v>
      </c>
      <c r="AT382">
        <v>92</v>
      </c>
      <c r="AU382">
        <v>50</v>
      </c>
      <c r="AV382">
        <v>1</v>
      </c>
      <c r="AW382">
        <v>1</v>
      </c>
      <c r="AZ382">
        <v>1</v>
      </c>
      <c r="BA382">
        <v>25.44</v>
      </c>
      <c r="BB382">
        <v>8.93</v>
      </c>
      <c r="BC382">
        <v>1</v>
      </c>
      <c r="BD382" t="s">
        <v>3</v>
      </c>
      <c r="BE382" t="s">
        <v>3</v>
      </c>
      <c r="BF382" t="s">
        <v>3</v>
      </c>
      <c r="BG382" t="s">
        <v>3</v>
      </c>
      <c r="BH382">
        <v>0</v>
      </c>
      <c r="BI382">
        <v>1</v>
      </c>
      <c r="BJ382" t="s">
        <v>71</v>
      </c>
      <c r="BM382">
        <v>2</v>
      </c>
      <c r="BN382">
        <v>0</v>
      </c>
      <c r="BO382" t="s">
        <v>69</v>
      </c>
      <c r="BP382">
        <v>1</v>
      </c>
      <c r="BQ382">
        <v>30</v>
      </c>
      <c r="BR382">
        <v>0</v>
      </c>
      <c r="BS382">
        <v>25.44</v>
      </c>
      <c r="BT382">
        <v>1</v>
      </c>
      <c r="BU382">
        <v>1</v>
      </c>
      <c r="BV382">
        <v>1</v>
      </c>
      <c r="BW382">
        <v>1</v>
      </c>
      <c r="BX382">
        <v>1</v>
      </c>
      <c r="BY382" t="s">
        <v>3</v>
      </c>
      <c r="BZ382">
        <v>92</v>
      </c>
      <c r="CA382">
        <v>50</v>
      </c>
      <c r="CB382" t="s">
        <v>3</v>
      </c>
      <c r="CE382">
        <v>30</v>
      </c>
      <c r="CF382">
        <v>0</v>
      </c>
      <c r="CG382">
        <v>0</v>
      </c>
      <c r="CM382">
        <v>0</v>
      </c>
      <c r="CN382" t="s">
        <v>1584</v>
      </c>
      <c r="CO382">
        <v>0</v>
      </c>
      <c r="CP382">
        <f t="shared" ref="CP382:CP404" si="366">(P382+Q382+S382)</f>
        <v>26147.03</v>
      </c>
      <c r="CQ382">
        <f t="shared" ref="CQ382:CQ404" si="367">ROUND((ROUND((AC382*AW382*1),2)*BC382),2)</f>
        <v>0</v>
      </c>
      <c r="CR382">
        <f>(ROUND((ROUND((((ET382*1.25))*AV382*1),2)*BB382),2)+ROUND((ROUND(((AE382-((EU382*1.25)))*AV382*1),2)*BS382),2))</f>
        <v>9841.2199999999993</v>
      </c>
      <c r="CS382">
        <f t="shared" ref="CS382:CS404" si="368">ROUND((ROUND((AE382*AV382*1),2)*BS382),2)</f>
        <v>2781.61</v>
      </c>
      <c r="CT382">
        <f t="shared" ref="CT382:CT404" si="369">ROUND((ROUND((AF382*AV382*1),2)*BA382),2)</f>
        <v>412.64</v>
      </c>
      <c r="CU382">
        <f t="shared" ref="CU382:CU404" si="370">AG382</f>
        <v>0</v>
      </c>
      <c r="CV382">
        <f t="shared" ref="CV382:CV404" si="371">(AH382*AV382)</f>
        <v>1.5869999999999997</v>
      </c>
      <c r="CW382">
        <f t="shared" ref="CW382:CW404" si="372">AI382</f>
        <v>0</v>
      </c>
      <c r="CX382">
        <f t="shared" ref="CX382:CX404" si="373">AJ382</f>
        <v>0</v>
      </c>
      <c r="CY382">
        <f t="shared" ref="CY382:CY404" si="374">S382*(BZ382/100)</f>
        <v>967.78480000000013</v>
      </c>
      <c r="CZ382">
        <f t="shared" ref="CZ382:CZ404" si="375">S382*(CA382/100)</f>
        <v>525.97</v>
      </c>
      <c r="DC382" t="s">
        <v>3</v>
      </c>
      <c r="DD382" t="s">
        <v>3</v>
      </c>
      <c r="DE382" t="s">
        <v>20</v>
      </c>
      <c r="DF382" t="s">
        <v>20</v>
      </c>
      <c r="DG382" t="s">
        <v>21</v>
      </c>
      <c r="DH382" t="s">
        <v>3</v>
      </c>
      <c r="DI382" t="s">
        <v>21</v>
      </c>
      <c r="DJ382" t="s">
        <v>20</v>
      </c>
      <c r="DK382" t="s">
        <v>3</v>
      </c>
      <c r="DL382" t="s">
        <v>3</v>
      </c>
      <c r="DM382" t="s">
        <v>3</v>
      </c>
      <c r="DN382">
        <v>98</v>
      </c>
      <c r="DO382">
        <v>77</v>
      </c>
      <c r="DP382">
        <v>1</v>
      </c>
      <c r="DQ382">
        <v>1</v>
      </c>
      <c r="DU382">
        <v>1013</v>
      </c>
      <c r="DV382" t="s">
        <v>63</v>
      </c>
      <c r="DW382" t="s">
        <v>63</v>
      </c>
      <c r="DX382">
        <v>1</v>
      </c>
      <c r="DZ382" t="s">
        <v>3</v>
      </c>
      <c r="EA382" t="s">
        <v>3</v>
      </c>
      <c r="EB382" t="s">
        <v>3</v>
      </c>
      <c r="EC382" t="s">
        <v>3</v>
      </c>
      <c r="EE382">
        <v>43090081</v>
      </c>
      <c r="EF382">
        <v>30</v>
      </c>
      <c r="EG382" t="s">
        <v>22</v>
      </c>
      <c r="EH382">
        <v>0</v>
      </c>
      <c r="EI382" t="s">
        <v>3</v>
      </c>
      <c r="EJ382">
        <v>1</v>
      </c>
      <c r="EK382">
        <v>2</v>
      </c>
      <c r="EL382" t="s">
        <v>72</v>
      </c>
      <c r="EM382" t="s">
        <v>73</v>
      </c>
      <c r="EO382" t="s">
        <v>59</v>
      </c>
      <c r="EQ382">
        <v>0</v>
      </c>
      <c r="ER382">
        <v>895.73</v>
      </c>
      <c r="ES382">
        <v>0</v>
      </c>
      <c r="ET382">
        <v>881.63</v>
      </c>
      <c r="EU382">
        <v>87.47</v>
      </c>
      <c r="EV382">
        <v>14.1</v>
      </c>
      <c r="EW382">
        <v>1.38</v>
      </c>
      <c r="EX382">
        <v>0</v>
      </c>
      <c r="EY382">
        <v>0</v>
      </c>
      <c r="FQ382">
        <v>0</v>
      </c>
      <c r="FR382">
        <f t="shared" ref="FR382:FR404" si="376">ROUND(IF(AND(BH382=3,BI382=3),P382,0),2)</f>
        <v>0</v>
      </c>
      <c r="FS382">
        <v>0</v>
      </c>
      <c r="FX382">
        <v>98</v>
      </c>
      <c r="FY382">
        <v>77</v>
      </c>
      <c r="GA382" t="s">
        <v>3</v>
      </c>
      <c r="GD382">
        <v>0</v>
      </c>
      <c r="GF382">
        <v>11500445</v>
      </c>
      <c r="GG382">
        <v>2</v>
      </c>
      <c r="GH382">
        <v>1</v>
      </c>
      <c r="GI382">
        <v>2</v>
      </c>
      <c r="GJ382">
        <v>0</v>
      </c>
      <c r="GK382">
        <f>ROUND(R382*(R12)/100,2)</f>
        <v>11135.9</v>
      </c>
      <c r="GL382">
        <f t="shared" ref="GL382:GL404" si="377">ROUND(IF(AND(BH382=3,BI382=3,FS382&lt;&gt;0),P382,0),2)</f>
        <v>0</v>
      </c>
      <c r="GM382">
        <f t="shared" ref="GM382:GM404" si="378">ROUND(O382+X382+Y382+GK382,2)+GX382</f>
        <v>38776.68</v>
      </c>
      <c r="GN382">
        <f t="shared" ref="GN382:GN404" si="379">IF(OR(BI382=0,BI382=1),ROUND(O382+X382+Y382+GK382,2),0)</f>
        <v>38776.68</v>
      </c>
      <c r="GO382">
        <f t="shared" ref="GO382:GO404" si="380">IF(BI382=2,ROUND(O382+X382+Y382+GK382,2),0)</f>
        <v>0</v>
      </c>
      <c r="GP382">
        <f t="shared" ref="GP382:GP404" si="381">IF(BI382=4,ROUND(O382+X382+Y382+GK382,2)+GX382,0)</f>
        <v>0</v>
      </c>
      <c r="GR382">
        <v>0</v>
      </c>
      <c r="GS382">
        <v>3</v>
      </c>
      <c r="GT382">
        <v>0</v>
      </c>
      <c r="GU382" t="s">
        <v>3</v>
      </c>
      <c r="GV382">
        <f t="shared" ref="GV382:GV404" si="382">ROUND((GT382),6)</f>
        <v>0</v>
      </c>
      <c r="GW382">
        <v>1</v>
      </c>
      <c r="GX382">
        <f t="shared" ref="GX382:GX404" si="383">ROUND(HC382*I382,2)</f>
        <v>0</v>
      </c>
      <c r="HA382">
        <v>0</v>
      </c>
      <c r="HB382">
        <v>0</v>
      </c>
      <c r="HC382">
        <f t="shared" ref="HC382:HC404" si="384">GV382*GW382</f>
        <v>0</v>
      </c>
      <c r="HE382" t="s">
        <v>3</v>
      </c>
      <c r="HF382" t="s">
        <v>3</v>
      </c>
      <c r="HM382" t="s">
        <v>3</v>
      </c>
      <c r="IK382">
        <v>0</v>
      </c>
    </row>
    <row r="383" spans="1:245" x14ac:dyDescent="0.2">
      <c r="A383">
        <v>17</v>
      </c>
      <c r="B383">
        <v>1</v>
      </c>
      <c r="C383">
        <f>ROW(SmtRes!A232)</f>
        <v>232</v>
      </c>
      <c r="D383">
        <f>ROW(EtalonRes!A228)</f>
        <v>228</v>
      </c>
      <c r="E383" t="s">
        <v>502</v>
      </c>
      <c r="F383" t="s">
        <v>503</v>
      </c>
      <c r="G383" t="s">
        <v>504</v>
      </c>
      <c r="H383" t="s">
        <v>505</v>
      </c>
      <c r="I383">
        <f>ROUND(85/10,9)</f>
        <v>8.5</v>
      </c>
      <c r="J383">
        <v>0</v>
      </c>
      <c r="K383">
        <f>ROUND(85/10,9)</f>
        <v>8.5</v>
      </c>
      <c r="O383">
        <f t="shared" si="352"/>
        <v>30785.81</v>
      </c>
      <c r="P383">
        <f t="shared" si="353"/>
        <v>0</v>
      </c>
      <c r="Q383">
        <f>(ROUND((ROUND((((ET383*1.25))*AV383*I383),2)*BB383),2)+ROUND((ROUND(((AE383-((EU383*1.25)))*AV383*I383),2)*BS383),2))</f>
        <v>3645.4</v>
      </c>
      <c r="R383">
        <f t="shared" si="354"/>
        <v>2146.12</v>
      </c>
      <c r="S383">
        <f t="shared" si="355"/>
        <v>27140.41</v>
      </c>
      <c r="T383">
        <f t="shared" si="356"/>
        <v>0</v>
      </c>
      <c r="U383">
        <f t="shared" si="357"/>
        <v>99.704999999999984</v>
      </c>
      <c r="V383">
        <f t="shared" si="358"/>
        <v>0</v>
      </c>
      <c r="W383">
        <f t="shared" si="359"/>
        <v>0</v>
      </c>
      <c r="X383">
        <f t="shared" si="360"/>
        <v>25511.99</v>
      </c>
      <c r="Y383">
        <f t="shared" si="361"/>
        <v>11127.57</v>
      </c>
      <c r="AA383">
        <v>42938047</v>
      </c>
      <c r="AB383">
        <f t="shared" si="362"/>
        <v>168.39850000000001</v>
      </c>
      <c r="AC383">
        <f t="shared" si="363"/>
        <v>0</v>
      </c>
      <c r="AD383">
        <f>ROUND(((((ET383*1.25))-((EU383*1.25)))+AE383),6)</f>
        <v>42.887500000000003</v>
      </c>
      <c r="AE383">
        <f>ROUND(((EU383*1.25)),6)</f>
        <v>9.9250000000000007</v>
      </c>
      <c r="AF383">
        <f>ROUND(((EV383*1.15)),6)</f>
        <v>125.511</v>
      </c>
      <c r="AG383">
        <f t="shared" si="364"/>
        <v>0</v>
      </c>
      <c r="AH383">
        <f>((EW383*1.15))</f>
        <v>11.729999999999999</v>
      </c>
      <c r="AI383">
        <f>((EX383*1.25))</f>
        <v>0</v>
      </c>
      <c r="AJ383">
        <f t="shared" si="365"/>
        <v>0</v>
      </c>
      <c r="AK383">
        <v>143.44999999999999</v>
      </c>
      <c r="AL383">
        <v>0</v>
      </c>
      <c r="AM383">
        <v>34.31</v>
      </c>
      <c r="AN383">
        <v>7.94</v>
      </c>
      <c r="AO383">
        <v>109.14</v>
      </c>
      <c r="AP383">
        <v>0</v>
      </c>
      <c r="AQ383">
        <v>10.199999999999999</v>
      </c>
      <c r="AR383">
        <v>0</v>
      </c>
      <c r="AS383">
        <v>0</v>
      </c>
      <c r="AT383">
        <v>94</v>
      </c>
      <c r="AU383">
        <v>41</v>
      </c>
      <c r="AV383">
        <v>1</v>
      </c>
      <c r="AW383">
        <v>1</v>
      </c>
      <c r="AZ383">
        <v>1</v>
      </c>
      <c r="BA383">
        <v>25.44</v>
      </c>
      <c r="BB383">
        <v>10</v>
      </c>
      <c r="BC383">
        <v>1</v>
      </c>
      <c r="BD383" t="s">
        <v>3</v>
      </c>
      <c r="BE383" t="s">
        <v>3</v>
      </c>
      <c r="BF383" t="s">
        <v>3</v>
      </c>
      <c r="BG383" t="s">
        <v>3</v>
      </c>
      <c r="BH383">
        <v>0</v>
      </c>
      <c r="BI383">
        <v>1</v>
      </c>
      <c r="BJ383" t="s">
        <v>506</v>
      </c>
      <c r="BM383">
        <v>141</v>
      </c>
      <c r="BN383">
        <v>0</v>
      </c>
      <c r="BO383" t="s">
        <v>503</v>
      </c>
      <c r="BP383">
        <v>1</v>
      </c>
      <c r="BQ383">
        <v>30</v>
      </c>
      <c r="BR383">
        <v>0</v>
      </c>
      <c r="BS383">
        <v>25.44</v>
      </c>
      <c r="BT383">
        <v>1</v>
      </c>
      <c r="BU383">
        <v>1</v>
      </c>
      <c r="BV383">
        <v>1</v>
      </c>
      <c r="BW383">
        <v>1</v>
      </c>
      <c r="BX383">
        <v>1</v>
      </c>
      <c r="BY383" t="s">
        <v>3</v>
      </c>
      <c r="BZ383">
        <v>94</v>
      </c>
      <c r="CA383">
        <v>41</v>
      </c>
      <c r="CB383" t="s">
        <v>3</v>
      </c>
      <c r="CE383">
        <v>30</v>
      </c>
      <c r="CF383">
        <v>0</v>
      </c>
      <c r="CG383">
        <v>0</v>
      </c>
      <c r="CM383">
        <v>0</v>
      </c>
      <c r="CN383" t="s">
        <v>1584</v>
      </c>
      <c r="CO383">
        <v>0</v>
      </c>
      <c r="CP383">
        <f t="shared" si="366"/>
        <v>30785.81</v>
      </c>
      <c r="CQ383">
        <f t="shared" si="367"/>
        <v>0</v>
      </c>
      <c r="CR383">
        <f>(ROUND((ROUND((((ET383*1.25))*AV383*1),2)*BB383),2)+ROUND((ROUND(((AE383-((EU383*1.25)))*AV383*1),2)*BS383),2))</f>
        <v>428.9</v>
      </c>
      <c r="CS383">
        <f t="shared" si="368"/>
        <v>252.62</v>
      </c>
      <c r="CT383">
        <f t="shared" si="369"/>
        <v>3192.97</v>
      </c>
      <c r="CU383">
        <f t="shared" si="370"/>
        <v>0</v>
      </c>
      <c r="CV383">
        <f t="shared" si="371"/>
        <v>11.729999999999999</v>
      </c>
      <c r="CW383">
        <f t="shared" si="372"/>
        <v>0</v>
      </c>
      <c r="CX383">
        <f t="shared" si="373"/>
        <v>0</v>
      </c>
      <c r="CY383">
        <f t="shared" si="374"/>
        <v>25511.985399999998</v>
      </c>
      <c r="CZ383">
        <f t="shared" si="375"/>
        <v>11127.568099999999</v>
      </c>
      <c r="DC383" t="s">
        <v>3</v>
      </c>
      <c r="DD383" t="s">
        <v>3</v>
      </c>
      <c r="DE383" t="s">
        <v>20</v>
      </c>
      <c r="DF383" t="s">
        <v>20</v>
      </c>
      <c r="DG383" t="s">
        <v>21</v>
      </c>
      <c r="DH383" t="s">
        <v>3</v>
      </c>
      <c r="DI383" t="s">
        <v>21</v>
      </c>
      <c r="DJ383" t="s">
        <v>20</v>
      </c>
      <c r="DK383" t="s">
        <v>3</v>
      </c>
      <c r="DL383" t="s">
        <v>3</v>
      </c>
      <c r="DM383" t="s">
        <v>3</v>
      </c>
      <c r="DN383">
        <v>116</v>
      </c>
      <c r="DO383">
        <v>68</v>
      </c>
      <c r="DP383">
        <v>1</v>
      </c>
      <c r="DQ383">
        <v>1</v>
      </c>
      <c r="DU383">
        <v>1013</v>
      </c>
      <c r="DV383" t="s">
        <v>505</v>
      </c>
      <c r="DW383" t="s">
        <v>505</v>
      </c>
      <c r="DX383">
        <v>1</v>
      </c>
      <c r="DZ383" t="s">
        <v>3</v>
      </c>
      <c r="EA383" t="s">
        <v>3</v>
      </c>
      <c r="EB383" t="s">
        <v>3</v>
      </c>
      <c r="EC383" t="s">
        <v>3</v>
      </c>
      <c r="EE383">
        <v>43088219</v>
      </c>
      <c r="EF383">
        <v>30</v>
      </c>
      <c r="EG383" t="s">
        <v>22</v>
      </c>
      <c r="EH383">
        <v>0</v>
      </c>
      <c r="EI383" t="s">
        <v>3</v>
      </c>
      <c r="EJ383">
        <v>1</v>
      </c>
      <c r="EK383">
        <v>141</v>
      </c>
      <c r="EL383" t="s">
        <v>507</v>
      </c>
      <c r="EM383" t="s">
        <v>508</v>
      </c>
      <c r="EO383" t="s">
        <v>59</v>
      </c>
      <c r="EQ383">
        <v>0</v>
      </c>
      <c r="ER383">
        <v>143.44999999999999</v>
      </c>
      <c r="ES383">
        <v>0</v>
      </c>
      <c r="ET383">
        <v>34.31</v>
      </c>
      <c r="EU383">
        <v>7.94</v>
      </c>
      <c r="EV383">
        <v>109.14</v>
      </c>
      <c r="EW383">
        <v>10.199999999999999</v>
      </c>
      <c r="EX383">
        <v>0</v>
      </c>
      <c r="EY383">
        <v>0</v>
      </c>
      <c r="FQ383">
        <v>0</v>
      </c>
      <c r="FR383">
        <f t="shared" si="376"/>
        <v>0</v>
      </c>
      <c r="FS383">
        <v>0</v>
      </c>
      <c r="FX383">
        <v>116</v>
      </c>
      <c r="FY383">
        <v>68</v>
      </c>
      <c r="GA383" t="s">
        <v>3</v>
      </c>
      <c r="GD383">
        <v>0</v>
      </c>
      <c r="GF383">
        <v>1614116006</v>
      </c>
      <c r="GG383">
        <v>2</v>
      </c>
      <c r="GH383">
        <v>1</v>
      </c>
      <c r="GI383">
        <v>2</v>
      </c>
      <c r="GJ383">
        <v>0</v>
      </c>
      <c r="GK383">
        <f>ROUND(R383*(R12)/100,2)</f>
        <v>3369.41</v>
      </c>
      <c r="GL383">
        <f t="shared" si="377"/>
        <v>0</v>
      </c>
      <c r="GM383">
        <f t="shared" si="378"/>
        <v>70794.78</v>
      </c>
      <c r="GN383">
        <f t="shared" si="379"/>
        <v>70794.78</v>
      </c>
      <c r="GO383">
        <f t="shared" si="380"/>
        <v>0</v>
      </c>
      <c r="GP383">
        <f t="shared" si="381"/>
        <v>0</v>
      </c>
      <c r="GR383">
        <v>0</v>
      </c>
      <c r="GS383">
        <v>3</v>
      </c>
      <c r="GT383">
        <v>0</v>
      </c>
      <c r="GU383" t="s">
        <v>3</v>
      </c>
      <c r="GV383">
        <f t="shared" si="382"/>
        <v>0</v>
      </c>
      <c r="GW383">
        <v>1</v>
      </c>
      <c r="GX383">
        <f t="shared" si="383"/>
        <v>0</v>
      </c>
      <c r="HA383">
        <v>0</v>
      </c>
      <c r="HB383">
        <v>0</v>
      </c>
      <c r="HC383">
        <f t="shared" si="384"/>
        <v>0</v>
      </c>
      <c r="HE383" t="s">
        <v>3</v>
      </c>
      <c r="HF383" t="s">
        <v>3</v>
      </c>
      <c r="HM383" t="s">
        <v>3</v>
      </c>
      <c r="IK383">
        <v>0</v>
      </c>
    </row>
    <row r="384" spans="1:245" x14ac:dyDescent="0.2">
      <c r="A384">
        <v>18</v>
      </c>
      <c r="B384">
        <v>1</v>
      </c>
      <c r="C384">
        <v>232</v>
      </c>
      <c r="E384" t="s">
        <v>509</v>
      </c>
      <c r="F384" t="s">
        <v>510</v>
      </c>
      <c r="G384" t="s">
        <v>511</v>
      </c>
      <c r="H384" t="s">
        <v>84</v>
      </c>
      <c r="I384">
        <f>I383*J384</f>
        <v>106.25</v>
      </c>
      <c r="J384">
        <v>12.5</v>
      </c>
      <c r="K384">
        <v>12.5</v>
      </c>
      <c r="O384">
        <f t="shared" si="352"/>
        <v>206377.86</v>
      </c>
      <c r="P384">
        <f t="shared" si="353"/>
        <v>206377.86</v>
      </c>
      <c r="Q384">
        <f>(ROUND((ROUND(((ET384)*AV384*I384),2)*BB384),2)+ROUND((ROUND(((AE384-(EU384))*AV384*I384),2)*BS384),2))</f>
        <v>0</v>
      </c>
      <c r="R384">
        <f t="shared" si="354"/>
        <v>0</v>
      </c>
      <c r="S384">
        <f t="shared" si="355"/>
        <v>0</v>
      </c>
      <c r="T384">
        <f t="shared" si="356"/>
        <v>0</v>
      </c>
      <c r="U384">
        <f t="shared" si="357"/>
        <v>0</v>
      </c>
      <c r="V384">
        <f t="shared" si="358"/>
        <v>0</v>
      </c>
      <c r="W384">
        <f t="shared" si="359"/>
        <v>0</v>
      </c>
      <c r="X384">
        <f t="shared" si="360"/>
        <v>0</v>
      </c>
      <c r="Y384">
        <f t="shared" si="361"/>
        <v>0</v>
      </c>
      <c r="AA384">
        <v>42938047</v>
      </c>
      <c r="AB384">
        <f t="shared" si="362"/>
        <v>216.06</v>
      </c>
      <c r="AC384">
        <f t="shared" si="363"/>
        <v>216.06</v>
      </c>
      <c r="AD384">
        <f>ROUND((((ET384)-(EU384))+AE384),6)</f>
        <v>0</v>
      </c>
      <c r="AE384">
        <f>ROUND((EU384),6)</f>
        <v>0</v>
      </c>
      <c r="AF384">
        <f>ROUND((EV384),6)</f>
        <v>0</v>
      </c>
      <c r="AG384">
        <f t="shared" si="364"/>
        <v>0</v>
      </c>
      <c r="AH384">
        <f>(EW384)</f>
        <v>0</v>
      </c>
      <c r="AI384">
        <f>(EX384)</f>
        <v>0</v>
      </c>
      <c r="AJ384">
        <f t="shared" si="365"/>
        <v>0</v>
      </c>
      <c r="AK384">
        <v>216.06</v>
      </c>
      <c r="AL384">
        <v>216.06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1</v>
      </c>
      <c r="AW384">
        <v>1</v>
      </c>
      <c r="AZ384">
        <v>1</v>
      </c>
      <c r="BA384">
        <v>1</v>
      </c>
      <c r="BB384">
        <v>1</v>
      </c>
      <c r="BC384">
        <v>8.99</v>
      </c>
      <c r="BD384" t="s">
        <v>3</v>
      </c>
      <c r="BE384" t="s">
        <v>3</v>
      </c>
      <c r="BF384" t="s">
        <v>3</v>
      </c>
      <c r="BG384" t="s">
        <v>3</v>
      </c>
      <c r="BH384">
        <v>3</v>
      </c>
      <c r="BI384">
        <v>1</v>
      </c>
      <c r="BJ384" t="s">
        <v>512</v>
      </c>
      <c r="BM384">
        <v>141</v>
      </c>
      <c r="BN384">
        <v>0</v>
      </c>
      <c r="BO384" t="s">
        <v>510</v>
      </c>
      <c r="BP384">
        <v>1</v>
      </c>
      <c r="BQ384">
        <v>30</v>
      </c>
      <c r="BR384">
        <v>0</v>
      </c>
      <c r="BS384">
        <v>1</v>
      </c>
      <c r="BT384">
        <v>1</v>
      </c>
      <c r="BU384">
        <v>1</v>
      </c>
      <c r="BV384">
        <v>1</v>
      </c>
      <c r="BW384">
        <v>1</v>
      </c>
      <c r="BX384">
        <v>1</v>
      </c>
      <c r="BY384" t="s">
        <v>3</v>
      </c>
      <c r="BZ384">
        <v>0</v>
      </c>
      <c r="CA384">
        <v>0</v>
      </c>
      <c r="CB384" t="s">
        <v>3</v>
      </c>
      <c r="CE384">
        <v>30</v>
      </c>
      <c r="CF384">
        <v>0</v>
      </c>
      <c r="CG384">
        <v>0</v>
      </c>
      <c r="CM384">
        <v>0</v>
      </c>
      <c r="CN384" t="s">
        <v>3</v>
      </c>
      <c r="CO384">
        <v>0</v>
      </c>
      <c r="CP384">
        <f t="shared" si="366"/>
        <v>206377.86</v>
      </c>
      <c r="CQ384">
        <f t="shared" si="367"/>
        <v>1942.38</v>
      </c>
      <c r="CR384">
        <f>(ROUND((ROUND(((ET384)*AV384*1),2)*BB384),2)+ROUND((ROUND(((AE384-(EU384))*AV384*1),2)*BS384),2))</f>
        <v>0</v>
      </c>
      <c r="CS384">
        <f t="shared" si="368"/>
        <v>0</v>
      </c>
      <c r="CT384">
        <f t="shared" si="369"/>
        <v>0</v>
      </c>
      <c r="CU384">
        <f t="shared" si="370"/>
        <v>0</v>
      </c>
      <c r="CV384">
        <f t="shared" si="371"/>
        <v>0</v>
      </c>
      <c r="CW384">
        <f t="shared" si="372"/>
        <v>0</v>
      </c>
      <c r="CX384">
        <f t="shared" si="373"/>
        <v>0</v>
      </c>
      <c r="CY384">
        <f t="shared" si="374"/>
        <v>0</v>
      </c>
      <c r="CZ384">
        <f t="shared" si="375"/>
        <v>0</v>
      </c>
      <c r="DC384" t="s">
        <v>3</v>
      </c>
      <c r="DD384" t="s">
        <v>3</v>
      </c>
      <c r="DE384" t="s">
        <v>3</v>
      </c>
      <c r="DF384" t="s">
        <v>3</v>
      </c>
      <c r="DG384" t="s">
        <v>3</v>
      </c>
      <c r="DH384" t="s">
        <v>3</v>
      </c>
      <c r="DI384" t="s">
        <v>3</v>
      </c>
      <c r="DJ384" t="s">
        <v>3</v>
      </c>
      <c r="DK384" t="s">
        <v>3</v>
      </c>
      <c r="DL384" t="s">
        <v>3</v>
      </c>
      <c r="DM384" t="s">
        <v>3</v>
      </c>
      <c r="DN384">
        <v>116</v>
      </c>
      <c r="DO384">
        <v>68</v>
      </c>
      <c r="DP384">
        <v>1</v>
      </c>
      <c r="DQ384">
        <v>1</v>
      </c>
      <c r="DU384">
        <v>1007</v>
      </c>
      <c r="DV384" t="s">
        <v>84</v>
      </c>
      <c r="DW384" t="s">
        <v>84</v>
      </c>
      <c r="DX384">
        <v>1</v>
      </c>
      <c r="DZ384" t="s">
        <v>3</v>
      </c>
      <c r="EA384" t="s">
        <v>3</v>
      </c>
      <c r="EB384" t="s">
        <v>3</v>
      </c>
      <c r="EC384" t="s">
        <v>3</v>
      </c>
      <c r="EE384">
        <v>43088219</v>
      </c>
      <c r="EF384">
        <v>30</v>
      </c>
      <c r="EG384" t="s">
        <v>22</v>
      </c>
      <c r="EH384">
        <v>0</v>
      </c>
      <c r="EI384" t="s">
        <v>3</v>
      </c>
      <c r="EJ384">
        <v>1</v>
      </c>
      <c r="EK384">
        <v>141</v>
      </c>
      <c r="EL384" t="s">
        <v>507</v>
      </c>
      <c r="EM384" t="s">
        <v>508</v>
      </c>
      <c r="EO384" t="s">
        <v>3</v>
      </c>
      <c r="EQ384">
        <v>0</v>
      </c>
      <c r="ER384">
        <v>216.06</v>
      </c>
      <c r="ES384">
        <v>216.06</v>
      </c>
      <c r="ET384">
        <v>0</v>
      </c>
      <c r="EU384">
        <v>0</v>
      </c>
      <c r="EV384">
        <v>0</v>
      </c>
      <c r="EW384">
        <v>0</v>
      </c>
      <c r="EX384">
        <v>0</v>
      </c>
      <c r="FQ384">
        <v>0</v>
      </c>
      <c r="FR384">
        <f t="shared" si="376"/>
        <v>0</v>
      </c>
      <c r="FS384">
        <v>0</v>
      </c>
      <c r="FX384">
        <v>116</v>
      </c>
      <c r="FY384">
        <v>68</v>
      </c>
      <c r="GA384" t="s">
        <v>3</v>
      </c>
      <c r="GD384">
        <v>0</v>
      </c>
      <c r="GF384">
        <v>-1749493504</v>
      </c>
      <c r="GG384">
        <v>2</v>
      </c>
      <c r="GH384">
        <v>1</v>
      </c>
      <c r="GI384">
        <v>2</v>
      </c>
      <c r="GJ384">
        <v>0</v>
      </c>
      <c r="GK384">
        <f>ROUND(R384*(R12)/100,2)</f>
        <v>0</v>
      </c>
      <c r="GL384">
        <f t="shared" si="377"/>
        <v>0</v>
      </c>
      <c r="GM384">
        <f t="shared" si="378"/>
        <v>206377.86</v>
      </c>
      <c r="GN384">
        <f t="shared" si="379"/>
        <v>206377.86</v>
      </c>
      <c r="GO384">
        <f t="shared" si="380"/>
        <v>0</v>
      </c>
      <c r="GP384">
        <f t="shared" si="381"/>
        <v>0</v>
      </c>
      <c r="GR384">
        <v>0</v>
      </c>
      <c r="GS384">
        <v>3</v>
      </c>
      <c r="GT384">
        <v>0</v>
      </c>
      <c r="GU384" t="s">
        <v>3</v>
      </c>
      <c r="GV384">
        <f t="shared" si="382"/>
        <v>0</v>
      </c>
      <c r="GW384">
        <v>1</v>
      </c>
      <c r="GX384">
        <f t="shared" si="383"/>
        <v>0</v>
      </c>
      <c r="HA384">
        <v>0</v>
      </c>
      <c r="HB384">
        <v>0</v>
      </c>
      <c r="HC384">
        <f t="shared" si="384"/>
        <v>0</v>
      </c>
      <c r="HE384" t="s">
        <v>3</v>
      </c>
      <c r="HF384" t="s">
        <v>3</v>
      </c>
      <c r="HM384" t="s">
        <v>3</v>
      </c>
      <c r="IK384">
        <v>0</v>
      </c>
    </row>
    <row r="385" spans="1:245" x14ac:dyDescent="0.2">
      <c r="A385">
        <v>17</v>
      </c>
      <c r="B385">
        <v>1</v>
      </c>
      <c r="C385">
        <f>ROW(SmtRes!A235)</f>
        <v>235</v>
      </c>
      <c r="D385">
        <f>ROW(EtalonRes!A231)</f>
        <v>231</v>
      </c>
      <c r="E385" t="s">
        <v>513</v>
      </c>
      <c r="F385" t="s">
        <v>514</v>
      </c>
      <c r="G385" t="s">
        <v>515</v>
      </c>
      <c r="H385" t="s">
        <v>505</v>
      </c>
      <c r="I385">
        <f>ROUND(170/10,9)</f>
        <v>17</v>
      </c>
      <c r="J385">
        <v>0</v>
      </c>
      <c r="K385">
        <f>ROUND(170/10,9)</f>
        <v>17</v>
      </c>
      <c r="O385">
        <f t="shared" si="352"/>
        <v>59245.07</v>
      </c>
      <c r="P385">
        <f t="shared" si="353"/>
        <v>0</v>
      </c>
      <c r="Q385">
        <f>(ROUND((ROUND((((ET385*1.25))*AV385*I385),2)*BB385),2)+ROUND((ROUND(((AE385-((EU385*1.25)))*AV385*I385),2)*BS385),2))</f>
        <v>4964</v>
      </c>
      <c r="R385">
        <f t="shared" si="354"/>
        <v>2924.58</v>
      </c>
      <c r="S385">
        <f t="shared" si="355"/>
        <v>54281.07</v>
      </c>
      <c r="T385">
        <f t="shared" si="356"/>
        <v>0</v>
      </c>
      <c r="U385">
        <f t="shared" si="357"/>
        <v>199.40999999999997</v>
      </c>
      <c r="V385">
        <f t="shared" si="358"/>
        <v>0</v>
      </c>
      <c r="W385">
        <f t="shared" si="359"/>
        <v>0</v>
      </c>
      <c r="X385">
        <f t="shared" si="360"/>
        <v>51024.21</v>
      </c>
      <c r="Y385">
        <f t="shared" si="361"/>
        <v>22255.24</v>
      </c>
      <c r="AA385">
        <v>42938047</v>
      </c>
      <c r="AB385">
        <f t="shared" si="362"/>
        <v>154.71100000000001</v>
      </c>
      <c r="AC385">
        <f t="shared" si="363"/>
        <v>0</v>
      </c>
      <c r="AD385">
        <f>ROUND(((((ET385*1.25))-((EU385*1.25)))+AE385),6)</f>
        <v>29.2</v>
      </c>
      <c r="AE385">
        <f>ROUND(((EU385*1.25)),6)</f>
        <v>6.7625000000000002</v>
      </c>
      <c r="AF385">
        <f>ROUND(((EV385*1.15)),6)</f>
        <v>125.511</v>
      </c>
      <c r="AG385">
        <f t="shared" si="364"/>
        <v>0</v>
      </c>
      <c r="AH385">
        <f>((EW385*1.15))</f>
        <v>11.729999999999999</v>
      </c>
      <c r="AI385">
        <f>((EX385*1.25))</f>
        <v>0</v>
      </c>
      <c r="AJ385">
        <f t="shared" si="365"/>
        <v>0</v>
      </c>
      <c r="AK385">
        <v>132.5</v>
      </c>
      <c r="AL385">
        <v>0</v>
      </c>
      <c r="AM385">
        <v>23.36</v>
      </c>
      <c r="AN385">
        <v>5.41</v>
      </c>
      <c r="AO385">
        <v>109.14</v>
      </c>
      <c r="AP385">
        <v>0</v>
      </c>
      <c r="AQ385">
        <v>10.199999999999999</v>
      </c>
      <c r="AR385">
        <v>0</v>
      </c>
      <c r="AS385">
        <v>0</v>
      </c>
      <c r="AT385">
        <v>94</v>
      </c>
      <c r="AU385">
        <v>41</v>
      </c>
      <c r="AV385">
        <v>1</v>
      </c>
      <c r="AW385">
        <v>1</v>
      </c>
      <c r="AZ385">
        <v>1</v>
      </c>
      <c r="BA385">
        <v>25.44</v>
      </c>
      <c r="BB385">
        <v>10</v>
      </c>
      <c r="BC385">
        <v>1</v>
      </c>
      <c r="BD385" t="s">
        <v>3</v>
      </c>
      <c r="BE385" t="s">
        <v>3</v>
      </c>
      <c r="BF385" t="s">
        <v>3</v>
      </c>
      <c r="BG385" t="s">
        <v>3</v>
      </c>
      <c r="BH385">
        <v>0</v>
      </c>
      <c r="BI385">
        <v>1</v>
      </c>
      <c r="BJ385" t="s">
        <v>516</v>
      </c>
      <c r="BM385">
        <v>141</v>
      </c>
      <c r="BN385">
        <v>0</v>
      </c>
      <c r="BO385" t="s">
        <v>514</v>
      </c>
      <c r="BP385">
        <v>1</v>
      </c>
      <c r="BQ385">
        <v>30</v>
      </c>
      <c r="BR385">
        <v>0</v>
      </c>
      <c r="BS385">
        <v>25.44</v>
      </c>
      <c r="BT385">
        <v>1</v>
      </c>
      <c r="BU385">
        <v>1</v>
      </c>
      <c r="BV385">
        <v>1</v>
      </c>
      <c r="BW385">
        <v>1</v>
      </c>
      <c r="BX385">
        <v>1</v>
      </c>
      <c r="BY385" t="s">
        <v>3</v>
      </c>
      <c r="BZ385">
        <v>94</v>
      </c>
      <c r="CA385">
        <v>41</v>
      </c>
      <c r="CB385" t="s">
        <v>3</v>
      </c>
      <c r="CE385">
        <v>30</v>
      </c>
      <c r="CF385">
        <v>0</v>
      </c>
      <c r="CG385">
        <v>0</v>
      </c>
      <c r="CM385">
        <v>0</v>
      </c>
      <c r="CN385" t="s">
        <v>1584</v>
      </c>
      <c r="CO385">
        <v>0</v>
      </c>
      <c r="CP385">
        <f t="shared" si="366"/>
        <v>59245.07</v>
      </c>
      <c r="CQ385">
        <f t="shared" si="367"/>
        <v>0</v>
      </c>
      <c r="CR385">
        <f>(ROUND((ROUND((((ET385*1.25))*AV385*1),2)*BB385),2)+ROUND((ROUND(((AE385-((EU385*1.25)))*AV385*1),2)*BS385),2))</f>
        <v>292</v>
      </c>
      <c r="CS385">
        <f t="shared" si="368"/>
        <v>171.97</v>
      </c>
      <c r="CT385">
        <f t="shared" si="369"/>
        <v>3192.97</v>
      </c>
      <c r="CU385">
        <f t="shared" si="370"/>
        <v>0</v>
      </c>
      <c r="CV385">
        <f t="shared" si="371"/>
        <v>11.729999999999999</v>
      </c>
      <c r="CW385">
        <f t="shared" si="372"/>
        <v>0</v>
      </c>
      <c r="CX385">
        <f t="shared" si="373"/>
        <v>0</v>
      </c>
      <c r="CY385">
        <f t="shared" si="374"/>
        <v>51024.205799999996</v>
      </c>
      <c r="CZ385">
        <f t="shared" si="375"/>
        <v>22255.238699999998</v>
      </c>
      <c r="DC385" t="s">
        <v>3</v>
      </c>
      <c r="DD385" t="s">
        <v>3</v>
      </c>
      <c r="DE385" t="s">
        <v>20</v>
      </c>
      <c r="DF385" t="s">
        <v>20</v>
      </c>
      <c r="DG385" t="s">
        <v>21</v>
      </c>
      <c r="DH385" t="s">
        <v>3</v>
      </c>
      <c r="DI385" t="s">
        <v>21</v>
      </c>
      <c r="DJ385" t="s">
        <v>20</v>
      </c>
      <c r="DK385" t="s">
        <v>3</v>
      </c>
      <c r="DL385" t="s">
        <v>3</v>
      </c>
      <c r="DM385" t="s">
        <v>3</v>
      </c>
      <c r="DN385">
        <v>116</v>
      </c>
      <c r="DO385">
        <v>68</v>
      </c>
      <c r="DP385">
        <v>1</v>
      </c>
      <c r="DQ385">
        <v>1</v>
      </c>
      <c r="DU385">
        <v>1013</v>
      </c>
      <c r="DV385" t="s">
        <v>505</v>
      </c>
      <c r="DW385" t="s">
        <v>505</v>
      </c>
      <c r="DX385">
        <v>1</v>
      </c>
      <c r="DZ385" t="s">
        <v>3</v>
      </c>
      <c r="EA385" t="s">
        <v>3</v>
      </c>
      <c r="EB385" t="s">
        <v>3</v>
      </c>
      <c r="EC385" t="s">
        <v>3</v>
      </c>
      <c r="EE385">
        <v>43088219</v>
      </c>
      <c r="EF385">
        <v>30</v>
      </c>
      <c r="EG385" t="s">
        <v>22</v>
      </c>
      <c r="EH385">
        <v>0</v>
      </c>
      <c r="EI385" t="s">
        <v>3</v>
      </c>
      <c r="EJ385">
        <v>1</v>
      </c>
      <c r="EK385">
        <v>141</v>
      </c>
      <c r="EL385" t="s">
        <v>507</v>
      </c>
      <c r="EM385" t="s">
        <v>508</v>
      </c>
      <c r="EO385" t="s">
        <v>59</v>
      </c>
      <c r="EQ385">
        <v>0</v>
      </c>
      <c r="ER385">
        <v>132.5</v>
      </c>
      <c r="ES385">
        <v>0</v>
      </c>
      <c r="ET385">
        <v>23.36</v>
      </c>
      <c r="EU385">
        <v>5.41</v>
      </c>
      <c r="EV385">
        <v>109.14</v>
      </c>
      <c r="EW385">
        <v>10.199999999999999</v>
      </c>
      <c r="EX385">
        <v>0</v>
      </c>
      <c r="EY385">
        <v>0</v>
      </c>
      <c r="FQ385">
        <v>0</v>
      </c>
      <c r="FR385">
        <f t="shared" si="376"/>
        <v>0</v>
      </c>
      <c r="FS385">
        <v>0</v>
      </c>
      <c r="FX385">
        <v>116</v>
      </c>
      <c r="FY385">
        <v>68</v>
      </c>
      <c r="GA385" t="s">
        <v>3</v>
      </c>
      <c r="GD385">
        <v>0</v>
      </c>
      <c r="GF385">
        <v>37635565</v>
      </c>
      <c r="GG385">
        <v>2</v>
      </c>
      <c r="GH385">
        <v>1</v>
      </c>
      <c r="GI385">
        <v>2</v>
      </c>
      <c r="GJ385">
        <v>0</v>
      </c>
      <c r="GK385">
        <f>ROUND(R385*(R12)/100,2)</f>
        <v>4591.59</v>
      </c>
      <c r="GL385">
        <f t="shared" si="377"/>
        <v>0</v>
      </c>
      <c r="GM385">
        <f t="shared" si="378"/>
        <v>137116.10999999999</v>
      </c>
      <c r="GN385">
        <f t="shared" si="379"/>
        <v>137116.10999999999</v>
      </c>
      <c r="GO385">
        <f t="shared" si="380"/>
        <v>0</v>
      </c>
      <c r="GP385">
        <f t="shared" si="381"/>
        <v>0</v>
      </c>
      <c r="GR385">
        <v>0</v>
      </c>
      <c r="GS385">
        <v>3</v>
      </c>
      <c r="GT385">
        <v>0</v>
      </c>
      <c r="GU385" t="s">
        <v>3</v>
      </c>
      <c r="GV385">
        <f t="shared" si="382"/>
        <v>0</v>
      </c>
      <c r="GW385">
        <v>1</v>
      </c>
      <c r="GX385">
        <f t="shared" si="383"/>
        <v>0</v>
      </c>
      <c r="HA385">
        <v>0</v>
      </c>
      <c r="HB385">
        <v>0</v>
      </c>
      <c r="HC385">
        <f t="shared" si="384"/>
        <v>0</v>
      </c>
      <c r="HE385" t="s">
        <v>3</v>
      </c>
      <c r="HF385" t="s">
        <v>3</v>
      </c>
      <c r="HM385" t="s">
        <v>3</v>
      </c>
      <c r="IK385">
        <v>0</v>
      </c>
    </row>
    <row r="386" spans="1:245" x14ac:dyDescent="0.2">
      <c r="A386">
        <v>18</v>
      </c>
      <c r="B386">
        <v>1</v>
      </c>
      <c r="C386">
        <v>235</v>
      </c>
      <c r="E386" t="s">
        <v>517</v>
      </c>
      <c r="F386" t="s">
        <v>91</v>
      </c>
      <c r="G386" t="s">
        <v>92</v>
      </c>
      <c r="H386" t="s">
        <v>84</v>
      </c>
      <c r="I386">
        <f>I385*J386</f>
        <v>187</v>
      </c>
      <c r="J386">
        <v>11</v>
      </c>
      <c r="K386">
        <v>11</v>
      </c>
      <c r="O386">
        <f t="shared" si="352"/>
        <v>108178.55</v>
      </c>
      <c r="P386">
        <f t="shared" si="353"/>
        <v>108178.55</v>
      </c>
      <c r="Q386">
        <f>(ROUND((ROUND(((ET386)*AV386*I386),2)*BB386),2)+ROUND((ROUND(((AE386-(EU386))*AV386*I386),2)*BS386),2))</f>
        <v>0</v>
      </c>
      <c r="R386">
        <f t="shared" si="354"/>
        <v>0</v>
      </c>
      <c r="S386">
        <f t="shared" si="355"/>
        <v>0</v>
      </c>
      <c r="T386">
        <f t="shared" si="356"/>
        <v>0</v>
      </c>
      <c r="U386">
        <f t="shared" si="357"/>
        <v>0</v>
      </c>
      <c r="V386">
        <f t="shared" si="358"/>
        <v>0</v>
      </c>
      <c r="W386">
        <f t="shared" si="359"/>
        <v>0</v>
      </c>
      <c r="X386">
        <f t="shared" si="360"/>
        <v>0</v>
      </c>
      <c r="Y386">
        <f t="shared" si="361"/>
        <v>0</v>
      </c>
      <c r="AA386">
        <v>42938047</v>
      </c>
      <c r="AB386">
        <f t="shared" si="362"/>
        <v>104.99</v>
      </c>
      <c r="AC386">
        <f t="shared" si="363"/>
        <v>104.99</v>
      </c>
      <c r="AD386">
        <f>ROUND((((ET386)-(EU386))+AE386),6)</f>
        <v>0</v>
      </c>
      <c r="AE386">
        <f>ROUND((EU386),6)</f>
        <v>0</v>
      </c>
      <c r="AF386">
        <f>ROUND((EV386),6)</f>
        <v>0</v>
      </c>
      <c r="AG386">
        <f t="shared" si="364"/>
        <v>0</v>
      </c>
      <c r="AH386">
        <f>(EW386)</f>
        <v>0</v>
      </c>
      <c r="AI386">
        <f>(EX386)</f>
        <v>0</v>
      </c>
      <c r="AJ386">
        <f t="shared" si="365"/>
        <v>0</v>
      </c>
      <c r="AK386">
        <v>104.99</v>
      </c>
      <c r="AL386">
        <v>104.99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1</v>
      </c>
      <c r="AW386">
        <v>1</v>
      </c>
      <c r="AZ386">
        <v>1</v>
      </c>
      <c r="BA386">
        <v>1</v>
      </c>
      <c r="BB386">
        <v>1</v>
      </c>
      <c r="BC386">
        <v>5.51</v>
      </c>
      <c r="BD386" t="s">
        <v>3</v>
      </c>
      <c r="BE386" t="s">
        <v>3</v>
      </c>
      <c r="BF386" t="s">
        <v>3</v>
      </c>
      <c r="BG386" t="s">
        <v>3</v>
      </c>
      <c r="BH386">
        <v>3</v>
      </c>
      <c r="BI386">
        <v>1</v>
      </c>
      <c r="BJ386" t="s">
        <v>93</v>
      </c>
      <c r="BM386">
        <v>141</v>
      </c>
      <c r="BN386">
        <v>0</v>
      </c>
      <c r="BO386" t="s">
        <v>91</v>
      </c>
      <c r="BP386">
        <v>1</v>
      </c>
      <c r="BQ386">
        <v>30</v>
      </c>
      <c r="BR386">
        <v>0</v>
      </c>
      <c r="BS386">
        <v>1</v>
      </c>
      <c r="BT386">
        <v>1</v>
      </c>
      <c r="BU386">
        <v>1</v>
      </c>
      <c r="BV386">
        <v>1</v>
      </c>
      <c r="BW386">
        <v>1</v>
      </c>
      <c r="BX386">
        <v>1</v>
      </c>
      <c r="BY386" t="s">
        <v>3</v>
      </c>
      <c r="BZ386">
        <v>0</v>
      </c>
      <c r="CA386">
        <v>0</v>
      </c>
      <c r="CB386" t="s">
        <v>3</v>
      </c>
      <c r="CE386">
        <v>30</v>
      </c>
      <c r="CF386">
        <v>0</v>
      </c>
      <c r="CG386">
        <v>0</v>
      </c>
      <c r="CM386">
        <v>0</v>
      </c>
      <c r="CN386" t="s">
        <v>3</v>
      </c>
      <c r="CO386">
        <v>0</v>
      </c>
      <c r="CP386">
        <f t="shared" si="366"/>
        <v>108178.55</v>
      </c>
      <c r="CQ386">
        <f t="shared" si="367"/>
        <v>578.49</v>
      </c>
      <c r="CR386">
        <f>(ROUND((ROUND(((ET386)*AV386*1),2)*BB386),2)+ROUND((ROUND(((AE386-(EU386))*AV386*1),2)*BS386),2))</f>
        <v>0</v>
      </c>
      <c r="CS386">
        <f t="shared" si="368"/>
        <v>0</v>
      </c>
      <c r="CT386">
        <f t="shared" si="369"/>
        <v>0</v>
      </c>
      <c r="CU386">
        <f t="shared" si="370"/>
        <v>0</v>
      </c>
      <c r="CV386">
        <f t="shared" si="371"/>
        <v>0</v>
      </c>
      <c r="CW386">
        <f t="shared" si="372"/>
        <v>0</v>
      </c>
      <c r="CX386">
        <f t="shared" si="373"/>
        <v>0</v>
      </c>
      <c r="CY386">
        <f t="shared" si="374"/>
        <v>0</v>
      </c>
      <c r="CZ386">
        <f t="shared" si="375"/>
        <v>0</v>
      </c>
      <c r="DC386" t="s">
        <v>3</v>
      </c>
      <c r="DD386" t="s">
        <v>3</v>
      </c>
      <c r="DE386" t="s">
        <v>3</v>
      </c>
      <c r="DF386" t="s">
        <v>3</v>
      </c>
      <c r="DG386" t="s">
        <v>3</v>
      </c>
      <c r="DH386" t="s">
        <v>3</v>
      </c>
      <c r="DI386" t="s">
        <v>3</v>
      </c>
      <c r="DJ386" t="s">
        <v>3</v>
      </c>
      <c r="DK386" t="s">
        <v>3</v>
      </c>
      <c r="DL386" t="s">
        <v>3</v>
      </c>
      <c r="DM386" t="s">
        <v>3</v>
      </c>
      <c r="DN386">
        <v>116</v>
      </c>
      <c r="DO386">
        <v>68</v>
      </c>
      <c r="DP386">
        <v>1</v>
      </c>
      <c r="DQ386">
        <v>1</v>
      </c>
      <c r="DU386">
        <v>1007</v>
      </c>
      <c r="DV386" t="s">
        <v>84</v>
      </c>
      <c r="DW386" t="s">
        <v>84</v>
      </c>
      <c r="DX386">
        <v>1</v>
      </c>
      <c r="DZ386" t="s">
        <v>3</v>
      </c>
      <c r="EA386" t="s">
        <v>3</v>
      </c>
      <c r="EB386" t="s">
        <v>3</v>
      </c>
      <c r="EC386" t="s">
        <v>3</v>
      </c>
      <c r="EE386">
        <v>43088219</v>
      </c>
      <c r="EF386">
        <v>30</v>
      </c>
      <c r="EG386" t="s">
        <v>22</v>
      </c>
      <c r="EH386">
        <v>0</v>
      </c>
      <c r="EI386" t="s">
        <v>3</v>
      </c>
      <c r="EJ386">
        <v>1</v>
      </c>
      <c r="EK386">
        <v>141</v>
      </c>
      <c r="EL386" t="s">
        <v>507</v>
      </c>
      <c r="EM386" t="s">
        <v>508</v>
      </c>
      <c r="EO386" t="s">
        <v>3</v>
      </c>
      <c r="EQ386">
        <v>0</v>
      </c>
      <c r="ER386">
        <v>104.99</v>
      </c>
      <c r="ES386">
        <v>104.99</v>
      </c>
      <c r="ET386">
        <v>0</v>
      </c>
      <c r="EU386">
        <v>0</v>
      </c>
      <c r="EV386">
        <v>0</v>
      </c>
      <c r="EW386">
        <v>0</v>
      </c>
      <c r="EX386">
        <v>0</v>
      </c>
      <c r="FQ386">
        <v>0</v>
      </c>
      <c r="FR386">
        <f t="shared" si="376"/>
        <v>0</v>
      </c>
      <c r="FS386">
        <v>0</v>
      </c>
      <c r="FX386">
        <v>116</v>
      </c>
      <c r="FY386">
        <v>68</v>
      </c>
      <c r="GA386" t="s">
        <v>3</v>
      </c>
      <c r="GD386">
        <v>0</v>
      </c>
      <c r="GF386">
        <v>2069056849</v>
      </c>
      <c r="GG386">
        <v>2</v>
      </c>
      <c r="GH386">
        <v>1</v>
      </c>
      <c r="GI386">
        <v>2</v>
      </c>
      <c r="GJ386">
        <v>0</v>
      </c>
      <c r="GK386">
        <f>ROUND(R386*(R12)/100,2)</f>
        <v>0</v>
      </c>
      <c r="GL386">
        <f t="shared" si="377"/>
        <v>0</v>
      </c>
      <c r="GM386">
        <f t="shared" si="378"/>
        <v>108178.55</v>
      </c>
      <c r="GN386">
        <f t="shared" si="379"/>
        <v>108178.55</v>
      </c>
      <c r="GO386">
        <f t="shared" si="380"/>
        <v>0</v>
      </c>
      <c r="GP386">
        <f t="shared" si="381"/>
        <v>0</v>
      </c>
      <c r="GR386">
        <v>0</v>
      </c>
      <c r="GS386">
        <v>3</v>
      </c>
      <c r="GT386">
        <v>0</v>
      </c>
      <c r="GU386" t="s">
        <v>3</v>
      </c>
      <c r="GV386">
        <f t="shared" si="382"/>
        <v>0</v>
      </c>
      <c r="GW386">
        <v>1</v>
      </c>
      <c r="GX386">
        <f t="shared" si="383"/>
        <v>0</v>
      </c>
      <c r="HA386">
        <v>0</v>
      </c>
      <c r="HB386">
        <v>0</v>
      </c>
      <c r="HC386">
        <f t="shared" si="384"/>
        <v>0</v>
      </c>
      <c r="HE386" t="s">
        <v>3</v>
      </c>
      <c r="HF386" t="s">
        <v>3</v>
      </c>
      <c r="HM386" t="s">
        <v>3</v>
      </c>
      <c r="IK386">
        <v>0</v>
      </c>
    </row>
    <row r="387" spans="1:245" x14ac:dyDescent="0.2">
      <c r="A387">
        <v>17</v>
      </c>
      <c r="B387">
        <v>1</v>
      </c>
      <c r="C387">
        <f>ROW(SmtRes!A239)</f>
        <v>239</v>
      </c>
      <c r="D387">
        <f>ROW(EtalonRes!A236)</f>
        <v>236</v>
      </c>
      <c r="E387" t="s">
        <v>518</v>
      </c>
      <c r="F387" t="s">
        <v>519</v>
      </c>
      <c r="G387" t="s">
        <v>1588</v>
      </c>
      <c r="H387" t="s">
        <v>152</v>
      </c>
      <c r="I387">
        <f>ROUND(1700/100,9)</f>
        <v>17</v>
      </c>
      <c r="J387">
        <v>0</v>
      </c>
      <c r="K387">
        <f>ROUND(1700/100,9)</f>
        <v>17</v>
      </c>
      <c r="O387">
        <f t="shared" si="352"/>
        <v>111967.65</v>
      </c>
      <c r="P387">
        <f t="shared" si="353"/>
        <v>121.22</v>
      </c>
      <c r="Q387">
        <f>(ROUND((ROUND((((ET387*1.25))*AV387*I387),2)*BB387),2)+ROUND((ROUND(((AE387-((EU387*1.25)))*AV387*I387),2)*BS387),2))</f>
        <v>3219.67</v>
      </c>
      <c r="R387">
        <f t="shared" si="354"/>
        <v>967.74</v>
      </c>
      <c r="S387">
        <f t="shared" si="355"/>
        <v>108626.76</v>
      </c>
      <c r="T387">
        <f t="shared" si="356"/>
        <v>0</v>
      </c>
      <c r="U387">
        <f t="shared" si="357"/>
        <v>351.11799999999999</v>
      </c>
      <c r="V387">
        <f t="shared" si="358"/>
        <v>0</v>
      </c>
      <c r="W387">
        <f t="shared" si="359"/>
        <v>0</v>
      </c>
      <c r="X387">
        <f t="shared" si="360"/>
        <v>115144.37</v>
      </c>
      <c r="Y387">
        <f t="shared" si="361"/>
        <v>57572.18</v>
      </c>
      <c r="AA387">
        <v>42938047</v>
      </c>
      <c r="AB387">
        <f t="shared" si="362"/>
        <v>291.61149999999998</v>
      </c>
      <c r="AC387">
        <f t="shared" si="363"/>
        <v>1.39</v>
      </c>
      <c r="AD387">
        <f>ROUND(((((ET387*1.25))-((EU387*1.25)))+AE387),6)</f>
        <v>39.049999999999997</v>
      </c>
      <c r="AE387">
        <f>ROUND(((EU387*1.25)),6)</f>
        <v>2.2374999999999998</v>
      </c>
      <c r="AF387">
        <f>ROUND(((EV387*1.15)),6)</f>
        <v>251.17150000000001</v>
      </c>
      <c r="AG387">
        <f t="shared" si="364"/>
        <v>0</v>
      </c>
      <c r="AH387">
        <f>((EW387*1.15))</f>
        <v>20.654</v>
      </c>
      <c r="AI387">
        <f>((EX387*1.25))</f>
        <v>0</v>
      </c>
      <c r="AJ387">
        <f t="shared" si="365"/>
        <v>0</v>
      </c>
      <c r="AK387">
        <v>251.04</v>
      </c>
      <c r="AL387">
        <v>1.39</v>
      </c>
      <c r="AM387">
        <v>31.24</v>
      </c>
      <c r="AN387">
        <v>1.79</v>
      </c>
      <c r="AO387">
        <v>218.41</v>
      </c>
      <c r="AP387">
        <v>0</v>
      </c>
      <c r="AQ387">
        <v>17.96</v>
      </c>
      <c r="AR387">
        <v>0</v>
      </c>
      <c r="AS387">
        <v>0</v>
      </c>
      <c r="AT387">
        <v>106</v>
      </c>
      <c r="AU387">
        <v>53</v>
      </c>
      <c r="AV387">
        <v>1</v>
      </c>
      <c r="AW387">
        <v>1</v>
      </c>
      <c r="AZ387">
        <v>1</v>
      </c>
      <c r="BA387">
        <v>25.44</v>
      </c>
      <c r="BB387">
        <v>4.8499999999999996</v>
      </c>
      <c r="BC387">
        <v>5.13</v>
      </c>
      <c r="BD387" t="s">
        <v>3</v>
      </c>
      <c r="BE387" t="s">
        <v>3</v>
      </c>
      <c r="BF387" t="s">
        <v>3</v>
      </c>
      <c r="BG387" t="s">
        <v>3</v>
      </c>
      <c r="BH387">
        <v>0</v>
      </c>
      <c r="BI387">
        <v>1</v>
      </c>
      <c r="BJ387" t="s">
        <v>520</v>
      </c>
      <c r="BM387">
        <v>2120</v>
      </c>
      <c r="BN387">
        <v>0</v>
      </c>
      <c r="BO387" t="s">
        <v>519</v>
      </c>
      <c r="BP387">
        <v>1</v>
      </c>
      <c r="BQ387">
        <v>30</v>
      </c>
      <c r="BR387">
        <v>0</v>
      </c>
      <c r="BS387">
        <v>25.44</v>
      </c>
      <c r="BT387">
        <v>1</v>
      </c>
      <c r="BU387">
        <v>1</v>
      </c>
      <c r="BV387">
        <v>1</v>
      </c>
      <c r="BW387">
        <v>1</v>
      </c>
      <c r="BX387">
        <v>1</v>
      </c>
      <c r="BY387" t="s">
        <v>3</v>
      </c>
      <c r="BZ387">
        <v>106</v>
      </c>
      <c r="CA387">
        <v>53</v>
      </c>
      <c r="CB387" t="s">
        <v>3</v>
      </c>
      <c r="CE387">
        <v>30</v>
      </c>
      <c r="CF387">
        <v>0</v>
      </c>
      <c r="CG387">
        <v>0</v>
      </c>
      <c r="CM387">
        <v>0</v>
      </c>
      <c r="CN387" t="s">
        <v>1584</v>
      </c>
      <c r="CO387">
        <v>0</v>
      </c>
      <c r="CP387">
        <f t="shared" si="366"/>
        <v>111967.65</v>
      </c>
      <c r="CQ387">
        <f t="shared" si="367"/>
        <v>7.13</v>
      </c>
      <c r="CR387">
        <f>(ROUND((ROUND((((ET387*1.25))*AV387*1),2)*BB387),2)+ROUND((ROUND(((AE387-((EU387*1.25)))*AV387*1),2)*BS387),2))</f>
        <v>189.39</v>
      </c>
      <c r="CS387">
        <f t="shared" si="368"/>
        <v>56.99</v>
      </c>
      <c r="CT387">
        <f t="shared" si="369"/>
        <v>6389.76</v>
      </c>
      <c r="CU387">
        <f t="shared" si="370"/>
        <v>0</v>
      </c>
      <c r="CV387">
        <f t="shared" si="371"/>
        <v>20.654</v>
      </c>
      <c r="CW387">
        <f t="shared" si="372"/>
        <v>0</v>
      </c>
      <c r="CX387">
        <f t="shared" si="373"/>
        <v>0</v>
      </c>
      <c r="CY387">
        <f t="shared" si="374"/>
        <v>115144.3656</v>
      </c>
      <c r="CZ387">
        <f t="shared" si="375"/>
        <v>57572.182800000002</v>
      </c>
      <c r="DC387" t="s">
        <v>3</v>
      </c>
      <c r="DD387" t="s">
        <v>3</v>
      </c>
      <c r="DE387" t="s">
        <v>20</v>
      </c>
      <c r="DF387" t="s">
        <v>20</v>
      </c>
      <c r="DG387" t="s">
        <v>21</v>
      </c>
      <c r="DH387" t="s">
        <v>3</v>
      </c>
      <c r="DI387" t="s">
        <v>21</v>
      </c>
      <c r="DJ387" t="s">
        <v>20</v>
      </c>
      <c r="DK387" t="s">
        <v>3</v>
      </c>
      <c r="DL387" t="s">
        <v>3</v>
      </c>
      <c r="DM387" t="s">
        <v>3</v>
      </c>
      <c r="DN387">
        <v>133</v>
      </c>
      <c r="DO387">
        <v>113</v>
      </c>
      <c r="DP387">
        <v>1</v>
      </c>
      <c r="DQ387">
        <v>1</v>
      </c>
      <c r="DU387">
        <v>1003</v>
      </c>
      <c r="DV387" t="s">
        <v>152</v>
      </c>
      <c r="DW387" t="s">
        <v>152</v>
      </c>
      <c r="DX387">
        <v>100</v>
      </c>
      <c r="DZ387" t="s">
        <v>3</v>
      </c>
      <c r="EA387" t="s">
        <v>3</v>
      </c>
      <c r="EB387" t="s">
        <v>3</v>
      </c>
      <c r="EC387" t="s">
        <v>3</v>
      </c>
      <c r="EE387">
        <v>43090231</v>
      </c>
      <c r="EF387">
        <v>30</v>
      </c>
      <c r="EG387" t="s">
        <v>22</v>
      </c>
      <c r="EH387">
        <v>0</v>
      </c>
      <c r="EI387" t="s">
        <v>3</v>
      </c>
      <c r="EJ387">
        <v>1</v>
      </c>
      <c r="EK387">
        <v>2120</v>
      </c>
      <c r="EL387" t="s">
        <v>521</v>
      </c>
      <c r="EM387" t="s">
        <v>522</v>
      </c>
      <c r="EO387" t="s">
        <v>59</v>
      </c>
      <c r="EQ387">
        <v>0</v>
      </c>
      <c r="ER387">
        <v>251.04</v>
      </c>
      <c r="ES387">
        <v>1.39</v>
      </c>
      <c r="ET387">
        <v>31.24</v>
      </c>
      <c r="EU387">
        <v>1.79</v>
      </c>
      <c r="EV387">
        <v>218.41</v>
      </c>
      <c r="EW387">
        <v>17.96</v>
      </c>
      <c r="EX387">
        <v>0</v>
      </c>
      <c r="EY387">
        <v>0</v>
      </c>
      <c r="FQ387">
        <v>0</v>
      </c>
      <c r="FR387">
        <f t="shared" si="376"/>
        <v>0</v>
      </c>
      <c r="FS387">
        <v>0</v>
      </c>
      <c r="FX387">
        <v>133</v>
      </c>
      <c r="FY387">
        <v>113</v>
      </c>
      <c r="GA387" t="s">
        <v>3</v>
      </c>
      <c r="GD387">
        <v>0</v>
      </c>
      <c r="GF387">
        <v>804940970</v>
      </c>
      <c r="GG387">
        <v>2</v>
      </c>
      <c r="GH387">
        <v>1</v>
      </c>
      <c r="GI387">
        <v>2</v>
      </c>
      <c r="GJ387">
        <v>0</v>
      </c>
      <c r="GK387">
        <f>ROUND(R387*(R12)/100,2)</f>
        <v>1519.35</v>
      </c>
      <c r="GL387">
        <f t="shared" si="377"/>
        <v>0</v>
      </c>
      <c r="GM387">
        <f t="shared" si="378"/>
        <v>286203.55</v>
      </c>
      <c r="GN387">
        <f t="shared" si="379"/>
        <v>286203.55</v>
      </c>
      <c r="GO387">
        <f t="shared" si="380"/>
        <v>0</v>
      </c>
      <c r="GP387">
        <f t="shared" si="381"/>
        <v>0</v>
      </c>
      <c r="GR387">
        <v>0</v>
      </c>
      <c r="GS387">
        <v>3</v>
      </c>
      <c r="GT387">
        <v>0</v>
      </c>
      <c r="GU387" t="s">
        <v>3</v>
      </c>
      <c r="GV387">
        <f t="shared" si="382"/>
        <v>0</v>
      </c>
      <c r="GW387">
        <v>1</v>
      </c>
      <c r="GX387">
        <f t="shared" si="383"/>
        <v>0</v>
      </c>
      <c r="HA387">
        <v>0</v>
      </c>
      <c r="HB387">
        <v>0</v>
      </c>
      <c r="HC387">
        <f t="shared" si="384"/>
        <v>0</v>
      </c>
      <c r="HE387" t="s">
        <v>3</v>
      </c>
      <c r="HF387" t="s">
        <v>3</v>
      </c>
      <c r="HM387" t="s">
        <v>3</v>
      </c>
      <c r="IK387">
        <v>0</v>
      </c>
    </row>
    <row r="388" spans="1:245" x14ac:dyDescent="0.2">
      <c r="A388">
        <v>17</v>
      </c>
      <c r="B388">
        <v>1</v>
      </c>
      <c r="C388">
        <f>ROW(SmtRes!A240)</f>
        <v>240</v>
      </c>
      <c r="D388">
        <f>ROW(EtalonRes!A237)</f>
        <v>237</v>
      </c>
      <c r="E388" t="s">
        <v>523</v>
      </c>
      <c r="F388" t="s">
        <v>204</v>
      </c>
      <c r="G388" t="s">
        <v>524</v>
      </c>
      <c r="H388" t="s">
        <v>104</v>
      </c>
      <c r="I388">
        <v>382.5</v>
      </c>
      <c r="J388">
        <v>0</v>
      </c>
      <c r="K388">
        <v>382.5</v>
      </c>
      <c r="O388">
        <f t="shared" si="352"/>
        <v>214834.95</v>
      </c>
      <c r="P388">
        <f t="shared" si="353"/>
        <v>0</v>
      </c>
      <c r="Q388">
        <f>(ROUND((ROUND(((ET388)*AV388*I388),2)*BB388),2)+ROUND((ROUND(((AE388-(EU388))*AV388*I388),2)*BS388),2))</f>
        <v>214834.95</v>
      </c>
      <c r="R388">
        <f t="shared" si="354"/>
        <v>0</v>
      </c>
      <c r="S388">
        <f t="shared" si="355"/>
        <v>0</v>
      </c>
      <c r="T388">
        <f t="shared" si="356"/>
        <v>0</v>
      </c>
      <c r="U388">
        <f t="shared" si="357"/>
        <v>0</v>
      </c>
      <c r="V388">
        <f t="shared" si="358"/>
        <v>0</v>
      </c>
      <c r="W388">
        <f t="shared" si="359"/>
        <v>0</v>
      </c>
      <c r="X388">
        <f t="shared" si="360"/>
        <v>0</v>
      </c>
      <c r="Y388">
        <f t="shared" si="361"/>
        <v>0</v>
      </c>
      <c r="AA388">
        <v>42938047</v>
      </c>
      <c r="AB388">
        <f t="shared" si="362"/>
        <v>46</v>
      </c>
      <c r="AC388">
        <f t="shared" si="363"/>
        <v>0</v>
      </c>
      <c r="AD388">
        <f>ROUND((((ET388)-(EU388))+AE388),6)</f>
        <v>46</v>
      </c>
      <c r="AE388">
        <f>ROUND((EU388),6)</f>
        <v>0</v>
      </c>
      <c r="AF388">
        <f>ROUND((EV388),6)</f>
        <v>0</v>
      </c>
      <c r="AG388">
        <f t="shared" si="364"/>
        <v>0</v>
      </c>
      <c r="AH388">
        <f>(EW388)</f>
        <v>0</v>
      </c>
      <c r="AI388">
        <f>(EX388)</f>
        <v>0</v>
      </c>
      <c r="AJ388">
        <f t="shared" si="365"/>
        <v>0</v>
      </c>
      <c r="AK388">
        <v>46</v>
      </c>
      <c r="AL388">
        <v>0</v>
      </c>
      <c r="AM388">
        <v>46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93</v>
      </c>
      <c r="AU388">
        <v>64</v>
      </c>
      <c r="AV388">
        <v>1</v>
      </c>
      <c r="AW388">
        <v>1</v>
      </c>
      <c r="AZ388">
        <v>1</v>
      </c>
      <c r="BA388">
        <v>1</v>
      </c>
      <c r="BB388">
        <v>12.21</v>
      </c>
      <c r="BC388">
        <v>1</v>
      </c>
      <c r="BD388" t="s">
        <v>3</v>
      </c>
      <c r="BE388" t="s">
        <v>3</v>
      </c>
      <c r="BF388" t="s">
        <v>3</v>
      </c>
      <c r="BG388" t="s">
        <v>3</v>
      </c>
      <c r="BH388">
        <v>0</v>
      </c>
      <c r="BI388">
        <v>4</v>
      </c>
      <c r="BJ388" t="s">
        <v>206</v>
      </c>
      <c r="BM388">
        <v>1111</v>
      </c>
      <c r="BN388">
        <v>0</v>
      </c>
      <c r="BO388" t="s">
        <v>204</v>
      </c>
      <c r="BP388">
        <v>1</v>
      </c>
      <c r="BQ388">
        <v>150</v>
      </c>
      <c r="BR388">
        <v>0</v>
      </c>
      <c r="BS388">
        <v>1</v>
      </c>
      <c r="BT388">
        <v>1</v>
      </c>
      <c r="BU388">
        <v>1</v>
      </c>
      <c r="BV388">
        <v>1</v>
      </c>
      <c r="BW388">
        <v>1</v>
      </c>
      <c r="BX388">
        <v>1</v>
      </c>
      <c r="BY388" t="s">
        <v>3</v>
      </c>
      <c r="BZ388">
        <v>93</v>
      </c>
      <c r="CA388">
        <v>64</v>
      </c>
      <c r="CB388" t="s">
        <v>3</v>
      </c>
      <c r="CE388">
        <v>30</v>
      </c>
      <c r="CF388">
        <v>0</v>
      </c>
      <c r="CG388">
        <v>0</v>
      </c>
      <c r="CM388">
        <v>0</v>
      </c>
      <c r="CN388" t="s">
        <v>3</v>
      </c>
      <c r="CO388">
        <v>0</v>
      </c>
      <c r="CP388">
        <f t="shared" si="366"/>
        <v>214834.95</v>
      </c>
      <c r="CQ388">
        <f t="shared" si="367"/>
        <v>0</v>
      </c>
      <c r="CR388">
        <f>(ROUND((ROUND(((ET388)*AV388*1),2)*BB388),2)+ROUND((ROUND(((AE388-(EU388))*AV388*1),2)*BS388),2))</f>
        <v>561.66</v>
      </c>
      <c r="CS388">
        <f t="shared" si="368"/>
        <v>0</v>
      </c>
      <c r="CT388">
        <f t="shared" si="369"/>
        <v>0</v>
      </c>
      <c r="CU388">
        <f t="shared" si="370"/>
        <v>0</v>
      </c>
      <c r="CV388">
        <f t="shared" si="371"/>
        <v>0</v>
      </c>
      <c r="CW388">
        <f t="shared" si="372"/>
        <v>0</v>
      </c>
      <c r="CX388">
        <f t="shared" si="373"/>
        <v>0</v>
      </c>
      <c r="CY388">
        <f t="shared" si="374"/>
        <v>0</v>
      </c>
      <c r="CZ388">
        <f t="shared" si="375"/>
        <v>0</v>
      </c>
      <c r="DC388" t="s">
        <v>3</v>
      </c>
      <c r="DD388" t="s">
        <v>3</v>
      </c>
      <c r="DE388" t="s">
        <v>3</v>
      </c>
      <c r="DF388" t="s">
        <v>3</v>
      </c>
      <c r="DG388" t="s">
        <v>3</v>
      </c>
      <c r="DH388" t="s">
        <v>3</v>
      </c>
      <c r="DI388" t="s">
        <v>3</v>
      </c>
      <c r="DJ388" t="s">
        <v>3</v>
      </c>
      <c r="DK388" t="s">
        <v>3</v>
      </c>
      <c r="DL388" t="s">
        <v>3</v>
      </c>
      <c r="DM388" t="s">
        <v>3</v>
      </c>
      <c r="DN388">
        <v>0</v>
      </c>
      <c r="DO388">
        <v>0</v>
      </c>
      <c r="DP388">
        <v>1</v>
      </c>
      <c r="DQ388">
        <v>1</v>
      </c>
      <c r="DU388">
        <v>1009</v>
      </c>
      <c r="DV388" t="s">
        <v>104</v>
      </c>
      <c r="DW388" t="s">
        <v>104</v>
      </c>
      <c r="DX388">
        <v>1000</v>
      </c>
      <c r="DZ388" t="s">
        <v>3</v>
      </c>
      <c r="EA388" t="s">
        <v>3</v>
      </c>
      <c r="EB388" t="s">
        <v>3</v>
      </c>
      <c r="EC388" t="s">
        <v>3</v>
      </c>
      <c r="EE388">
        <v>43089189</v>
      </c>
      <c r="EF388">
        <v>150</v>
      </c>
      <c r="EG388" t="s">
        <v>190</v>
      </c>
      <c r="EH388">
        <v>0</v>
      </c>
      <c r="EI388" t="s">
        <v>3</v>
      </c>
      <c r="EJ388">
        <v>4</v>
      </c>
      <c r="EK388">
        <v>1111</v>
      </c>
      <c r="EL388" t="s">
        <v>207</v>
      </c>
      <c r="EM388" t="s">
        <v>208</v>
      </c>
      <c r="EO388" t="s">
        <v>3</v>
      </c>
      <c r="EQ388">
        <v>0</v>
      </c>
      <c r="ER388">
        <v>46</v>
      </c>
      <c r="ES388">
        <v>0</v>
      </c>
      <c r="ET388">
        <v>46</v>
      </c>
      <c r="EU388">
        <v>0</v>
      </c>
      <c r="EV388">
        <v>0</v>
      </c>
      <c r="EW388">
        <v>0</v>
      </c>
      <c r="EX388">
        <v>0</v>
      </c>
      <c r="EY388">
        <v>0</v>
      </c>
      <c r="FQ388">
        <v>0</v>
      </c>
      <c r="FR388">
        <f t="shared" si="376"/>
        <v>0</v>
      </c>
      <c r="FS388">
        <v>0</v>
      </c>
      <c r="FX388">
        <v>0</v>
      </c>
      <c r="FY388">
        <v>0</v>
      </c>
      <c r="GA388" t="s">
        <v>3</v>
      </c>
      <c r="GD388">
        <v>0</v>
      </c>
      <c r="GF388">
        <v>-1527200308</v>
      </c>
      <c r="GG388">
        <v>2</v>
      </c>
      <c r="GH388">
        <v>1</v>
      </c>
      <c r="GI388">
        <v>2</v>
      </c>
      <c r="GJ388">
        <v>0</v>
      </c>
      <c r="GK388">
        <f>ROUND(R388*(R12)/100,2)</f>
        <v>0</v>
      </c>
      <c r="GL388">
        <f t="shared" si="377"/>
        <v>0</v>
      </c>
      <c r="GM388">
        <f t="shared" si="378"/>
        <v>214834.95</v>
      </c>
      <c r="GN388">
        <f t="shared" si="379"/>
        <v>0</v>
      </c>
      <c r="GO388">
        <f t="shared" si="380"/>
        <v>0</v>
      </c>
      <c r="GP388">
        <f t="shared" si="381"/>
        <v>214834.95</v>
      </c>
      <c r="GR388">
        <v>0</v>
      </c>
      <c r="GS388">
        <v>3</v>
      </c>
      <c r="GT388">
        <v>0</v>
      </c>
      <c r="GU388" t="s">
        <v>3</v>
      </c>
      <c r="GV388">
        <f t="shared" si="382"/>
        <v>0</v>
      </c>
      <c r="GW388">
        <v>1</v>
      </c>
      <c r="GX388">
        <f t="shared" si="383"/>
        <v>0</v>
      </c>
      <c r="HA388">
        <v>0</v>
      </c>
      <c r="HB388">
        <v>0</v>
      </c>
      <c r="HC388">
        <f t="shared" si="384"/>
        <v>0</v>
      </c>
      <c r="HE388" t="s">
        <v>3</v>
      </c>
      <c r="HF388" t="s">
        <v>3</v>
      </c>
      <c r="HM388" t="s">
        <v>3</v>
      </c>
      <c r="IK388">
        <v>0</v>
      </c>
    </row>
    <row r="389" spans="1:245" x14ac:dyDescent="0.2">
      <c r="A389">
        <v>17</v>
      </c>
      <c r="B389">
        <v>1</v>
      </c>
      <c r="C389">
        <f>ROW(SmtRes!A241)</f>
        <v>241</v>
      </c>
      <c r="D389">
        <f>ROW(EtalonRes!A238)</f>
        <v>238</v>
      </c>
      <c r="E389" t="s">
        <v>525</v>
      </c>
      <c r="F389" t="s">
        <v>210</v>
      </c>
      <c r="G389" t="s">
        <v>211</v>
      </c>
      <c r="H389" t="s">
        <v>182</v>
      </c>
      <c r="I389">
        <v>382.5</v>
      </c>
      <c r="J389">
        <v>0</v>
      </c>
      <c r="K389">
        <v>382.5</v>
      </c>
      <c r="O389">
        <f t="shared" si="352"/>
        <v>36802.01</v>
      </c>
      <c r="P389">
        <f t="shared" si="353"/>
        <v>0</v>
      </c>
      <c r="Q389">
        <f>(ROUND((ROUND(((ET389)*AV389*I389),2)*BB389),2)+ROUND((ROUND(((AE389-(EU389))*AV389*I389),2)*BS389),2))</f>
        <v>36802.01</v>
      </c>
      <c r="R389">
        <f t="shared" si="354"/>
        <v>0</v>
      </c>
      <c r="S389">
        <f t="shared" si="355"/>
        <v>0</v>
      </c>
      <c r="T389">
        <f t="shared" si="356"/>
        <v>0</v>
      </c>
      <c r="U389">
        <f t="shared" si="357"/>
        <v>0</v>
      </c>
      <c r="V389">
        <f t="shared" si="358"/>
        <v>0</v>
      </c>
      <c r="W389">
        <f t="shared" si="359"/>
        <v>0</v>
      </c>
      <c r="X389">
        <f t="shared" si="360"/>
        <v>0</v>
      </c>
      <c r="Y389">
        <f t="shared" si="361"/>
        <v>0</v>
      </c>
      <c r="AA389">
        <v>42938047</v>
      </c>
      <c r="AB389">
        <f t="shared" si="362"/>
        <v>12.61</v>
      </c>
      <c r="AC389">
        <f t="shared" si="363"/>
        <v>0</v>
      </c>
      <c r="AD389">
        <f>ROUND((((ET389)-(EU389))+AE389),6)</f>
        <v>12.61</v>
      </c>
      <c r="AE389">
        <f>ROUND((EU389),6)</f>
        <v>0</v>
      </c>
      <c r="AF389">
        <f>ROUND((EV389),6)</f>
        <v>0</v>
      </c>
      <c r="AG389">
        <f t="shared" si="364"/>
        <v>0</v>
      </c>
      <c r="AH389">
        <f>(EW389)</f>
        <v>0</v>
      </c>
      <c r="AI389">
        <f>(EX389)</f>
        <v>0</v>
      </c>
      <c r="AJ389">
        <f t="shared" si="365"/>
        <v>0</v>
      </c>
      <c r="AK389">
        <v>12.61</v>
      </c>
      <c r="AL389">
        <v>0</v>
      </c>
      <c r="AM389">
        <v>12.61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93</v>
      </c>
      <c r="AU389">
        <v>64</v>
      </c>
      <c r="AV389">
        <v>1</v>
      </c>
      <c r="AW389">
        <v>1</v>
      </c>
      <c r="AZ389">
        <v>1</v>
      </c>
      <c r="BA389">
        <v>1</v>
      </c>
      <c r="BB389">
        <v>7.63</v>
      </c>
      <c r="BC389">
        <v>1</v>
      </c>
      <c r="BD389" t="s">
        <v>3</v>
      </c>
      <c r="BE389" t="s">
        <v>3</v>
      </c>
      <c r="BF389" t="s">
        <v>3</v>
      </c>
      <c r="BG389" t="s">
        <v>3</v>
      </c>
      <c r="BH389">
        <v>0</v>
      </c>
      <c r="BI389">
        <v>4</v>
      </c>
      <c r="BJ389" t="s">
        <v>212</v>
      </c>
      <c r="BM389">
        <v>1113</v>
      </c>
      <c r="BN389">
        <v>0</v>
      </c>
      <c r="BO389" t="s">
        <v>210</v>
      </c>
      <c r="BP389">
        <v>1</v>
      </c>
      <c r="BQ389">
        <v>150</v>
      </c>
      <c r="BR389">
        <v>0</v>
      </c>
      <c r="BS389">
        <v>1</v>
      </c>
      <c r="BT389">
        <v>1</v>
      </c>
      <c r="BU389">
        <v>1</v>
      </c>
      <c r="BV389">
        <v>1</v>
      </c>
      <c r="BW389">
        <v>1</v>
      </c>
      <c r="BX389">
        <v>1</v>
      </c>
      <c r="BY389" t="s">
        <v>3</v>
      </c>
      <c r="BZ389">
        <v>93</v>
      </c>
      <c r="CA389">
        <v>64</v>
      </c>
      <c r="CB389" t="s">
        <v>3</v>
      </c>
      <c r="CE389">
        <v>30</v>
      </c>
      <c r="CF389">
        <v>0</v>
      </c>
      <c r="CG389">
        <v>0</v>
      </c>
      <c r="CM389">
        <v>0</v>
      </c>
      <c r="CN389" t="s">
        <v>3</v>
      </c>
      <c r="CO389">
        <v>0</v>
      </c>
      <c r="CP389">
        <f t="shared" si="366"/>
        <v>36802.01</v>
      </c>
      <c r="CQ389">
        <f t="shared" si="367"/>
        <v>0</v>
      </c>
      <c r="CR389">
        <f>(ROUND((ROUND(((ET389)*AV389*1),2)*BB389),2)+ROUND((ROUND(((AE389-(EU389))*AV389*1),2)*BS389),2))</f>
        <v>96.21</v>
      </c>
      <c r="CS389">
        <f t="shared" si="368"/>
        <v>0</v>
      </c>
      <c r="CT389">
        <f t="shared" si="369"/>
        <v>0</v>
      </c>
      <c r="CU389">
        <f t="shared" si="370"/>
        <v>0</v>
      </c>
      <c r="CV389">
        <f t="shared" si="371"/>
        <v>0</v>
      </c>
      <c r="CW389">
        <f t="shared" si="372"/>
        <v>0</v>
      </c>
      <c r="CX389">
        <f t="shared" si="373"/>
        <v>0</v>
      </c>
      <c r="CY389">
        <f t="shared" si="374"/>
        <v>0</v>
      </c>
      <c r="CZ389">
        <f t="shared" si="375"/>
        <v>0</v>
      </c>
      <c r="DC389" t="s">
        <v>3</v>
      </c>
      <c r="DD389" t="s">
        <v>3</v>
      </c>
      <c r="DE389" t="s">
        <v>3</v>
      </c>
      <c r="DF389" t="s">
        <v>3</v>
      </c>
      <c r="DG389" t="s">
        <v>3</v>
      </c>
      <c r="DH389" t="s">
        <v>3</v>
      </c>
      <c r="DI389" t="s">
        <v>3</v>
      </c>
      <c r="DJ389" t="s">
        <v>3</v>
      </c>
      <c r="DK389" t="s">
        <v>3</v>
      </c>
      <c r="DL389" t="s">
        <v>3</v>
      </c>
      <c r="DM389" t="s">
        <v>3</v>
      </c>
      <c r="DN389">
        <v>0</v>
      </c>
      <c r="DO389">
        <v>0</v>
      </c>
      <c r="DP389">
        <v>1</v>
      </c>
      <c r="DQ389">
        <v>1</v>
      </c>
      <c r="DU389">
        <v>1013</v>
      </c>
      <c r="DV389" t="s">
        <v>182</v>
      </c>
      <c r="DW389" t="s">
        <v>182</v>
      </c>
      <c r="DX389">
        <v>1</v>
      </c>
      <c r="DZ389" t="s">
        <v>3</v>
      </c>
      <c r="EA389" t="s">
        <v>3</v>
      </c>
      <c r="EB389" t="s">
        <v>3</v>
      </c>
      <c r="EC389" t="s">
        <v>3</v>
      </c>
      <c r="EE389">
        <v>43089191</v>
      </c>
      <c r="EF389">
        <v>150</v>
      </c>
      <c r="EG389" t="s">
        <v>190</v>
      </c>
      <c r="EH389">
        <v>0</v>
      </c>
      <c r="EI389" t="s">
        <v>3</v>
      </c>
      <c r="EJ389">
        <v>4</v>
      </c>
      <c r="EK389">
        <v>1113</v>
      </c>
      <c r="EL389" t="s">
        <v>191</v>
      </c>
      <c r="EM389" t="s">
        <v>192</v>
      </c>
      <c r="EO389" t="s">
        <v>3</v>
      </c>
      <c r="EQ389">
        <v>0</v>
      </c>
      <c r="ER389">
        <v>12.61</v>
      </c>
      <c r="ES389">
        <v>0</v>
      </c>
      <c r="ET389">
        <v>12.61</v>
      </c>
      <c r="EU389">
        <v>0</v>
      </c>
      <c r="EV389">
        <v>0</v>
      </c>
      <c r="EW389">
        <v>0</v>
      </c>
      <c r="EX389">
        <v>0</v>
      </c>
      <c r="EY389">
        <v>0</v>
      </c>
      <c r="FQ389">
        <v>0</v>
      </c>
      <c r="FR389">
        <f t="shared" si="376"/>
        <v>0</v>
      </c>
      <c r="FS389">
        <v>0</v>
      </c>
      <c r="FX389">
        <v>0</v>
      </c>
      <c r="FY389">
        <v>0</v>
      </c>
      <c r="GA389" t="s">
        <v>3</v>
      </c>
      <c r="GD389">
        <v>0</v>
      </c>
      <c r="GF389">
        <v>-1630031867</v>
      </c>
      <c r="GG389">
        <v>2</v>
      </c>
      <c r="GH389">
        <v>1</v>
      </c>
      <c r="GI389">
        <v>2</v>
      </c>
      <c r="GJ389">
        <v>0</v>
      </c>
      <c r="GK389">
        <f>ROUND(R389*(R12)/100,2)</f>
        <v>0</v>
      </c>
      <c r="GL389">
        <f t="shared" si="377"/>
        <v>0</v>
      </c>
      <c r="GM389">
        <f t="shared" si="378"/>
        <v>36802.01</v>
      </c>
      <c r="GN389">
        <f t="shared" si="379"/>
        <v>0</v>
      </c>
      <c r="GO389">
        <f t="shared" si="380"/>
        <v>0</v>
      </c>
      <c r="GP389">
        <f t="shared" si="381"/>
        <v>36802.01</v>
      </c>
      <c r="GR389">
        <v>0</v>
      </c>
      <c r="GS389">
        <v>3</v>
      </c>
      <c r="GT389">
        <v>0</v>
      </c>
      <c r="GU389" t="s">
        <v>3</v>
      </c>
      <c r="GV389">
        <f t="shared" si="382"/>
        <v>0</v>
      </c>
      <c r="GW389">
        <v>1</v>
      </c>
      <c r="GX389">
        <f t="shared" si="383"/>
        <v>0</v>
      </c>
      <c r="HA389">
        <v>0</v>
      </c>
      <c r="HB389">
        <v>0</v>
      </c>
      <c r="HC389">
        <f t="shared" si="384"/>
        <v>0</v>
      </c>
      <c r="HE389" t="s">
        <v>3</v>
      </c>
      <c r="HF389" t="s">
        <v>3</v>
      </c>
      <c r="HM389" t="s">
        <v>3</v>
      </c>
      <c r="IK389">
        <v>0</v>
      </c>
    </row>
    <row r="390" spans="1:245" x14ac:dyDescent="0.2">
      <c r="A390">
        <v>17</v>
      </c>
      <c r="B390">
        <v>1</v>
      </c>
      <c r="C390">
        <f>ROW(SmtRes!A245)</f>
        <v>245</v>
      </c>
      <c r="D390">
        <f>ROW(EtalonRes!A243)</f>
        <v>243</v>
      </c>
      <c r="E390" t="s">
        <v>526</v>
      </c>
      <c r="F390" t="s">
        <v>365</v>
      </c>
      <c r="G390" t="s">
        <v>366</v>
      </c>
      <c r="H390" t="s">
        <v>367</v>
      </c>
      <c r="I390">
        <f>ROUND(45/100,9)</f>
        <v>0.45</v>
      </c>
      <c r="J390">
        <v>0</v>
      </c>
      <c r="K390">
        <f>ROUND(45/100,9)</f>
        <v>0.45</v>
      </c>
      <c r="O390">
        <f t="shared" si="352"/>
        <v>1178.3499999999999</v>
      </c>
      <c r="P390">
        <f t="shared" si="353"/>
        <v>17.27</v>
      </c>
      <c r="Q390">
        <f>(ROUND((ROUND((((ET390*1.25))*AV390*I390),2)*BB390),2)+ROUND((ROUND(((AE390-((EU390*1.25)))*AV390*I390),2)*BS390),2))</f>
        <v>35.11</v>
      </c>
      <c r="R390">
        <f t="shared" si="354"/>
        <v>20.100000000000001</v>
      </c>
      <c r="S390">
        <f t="shared" si="355"/>
        <v>1125.97</v>
      </c>
      <c r="T390">
        <f t="shared" si="356"/>
        <v>0</v>
      </c>
      <c r="U390">
        <f t="shared" si="357"/>
        <v>3.9588749999999999</v>
      </c>
      <c r="V390">
        <f t="shared" si="358"/>
        <v>0</v>
      </c>
      <c r="W390">
        <f t="shared" si="359"/>
        <v>0</v>
      </c>
      <c r="X390">
        <f t="shared" si="360"/>
        <v>957.07</v>
      </c>
      <c r="Y390">
        <f t="shared" si="361"/>
        <v>461.65</v>
      </c>
      <c r="AA390">
        <v>42938047</v>
      </c>
      <c r="AB390">
        <f t="shared" si="362"/>
        <v>110.6495</v>
      </c>
      <c r="AC390">
        <f t="shared" si="363"/>
        <v>4.84</v>
      </c>
      <c r="AD390">
        <f>ROUND(((((ET390*1.25))-((EU390*1.25)))+AE390),6)</f>
        <v>7.45</v>
      </c>
      <c r="AE390">
        <f>ROUND(((EU390*1.25)),6)</f>
        <v>1.7625</v>
      </c>
      <c r="AF390">
        <f>ROUND(((EV390*1.15)),6)</f>
        <v>98.359499999999997</v>
      </c>
      <c r="AG390">
        <f t="shared" si="364"/>
        <v>0</v>
      </c>
      <c r="AH390">
        <f>((EW390*1.15))</f>
        <v>8.7974999999999994</v>
      </c>
      <c r="AI390">
        <f>((EX390*1.25))</f>
        <v>0</v>
      </c>
      <c r="AJ390">
        <f t="shared" si="365"/>
        <v>0</v>
      </c>
      <c r="AK390">
        <v>96.33</v>
      </c>
      <c r="AL390">
        <v>4.84</v>
      </c>
      <c r="AM390">
        <v>5.96</v>
      </c>
      <c r="AN390">
        <v>1.41</v>
      </c>
      <c r="AO390">
        <v>85.53</v>
      </c>
      <c r="AP390">
        <v>0</v>
      </c>
      <c r="AQ390">
        <v>7.65</v>
      </c>
      <c r="AR390">
        <v>0</v>
      </c>
      <c r="AS390">
        <v>0</v>
      </c>
      <c r="AT390">
        <v>85</v>
      </c>
      <c r="AU390">
        <v>41</v>
      </c>
      <c r="AV390">
        <v>1</v>
      </c>
      <c r="AW390">
        <v>1</v>
      </c>
      <c r="AZ390">
        <v>1</v>
      </c>
      <c r="BA390">
        <v>25.44</v>
      </c>
      <c r="BB390">
        <v>10.48</v>
      </c>
      <c r="BC390">
        <v>7.92</v>
      </c>
      <c r="BD390" t="s">
        <v>3</v>
      </c>
      <c r="BE390" t="s">
        <v>3</v>
      </c>
      <c r="BF390" t="s">
        <v>3</v>
      </c>
      <c r="BG390" t="s">
        <v>3</v>
      </c>
      <c r="BH390">
        <v>0</v>
      </c>
      <c r="BI390">
        <v>1</v>
      </c>
      <c r="BJ390" t="s">
        <v>368</v>
      </c>
      <c r="BM390">
        <v>91</v>
      </c>
      <c r="BN390">
        <v>0</v>
      </c>
      <c r="BO390" t="s">
        <v>365</v>
      </c>
      <c r="BP390">
        <v>1</v>
      </c>
      <c r="BQ390">
        <v>30</v>
      </c>
      <c r="BR390">
        <v>0</v>
      </c>
      <c r="BS390">
        <v>25.44</v>
      </c>
      <c r="BT390">
        <v>1</v>
      </c>
      <c r="BU390">
        <v>1</v>
      </c>
      <c r="BV390">
        <v>1</v>
      </c>
      <c r="BW390">
        <v>1</v>
      </c>
      <c r="BX390">
        <v>1</v>
      </c>
      <c r="BY390" t="s">
        <v>3</v>
      </c>
      <c r="BZ390">
        <v>85</v>
      </c>
      <c r="CA390">
        <v>41</v>
      </c>
      <c r="CB390" t="s">
        <v>3</v>
      </c>
      <c r="CE390">
        <v>30</v>
      </c>
      <c r="CF390">
        <v>0</v>
      </c>
      <c r="CG390">
        <v>0</v>
      </c>
      <c r="CM390">
        <v>0</v>
      </c>
      <c r="CN390" t="s">
        <v>1584</v>
      </c>
      <c r="CO390">
        <v>0</v>
      </c>
      <c r="CP390">
        <f t="shared" si="366"/>
        <v>1178.3499999999999</v>
      </c>
      <c r="CQ390">
        <f t="shared" si="367"/>
        <v>38.33</v>
      </c>
      <c r="CR390">
        <f>(ROUND((ROUND((((ET390*1.25))*AV390*1),2)*BB390),2)+ROUND((ROUND(((AE390-((EU390*1.25)))*AV390*1),2)*BS390),2))</f>
        <v>78.08</v>
      </c>
      <c r="CS390">
        <f t="shared" si="368"/>
        <v>44.77</v>
      </c>
      <c r="CT390">
        <f t="shared" si="369"/>
        <v>2502.2800000000002</v>
      </c>
      <c r="CU390">
        <f t="shared" si="370"/>
        <v>0</v>
      </c>
      <c r="CV390">
        <f t="shared" si="371"/>
        <v>8.7974999999999994</v>
      </c>
      <c r="CW390">
        <f t="shared" si="372"/>
        <v>0</v>
      </c>
      <c r="CX390">
        <f t="shared" si="373"/>
        <v>0</v>
      </c>
      <c r="CY390">
        <f t="shared" si="374"/>
        <v>957.07449999999994</v>
      </c>
      <c r="CZ390">
        <f t="shared" si="375"/>
        <v>461.64769999999999</v>
      </c>
      <c r="DC390" t="s">
        <v>3</v>
      </c>
      <c r="DD390" t="s">
        <v>3</v>
      </c>
      <c r="DE390" t="s">
        <v>20</v>
      </c>
      <c r="DF390" t="s">
        <v>20</v>
      </c>
      <c r="DG390" t="s">
        <v>21</v>
      </c>
      <c r="DH390" t="s">
        <v>3</v>
      </c>
      <c r="DI390" t="s">
        <v>21</v>
      </c>
      <c r="DJ390" t="s">
        <v>20</v>
      </c>
      <c r="DK390" t="s">
        <v>3</v>
      </c>
      <c r="DL390" t="s">
        <v>3</v>
      </c>
      <c r="DM390" t="s">
        <v>3</v>
      </c>
      <c r="DN390">
        <v>104</v>
      </c>
      <c r="DO390">
        <v>70</v>
      </c>
      <c r="DP390">
        <v>1</v>
      </c>
      <c r="DQ390">
        <v>1</v>
      </c>
      <c r="DU390">
        <v>1013</v>
      </c>
      <c r="DV390" t="s">
        <v>367</v>
      </c>
      <c r="DW390" t="s">
        <v>367</v>
      </c>
      <c r="DX390">
        <v>1</v>
      </c>
      <c r="DZ390" t="s">
        <v>3</v>
      </c>
      <c r="EA390" t="s">
        <v>3</v>
      </c>
      <c r="EB390" t="s">
        <v>3</v>
      </c>
      <c r="EC390" t="s">
        <v>3</v>
      </c>
      <c r="EE390">
        <v>43088169</v>
      </c>
      <c r="EF390">
        <v>30</v>
      </c>
      <c r="EG390" t="s">
        <v>22</v>
      </c>
      <c r="EH390">
        <v>0</v>
      </c>
      <c r="EI390" t="s">
        <v>3</v>
      </c>
      <c r="EJ390">
        <v>1</v>
      </c>
      <c r="EK390">
        <v>91</v>
      </c>
      <c r="EL390" t="s">
        <v>369</v>
      </c>
      <c r="EM390" t="s">
        <v>370</v>
      </c>
      <c r="EO390" t="s">
        <v>59</v>
      </c>
      <c r="EQ390">
        <v>0</v>
      </c>
      <c r="ER390">
        <v>96.33</v>
      </c>
      <c r="ES390">
        <v>4.84</v>
      </c>
      <c r="ET390">
        <v>5.96</v>
      </c>
      <c r="EU390">
        <v>1.41</v>
      </c>
      <c r="EV390">
        <v>85.53</v>
      </c>
      <c r="EW390">
        <v>7.65</v>
      </c>
      <c r="EX390">
        <v>0</v>
      </c>
      <c r="EY390">
        <v>0</v>
      </c>
      <c r="FQ390">
        <v>0</v>
      </c>
      <c r="FR390">
        <f t="shared" si="376"/>
        <v>0</v>
      </c>
      <c r="FS390">
        <v>0</v>
      </c>
      <c r="FX390">
        <v>104</v>
      </c>
      <c r="FY390">
        <v>70</v>
      </c>
      <c r="GA390" t="s">
        <v>3</v>
      </c>
      <c r="GD390">
        <v>0</v>
      </c>
      <c r="GF390">
        <v>-1274525647</v>
      </c>
      <c r="GG390">
        <v>2</v>
      </c>
      <c r="GH390">
        <v>1</v>
      </c>
      <c r="GI390">
        <v>2</v>
      </c>
      <c r="GJ390">
        <v>0</v>
      </c>
      <c r="GK390">
        <f>ROUND(R390*(R12)/100,2)</f>
        <v>31.56</v>
      </c>
      <c r="GL390">
        <f t="shared" si="377"/>
        <v>0</v>
      </c>
      <c r="GM390">
        <f t="shared" si="378"/>
        <v>2628.63</v>
      </c>
      <c r="GN390">
        <f t="shared" si="379"/>
        <v>2628.63</v>
      </c>
      <c r="GO390">
        <f t="shared" si="380"/>
        <v>0</v>
      </c>
      <c r="GP390">
        <f t="shared" si="381"/>
        <v>0</v>
      </c>
      <c r="GR390">
        <v>0</v>
      </c>
      <c r="GS390">
        <v>3</v>
      </c>
      <c r="GT390">
        <v>0</v>
      </c>
      <c r="GU390" t="s">
        <v>3</v>
      </c>
      <c r="GV390">
        <f t="shared" si="382"/>
        <v>0</v>
      </c>
      <c r="GW390">
        <v>1</v>
      </c>
      <c r="GX390">
        <f t="shared" si="383"/>
        <v>0</v>
      </c>
      <c r="HA390">
        <v>0</v>
      </c>
      <c r="HB390">
        <v>0</v>
      </c>
      <c r="HC390">
        <f t="shared" si="384"/>
        <v>0</v>
      </c>
      <c r="HE390" t="s">
        <v>3</v>
      </c>
      <c r="HF390" t="s">
        <v>3</v>
      </c>
      <c r="HM390" t="s">
        <v>3</v>
      </c>
      <c r="IK390">
        <v>0</v>
      </c>
    </row>
    <row r="391" spans="1:245" x14ac:dyDescent="0.2">
      <c r="A391">
        <v>18</v>
      </c>
      <c r="B391">
        <v>1</v>
      </c>
      <c r="C391">
        <v>244</v>
      </c>
      <c r="E391" t="s">
        <v>527</v>
      </c>
      <c r="F391" t="s">
        <v>372</v>
      </c>
      <c r="G391" t="s">
        <v>373</v>
      </c>
      <c r="H391" t="s">
        <v>104</v>
      </c>
      <c r="I391">
        <f>I390*J391</f>
        <v>-1.8900000000000001E-4</v>
      </c>
      <c r="J391">
        <v>-4.2000000000000002E-4</v>
      </c>
      <c r="K391">
        <v>-4.2000000000000002E-4</v>
      </c>
      <c r="O391">
        <f t="shared" si="352"/>
        <v>-11.01</v>
      </c>
      <c r="P391">
        <f t="shared" si="353"/>
        <v>-11.01</v>
      </c>
      <c r="Q391">
        <f>(ROUND((ROUND(((ET391)*AV391*I391),2)*BB391),2)+ROUND((ROUND(((AE391-(EU391))*AV391*I391),2)*BS391),2))</f>
        <v>0</v>
      </c>
      <c r="R391">
        <f t="shared" si="354"/>
        <v>0</v>
      </c>
      <c r="S391">
        <f t="shared" si="355"/>
        <v>0</v>
      </c>
      <c r="T391">
        <f t="shared" si="356"/>
        <v>0</v>
      </c>
      <c r="U391">
        <f t="shared" si="357"/>
        <v>0</v>
      </c>
      <c r="V391">
        <f t="shared" si="358"/>
        <v>0</v>
      </c>
      <c r="W391">
        <f t="shared" si="359"/>
        <v>0</v>
      </c>
      <c r="X391">
        <f t="shared" si="360"/>
        <v>0</v>
      </c>
      <c r="Y391">
        <f t="shared" si="361"/>
        <v>0</v>
      </c>
      <c r="AA391">
        <v>42938047</v>
      </c>
      <c r="AB391">
        <f t="shared" si="362"/>
        <v>6521.42</v>
      </c>
      <c r="AC391">
        <f t="shared" si="363"/>
        <v>6521.42</v>
      </c>
      <c r="AD391">
        <f>ROUND((((ET391)-(EU391))+AE391),6)</f>
        <v>0</v>
      </c>
      <c r="AE391">
        <f>ROUND((EU391),6)</f>
        <v>0</v>
      </c>
      <c r="AF391">
        <f>ROUND((EV391),6)</f>
        <v>0</v>
      </c>
      <c r="AG391">
        <f t="shared" si="364"/>
        <v>0</v>
      </c>
      <c r="AH391">
        <f>(EW391)</f>
        <v>0</v>
      </c>
      <c r="AI391">
        <f>(EX391)</f>
        <v>0</v>
      </c>
      <c r="AJ391">
        <f t="shared" si="365"/>
        <v>0</v>
      </c>
      <c r="AK391">
        <v>6521.42</v>
      </c>
      <c r="AL391">
        <v>6521.42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1</v>
      </c>
      <c r="AW391">
        <v>1</v>
      </c>
      <c r="AZ391">
        <v>1</v>
      </c>
      <c r="BA391">
        <v>1</v>
      </c>
      <c r="BB391">
        <v>1</v>
      </c>
      <c r="BC391">
        <v>8.9499999999999993</v>
      </c>
      <c r="BD391" t="s">
        <v>3</v>
      </c>
      <c r="BE391" t="s">
        <v>3</v>
      </c>
      <c r="BF391" t="s">
        <v>3</v>
      </c>
      <c r="BG391" t="s">
        <v>3</v>
      </c>
      <c r="BH391">
        <v>3</v>
      </c>
      <c r="BI391">
        <v>1</v>
      </c>
      <c r="BJ391" t="s">
        <v>374</v>
      </c>
      <c r="BM391">
        <v>91</v>
      </c>
      <c r="BN391">
        <v>0</v>
      </c>
      <c r="BO391" t="s">
        <v>372</v>
      </c>
      <c r="BP391">
        <v>1</v>
      </c>
      <c r="BQ391">
        <v>30</v>
      </c>
      <c r="BR391">
        <v>1</v>
      </c>
      <c r="BS391">
        <v>1</v>
      </c>
      <c r="BT391">
        <v>1</v>
      </c>
      <c r="BU391">
        <v>1</v>
      </c>
      <c r="BV391">
        <v>1</v>
      </c>
      <c r="BW391">
        <v>1</v>
      </c>
      <c r="BX391">
        <v>1</v>
      </c>
      <c r="BY391" t="s">
        <v>3</v>
      </c>
      <c r="BZ391">
        <v>0</v>
      </c>
      <c r="CA391">
        <v>0</v>
      </c>
      <c r="CB391" t="s">
        <v>3</v>
      </c>
      <c r="CE391">
        <v>30</v>
      </c>
      <c r="CF391">
        <v>0</v>
      </c>
      <c r="CG391">
        <v>0</v>
      </c>
      <c r="CM391">
        <v>0</v>
      </c>
      <c r="CN391" t="s">
        <v>3</v>
      </c>
      <c r="CO391">
        <v>0</v>
      </c>
      <c r="CP391">
        <f t="shared" si="366"/>
        <v>-11.01</v>
      </c>
      <c r="CQ391">
        <f t="shared" si="367"/>
        <v>58366.71</v>
      </c>
      <c r="CR391">
        <f>(ROUND((ROUND(((ET391)*AV391*1),2)*BB391),2)+ROUND((ROUND(((AE391-(EU391))*AV391*1),2)*BS391),2))</f>
        <v>0</v>
      </c>
      <c r="CS391">
        <f t="shared" si="368"/>
        <v>0</v>
      </c>
      <c r="CT391">
        <f t="shared" si="369"/>
        <v>0</v>
      </c>
      <c r="CU391">
        <f t="shared" si="370"/>
        <v>0</v>
      </c>
      <c r="CV391">
        <f t="shared" si="371"/>
        <v>0</v>
      </c>
      <c r="CW391">
        <f t="shared" si="372"/>
        <v>0</v>
      </c>
      <c r="CX391">
        <f t="shared" si="373"/>
        <v>0</v>
      </c>
      <c r="CY391">
        <f t="shared" si="374"/>
        <v>0</v>
      </c>
      <c r="CZ391">
        <f t="shared" si="375"/>
        <v>0</v>
      </c>
      <c r="DC391" t="s">
        <v>3</v>
      </c>
      <c r="DD391" t="s">
        <v>3</v>
      </c>
      <c r="DE391" t="s">
        <v>3</v>
      </c>
      <c r="DF391" t="s">
        <v>3</v>
      </c>
      <c r="DG391" t="s">
        <v>3</v>
      </c>
      <c r="DH391" t="s">
        <v>3</v>
      </c>
      <c r="DI391" t="s">
        <v>3</v>
      </c>
      <c r="DJ391" t="s">
        <v>3</v>
      </c>
      <c r="DK391" t="s">
        <v>3</v>
      </c>
      <c r="DL391" t="s">
        <v>3</v>
      </c>
      <c r="DM391" t="s">
        <v>3</v>
      </c>
      <c r="DN391">
        <v>104</v>
      </c>
      <c r="DO391">
        <v>70</v>
      </c>
      <c r="DP391">
        <v>1</v>
      </c>
      <c r="DQ391">
        <v>1</v>
      </c>
      <c r="DU391">
        <v>1009</v>
      </c>
      <c r="DV391" t="s">
        <v>104</v>
      </c>
      <c r="DW391" t="s">
        <v>104</v>
      </c>
      <c r="DX391">
        <v>1000</v>
      </c>
      <c r="DZ391" t="s">
        <v>3</v>
      </c>
      <c r="EA391" t="s">
        <v>3</v>
      </c>
      <c r="EB391" t="s">
        <v>3</v>
      </c>
      <c r="EC391" t="s">
        <v>3</v>
      </c>
      <c r="EE391">
        <v>43088169</v>
      </c>
      <c r="EF391">
        <v>30</v>
      </c>
      <c r="EG391" t="s">
        <v>22</v>
      </c>
      <c r="EH391">
        <v>0</v>
      </c>
      <c r="EI391" t="s">
        <v>3</v>
      </c>
      <c r="EJ391">
        <v>1</v>
      </c>
      <c r="EK391">
        <v>91</v>
      </c>
      <c r="EL391" t="s">
        <v>369</v>
      </c>
      <c r="EM391" t="s">
        <v>370</v>
      </c>
      <c r="EO391" t="s">
        <v>3</v>
      </c>
      <c r="EQ391">
        <v>32768</v>
      </c>
      <c r="ER391">
        <v>6521.42</v>
      </c>
      <c r="ES391">
        <v>6521.42</v>
      </c>
      <c r="ET391">
        <v>0</v>
      </c>
      <c r="EU391">
        <v>0</v>
      </c>
      <c r="EV391">
        <v>0</v>
      </c>
      <c r="EW391">
        <v>0</v>
      </c>
      <c r="EX391">
        <v>0</v>
      </c>
      <c r="FQ391">
        <v>0</v>
      </c>
      <c r="FR391">
        <f t="shared" si="376"/>
        <v>0</v>
      </c>
      <c r="FS391">
        <v>0</v>
      </c>
      <c r="FX391">
        <v>104</v>
      </c>
      <c r="FY391">
        <v>70</v>
      </c>
      <c r="GA391" t="s">
        <v>3</v>
      </c>
      <c r="GD391">
        <v>0</v>
      </c>
      <c r="GF391">
        <v>563176784</v>
      </c>
      <c r="GG391">
        <v>2</v>
      </c>
      <c r="GH391">
        <v>1</v>
      </c>
      <c r="GI391">
        <v>2</v>
      </c>
      <c r="GJ391">
        <v>0</v>
      </c>
      <c r="GK391">
        <f>ROUND(R391*(R12)/100,2)</f>
        <v>0</v>
      </c>
      <c r="GL391">
        <f t="shared" si="377"/>
        <v>0</v>
      </c>
      <c r="GM391">
        <f t="shared" si="378"/>
        <v>-11.01</v>
      </c>
      <c r="GN391">
        <f t="shared" si="379"/>
        <v>-11.01</v>
      </c>
      <c r="GO391">
        <f t="shared" si="380"/>
        <v>0</v>
      </c>
      <c r="GP391">
        <f t="shared" si="381"/>
        <v>0</v>
      </c>
      <c r="GR391">
        <v>0</v>
      </c>
      <c r="GS391">
        <v>3</v>
      </c>
      <c r="GT391">
        <v>0</v>
      </c>
      <c r="GU391" t="s">
        <v>3</v>
      </c>
      <c r="GV391">
        <f t="shared" si="382"/>
        <v>0</v>
      </c>
      <c r="GW391">
        <v>1</v>
      </c>
      <c r="GX391">
        <f t="shared" si="383"/>
        <v>0</v>
      </c>
      <c r="HA391">
        <v>0</v>
      </c>
      <c r="HB391">
        <v>0</v>
      </c>
      <c r="HC391">
        <f t="shared" si="384"/>
        <v>0</v>
      </c>
      <c r="HE391" t="s">
        <v>3</v>
      </c>
      <c r="HF391" t="s">
        <v>3</v>
      </c>
      <c r="HM391" t="s">
        <v>3</v>
      </c>
      <c r="IK391">
        <v>0</v>
      </c>
    </row>
    <row r="392" spans="1:245" x14ac:dyDescent="0.2">
      <c r="A392">
        <v>18</v>
      </c>
      <c r="B392">
        <v>1</v>
      </c>
      <c r="C392">
        <v>245</v>
      </c>
      <c r="E392" t="s">
        <v>528</v>
      </c>
      <c r="F392" t="s">
        <v>118</v>
      </c>
      <c r="G392" t="s">
        <v>376</v>
      </c>
      <c r="H392" t="s">
        <v>136</v>
      </c>
      <c r="I392">
        <f>I390*J392</f>
        <v>45.42</v>
      </c>
      <c r="J392">
        <v>100.93333333333334</v>
      </c>
      <c r="K392">
        <v>100.933333</v>
      </c>
      <c r="O392">
        <f t="shared" si="352"/>
        <v>2231.7399999999998</v>
      </c>
      <c r="P392">
        <f t="shared" si="353"/>
        <v>2231.7399999999998</v>
      </c>
      <c r="Q392">
        <f>(ROUND((ROUND(((ET392)*AV392*I392),2)*BB392),2)+ROUND((ROUND(((AE392-(EU392))*AV392*I392),2)*BS392),2))</f>
        <v>0</v>
      </c>
      <c r="R392">
        <f t="shared" si="354"/>
        <v>0</v>
      </c>
      <c r="S392">
        <f t="shared" si="355"/>
        <v>0</v>
      </c>
      <c r="T392">
        <f t="shared" si="356"/>
        <v>0</v>
      </c>
      <c r="U392">
        <f t="shared" si="357"/>
        <v>0</v>
      </c>
      <c r="V392">
        <f t="shared" si="358"/>
        <v>0</v>
      </c>
      <c r="W392">
        <f t="shared" si="359"/>
        <v>0</v>
      </c>
      <c r="X392">
        <f t="shared" si="360"/>
        <v>0</v>
      </c>
      <c r="Y392">
        <f t="shared" si="361"/>
        <v>0</v>
      </c>
      <c r="AA392">
        <v>42938047</v>
      </c>
      <c r="AB392">
        <f t="shared" si="362"/>
        <v>7.75</v>
      </c>
      <c r="AC392">
        <f t="shared" si="363"/>
        <v>7.75</v>
      </c>
      <c r="AD392">
        <f>ROUND((((ET392)-(EU392))+AE392),6)</f>
        <v>0</v>
      </c>
      <c r="AE392">
        <f>ROUND((EU392),6)</f>
        <v>0</v>
      </c>
      <c r="AF392">
        <f>ROUND((EV392),6)</f>
        <v>0</v>
      </c>
      <c r="AG392">
        <f t="shared" si="364"/>
        <v>0</v>
      </c>
      <c r="AH392">
        <f>(EW392)</f>
        <v>0</v>
      </c>
      <c r="AI392">
        <f>(EX392)</f>
        <v>0</v>
      </c>
      <c r="AJ392">
        <f t="shared" si="365"/>
        <v>0</v>
      </c>
      <c r="AK392">
        <v>7.75</v>
      </c>
      <c r="AL392">
        <v>7.75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1</v>
      </c>
      <c r="AW392">
        <v>1</v>
      </c>
      <c r="AZ392">
        <v>1</v>
      </c>
      <c r="BA392">
        <v>1</v>
      </c>
      <c r="BB392">
        <v>1</v>
      </c>
      <c r="BC392">
        <v>6.34</v>
      </c>
      <c r="BD392" t="s">
        <v>3</v>
      </c>
      <c r="BE392" t="s">
        <v>3</v>
      </c>
      <c r="BF392" t="s">
        <v>3</v>
      </c>
      <c r="BG392" t="s">
        <v>3</v>
      </c>
      <c r="BH392">
        <v>3</v>
      </c>
      <c r="BI392">
        <v>1</v>
      </c>
      <c r="BJ392" t="s">
        <v>3</v>
      </c>
      <c r="BM392">
        <v>91</v>
      </c>
      <c r="BN392">
        <v>0</v>
      </c>
      <c r="BO392" t="s">
        <v>3</v>
      </c>
      <c r="BP392">
        <v>0</v>
      </c>
      <c r="BQ392">
        <v>30</v>
      </c>
      <c r="BR392">
        <v>0</v>
      </c>
      <c r="BS392">
        <v>1</v>
      </c>
      <c r="BT392">
        <v>1</v>
      </c>
      <c r="BU392">
        <v>1</v>
      </c>
      <c r="BV392">
        <v>1</v>
      </c>
      <c r="BW392">
        <v>1</v>
      </c>
      <c r="BX392">
        <v>1</v>
      </c>
      <c r="BY392" t="s">
        <v>3</v>
      </c>
      <c r="BZ392">
        <v>0</v>
      </c>
      <c r="CA392">
        <v>0</v>
      </c>
      <c r="CB392" t="s">
        <v>3</v>
      </c>
      <c r="CE392">
        <v>30</v>
      </c>
      <c r="CF392">
        <v>0</v>
      </c>
      <c r="CG392">
        <v>0</v>
      </c>
      <c r="CM392">
        <v>0</v>
      </c>
      <c r="CN392" t="s">
        <v>3</v>
      </c>
      <c r="CO392">
        <v>0</v>
      </c>
      <c r="CP392">
        <f t="shared" si="366"/>
        <v>2231.7399999999998</v>
      </c>
      <c r="CQ392">
        <f t="shared" si="367"/>
        <v>49.14</v>
      </c>
      <c r="CR392">
        <f>(ROUND((ROUND(((ET392)*AV392*1),2)*BB392),2)+ROUND((ROUND(((AE392-(EU392))*AV392*1),2)*BS392),2))</f>
        <v>0</v>
      </c>
      <c r="CS392">
        <f t="shared" si="368"/>
        <v>0</v>
      </c>
      <c r="CT392">
        <f t="shared" si="369"/>
        <v>0</v>
      </c>
      <c r="CU392">
        <f t="shared" si="370"/>
        <v>0</v>
      </c>
      <c r="CV392">
        <f t="shared" si="371"/>
        <v>0</v>
      </c>
      <c r="CW392">
        <f t="shared" si="372"/>
        <v>0</v>
      </c>
      <c r="CX392">
        <f t="shared" si="373"/>
        <v>0</v>
      </c>
      <c r="CY392">
        <f t="shared" si="374"/>
        <v>0</v>
      </c>
      <c r="CZ392">
        <f t="shared" si="375"/>
        <v>0</v>
      </c>
      <c r="DC392" t="s">
        <v>3</v>
      </c>
      <c r="DD392" t="s">
        <v>3</v>
      </c>
      <c r="DE392" t="s">
        <v>3</v>
      </c>
      <c r="DF392" t="s">
        <v>3</v>
      </c>
      <c r="DG392" t="s">
        <v>3</v>
      </c>
      <c r="DH392" t="s">
        <v>3</v>
      </c>
      <c r="DI392" t="s">
        <v>3</v>
      </c>
      <c r="DJ392" t="s">
        <v>3</v>
      </c>
      <c r="DK392" t="s">
        <v>3</v>
      </c>
      <c r="DL392" t="s">
        <v>3</v>
      </c>
      <c r="DM392" t="s">
        <v>3</v>
      </c>
      <c r="DN392">
        <v>104</v>
      </c>
      <c r="DO392">
        <v>70</v>
      </c>
      <c r="DP392">
        <v>1</v>
      </c>
      <c r="DQ392">
        <v>1</v>
      </c>
      <c r="DU392">
        <v>1003</v>
      </c>
      <c r="DV392" t="s">
        <v>136</v>
      </c>
      <c r="DW392" t="s">
        <v>136</v>
      </c>
      <c r="DX392">
        <v>1</v>
      </c>
      <c r="DZ392" t="s">
        <v>3</v>
      </c>
      <c r="EA392" t="s">
        <v>3</v>
      </c>
      <c r="EB392" t="s">
        <v>3</v>
      </c>
      <c r="EC392" t="s">
        <v>3</v>
      </c>
      <c r="EE392">
        <v>43088169</v>
      </c>
      <c r="EF392">
        <v>30</v>
      </c>
      <c r="EG392" t="s">
        <v>22</v>
      </c>
      <c r="EH392">
        <v>0</v>
      </c>
      <c r="EI392" t="s">
        <v>3</v>
      </c>
      <c r="EJ392">
        <v>1</v>
      </c>
      <c r="EK392">
        <v>91</v>
      </c>
      <c r="EL392" t="s">
        <v>369</v>
      </c>
      <c r="EM392" t="s">
        <v>370</v>
      </c>
      <c r="EO392" t="s">
        <v>3</v>
      </c>
      <c r="EQ392">
        <v>0</v>
      </c>
      <c r="ER392">
        <v>49.17</v>
      </c>
      <c r="ES392">
        <v>7.75</v>
      </c>
      <c r="ET392">
        <v>0</v>
      </c>
      <c r="EU392">
        <v>0</v>
      </c>
      <c r="EV392">
        <v>0</v>
      </c>
      <c r="EW392">
        <v>0</v>
      </c>
      <c r="EX392">
        <v>0</v>
      </c>
      <c r="EZ392">
        <v>5</v>
      </c>
      <c r="FC392">
        <v>1</v>
      </c>
      <c r="FD392">
        <v>18</v>
      </c>
      <c r="FF392">
        <v>59</v>
      </c>
      <c r="FQ392">
        <v>0</v>
      </c>
      <c r="FR392">
        <f t="shared" si="376"/>
        <v>0</v>
      </c>
      <c r="FS392">
        <v>0</v>
      </c>
      <c r="FX392">
        <v>104</v>
      </c>
      <c r="FY392">
        <v>70</v>
      </c>
      <c r="GA392" t="s">
        <v>529</v>
      </c>
      <c r="GD392">
        <v>0</v>
      </c>
      <c r="GF392">
        <v>1078315712</v>
      </c>
      <c r="GG392">
        <v>2</v>
      </c>
      <c r="GH392">
        <v>3</v>
      </c>
      <c r="GI392">
        <v>3</v>
      </c>
      <c r="GJ392">
        <v>0</v>
      </c>
      <c r="GK392">
        <f>ROUND(R392*(R12)/100,2)</f>
        <v>0</v>
      </c>
      <c r="GL392">
        <f t="shared" si="377"/>
        <v>0</v>
      </c>
      <c r="GM392">
        <f t="shared" si="378"/>
        <v>2231.7399999999998</v>
      </c>
      <c r="GN392">
        <f t="shared" si="379"/>
        <v>2231.7399999999998</v>
      </c>
      <c r="GO392">
        <f t="shared" si="380"/>
        <v>0</v>
      </c>
      <c r="GP392">
        <f t="shared" si="381"/>
        <v>0</v>
      </c>
      <c r="GR392">
        <v>1</v>
      </c>
      <c r="GS392">
        <v>1</v>
      </c>
      <c r="GT392">
        <v>0</v>
      </c>
      <c r="GU392" t="s">
        <v>3</v>
      </c>
      <c r="GV392">
        <f t="shared" si="382"/>
        <v>0</v>
      </c>
      <c r="GW392">
        <v>1</v>
      </c>
      <c r="GX392">
        <f t="shared" si="383"/>
        <v>0</v>
      </c>
      <c r="HA392">
        <v>0</v>
      </c>
      <c r="HB392">
        <v>0</v>
      </c>
      <c r="HC392">
        <f t="shared" si="384"/>
        <v>0</v>
      </c>
      <c r="HE392" t="s">
        <v>122</v>
      </c>
      <c r="HF392" t="s">
        <v>122</v>
      </c>
      <c r="HM392" t="s">
        <v>3</v>
      </c>
      <c r="IK392">
        <v>0</v>
      </c>
    </row>
    <row r="393" spans="1:245" x14ac:dyDescent="0.2">
      <c r="A393">
        <v>17</v>
      </c>
      <c r="B393">
        <v>1</v>
      </c>
      <c r="C393">
        <f>ROW(SmtRes!A252)</f>
        <v>252</v>
      </c>
      <c r="D393">
        <f>ROW(EtalonRes!A252)</f>
        <v>252</v>
      </c>
      <c r="E393" t="s">
        <v>530</v>
      </c>
      <c r="F393" t="s">
        <v>531</v>
      </c>
      <c r="G393" t="s">
        <v>532</v>
      </c>
      <c r="H393" t="s">
        <v>533</v>
      </c>
      <c r="I393">
        <v>1</v>
      </c>
      <c r="J393">
        <v>0</v>
      </c>
      <c r="K393">
        <v>1</v>
      </c>
      <c r="O393">
        <f t="shared" si="352"/>
        <v>5024.29</v>
      </c>
      <c r="P393">
        <f t="shared" si="353"/>
        <v>98.33</v>
      </c>
      <c r="Q393">
        <f>(ROUND((ROUND((((ET393*1.25))*AV393*I393),2)*BB393),2)+ROUND((ROUND(((AE393-((EU393*1.25)))*AV393*I393),2)*BS393),2))</f>
        <v>374.49</v>
      </c>
      <c r="R393">
        <f t="shared" si="354"/>
        <v>136.36000000000001</v>
      </c>
      <c r="S393">
        <f t="shared" si="355"/>
        <v>4551.47</v>
      </c>
      <c r="T393">
        <f t="shared" si="356"/>
        <v>0</v>
      </c>
      <c r="U393">
        <f t="shared" si="357"/>
        <v>15.409999999999998</v>
      </c>
      <c r="V393">
        <f t="shared" si="358"/>
        <v>0</v>
      </c>
      <c r="W393">
        <f t="shared" si="359"/>
        <v>0</v>
      </c>
      <c r="X393">
        <f t="shared" si="360"/>
        <v>4005.29</v>
      </c>
      <c r="Y393">
        <f t="shared" si="361"/>
        <v>1866.1</v>
      </c>
      <c r="AA393">
        <v>42938047</v>
      </c>
      <c r="AB393">
        <f t="shared" si="362"/>
        <v>240.02799999999999</v>
      </c>
      <c r="AC393">
        <f t="shared" si="363"/>
        <v>19.510000000000002</v>
      </c>
      <c r="AD393">
        <f>ROUND(((((ET393*1.25))-((EU393*1.25)))+AE393),6)</f>
        <v>41.612499999999997</v>
      </c>
      <c r="AE393">
        <f>ROUND(((EU393*1.25)),6)</f>
        <v>5.3624999999999998</v>
      </c>
      <c r="AF393">
        <f>ROUND(((EV393*1.15)),6)</f>
        <v>178.90549999999999</v>
      </c>
      <c r="AG393">
        <f t="shared" si="364"/>
        <v>0</v>
      </c>
      <c r="AH393">
        <f>((EW393*1.15))</f>
        <v>15.409999999999998</v>
      </c>
      <c r="AI393">
        <f>((EX393*1.25))</f>
        <v>0</v>
      </c>
      <c r="AJ393">
        <f t="shared" si="365"/>
        <v>0</v>
      </c>
      <c r="AK393">
        <v>208.37</v>
      </c>
      <c r="AL393">
        <v>19.510000000000002</v>
      </c>
      <c r="AM393">
        <v>33.29</v>
      </c>
      <c r="AN393">
        <v>4.29</v>
      </c>
      <c r="AO393">
        <v>155.57</v>
      </c>
      <c r="AP393">
        <v>0</v>
      </c>
      <c r="AQ393">
        <v>13.4</v>
      </c>
      <c r="AR393">
        <v>0</v>
      </c>
      <c r="AS393">
        <v>0</v>
      </c>
      <c r="AT393">
        <v>88</v>
      </c>
      <c r="AU393">
        <v>41</v>
      </c>
      <c r="AV393">
        <v>1</v>
      </c>
      <c r="AW393">
        <v>1</v>
      </c>
      <c r="AZ393">
        <v>1</v>
      </c>
      <c r="BA393">
        <v>25.44</v>
      </c>
      <c r="BB393">
        <v>9</v>
      </c>
      <c r="BC393">
        <v>5.04</v>
      </c>
      <c r="BD393" t="s">
        <v>3</v>
      </c>
      <c r="BE393" t="s">
        <v>3</v>
      </c>
      <c r="BF393" t="s">
        <v>3</v>
      </c>
      <c r="BG393" t="s">
        <v>3</v>
      </c>
      <c r="BH393">
        <v>0</v>
      </c>
      <c r="BI393">
        <v>1</v>
      </c>
      <c r="BJ393" t="s">
        <v>534</v>
      </c>
      <c r="BM393">
        <v>136</v>
      </c>
      <c r="BN393">
        <v>0</v>
      </c>
      <c r="BO393" t="s">
        <v>531</v>
      </c>
      <c r="BP393">
        <v>1</v>
      </c>
      <c r="BQ393">
        <v>30</v>
      </c>
      <c r="BR393">
        <v>0</v>
      </c>
      <c r="BS393">
        <v>25.44</v>
      </c>
      <c r="BT393">
        <v>1</v>
      </c>
      <c r="BU393">
        <v>1</v>
      </c>
      <c r="BV393">
        <v>1</v>
      </c>
      <c r="BW393">
        <v>1</v>
      </c>
      <c r="BX393">
        <v>1</v>
      </c>
      <c r="BY393" t="s">
        <v>3</v>
      </c>
      <c r="BZ393">
        <v>88</v>
      </c>
      <c r="CA393">
        <v>41</v>
      </c>
      <c r="CB393" t="s">
        <v>3</v>
      </c>
      <c r="CE393">
        <v>30</v>
      </c>
      <c r="CF393">
        <v>0</v>
      </c>
      <c r="CG393">
        <v>0</v>
      </c>
      <c r="CM393">
        <v>0</v>
      </c>
      <c r="CN393" t="s">
        <v>1584</v>
      </c>
      <c r="CO393">
        <v>0</v>
      </c>
      <c r="CP393">
        <f t="shared" si="366"/>
        <v>5024.29</v>
      </c>
      <c r="CQ393">
        <f t="shared" si="367"/>
        <v>98.33</v>
      </c>
      <c r="CR393">
        <f>(ROUND((ROUND((((ET393*1.25))*AV393*1),2)*BB393),2)+ROUND((ROUND(((AE393-((EU393*1.25)))*AV393*1),2)*BS393),2))</f>
        <v>374.49</v>
      </c>
      <c r="CS393">
        <f t="shared" si="368"/>
        <v>136.36000000000001</v>
      </c>
      <c r="CT393">
        <f t="shared" si="369"/>
        <v>4551.47</v>
      </c>
      <c r="CU393">
        <f t="shared" si="370"/>
        <v>0</v>
      </c>
      <c r="CV393">
        <f t="shared" si="371"/>
        <v>15.409999999999998</v>
      </c>
      <c r="CW393">
        <f t="shared" si="372"/>
        <v>0</v>
      </c>
      <c r="CX393">
        <f t="shared" si="373"/>
        <v>0</v>
      </c>
      <c r="CY393">
        <f t="shared" si="374"/>
        <v>4005.2936000000004</v>
      </c>
      <c r="CZ393">
        <f t="shared" si="375"/>
        <v>1866.1026999999999</v>
      </c>
      <c r="DC393" t="s">
        <v>3</v>
      </c>
      <c r="DD393" t="s">
        <v>3</v>
      </c>
      <c r="DE393" t="s">
        <v>20</v>
      </c>
      <c r="DF393" t="s">
        <v>20</v>
      </c>
      <c r="DG393" t="s">
        <v>21</v>
      </c>
      <c r="DH393" t="s">
        <v>3</v>
      </c>
      <c r="DI393" t="s">
        <v>21</v>
      </c>
      <c r="DJ393" t="s">
        <v>20</v>
      </c>
      <c r="DK393" t="s">
        <v>3</v>
      </c>
      <c r="DL393" t="s">
        <v>3</v>
      </c>
      <c r="DM393" t="s">
        <v>3</v>
      </c>
      <c r="DN393">
        <v>110</v>
      </c>
      <c r="DO393">
        <v>74</v>
      </c>
      <c r="DP393">
        <v>1</v>
      </c>
      <c r="DQ393">
        <v>1</v>
      </c>
      <c r="DU393">
        <v>1013</v>
      </c>
      <c r="DV393" t="s">
        <v>533</v>
      </c>
      <c r="DW393" t="s">
        <v>533</v>
      </c>
      <c r="DX393">
        <v>1</v>
      </c>
      <c r="DZ393" t="s">
        <v>3</v>
      </c>
      <c r="EA393" t="s">
        <v>3</v>
      </c>
      <c r="EB393" t="s">
        <v>3</v>
      </c>
      <c r="EC393" t="s">
        <v>3</v>
      </c>
      <c r="EE393">
        <v>43088214</v>
      </c>
      <c r="EF393">
        <v>30</v>
      </c>
      <c r="EG393" t="s">
        <v>22</v>
      </c>
      <c r="EH393">
        <v>0</v>
      </c>
      <c r="EI393" t="s">
        <v>3</v>
      </c>
      <c r="EJ393">
        <v>1</v>
      </c>
      <c r="EK393">
        <v>136</v>
      </c>
      <c r="EL393" t="s">
        <v>535</v>
      </c>
      <c r="EM393" t="s">
        <v>536</v>
      </c>
      <c r="EO393" t="s">
        <v>59</v>
      </c>
      <c r="EQ393">
        <v>0</v>
      </c>
      <c r="ER393">
        <v>208.37</v>
      </c>
      <c r="ES393">
        <v>19.510000000000002</v>
      </c>
      <c r="ET393">
        <v>33.29</v>
      </c>
      <c r="EU393">
        <v>4.29</v>
      </c>
      <c r="EV393">
        <v>155.57</v>
      </c>
      <c r="EW393">
        <v>13.4</v>
      </c>
      <c r="EX393">
        <v>0</v>
      </c>
      <c r="EY393">
        <v>0</v>
      </c>
      <c r="FQ393">
        <v>0</v>
      </c>
      <c r="FR393">
        <f t="shared" si="376"/>
        <v>0</v>
      </c>
      <c r="FS393">
        <v>0</v>
      </c>
      <c r="FX393">
        <v>110</v>
      </c>
      <c r="FY393">
        <v>74</v>
      </c>
      <c r="GA393" t="s">
        <v>3</v>
      </c>
      <c r="GD393">
        <v>0</v>
      </c>
      <c r="GF393">
        <v>-354438858</v>
      </c>
      <c r="GG393">
        <v>2</v>
      </c>
      <c r="GH393">
        <v>1</v>
      </c>
      <c r="GI393">
        <v>2</v>
      </c>
      <c r="GJ393">
        <v>0</v>
      </c>
      <c r="GK393">
        <f>ROUND(R393*(R12)/100,2)</f>
        <v>214.09</v>
      </c>
      <c r="GL393">
        <f t="shared" si="377"/>
        <v>0</v>
      </c>
      <c r="GM393">
        <f t="shared" si="378"/>
        <v>11109.77</v>
      </c>
      <c r="GN393">
        <f t="shared" si="379"/>
        <v>11109.77</v>
      </c>
      <c r="GO393">
        <f t="shared" si="380"/>
        <v>0</v>
      </c>
      <c r="GP393">
        <f t="shared" si="381"/>
        <v>0</v>
      </c>
      <c r="GR393">
        <v>0</v>
      </c>
      <c r="GS393">
        <v>3</v>
      </c>
      <c r="GT393">
        <v>0</v>
      </c>
      <c r="GU393" t="s">
        <v>3</v>
      </c>
      <c r="GV393">
        <f t="shared" si="382"/>
        <v>0</v>
      </c>
      <c r="GW393">
        <v>1</v>
      </c>
      <c r="GX393">
        <f t="shared" si="383"/>
        <v>0</v>
      </c>
      <c r="HA393">
        <v>0</v>
      </c>
      <c r="HB393">
        <v>0</v>
      </c>
      <c r="HC393">
        <f t="shared" si="384"/>
        <v>0</v>
      </c>
      <c r="HE393" t="s">
        <v>3</v>
      </c>
      <c r="HF393" t="s">
        <v>3</v>
      </c>
      <c r="HM393" t="s">
        <v>3</v>
      </c>
      <c r="IK393">
        <v>0</v>
      </c>
    </row>
    <row r="394" spans="1:245" x14ac:dyDescent="0.2">
      <c r="A394">
        <v>17</v>
      </c>
      <c r="B394">
        <v>1</v>
      </c>
      <c r="C394">
        <f>ROW(SmtRes!A258)</f>
        <v>258</v>
      </c>
      <c r="D394">
        <f>ROW(EtalonRes!A259)</f>
        <v>259</v>
      </c>
      <c r="E394" t="s">
        <v>537</v>
      </c>
      <c r="F394" t="s">
        <v>538</v>
      </c>
      <c r="G394" t="s">
        <v>539</v>
      </c>
      <c r="H394" t="s">
        <v>540</v>
      </c>
      <c r="I394">
        <v>1</v>
      </c>
      <c r="J394">
        <v>0</v>
      </c>
      <c r="K394">
        <v>1</v>
      </c>
      <c r="O394">
        <f t="shared" si="352"/>
        <v>327.71</v>
      </c>
      <c r="P394">
        <f t="shared" si="353"/>
        <v>8.2200000000000006</v>
      </c>
      <c r="Q394">
        <f>(ROUND((ROUND((((ET394*1.25))*AV394*I394),2)*BB394),2)+ROUND((ROUND(((AE394-((EU394*1.25)))*AV394*I394),2)*BS394),2))</f>
        <v>48.81</v>
      </c>
      <c r="R394">
        <f t="shared" si="354"/>
        <v>15.26</v>
      </c>
      <c r="S394">
        <f t="shared" si="355"/>
        <v>270.68</v>
      </c>
      <c r="T394">
        <f t="shared" si="356"/>
        <v>0</v>
      </c>
      <c r="U394">
        <f t="shared" si="357"/>
        <v>0.86249999999999993</v>
      </c>
      <c r="V394">
        <f t="shared" si="358"/>
        <v>0</v>
      </c>
      <c r="W394">
        <f t="shared" si="359"/>
        <v>0</v>
      </c>
      <c r="X394">
        <f t="shared" si="360"/>
        <v>238.2</v>
      </c>
      <c r="Y394">
        <f t="shared" si="361"/>
        <v>110.98</v>
      </c>
      <c r="AA394">
        <v>42938047</v>
      </c>
      <c r="AB394">
        <f t="shared" si="362"/>
        <v>16.3</v>
      </c>
      <c r="AC394">
        <f t="shared" si="363"/>
        <v>0.5</v>
      </c>
      <c r="AD394">
        <f>ROUND(((((ET394*1.25))-((EU394*1.25)))+AE394),6)</f>
        <v>5.1624999999999996</v>
      </c>
      <c r="AE394">
        <f>ROUND(((EU394*1.25)),6)</f>
        <v>0.6</v>
      </c>
      <c r="AF394">
        <f>ROUND(((EV394*1.15)),6)</f>
        <v>10.637499999999999</v>
      </c>
      <c r="AG394">
        <f t="shared" si="364"/>
        <v>0</v>
      </c>
      <c r="AH394">
        <f>((EW394*1.15))</f>
        <v>0.86249999999999993</v>
      </c>
      <c r="AI394">
        <f>((EX394*1.25))</f>
        <v>0</v>
      </c>
      <c r="AJ394">
        <f t="shared" si="365"/>
        <v>0</v>
      </c>
      <c r="AK394">
        <v>13.88</v>
      </c>
      <c r="AL394">
        <v>0.5</v>
      </c>
      <c r="AM394">
        <v>4.13</v>
      </c>
      <c r="AN394">
        <v>0.48</v>
      </c>
      <c r="AO394">
        <v>9.25</v>
      </c>
      <c r="AP394">
        <v>0</v>
      </c>
      <c r="AQ394">
        <v>0.75</v>
      </c>
      <c r="AR394">
        <v>0</v>
      </c>
      <c r="AS394">
        <v>0</v>
      </c>
      <c r="AT394">
        <v>88</v>
      </c>
      <c r="AU394">
        <v>41</v>
      </c>
      <c r="AV394">
        <v>1</v>
      </c>
      <c r="AW394">
        <v>1</v>
      </c>
      <c r="AZ394">
        <v>1</v>
      </c>
      <c r="BA394">
        <v>25.44</v>
      </c>
      <c r="BB394">
        <v>9.4600000000000009</v>
      </c>
      <c r="BC394">
        <v>16.440000000000001</v>
      </c>
      <c r="BD394" t="s">
        <v>3</v>
      </c>
      <c r="BE394" t="s">
        <v>3</v>
      </c>
      <c r="BF394" t="s">
        <v>3</v>
      </c>
      <c r="BG394" t="s">
        <v>3</v>
      </c>
      <c r="BH394">
        <v>0</v>
      </c>
      <c r="BI394">
        <v>1</v>
      </c>
      <c r="BJ394" t="s">
        <v>541</v>
      </c>
      <c r="BM394">
        <v>137</v>
      </c>
      <c r="BN394">
        <v>0</v>
      </c>
      <c r="BO394" t="s">
        <v>538</v>
      </c>
      <c r="BP394">
        <v>1</v>
      </c>
      <c r="BQ394">
        <v>30</v>
      </c>
      <c r="BR394">
        <v>0</v>
      </c>
      <c r="BS394">
        <v>25.44</v>
      </c>
      <c r="BT394">
        <v>1</v>
      </c>
      <c r="BU394">
        <v>1</v>
      </c>
      <c r="BV394">
        <v>1</v>
      </c>
      <c r="BW394">
        <v>1</v>
      </c>
      <c r="BX394">
        <v>1</v>
      </c>
      <c r="BY394" t="s">
        <v>3</v>
      </c>
      <c r="BZ394">
        <v>88</v>
      </c>
      <c r="CA394">
        <v>41</v>
      </c>
      <c r="CB394" t="s">
        <v>3</v>
      </c>
      <c r="CE394">
        <v>30</v>
      </c>
      <c r="CF394">
        <v>0</v>
      </c>
      <c r="CG394">
        <v>0</v>
      </c>
      <c r="CM394">
        <v>0</v>
      </c>
      <c r="CN394" t="s">
        <v>1584</v>
      </c>
      <c r="CO394">
        <v>0</v>
      </c>
      <c r="CP394">
        <f t="shared" si="366"/>
        <v>327.71000000000004</v>
      </c>
      <c r="CQ394">
        <f t="shared" si="367"/>
        <v>8.2200000000000006</v>
      </c>
      <c r="CR394">
        <f>(ROUND((ROUND((((ET394*1.25))*AV394*1),2)*BB394),2)+ROUND((ROUND(((AE394-((EU394*1.25)))*AV394*1),2)*BS394),2))</f>
        <v>48.81</v>
      </c>
      <c r="CS394">
        <f t="shared" si="368"/>
        <v>15.26</v>
      </c>
      <c r="CT394">
        <f t="shared" si="369"/>
        <v>270.68</v>
      </c>
      <c r="CU394">
        <f t="shared" si="370"/>
        <v>0</v>
      </c>
      <c r="CV394">
        <f t="shared" si="371"/>
        <v>0.86249999999999993</v>
      </c>
      <c r="CW394">
        <f t="shared" si="372"/>
        <v>0</v>
      </c>
      <c r="CX394">
        <f t="shared" si="373"/>
        <v>0</v>
      </c>
      <c r="CY394">
        <f t="shared" si="374"/>
        <v>238.19840000000002</v>
      </c>
      <c r="CZ394">
        <f t="shared" si="375"/>
        <v>110.97879999999999</v>
      </c>
      <c r="DC394" t="s">
        <v>3</v>
      </c>
      <c r="DD394" t="s">
        <v>3</v>
      </c>
      <c r="DE394" t="s">
        <v>20</v>
      </c>
      <c r="DF394" t="s">
        <v>20</v>
      </c>
      <c r="DG394" t="s">
        <v>21</v>
      </c>
      <c r="DH394" t="s">
        <v>3</v>
      </c>
      <c r="DI394" t="s">
        <v>21</v>
      </c>
      <c r="DJ394" t="s">
        <v>20</v>
      </c>
      <c r="DK394" t="s">
        <v>3</v>
      </c>
      <c r="DL394" t="s">
        <v>3</v>
      </c>
      <c r="DM394" t="s">
        <v>3</v>
      </c>
      <c r="DN394">
        <v>110</v>
      </c>
      <c r="DO394">
        <v>74</v>
      </c>
      <c r="DP394">
        <v>1</v>
      </c>
      <c r="DQ394">
        <v>1</v>
      </c>
      <c r="DU394">
        <v>1013</v>
      </c>
      <c r="DV394" t="s">
        <v>540</v>
      </c>
      <c r="DW394" t="s">
        <v>540</v>
      </c>
      <c r="DX394">
        <v>1</v>
      </c>
      <c r="DZ394" t="s">
        <v>3</v>
      </c>
      <c r="EA394" t="s">
        <v>3</v>
      </c>
      <c r="EB394" t="s">
        <v>3</v>
      </c>
      <c r="EC394" t="s">
        <v>3</v>
      </c>
      <c r="EE394">
        <v>43088215</v>
      </c>
      <c r="EF394">
        <v>30</v>
      </c>
      <c r="EG394" t="s">
        <v>22</v>
      </c>
      <c r="EH394">
        <v>0</v>
      </c>
      <c r="EI394" t="s">
        <v>3</v>
      </c>
      <c r="EJ394">
        <v>1</v>
      </c>
      <c r="EK394">
        <v>137</v>
      </c>
      <c r="EL394" t="s">
        <v>542</v>
      </c>
      <c r="EM394" t="s">
        <v>543</v>
      </c>
      <c r="EO394" t="s">
        <v>59</v>
      </c>
      <c r="EQ394">
        <v>0</v>
      </c>
      <c r="ER394">
        <v>13.88</v>
      </c>
      <c r="ES394">
        <v>0.5</v>
      </c>
      <c r="ET394">
        <v>4.13</v>
      </c>
      <c r="EU394">
        <v>0.48</v>
      </c>
      <c r="EV394">
        <v>9.25</v>
      </c>
      <c r="EW394">
        <v>0.75</v>
      </c>
      <c r="EX394">
        <v>0</v>
      </c>
      <c r="EY394">
        <v>0</v>
      </c>
      <c r="FQ394">
        <v>0</v>
      </c>
      <c r="FR394">
        <f t="shared" si="376"/>
        <v>0</v>
      </c>
      <c r="FS394">
        <v>0</v>
      </c>
      <c r="FX394">
        <v>110</v>
      </c>
      <c r="FY394">
        <v>74</v>
      </c>
      <c r="GA394" t="s">
        <v>3</v>
      </c>
      <c r="GD394">
        <v>0</v>
      </c>
      <c r="GF394">
        <v>-684594010</v>
      </c>
      <c r="GG394">
        <v>2</v>
      </c>
      <c r="GH394">
        <v>1</v>
      </c>
      <c r="GI394">
        <v>2</v>
      </c>
      <c r="GJ394">
        <v>0</v>
      </c>
      <c r="GK394">
        <f>ROUND(R394*(R12)/100,2)</f>
        <v>23.96</v>
      </c>
      <c r="GL394">
        <f t="shared" si="377"/>
        <v>0</v>
      </c>
      <c r="GM394">
        <f t="shared" si="378"/>
        <v>700.85</v>
      </c>
      <c r="GN394">
        <f t="shared" si="379"/>
        <v>700.85</v>
      </c>
      <c r="GO394">
        <f t="shared" si="380"/>
        <v>0</v>
      </c>
      <c r="GP394">
        <f t="shared" si="381"/>
        <v>0</v>
      </c>
      <c r="GR394">
        <v>0</v>
      </c>
      <c r="GS394">
        <v>3</v>
      </c>
      <c r="GT394">
        <v>0</v>
      </c>
      <c r="GU394" t="s">
        <v>3</v>
      </c>
      <c r="GV394">
        <f t="shared" si="382"/>
        <v>0</v>
      </c>
      <c r="GW394">
        <v>1</v>
      </c>
      <c r="GX394">
        <f t="shared" si="383"/>
        <v>0</v>
      </c>
      <c r="HA394">
        <v>0</v>
      </c>
      <c r="HB394">
        <v>0</v>
      </c>
      <c r="HC394">
        <f t="shared" si="384"/>
        <v>0</v>
      </c>
      <c r="HE394" t="s">
        <v>3</v>
      </c>
      <c r="HF394" t="s">
        <v>3</v>
      </c>
      <c r="HM394" t="s">
        <v>3</v>
      </c>
      <c r="IK394">
        <v>0</v>
      </c>
    </row>
    <row r="395" spans="1:245" x14ac:dyDescent="0.2">
      <c r="A395">
        <v>17</v>
      </c>
      <c r="B395">
        <v>1</v>
      </c>
      <c r="C395">
        <f>ROW(SmtRes!A263)</f>
        <v>263</v>
      </c>
      <c r="D395">
        <f>ROW(EtalonRes!A265)</f>
        <v>265</v>
      </c>
      <c r="E395" t="s">
        <v>544</v>
      </c>
      <c r="F395" t="s">
        <v>545</v>
      </c>
      <c r="G395" t="s">
        <v>546</v>
      </c>
      <c r="H395" t="s">
        <v>547</v>
      </c>
      <c r="I395">
        <v>2</v>
      </c>
      <c r="J395">
        <v>0</v>
      </c>
      <c r="K395">
        <v>2</v>
      </c>
      <c r="O395">
        <f t="shared" si="352"/>
        <v>10728.5</v>
      </c>
      <c r="P395">
        <f t="shared" si="353"/>
        <v>1076.92</v>
      </c>
      <c r="Q395">
        <f>(ROUND((ROUND((((ET395*1.25))*AV395*I395),2)*BB395),2)+ROUND((ROUND(((AE395-((EU395*1.25)))*AV395*I395),2)*BS395),2))</f>
        <v>379.21</v>
      </c>
      <c r="R395">
        <f t="shared" si="354"/>
        <v>203.01</v>
      </c>
      <c r="S395">
        <f t="shared" si="355"/>
        <v>9272.3700000000008</v>
      </c>
      <c r="T395">
        <f t="shared" si="356"/>
        <v>0</v>
      </c>
      <c r="U395">
        <f t="shared" si="357"/>
        <v>29.9</v>
      </c>
      <c r="V395">
        <f t="shared" si="358"/>
        <v>0</v>
      </c>
      <c r="W395">
        <f t="shared" si="359"/>
        <v>0</v>
      </c>
      <c r="X395">
        <f t="shared" si="360"/>
        <v>8159.69</v>
      </c>
      <c r="Y395">
        <f t="shared" si="361"/>
        <v>3801.67</v>
      </c>
      <c r="AA395">
        <v>42938047</v>
      </c>
      <c r="AB395">
        <f t="shared" si="362"/>
        <v>304.07549999999998</v>
      </c>
      <c r="AC395">
        <f t="shared" si="363"/>
        <v>102.76</v>
      </c>
      <c r="AD395">
        <f>ROUND(((((ET395*1.25))-((EU395*1.25)))+AE395),6)</f>
        <v>19.074999999999999</v>
      </c>
      <c r="AE395">
        <f>ROUND(((EU395*1.25)),6)</f>
        <v>3.9874999999999998</v>
      </c>
      <c r="AF395">
        <f>ROUND(((EV395*1.15)),6)</f>
        <v>182.2405</v>
      </c>
      <c r="AG395">
        <f t="shared" si="364"/>
        <v>0</v>
      </c>
      <c r="AH395">
        <f>((EW395*1.15))</f>
        <v>14.95</v>
      </c>
      <c r="AI395">
        <f>((EX395*1.25))</f>
        <v>0</v>
      </c>
      <c r="AJ395">
        <f t="shared" si="365"/>
        <v>0</v>
      </c>
      <c r="AK395">
        <v>276.49</v>
      </c>
      <c r="AL395">
        <v>102.76</v>
      </c>
      <c r="AM395">
        <v>15.26</v>
      </c>
      <c r="AN395">
        <v>3.19</v>
      </c>
      <c r="AO395">
        <v>158.47</v>
      </c>
      <c r="AP395">
        <v>0</v>
      </c>
      <c r="AQ395">
        <v>13</v>
      </c>
      <c r="AR395">
        <v>0</v>
      </c>
      <c r="AS395">
        <v>0</v>
      </c>
      <c r="AT395">
        <v>88</v>
      </c>
      <c r="AU395">
        <v>41</v>
      </c>
      <c r="AV395">
        <v>1</v>
      </c>
      <c r="AW395">
        <v>1</v>
      </c>
      <c r="AZ395">
        <v>1</v>
      </c>
      <c r="BA395">
        <v>25.44</v>
      </c>
      <c r="BB395">
        <v>9.94</v>
      </c>
      <c r="BC395">
        <v>5.24</v>
      </c>
      <c r="BD395" t="s">
        <v>3</v>
      </c>
      <c r="BE395" t="s">
        <v>3</v>
      </c>
      <c r="BF395" t="s">
        <v>3</v>
      </c>
      <c r="BG395" t="s">
        <v>3</v>
      </c>
      <c r="BH395">
        <v>0</v>
      </c>
      <c r="BI395">
        <v>1</v>
      </c>
      <c r="BJ395" t="s">
        <v>548</v>
      </c>
      <c r="BM395">
        <v>137</v>
      </c>
      <c r="BN395">
        <v>0</v>
      </c>
      <c r="BO395" t="s">
        <v>545</v>
      </c>
      <c r="BP395">
        <v>1</v>
      </c>
      <c r="BQ395">
        <v>30</v>
      </c>
      <c r="BR395">
        <v>0</v>
      </c>
      <c r="BS395">
        <v>25.44</v>
      </c>
      <c r="BT395">
        <v>1</v>
      </c>
      <c r="BU395">
        <v>1</v>
      </c>
      <c r="BV395">
        <v>1</v>
      </c>
      <c r="BW395">
        <v>1</v>
      </c>
      <c r="BX395">
        <v>1</v>
      </c>
      <c r="BY395" t="s">
        <v>3</v>
      </c>
      <c r="BZ395">
        <v>88</v>
      </c>
      <c r="CA395">
        <v>41</v>
      </c>
      <c r="CB395" t="s">
        <v>3</v>
      </c>
      <c r="CE395">
        <v>30</v>
      </c>
      <c r="CF395">
        <v>0</v>
      </c>
      <c r="CG395">
        <v>0</v>
      </c>
      <c r="CM395">
        <v>0</v>
      </c>
      <c r="CN395" t="s">
        <v>1584</v>
      </c>
      <c r="CO395">
        <v>0</v>
      </c>
      <c r="CP395">
        <f t="shared" si="366"/>
        <v>10728.5</v>
      </c>
      <c r="CQ395">
        <f t="shared" si="367"/>
        <v>538.46</v>
      </c>
      <c r="CR395">
        <f>(ROUND((ROUND((((ET395*1.25))*AV395*1),2)*BB395),2)+ROUND((ROUND(((AE395-((EU395*1.25)))*AV395*1),2)*BS395),2))</f>
        <v>189.66</v>
      </c>
      <c r="CS395">
        <f t="shared" si="368"/>
        <v>101.51</v>
      </c>
      <c r="CT395">
        <f t="shared" si="369"/>
        <v>4636.1899999999996</v>
      </c>
      <c r="CU395">
        <f t="shared" si="370"/>
        <v>0</v>
      </c>
      <c r="CV395">
        <f t="shared" si="371"/>
        <v>14.95</v>
      </c>
      <c r="CW395">
        <f t="shared" si="372"/>
        <v>0</v>
      </c>
      <c r="CX395">
        <f t="shared" si="373"/>
        <v>0</v>
      </c>
      <c r="CY395">
        <f t="shared" si="374"/>
        <v>8159.6856000000007</v>
      </c>
      <c r="CZ395">
        <f t="shared" si="375"/>
        <v>3801.6717000000003</v>
      </c>
      <c r="DC395" t="s">
        <v>3</v>
      </c>
      <c r="DD395" t="s">
        <v>3</v>
      </c>
      <c r="DE395" t="s">
        <v>20</v>
      </c>
      <c r="DF395" t="s">
        <v>20</v>
      </c>
      <c r="DG395" t="s">
        <v>21</v>
      </c>
      <c r="DH395" t="s">
        <v>3</v>
      </c>
      <c r="DI395" t="s">
        <v>21</v>
      </c>
      <c r="DJ395" t="s">
        <v>20</v>
      </c>
      <c r="DK395" t="s">
        <v>3</v>
      </c>
      <c r="DL395" t="s">
        <v>3</v>
      </c>
      <c r="DM395" t="s">
        <v>3</v>
      </c>
      <c r="DN395">
        <v>110</v>
      </c>
      <c r="DO395">
        <v>74</v>
      </c>
      <c r="DP395">
        <v>1</v>
      </c>
      <c r="DQ395">
        <v>1</v>
      </c>
      <c r="DU395">
        <v>1013</v>
      </c>
      <c r="DV395" t="s">
        <v>547</v>
      </c>
      <c r="DW395" t="s">
        <v>547</v>
      </c>
      <c r="DX395">
        <v>1</v>
      </c>
      <c r="DZ395" t="s">
        <v>3</v>
      </c>
      <c r="EA395" t="s">
        <v>3</v>
      </c>
      <c r="EB395" t="s">
        <v>3</v>
      </c>
      <c r="EC395" t="s">
        <v>3</v>
      </c>
      <c r="EE395">
        <v>43088215</v>
      </c>
      <c r="EF395">
        <v>30</v>
      </c>
      <c r="EG395" t="s">
        <v>22</v>
      </c>
      <c r="EH395">
        <v>0</v>
      </c>
      <c r="EI395" t="s">
        <v>3</v>
      </c>
      <c r="EJ395">
        <v>1</v>
      </c>
      <c r="EK395">
        <v>137</v>
      </c>
      <c r="EL395" t="s">
        <v>542</v>
      </c>
      <c r="EM395" t="s">
        <v>543</v>
      </c>
      <c r="EO395" t="s">
        <v>59</v>
      </c>
      <c r="EQ395">
        <v>0</v>
      </c>
      <c r="ER395">
        <v>276.49</v>
      </c>
      <c r="ES395">
        <v>102.76</v>
      </c>
      <c r="ET395">
        <v>15.26</v>
      </c>
      <c r="EU395">
        <v>3.19</v>
      </c>
      <c r="EV395">
        <v>158.47</v>
      </c>
      <c r="EW395">
        <v>13</v>
      </c>
      <c r="EX395">
        <v>0</v>
      </c>
      <c r="EY395">
        <v>0</v>
      </c>
      <c r="FQ395">
        <v>0</v>
      </c>
      <c r="FR395">
        <f t="shared" si="376"/>
        <v>0</v>
      </c>
      <c r="FS395">
        <v>0</v>
      </c>
      <c r="FX395">
        <v>110</v>
      </c>
      <c r="FY395">
        <v>74</v>
      </c>
      <c r="GA395" t="s">
        <v>3</v>
      </c>
      <c r="GD395">
        <v>0</v>
      </c>
      <c r="GF395">
        <v>1104005743</v>
      </c>
      <c r="GG395">
        <v>2</v>
      </c>
      <c r="GH395">
        <v>1</v>
      </c>
      <c r="GI395">
        <v>2</v>
      </c>
      <c r="GJ395">
        <v>0</v>
      </c>
      <c r="GK395">
        <f>ROUND(R395*(R12)/100,2)</f>
        <v>318.73</v>
      </c>
      <c r="GL395">
        <f t="shared" si="377"/>
        <v>0</v>
      </c>
      <c r="GM395">
        <f t="shared" si="378"/>
        <v>23008.59</v>
      </c>
      <c r="GN395">
        <f t="shared" si="379"/>
        <v>23008.59</v>
      </c>
      <c r="GO395">
        <f t="shared" si="380"/>
        <v>0</v>
      </c>
      <c r="GP395">
        <f t="shared" si="381"/>
        <v>0</v>
      </c>
      <c r="GR395">
        <v>0</v>
      </c>
      <c r="GS395">
        <v>3</v>
      </c>
      <c r="GT395">
        <v>0</v>
      </c>
      <c r="GU395" t="s">
        <v>3</v>
      </c>
      <c r="GV395">
        <f t="shared" si="382"/>
        <v>0</v>
      </c>
      <c r="GW395">
        <v>1</v>
      </c>
      <c r="GX395">
        <f t="shared" si="383"/>
        <v>0</v>
      </c>
      <c r="HA395">
        <v>0</v>
      </c>
      <c r="HB395">
        <v>0</v>
      </c>
      <c r="HC395">
        <f t="shared" si="384"/>
        <v>0</v>
      </c>
      <c r="HE395" t="s">
        <v>3</v>
      </c>
      <c r="HF395" t="s">
        <v>3</v>
      </c>
      <c r="HM395" t="s">
        <v>3</v>
      </c>
      <c r="IK395">
        <v>0</v>
      </c>
    </row>
    <row r="396" spans="1:245" x14ac:dyDescent="0.2">
      <c r="A396">
        <v>17</v>
      </c>
      <c r="B396">
        <v>1</v>
      </c>
      <c r="C396">
        <f>ROW(SmtRes!A264)</f>
        <v>264</v>
      </c>
      <c r="D396">
        <f>ROW(EtalonRes!A266)</f>
        <v>266</v>
      </c>
      <c r="E396" t="s">
        <v>549</v>
      </c>
      <c r="F396" t="s">
        <v>550</v>
      </c>
      <c r="G396" t="s">
        <v>551</v>
      </c>
      <c r="H396" t="s">
        <v>162</v>
      </c>
      <c r="I396">
        <v>1</v>
      </c>
      <c r="J396">
        <v>0</v>
      </c>
      <c r="K396">
        <v>1</v>
      </c>
      <c r="O396">
        <f t="shared" si="352"/>
        <v>1665.91</v>
      </c>
      <c r="P396">
        <f t="shared" si="353"/>
        <v>67.709999999999994</v>
      </c>
      <c r="Q396">
        <f>(ROUND((ROUND(((ET396)*AV396*I396),2)*BB396),2)+ROUND((ROUND(((AE396-(EU396))*AV396*I396),2)*BS396),2))</f>
        <v>916.92</v>
      </c>
      <c r="R396">
        <f t="shared" si="354"/>
        <v>440.88</v>
      </c>
      <c r="S396">
        <f t="shared" si="355"/>
        <v>681.28</v>
      </c>
      <c r="T396">
        <f t="shared" si="356"/>
        <v>0</v>
      </c>
      <c r="U396">
        <f t="shared" si="357"/>
        <v>2.06</v>
      </c>
      <c r="V396">
        <f t="shared" si="358"/>
        <v>0</v>
      </c>
      <c r="W396">
        <f t="shared" si="359"/>
        <v>0</v>
      </c>
      <c r="X396">
        <f t="shared" si="360"/>
        <v>524.59</v>
      </c>
      <c r="Y396">
        <f t="shared" si="361"/>
        <v>279.32</v>
      </c>
      <c r="AA396">
        <v>42938047</v>
      </c>
      <c r="AB396">
        <f t="shared" si="362"/>
        <v>135.77000000000001</v>
      </c>
      <c r="AC396">
        <f t="shared" si="363"/>
        <v>10.29</v>
      </c>
      <c r="AD396">
        <f>ROUND((((ET396)-(EU396))+AE396),6)</f>
        <v>98.7</v>
      </c>
      <c r="AE396">
        <f>ROUND((EU396),6)</f>
        <v>17.329999999999998</v>
      </c>
      <c r="AF396">
        <f>ROUND((EV396),6)</f>
        <v>26.78</v>
      </c>
      <c r="AG396">
        <f t="shared" si="364"/>
        <v>0</v>
      </c>
      <c r="AH396">
        <f>(EW396)</f>
        <v>2.06</v>
      </c>
      <c r="AI396">
        <f>(EX396)</f>
        <v>0</v>
      </c>
      <c r="AJ396">
        <f t="shared" si="365"/>
        <v>0</v>
      </c>
      <c r="AK396">
        <v>135.77000000000001</v>
      </c>
      <c r="AL396">
        <v>10.29</v>
      </c>
      <c r="AM396">
        <v>98.7</v>
      </c>
      <c r="AN396">
        <v>17.329999999999998</v>
      </c>
      <c r="AO396">
        <v>26.78</v>
      </c>
      <c r="AP396">
        <v>0</v>
      </c>
      <c r="AQ396">
        <v>2.06</v>
      </c>
      <c r="AR396">
        <v>0</v>
      </c>
      <c r="AS396">
        <v>0</v>
      </c>
      <c r="AT396">
        <v>77</v>
      </c>
      <c r="AU396">
        <v>41</v>
      </c>
      <c r="AV396">
        <v>1</v>
      </c>
      <c r="AW396">
        <v>1</v>
      </c>
      <c r="AZ396">
        <v>1</v>
      </c>
      <c r="BA396">
        <v>25.44</v>
      </c>
      <c r="BB396">
        <v>9.2899999999999991</v>
      </c>
      <c r="BC396">
        <v>6.58</v>
      </c>
      <c r="BD396" t="s">
        <v>3</v>
      </c>
      <c r="BE396" t="s">
        <v>3</v>
      </c>
      <c r="BF396" t="s">
        <v>3</v>
      </c>
      <c r="BG396" t="s">
        <v>3</v>
      </c>
      <c r="BH396">
        <v>0</v>
      </c>
      <c r="BI396">
        <v>2</v>
      </c>
      <c r="BJ396" t="s">
        <v>552</v>
      </c>
      <c r="BM396">
        <v>333</v>
      </c>
      <c r="BN396">
        <v>0</v>
      </c>
      <c r="BO396" t="s">
        <v>550</v>
      </c>
      <c r="BP396">
        <v>1</v>
      </c>
      <c r="BQ396">
        <v>40</v>
      </c>
      <c r="BR396">
        <v>0</v>
      </c>
      <c r="BS396">
        <v>25.44</v>
      </c>
      <c r="BT396">
        <v>1</v>
      </c>
      <c r="BU396">
        <v>1</v>
      </c>
      <c r="BV396">
        <v>1</v>
      </c>
      <c r="BW396">
        <v>1</v>
      </c>
      <c r="BX396">
        <v>1</v>
      </c>
      <c r="BY396" t="s">
        <v>3</v>
      </c>
      <c r="BZ396">
        <v>77</v>
      </c>
      <c r="CA396">
        <v>41</v>
      </c>
      <c r="CB396" t="s">
        <v>3</v>
      </c>
      <c r="CE396">
        <v>30</v>
      </c>
      <c r="CF396">
        <v>0</v>
      </c>
      <c r="CG396">
        <v>0</v>
      </c>
      <c r="CM396">
        <v>0</v>
      </c>
      <c r="CN396" t="s">
        <v>3</v>
      </c>
      <c r="CO396">
        <v>0</v>
      </c>
      <c r="CP396">
        <f t="shared" si="366"/>
        <v>1665.9099999999999</v>
      </c>
      <c r="CQ396">
        <f t="shared" si="367"/>
        <v>67.709999999999994</v>
      </c>
      <c r="CR396">
        <f>(ROUND((ROUND(((ET396)*AV396*1),2)*BB396),2)+ROUND((ROUND(((AE396-(EU396))*AV396*1),2)*BS396),2))</f>
        <v>916.92</v>
      </c>
      <c r="CS396">
        <f t="shared" si="368"/>
        <v>440.88</v>
      </c>
      <c r="CT396">
        <f t="shared" si="369"/>
        <v>681.28</v>
      </c>
      <c r="CU396">
        <f t="shared" si="370"/>
        <v>0</v>
      </c>
      <c r="CV396">
        <f t="shared" si="371"/>
        <v>2.06</v>
      </c>
      <c r="CW396">
        <f t="shared" si="372"/>
        <v>0</v>
      </c>
      <c r="CX396">
        <f t="shared" si="373"/>
        <v>0</v>
      </c>
      <c r="CY396">
        <f t="shared" si="374"/>
        <v>524.5856</v>
      </c>
      <c r="CZ396">
        <f t="shared" si="375"/>
        <v>279.32479999999998</v>
      </c>
      <c r="DC396" t="s">
        <v>3</v>
      </c>
      <c r="DD396" t="s">
        <v>3</v>
      </c>
      <c r="DE396" t="s">
        <v>3</v>
      </c>
      <c r="DF396" t="s">
        <v>3</v>
      </c>
      <c r="DG396" t="s">
        <v>3</v>
      </c>
      <c r="DH396" t="s">
        <v>3</v>
      </c>
      <c r="DI396" t="s">
        <v>3</v>
      </c>
      <c r="DJ396" t="s">
        <v>3</v>
      </c>
      <c r="DK396" t="s">
        <v>3</v>
      </c>
      <c r="DL396" t="s">
        <v>3</v>
      </c>
      <c r="DM396" t="s">
        <v>3</v>
      </c>
      <c r="DN396">
        <v>114</v>
      </c>
      <c r="DO396">
        <v>67</v>
      </c>
      <c r="DP396">
        <v>1</v>
      </c>
      <c r="DQ396">
        <v>1</v>
      </c>
      <c r="DU396">
        <v>1013</v>
      </c>
      <c r="DV396" t="s">
        <v>162</v>
      </c>
      <c r="DW396" t="s">
        <v>162</v>
      </c>
      <c r="DX396">
        <v>1</v>
      </c>
      <c r="DZ396" t="s">
        <v>3</v>
      </c>
      <c r="EA396" t="s">
        <v>3</v>
      </c>
      <c r="EB396" t="s">
        <v>3</v>
      </c>
      <c r="EC396" t="s">
        <v>3</v>
      </c>
      <c r="EE396">
        <v>43088411</v>
      </c>
      <c r="EF396">
        <v>40</v>
      </c>
      <c r="EG396" t="s">
        <v>553</v>
      </c>
      <c r="EH396">
        <v>0</v>
      </c>
      <c r="EI396" t="s">
        <v>3</v>
      </c>
      <c r="EJ396">
        <v>2</v>
      </c>
      <c r="EK396">
        <v>333</v>
      </c>
      <c r="EL396" t="s">
        <v>554</v>
      </c>
      <c r="EM396" t="s">
        <v>555</v>
      </c>
      <c r="EO396" t="s">
        <v>3</v>
      </c>
      <c r="EQ396">
        <v>0</v>
      </c>
      <c r="ER396">
        <v>135.77000000000001</v>
      </c>
      <c r="ES396">
        <v>10.29</v>
      </c>
      <c r="ET396">
        <v>98.7</v>
      </c>
      <c r="EU396">
        <v>17.329999999999998</v>
      </c>
      <c r="EV396">
        <v>26.78</v>
      </c>
      <c r="EW396">
        <v>2.06</v>
      </c>
      <c r="EX396">
        <v>0</v>
      </c>
      <c r="EY396">
        <v>0</v>
      </c>
      <c r="FQ396">
        <v>0</v>
      </c>
      <c r="FR396">
        <f t="shared" si="376"/>
        <v>0</v>
      </c>
      <c r="FS396">
        <v>0</v>
      </c>
      <c r="FX396">
        <v>114</v>
      </c>
      <c r="FY396">
        <v>67</v>
      </c>
      <c r="GA396" t="s">
        <v>3</v>
      </c>
      <c r="GD396">
        <v>0</v>
      </c>
      <c r="GF396">
        <v>-1836731593</v>
      </c>
      <c r="GG396">
        <v>2</v>
      </c>
      <c r="GH396">
        <v>1</v>
      </c>
      <c r="GI396">
        <v>2</v>
      </c>
      <c r="GJ396">
        <v>0</v>
      </c>
      <c r="GK396">
        <f>ROUND(R396*(R12)/100,2)</f>
        <v>692.18</v>
      </c>
      <c r="GL396">
        <f t="shared" si="377"/>
        <v>0</v>
      </c>
      <c r="GM396">
        <f t="shared" si="378"/>
        <v>3162</v>
      </c>
      <c r="GN396">
        <f t="shared" si="379"/>
        <v>0</v>
      </c>
      <c r="GO396">
        <f t="shared" si="380"/>
        <v>3162</v>
      </c>
      <c r="GP396">
        <f t="shared" si="381"/>
        <v>0</v>
      </c>
      <c r="GR396">
        <v>0</v>
      </c>
      <c r="GS396">
        <v>3</v>
      </c>
      <c r="GT396">
        <v>0</v>
      </c>
      <c r="GU396" t="s">
        <v>3</v>
      </c>
      <c r="GV396">
        <f t="shared" si="382"/>
        <v>0</v>
      </c>
      <c r="GW396">
        <v>1</v>
      </c>
      <c r="GX396">
        <f t="shared" si="383"/>
        <v>0</v>
      </c>
      <c r="HA396">
        <v>0</v>
      </c>
      <c r="HB396">
        <v>0</v>
      </c>
      <c r="HC396">
        <f t="shared" si="384"/>
        <v>0</v>
      </c>
      <c r="HE396" t="s">
        <v>3</v>
      </c>
      <c r="HF396" t="s">
        <v>3</v>
      </c>
      <c r="HM396" t="s">
        <v>3</v>
      </c>
      <c r="IK396">
        <v>0</v>
      </c>
    </row>
    <row r="397" spans="1:245" x14ac:dyDescent="0.2">
      <c r="A397">
        <v>17</v>
      </c>
      <c r="B397">
        <v>1</v>
      </c>
      <c r="C397">
        <f>ROW(SmtRes!A265)</f>
        <v>265</v>
      </c>
      <c r="D397">
        <f>ROW(EtalonRes!A267)</f>
        <v>267</v>
      </c>
      <c r="E397" t="s">
        <v>556</v>
      </c>
      <c r="F397" t="s">
        <v>557</v>
      </c>
      <c r="G397" t="s">
        <v>558</v>
      </c>
      <c r="H397" t="s">
        <v>559</v>
      </c>
      <c r="I397">
        <f>ROUND(10/100,9)</f>
        <v>0.1</v>
      </c>
      <c r="J397">
        <v>0</v>
      </c>
      <c r="K397">
        <f>ROUND(10/100,9)</f>
        <v>0.1</v>
      </c>
      <c r="O397">
        <f t="shared" si="352"/>
        <v>566.21</v>
      </c>
      <c r="P397">
        <f t="shared" si="353"/>
        <v>41.91</v>
      </c>
      <c r="Q397">
        <f>(ROUND((ROUND(((ET397)*AV397*I397),2)*BB397),2)+ROUND((ROUND(((AE397-(EU397))*AV397*I397),2)*BS397),2))</f>
        <v>13.21</v>
      </c>
      <c r="R397">
        <f t="shared" si="354"/>
        <v>7.63</v>
      </c>
      <c r="S397">
        <f t="shared" si="355"/>
        <v>511.09</v>
      </c>
      <c r="T397">
        <f t="shared" si="356"/>
        <v>0</v>
      </c>
      <c r="U397">
        <f t="shared" si="357"/>
        <v>1.5449999999999999</v>
      </c>
      <c r="V397">
        <f t="shared" si="358"/>
        <v>0</v>
      </c>
      <c r="W397">
        <f t="shared" si="359"/>
        <v>0</v>
      </c>
      <c r="X397">
        <f t="shared" si="360"/>
        <v>393.54</v>
      </c>
      <c r="Y397">
        <f t="shared" si="361"/>
        <v>209.55</v>
      </c>
      <c r="AA397">
        <v>42938047</v>
      </c>
      <c r="AB397">
        <f t="shared" si="362"/>
        <v>277.25</v>
      </c>
      <c r="AC397">
        <f t="shared" si="363"/>
        <v>63.7</v>
      </c>
      <c r="AD397">
        <f>ROUND((((ET397)-(EU397))+AE397),6)</f>
        <v>12.7</v>
      </c>
      <c r="AE397">
        <f>ROUND((EU397),6)</f>
        <v>2.95</v>
      </c>
      <c r="AF397">
        <f>ROUND((EV397),6)</f>
        <v>200.85</v>
      </c>
      <c r="AG397">
        <f t="shared" si="364"/>
        <v>0</v>
      </c>
      <c r="AH397">
        <f>(EW397)</f>
        <v>15.45</v>
      </c>
      <c r="AI397">
        <f>(EX397)</f>
        <v>0</v>
      </c>
      <c r="AJ397">
        <f t="shared" si="365"/>
        <v>0</v>
      </c>
      <c r="AK397">
        <v>277.25</v>
      </c>
      <c r="AL397">
        <v>63.7</v>
      </c>
      <c r="AM397">
        <v>12.7</v>
      </c>
      <c r="AN397">
        <v>2.95</v>
      </c>
      <c r="AO397">
        <v>200.85</v>
      </c>
      <c r="AP397">
        <v>0</v>
      </c>
      <c r="AQ397">
        <v>15.45</v>
      </c>
      <c r="AR397">
        <v>0</v>
      </c>
      <c r="AS397">
        <v>0</v>
      </c>
      <c r="AT397">
        <v>77</v>
      </c>
      <c r="AU397">
        <v>41</v>
      </c>
      <c r="AV397">
        <v>1</v>
      </c>
      <c r="AW397">
        <v>1</v>
      </c>
      <c r="AZ397">
        <v>1</v>
      </c>
      <c r="BA397">
        <v>25.44</v>
      </c>
      <c r="BB397">
        <v>10.4</v>
      </c>
      <c r="BC397">
        <v>6.58</v>
      </c>
      <c r="BD397" t="s">
        <v>3</v>
      </c>
      <c r="BE397" t="s">
        <v>3</v>
      </c>
      <c r="BF397" t="s">
        <v>3</v>
      </c>
      <c r="BG397" t="s">
        <v>3</v>
      </c>
      <c r="BH397">
        <v>0</v>
      </c>
      <c r="BI397">
        <v>2</v>
      </c>
      <c r="BJ397" t="s">
        <v>560</v>
      </c>
      <c r="BM397">
        <v>333</v>
      </c>
      <c r="BN397">
        <v>0</v>
      </c>
      <c r="BO397" t="s">
        <v>557</v>
      </c>
      <c r="BP397">
        <v>1</v>
      </c>
      <c r="BQ397">
        <v>40</v>
      </c>
      <c r="BR397">
        <v>0</v>
      </c>
      <c r="BS397">
        <v>25.44</v>
      </c>
      <c r="BT397">
        <v>1</v>
      </c>
      <c r="BU397">
        <v>1</v>
      </c>
      <c r="BV397">
        <v>1</v>
      </c>
      <c r="BW397">
        <v>1</v>
      </c>
      <c r="BX397">
        <v>1</v>
      </c>
      <c r="BY397" t="s">
        <v>3</v>
      </c>
      <c r="BZ397">
        <v>77</v>
      </c>
      <c r="CA397">
        <v>41</v>
      </c>
      <c r="CB397" t="s">
        <v>3</v>
      </c>
      <c r="CE397">
        <v>30</v>
      </c>
      <c r="CF397">
        <v>0</v>
      </c>
      <c r="CG397">
        <v>0</v>
      </c>
      <c r="CM397">
        <v>0</v>
      </c>
      <c r="CN397" t="s">
        <v>3</v>
      </c>
      <c r="CO397">
        <v>0</v>
      </c>
      <c r="CP397">
        <f t="shared" si="366"/>
        <v>566.20999999999992</v>
      </c>
      <c r="CQ397">
        <f t="shared" si="367"/>
        <v>419.15</v>
      </c>
      <c r="CR397">
        <f>(ROUND((ROUND(((ET397)*AV397*1),2)*BB397),2)+ROUND((ROUND(((AE397-(EU397))*AV397*1),2)*BS397),2))</f>
        <v>132.08000000000001</v>
      </c>
      <c r="CS397">
        <f t="shared" si="368"/>
        <v>75.05</v>
      </c>
      <c r="CT397">
        <f t="shared" si="369"/>
        <v>5109.62</v>
      </c>
      <c r="CU397">
        <f t="shared" si="370"/>
        <v>0</v>
      </c>
      <c r="CV397">
        <f t="shared" si="371"/>
        <v>15.45</v>
      </c>
      <c r="CW397">
        <f t="shared" si="372"/>
        <v>0</v>
      </c>
      <c r="CX397">
        <f t="shared" si="373"/>
        <v>0</v>
      </c>
      <c r="CY397">
        <f t="shared" si="374"/>
        <v>393.53929999999997</v>
      </c>
      <c r="CZ397">
        <f t="shared" si="375"/>
        <v>209.54689999999997</v>
      </c>
      <c r="DC397" t="s">
        <v>3</v>
      </c>
      <c r="DD397" t="s">
        <v>3</v>
      </c>
      <c r="DE397" t="s">
        <v>3</v>
      </c>
      <c r="DF397" t="s">
        <v>3</v>
      </c>
      <c r="DG397" t="s">
        <v>3</v>
      </c>
      <c r="DH397" t="s">
        <v>3</v>
      </c>
      <c r="DI397" t="s">
        <v>3</v>
      </c>
      <c r="DJ397" t="s">
        <v>3</v>
      </c>
      <c r="DK397" t="s">
        <v>3</v>
      </c>
      <c r="DL397" t="s">
        <v>3</v>
      </c>
      <c r="DM397" t="s">
        <v>3</v>
      </c>
      <c r="DN397">
        <v>114</v>
      </c>
      <c r="DO397">
        <v>67</v>
      </c>
      <c r="DP397">
        <v>1</v>
      </c>
      <c r="DQ397">
        <v>1</v>
      </c>
      <c r="DU397">
        <v>1013</v>
      </c>
      <c r="DV397" t="s">
        <v>559</v>
      </c>
      <c r="DW397" t="s">
        <v>559</v>
      </c>
      <c r="DX397">
        <v>1</v>
      </c>
      <c r="DZ397" t="s">
        <v>3</v>
      </c>
      <c r="EA397" t="s">
        <v>3</v>
      </c>
      <c r="EB397" t="s">
        <v>3</v>
      </c>
      <c r="EC397" t="s">
        <v>3</v>
      </c>
      <c r="EE397">
        <v>43088411</v>
      </c>
      <c r="EF397">
        <v>40</v>
      </c>
      <c r="EG397" t="s">
        <v>553</v>
      </c>
      <c r="EH397">
        <v>0</v>
      </c>
      <c r="EI397" t="s">
        <v>3</v>
      </c>
      <c r="EJ397">
        <v>2</v>
      </c>
      <c r="EK397">
        <v>333</v>
      </c>
      <c r="EL397" t="s">
        <v>554</v>
      </c>
      <c r="EM397" t="s">
        <v>555</v>
      </c>
      <c r="EO397" t="s">
        <v>3</v>
      </c>
      <c r="EQ397">
        <v>0</v>
      </c>
      <c r="ER397">
        <v>277.25</v>
      </c>
      <c r="ES397">
        <v>63.7</v>
      </c>
      <c r="ET397">
        <v>12.7</v>
      </c>
      <c r="EU397">
        <v>2.95</v>
      </c>
      <c r="EV397">
        <v>200.85</v>
      </c>
      <c r="EW397">
        <v>15.45</v>
      </c>
      <c r="EX397">
        <v>0</v>
      </c>
      <c r="EY397">
        <v>0</v>
      </c>
      <c r="FQ397">
        <v>0</v>
      </c>
      <c r="FR397">
        <f t="shared" si="376"/>
        <v>0</v>
      </c>
      <c r="FS397">
        <v>0</v>
      </c>
      <c r="FX397">
        <v>114</v>
      </c>
      <c r="FY397">
        <v>67</v>
      </c>
      <c r="GA397" t="s">
        <v>3</v>
      </c>
      <c r="GD397">
        <v>0</v>
      </c>
      <c r="GF397">
        <v>90230320</v>
      </c>
      <c r="GG397">
        <v>2</v>
      </c>
      <c r="GH397">
        <v>1</v>
      </c>
      <c r="GI397">
        <v>2</v>
      </c>
      <c r="GJ397">
        <v>0</v>
      </c>
      <c r="GK397">
        <f>ROUND(R397*(R12)/100,2)</f>
        <v>11.98</v>
      </c>
      <c r="GL397">
        <f t="shared" si="377"/>
        <v>0</v>
      </c>
      <c r="GM397">
        <f t="shared" si="378"/>
        <v>1181.28</v>
      </c>
      <c r="GN397">
        <f t="shared" si="379"/>
        <v>0</v>
      </c>
      <c r="GO397">
        <f t="shared" si="380"/>
        <v>1181.28</v>
      </c>
      <c r="GP397">
        <f t="shared" si="381"/>
        <v>0</v>
      </c>
      <c r="GR397">
        <v>0</v>
      </c>
      <c r="GS397">
        <v>3</v>
      </c>
      <c r="GT397">
        <v>0</v>
      </c>
      <c r="GU397" t="s">
        <v>3</v>
      </c>
      <c r="GV397">
        <f t="shared" si="382"/>
        <v>0</v>
      </c>
      <c r="GW397">
        <v>1</v>
      </c>
      <c r="GX397">
        <f t="shared" si="383"/>
        <v>0</v>
      </c>
      <c r="HA397">
        <v>0</v>
      </c>
      <c r="HB397">
        <v>0</v>
      </c>
      <c r="HC397">
        <f t="shared" si="384"/>
        <v>0</v>
      </c>
      <c r="HE397" t="s">
        <v>3</v>
      </c>
      <c r="HF397" t="s">
        <v>3</v>
      </c>
      <c r="HM397" t="s">
        <v>3</v>
      </c>
      <c r="IK397">
        <v>0</v>
      </c>
    </row>
    <row r="398" spans="1:245" x14ac:dyDescent="0.2">
      <c r="A398">
        <v>17</v>
      </c>
      <c r="B398">
        <v>1</v>
      </c>
      <c r="C398">
        <f>ROW(SmtRes!A266)</f>
        <v>266</v>
      </c>
      <c r="D398">
        <f>ROW(EtalonRes!A268)</f>
        <v>268</v>
      </c>
      <c r="E398" t="s">
        <v>561</v>
      </c>
      <c r="F398" t="s">
        <v>562</v>
      </c>
      <c r="G398" t="s">
        <v>563</v>
      </c>
      <c r="H398" t="s">
        <v>162</v>
      </c>
      <c r="I398">
        <v>4</v>
      </c>
      <c r="J398">
        <v>0</v>
      </c>
      <c r="K398">
        <v>4</v>
      </c>
      <c r="O398">
        <f t="shared" si="352"/>
        <v>1882.97</v>
      </c>
      <c r="P398">
        <f t="shared" si="353"/>
        <v>407.17</v>
      </c>
      <c r="Q398">
        <f>(ROUND((ROUND((((ET398*0.8))*AV398*I398),2)*BB398),2)+ROUND((ROUND(((AE398-((EU398*0.8)))*AV398*I398),2)*BS398),2))</f>
        <v>112.98</v>
      </c>
      <c r="R398">
        <f t="shared" si="354"/>
        <v>26.97</v>
      </c>
      <c r="S398">
        <f t="shared" si="355"/>
        <v>1362.82</v>
      </c>
      <c r="T398">
        <f t="shared" si="356"/>
        <v>0</v>
      </c>
      <c r="U398">
        <f t="shared" si="357"/>
        <v>4.2880000000000003</v>
      </c>
      <c r="V398">
        <f t="shared" si="358"/>
        <v>0</v>
      </c>
      <c r="W398">
        <f t="shared" si="359"/>
        <v>0</v>
      </c>
      <c r="X398">
        <f t="shared" si="360"/>
        <v>1049.3699999999999</v>
      </c>
      <c r="Y398">
        <f t="shared" si="361"/>
        <v>558.76</v>
      </c>
      <c r="AA398">
        <v>42938047</v>
      </c>
      <c r="AB398">
        <f t="shared" si="362"/>
        <v>32.805999999999997</v>
      </c>
      <c r="AC398">
        <f t="shared" si="363"/>
        <v>15.47</v>
      </c>
      <c r="AD398">
        <f>ROUND(((((ET398*0.8))-((EU398*0.8)))+AE398),6)</f>
        <v>3.944</v>
      </c>
      <c r="AE398">
        <f>ROUND(((EU398*0.8)),6)</f>
        <v>0.26400000000000001</v>
      </c>
      <c r="AF398">
        <f>ROUND(((EV398*0.8)),6)</f>
        <v>13.391999999999999</v>
      </c>
      <c r="AG398">
        <f t="shared" si="364"/>
        <v>0</v>
      </c>
      <c r="AH398">
        <f>((EW398*0.8))</f>
        <v>1.0720000000000001</v>
      </c>
      <c r="AI398">
        <f>((EX398*0.8))</f>
        <v>0</v>
      </c>
      <c r="AJ398">
        <f t="shared" si="365"/>
        <v>0</v>
      </c>
      <c r="AK398">
        <v>37.14</v>
      </c>
      <c r="AL398">
        <v>15.47</v>
      </c>
      <c r="AM398">
        <v>4.93</v>
      </c>
      <c r="AN398">
        <v>0.33</v>
      </c>
      <c r="AO398">
        <v>16.739999999999998</v>
      </c>
      <c r="AP398">
        <v>0</v>
      </c>
      <c r="AQ398">
        <v>1.34</v>
      </c>
      <c r="AR398">
        <v>0</v>
      </c>
      <c r="AS398">
        <v>0</v>
      </c>
      <c r="AT398">
        <v>77</v>
      </c>
      <c r="AU398">
        <v>41</v>
      </c>
      <c r="AV398">
        <v>1</v>
      </c>
      <c r="AW398">
        <v>1</v>
      </c>
      <c r="AZ398">
        <v>1</v>
      </c>
      <c r="BA398">
        <v>25.44</v>
      </c>
      <c r="BB398">
        <v>7.16</v>
      </c>
      <c r="BC398">
        <v>6.58</v>
      </c>
      <c r="BD398" t="s">
        <v>3</v>
      </c>
      <c r="BE398" t="s">
        <v>3</v>
      </c>
      <c r="BF398" t="s">
        <v>3</v>
      </c>
      <c r="BG398" t="s">
        <v>3</v>
      </c>
      <c r="BH398">
        <v>0</v>
      </c>
      <c r="BI398">
        <v>2</v>
      </c>
      <c r="BJ398" t="s">
        <v>564</v>
      </c>
      <c r="BM398">
        <v>333</v>
      </c>
      <c r="BN398">
        <v>0</v>
      </c>
      <c r="BO398" t="s">
        <v>562</v>
      </c>
      <c r="BP398">
        <v>1</v>
      </c>
      <c r="BQ398">
        <v>40</v>
      </c>
      <c r="BR398">
        <v>0</v>
      </c>
      <c r="BS398">
        <v>25.44</v>
      </c>
      <c r="BT398">
        <v>1</v>
      </c>
      <c r="BU398">
        <v>1</v>
      </c>
      <c r="BV398">
        <v>1</v>
      </c>
      <c r="BW398">
        <v>1</v>
      </c>
      <c r="BX398">
        <v>1</v>
      </c>
      <c r="BY398" t="s">
        <v>3</v>
      </c>
      <c r="BZ398">
        <v>77</v>
      </c>
      <c r="CA398">
        <v>41</v>
      </c>
      <c r="CB398" t="s">
        <v>3</v>
      </c>
      <c r="CE398">
        <v>30</v>
      </c>
      <c r="CF398">
        <v>0</v>
      </c>
      <c r="CG398">
        <v>0</v>
      </c>
      <c r="CM398">
        <v>0</v>
      </c>
      <c r="CN398" t="s">
        <v>565</v>
      </c>
      <c r="CO398">
        <v>0</v>
      </c>
      <c r="CP398">
        <f t="shared" si="366"/>
        <v>1882.9699999999998</v>
      </c>
      <c r="CQ398">
        <f t="shared" si="367"/>
        <v>101.79</v>
      </c>
      <c r="CR398">
        <f>(ROUND((ROUND((((ET398*0.8))*AV398*1),2)*BB398),2)+ROUND((ROUND(((AE398-((EU398*0.8)))*AV398*1),2)*BS398),2))</f>
        <v>28.21</v>
      </c>
      <c r="CS398">
        <f t="shared" si="368"/>
        <v>6.61</v>
      </c>
      <c r="CT398">
        <f t="shared" si="369"/>
        <v>340.64</v>
      </c>
      <c r="CU398">
        <f t="shared" si="370"/>
        <v>0</v>
      </c>
      <c r="CV398">
        <f t="shared" si="371"/>
        <v>1.0720000000000001</v>
      </c>
      <c r="CW398">
        <f t="shared" si="372"/>
        <v>0</v>
      </c>
      <c r="CX398">
        <f t="shared" si="373"/>
        <v>0</v>
      </c>
      <c r="CY398">
        <f t="shared" si="374"/>
        <v>1049.3714</v>
      </c>
      <c r="CZ398">
        <f t="shared" si="375"/>
        <v>558.75619999999992</v>
      </c>
      <c r="DC398" t="s">
        <v>3</v>
      </c>
      <c r="DD398" t="s">
        <v>3</v>
      </c>
      <c r="DE398" t="s">
        <v>566</v>
      </c>
      <c r="DF398" t="s">
        <v>566</v>
      </c>
      <c r="DG398" t="s">
        <v>566</v>
      </c>
      <c r="DH398" t="s">
        <v>3</v>
      </c>
      <c r="DI398" t="s">
        <v>566</v>
      </c>
      <c r="DJ398" t="s">
        <v>566</v>
      </c>
      <c r="DK398" t="s">
        <v>3</v>
      </c>
      <c r="DL398" t="s">
        <v>3</v>
      </c>
      <c r="DM398" t="s">
        <v>3</v>
      </c>
      <c r="DN398">
        <v>114</v>
      </c>
      <c r="DO398">
        <v>67</v>
      </c>
      <c r="DP398">
        <v>1</v>
      </c>
      <c r="DQ398">
        <v>1</v>
      </c>
      <c r="DU398">
        <v>1013</v>
      </c>
      <c r="DV398" t="s">
        <v>162</v>
      </c>
      <c r="DW398" t="s">
        <v>162</v>
      </c>
      <c r="DX398">
        <v>1</v>
      </c>
      <c r="DZ398" t="s">
        <v>3</v>
      </c>
      <c r="EA398" t="s">
        <v>3</v>
      </c>
      <c r="EB398" t="s">
        <v>3</v>
      </c>
      <c r="EC398" t="s">
        <v>3</v>
      </c>
      <c r="EE398">
        <v>43088411</v>
      </c>
      <c r="EF398">
        <v>40</v>
      </c>
      <c r="EG398" t="s">
        <v>553</v>
      </c>
      <c r="EH398">
        <v>0</v>
      </c>
      <c r="EI398" t="s">
        <v>3</v>
      </c>
      <c r="EJ398">
        <v>2</v>
      </c>
      <c r="EK398">
        <v>333</v>
      </c>
      <c r="EL398" t="s">
        <v>554</v>
      </c>
      <c r="EM398" t="s">
        <v>555</v>
      </c>
      <c r="EO398" t="s">
        <v>567</v>
      </c>
      <c r="EQ398">
        <v>0</v>
      </c>
      <c r="ER398">
        <v>37.14</v>
      </c>
      <c r="ES398">
        <v>15.47</v>
      </c>
      <c r="ET398">
        <v>4.93</v>
      </c>
      <c r="EU398">
        <v>0.33</v>
      </c>
      <c r="EV398">
        <v>16.739999999999998</v>
      </c>
      <c r="EW398">
        <v>1.34</v>
      </c>
      <c r="EX398">
        <v>0</v>
      </c>
      <c r="EY398">
        <v>0</v>
      </c>
      <c r="FQ398">
        <v>0</v>
      </c>
      <c r="FR398">
        <f t="shared" si="376"/>
        <v>0</v>
      </c>
      <c r="FS398">
        <v>0</v>
      </c>
      <c r="FX398">
        <v>114</v>
      </c>
      <c r="FY398">
        <v>67</v>
      </c>
      <c r="GA398" t="s">
        <v>3</v>
      </c>
      <c r="GD398">
        <v>0</v>
      </c>
      <c r="GF398">
        <v>1296312545</v>
      </c>
      <c r="GG398">
        <v>2</v>
      </c>
      <c r="GH398">
        <v>1</v>
      </c>
      <c r="GI398">
        <v>2</v>
      </c>
      <c r="GJ398">
        <v>0</v>
      </c>
      <c r="GK398">
        <f>ROUND(R398*(R12)/100,2)</f>
        <v>42.34</v>
      </c>
      <c r="GL398">
        <f t="shared" si="377"/>
        <v>0</v>
      </c>
      <c r="GM398">
        <f t="shared" si="378"/>
        <v>3533.44</v>
      </c>
      <c r="GN398">
        <f t="shared" si="379"/>
        <v>0</v>
      </c>
      <c r="GO398">
        <f t="shared" si="380"/>
        <v>3533.44</v>
      </c>
      <c r="GP398">
        <f t="shared" si="381"/>
        <v>0</v>
      </c>
      <c r="GR398">
        <v>0</v>
      </c>
      <c r="GS398">
        <v>3</v>
      </c>
      <c r="GT398">
        <v>0</v>
      </c>
      <c r="GU398" t="s">
        <v>3</v>
      </c>
      <c r="GV398">
        <f t="shared" si="382"/>
        <v>0</v>
      </c>
      <c r="GW398">
        <v>1</v>
      </c>
      <c r="GX398">
        <f t="shared" si="383"/>
        <v>0</v>
      </c>
      <c r="HA398">
        <v>0</v>
      </c>
      <c r="HB398">
        <v>0</v>
      </c>
      <c r="HC398">
        <f t="shared" si="384"/>
        <v>0</v>
      </c>
      <c r="HE398" t="s">
        <v>3</v>
      </c>
      <c r="HF398" t="s">
        <v>3</v>
      </c>
      <c r="HM398" t="s">
        <v>3</v>
      </c>
      <c r="IK398">
        <v>0</v>
      </c>
    </row>
    <row r="399" spans="1:245" x14ac:dyDescent="0.2">
      <c r="A399">
        <v>17</v>
      </c>
      <c r="B399">
        <v>1</v>
      </c>
      <c r="C399">
        <f>ROW(SmtRes!A267)</f>
        <v>267</v>
      </c>
      <c r="D399">
        <f>ROW(EtalonRes!A269)</f>
        <v>269</v>
      </c>
      <c r="E399" t="s">
        <v>568</v>
      </c>
      <c r="F399" t="s">
        <v>569</v>
      </c>
      <c r="G399" t="s">
        <v>570</v>
      </c>
      <c r="H399" t="s">
        <v>152</v>
      </c>
      <c r="I399">
        <f>ROUND(1/100,9)</f>
        <v>0.01</v>
      </c>
      <c r="J399">
        <v>0</v>
      </c>
      <c r="K399">
        <f>ROUND(1/100,9)</f>
        <v>0.01</v>
      </c>
      <c r="O399">
        <f t="shared" si="352"/>
        <v>88.63</v>
      </c>
      <c r="P399">
        <f t="shared" si="353"/>
        <v>2.37</v>
      </c>
      <c r="Q399">
        <f>(ROUND((ROUND(((ET399)*AV399*I399),2)*BB399),2)+ROUND((ROUND(((AE399-(EU399))*AV399*I399),2)*BS399),2))</f>
        <v>3.33</v>
      </c>
      <c r="R399">
        <f t="shared" si="354"/>
        <v>1.27</v>
      </c>
      <c r="S399">
        <f t="shared" si="355"/>
        <v>82.93</v>
      </c>
      <c r="T399">
        <f t="shared" si="356"/>
        <v>0</v>
      </c>
      <c r="U399">
        <f t="shared" si="357"/>
        <v>0.2747</v>
      </c>
      <c r="V399">
        <f t="shared" si="358"/>
        <v>0</v>
      </c>
      <c r="W399">
        <f t="shared" si="359"/>
        <v>0</v>
      </c>
      <c r="X399">
        <f t="shared" si="360"/>
        <v>63.86</v>
      </c>
      <c r="Y399">
        <f t="shared" si="361"/>
        <v>34</v>
      </c>
      <c r="AA399">
        <v>42938047</v>
      </c>
      <c r="AB399">
        <f t="shared" si="362"/>
        <v>404.23</v>
      </c>
      <c r="AC399">
        <f t="shared" si="363"/>
        <v>36.020000000000003</v>
      </c>
      <c r="AD399">
        <f>ROUND((((ET399)-(EU399))+AE399),6)</f>
        <v>42.48</v>
      </c>
      <c r="AE399">
        <f t="shared" ref="AE399:AF401" si="385">ROUND((EU399),6)</f>
        <v>4.5199999999999996</v>
      </c>
      <c r="AF399">
        <f t="shared" si="385"/>
        <v>325.73</v>
      </c>
      <c r="AG399">
        <f t="shared" si="364"/>
        <v>0</v>
      </c>
      <c r="AH399">
        <f t="shared" ref="AH399:AI401" si="386">(EW399)</f>
        <v>27.47</v>
      </c>
      <c r="AI399">
        <f t="shared" si="386"/>
        <v>0</v>
      </c>
      <c r="AJ399">
        <f t="shared" si="365"/>
        <v>0</v>
      </c>
      <c r="AK399">
        <v>404.23</v>
      </c>
      <c r="AL399">
        <v>36.020000000000003</v>
      </c>
      <c r="AM399">
        <v>42.48</v>
      </c>
      <c r="AN399">
        <v>4.5199999999999996</v>
      </c>
      <c r="AO399">
        <v>325.73</v>
      </c>
      <c r="AP399">
        <v>0</v>
      </c>
      <c r="AQ399">
        <v>27.47</v>
      </c>
      <c r="AR399">
        <v>0</v>
      </c>
      <c r="AS399">
        <v>0</v>
      </c>
      <c r="AT399">
        <v>77</v>
      </c>
      <c r="AU399">
        <v>41</v>
      </c>
      <c r="AV399">
        <v>1</v>
      </c>
      <c r="AW399">
        <v>1</v>
      </c>
      <c r="AZ399">
        <v>1</v>
      </c>
      <c r="BA399">
        <v>25.44</v>
      </c>
      <c r="BB399">
        <v>7.93</v>
      </c>
      <c r="BC399">
        <v>6.58</v>
      </c>
      <c r="BD399" t="s">
        <v>3</v>
      </c>
      <c r="BE399" t="s">
        <v>3</v>
      </c>
      <c r="BF399" t="s">
        <v>3</v>
      </c>
      <c r="BG399" t="s">
        <v>3</v>
      </c>
      <c r="BH399">
        <v>0</v>
      </c>
      <c r="BI399">
        <v>2</v>
      </c>
      <c r="BJ399" t="s">
        <v>571</v>
      </c>
      <c r="BM399">
        <v>1669</v>
      </c>
      <c r="BN399">
        <v>0</v>
      </c>
      <c r="BO399" t="s">
        <v>569</v>
      </c>
      <c r="BP399">
        <v>1</v>
      </c>
      <c r="BQ399">
        <v>40</v>
      </c>
      <c r="BR399">
        <v>0</v>
      </c>
      <c r="BS399">
        <v>25.44</v>
      </c>
      <c r="BT399">
        <v>1</v>
      </c>
      <c r="BU399">
        <v>1</v>
      </c>
      <c r="BV399">
        <v>1</v>
      </c>
      <c r="BW399">
        <v>1</v>
      </c>
      <c r="BX399">
        <v>1</v>
      </c>
      <c r="BY399" t="s">
        <v>3</v>
      </c>
      <c r="BZ399">
        <v>77</v>
      </c>
      <c r="CA399">
        <v>41</v>
      </c>
      <c r="CB399" t="s">
        <v>3</v>
      </c>
      <c r="CE399">
        <v>30</v>
      </c>
      <c r="CF399">
        <v>0</v>
      </c>
      <c r="CG399">
        <v>0</v>
      </c>
      <c r="CM399">
        <v>0</v>
      </c>
      <c r="CN399" t="s">
        <v>3</v>
      </c>
      <c r="CO399">
        <v>0</v>
      </c>
      <c r="CP399">
        <f t="shared" si="366"/>
        <v>88.63000000000001</v>
      </c>
      <c r="CQ399">
        <f t="shared" si="367"/>
        <v>237.01</v>
      </c>
      <c r="CR399">
        <f>(ROUND((ROUND(((ET399)*AV399*1),2)*BB399),2)+ROUND((ROUND(((AE399-(EU399))*AV399*1),2)*BS399),2))</f>
        <v>336.87</v>
      </c>
      <c r="CS399">
        <f t="shared" si="368"/>
        <v>114.99</v>
      </c>
      <c r="CT399">
        <f t="shared" si="369"/>
        <v>8286.57</v>
      </c>
      <c r="CU399">
        <f t="shared" si="370"/>
        <v>0</v>
      </c>
      <c r="CV399">
        <f t="shared" si="371"/>
        <v>27.47</v>
      </c>
      <c r="CW399">
        <f t="shared" si="372"/>
        <v>0</v>
      </c>
      <c r="CX399">
        <f t="shared" si="373"/>
        <v>0</v>
      </c>
      <c r="CY399">
        <f t="shared" si="374"/>
        <v>63.856100000000005</v>
      </c>
      <c r="CZ399">
        <f t="shared" si="375"/>
        <v>34.001300000000001</v>
      </c>
      <c r="DC399" t="s">
        <v>3</v>
      </c>
      <c r="DD399" t="s">
        <v>3</v>
      </c>
      <c r="DE399" t="s">
        <v>3</v>
      </c>
      <c r="DF399" t="s">
        <v>3</v>
      </c>
      <c r="DG399" t="s">
        <v>3</v>
      </c>
      <c r="DH399" t="s">
        <v>3</v>
      </c>
      <c r="DI399" t="s">
        <v>3</v>
      </c>
      <c r="DJ399" t="s">
        <v>3</v>
      </c>
      <c r="DK399" t="s">
        <v>3</v>
      </c>
      <c r="DL399" t="s">
        <v>3</v>
      </c>
      <c r="DM399" t="s">
        <v>3</v>
      </c>
      <c r="DN399">
        <v>114</v>
      </c>
      <c r="DO399">
        <v>67</v>
      </c>
      <c r="DP399">
        <v>1</v>
      </c>
      <c r="DQ399">
        <v>1</v>
      </c>
      <c r="DU399">
        <v>1003</v>
      </c>
      <c r="DV399" t="s">
        <v>152</v>
      </c>
      <c r="DW399" t="s">
        <v>152</v>
      </c>
      <c r="DX399">
        <v>100</v>
      </c>
      <c r="DZ399" t="s">
        <v>3</v>
      </c>
      <c r="EA399" t="s">
        <v>3</v>
      </c>
      <c r="EB399" t="s">
        <v>3</v>
      </c>
      <c r="EC399" t="s">
        <v>3</v>
      </c>
      <c r="EE399">
        <v>43089747</v>
      </c>
      <c r="EF399">
        <v>40</v>
      </c>
      <c r="EG399" t="s">
        <v>553</v>
      </c>
      <c r="EH399">
        <v>0</v>
      </c>
      <c r="EI399" t="s">
        <v>3</v>
      </c>
      <c r="EJ399">
        <v>2</v>
      </c>
      <c r="EK399">
        <v>1669</v>
      </c>
      <c r="EL399" t="s">
        <v>572</v>
      </c>
      <c r="EM399" t="s">
        <v>573</v>
      </c>
      <c r="EO399" t="s">
        <v>3</v>
      </c>
      <c r="EQ399">
        <v>0</v>
      </c>
      <c r="ER399">
        <v>404.23</v>
      </c>
      <c r="ES399">
        <v>36.020000000000003</v>
      </c>
      <c r="ET399">
        <v>42.48</v>
      </c>
      <c r="EU399">
        <v>4.5199999999999996</v>
      </c>
      <c r="EV399">
        <v>325.73</v>
      </c>
      <c r="EW399">
        <v>27.47</v>
      </c>
      <c r="EX399">
        <v>0</v>
      </c>
      <c r="EY399">
        <v>0</v>
      </c>
      <c r="FQ399">
        <v>0</v>
      </c>
      <c r="FR399">
        <f t="shared" si="376"/>
        <v>0</v>
      </c>
      <c r="FS399">
        <v>0</v>
      </c>
      <c r="FX399">
        <v>114</v>
      </c>
      <c r="FY399">
        <v>67</v>
      </c>
      <c r="GA399" t="s">
        <v>3</v>
      </c>
      <c r="GD399">
        <v>0</v>
      </c>
      <c r="GF399">
        <v>1702565655</v>
      </c>
      <c r="GG399">
        <v>2</v>
      </c>
      <c r="GH399">
        <v>1</v>
      </c>
      <c r="GI399">
        <v>2</v>
      </c>
      <c r="GJ399">
        <v>0</v>
      </c>
      <c r="GK399">
        <f>ROUND(R399*(R12)/100,2)</f>
        <v>1.99</v>
      </c>
      <c r="GL399">
        <f t="shared" si="377"/>
        <v>0</v>
      </c>
      <c r="GM399">
        <f t="shared" si="378"/>
        <v>188.48</v>
      </c>
      <c r="GN399">
        <f t="shared" si="379"/>
        <v>0</v>
      </c>
      <c r="GO399">
        <f t="shared" si="380"/>
        <v>188.48</v>
      </c>
      <c r="GP399">
        <f t="shared" si="381"/>
        <v>0</v>
      </c>
      <c r="GR399">
        <v>0</v>
      </c>
      <c r="GS399">
        <v>3</v>
      </c>
      <c r="GT399">
        <v>0</v>
      </c>
      <c r="GU399" t="s">
        <v>3</v>
      </c>
      <c r="GV399">
        <f t="shared" si="382"/>
        <v>0</v>
      </c>
      <c r="GW399">
        <v>1</v>
      </c>
      <c r="GX399">
        <f t="shared" si="383"/>
        <v>0</v>
      </c>
      <c r="HA399">
        <v>0</v>
      </c>
      <c r="HB399">
        <v>0</v>
      </c>
      <c r="HC399">
        <f t="shared" si="384"/>
        <v>0</v>
      </c>
      <c r="HE399" t="s">
        <v>3</v>
      </c>
      <c r="HF399" t="s">
        <v>3</v>
      </c>
      <c r="HM399" t="s">
        <v>3</v>
      </c>
      <c r="IK399">
        <v>0</v>
      </c>
    </row>
    <row r="400" spans="1:245" x14ac:dyDescent="0.2">
      <c r="A400">
        <v>17</v>
      </c>
      <c r="B400">
        <v>1</v>
      </c>
      <c r="C400">
        <f>ROW(SmtRes!A268)</f>
        <v>268</v>
      </c>
      <c r="D400">
        <f>ROW(EtalonRes!A273)</f>
        <v>273</v>
      </c>
      <c r="E400" t="s">
        <v>574</v>
      </c>
      <c r="F400" t="s">
        <v>575</v>
      </c>
      <c r="G400" t="s">
        <v>576</v>
      </c>
      <c r="H400" t="s">
        <v>152</v>
      </c>
      <c r="I400">
        <f>ROUND(700/100,9)</f>
        <v>7</v>
      </c>
      <c r="J400">
        <v>0</v>
      </c>
      <c r="K400">
        <f>ROUND(700/100,9)</f>
        <v>7</v>
      </c>
      <c r="O400">
        <f t="shared" si="352"/>
        <v>50842.19</v>
      </c>
      <c r="P400">
        <f t="shared" si="353"/>
        <v>14476.2</v>
      </c>
      <c r="Q400">
        <f>(ROUND((ROUND(((ET400)*AV400*I400),2)*BB400),2)+ROUND((ROUND(((AE400-(EU400))*AV400*I400),2)*BS400),2))</f>
        <v>2128.33</v>
      </c>
      <c r="R400">
        <f t="shared" si="354"/>
        <v>1016.84</v>
      </c>
      <c r="S400">
        <f t="shared" si="355"/>
        <v>34237.660000000003</v>
      </c>
      <c r="T400">
        <f t="shared" si="356"/>
        <v>0</v>
      </c>
      <c r="U400">
        <f t="shared" si="357"/>
        <v>105</v>
      </c>
      <c r="V400">
        <f t="shared" si="358"/>
        <v>0</v>
      </c>
      <c r="W400">
        <f t="shared" si="359"/>
        <v>0</v>
      </c>
      <c r="X400">
        <f t="shared" si="360"/>
        <v>26363</v>
      </c>
      <c r="Y400">
        <f t="shared" si="361"/>
        <v>14037.44</v>
      </c>
      <c r="AA400">
        <v>42938047</v>
      </c>
      <c r="AB400">
        <f t="shared" si="362"/>
        <v>539.41999999999996</v>
      </c>
      <c r="AC400">
        <f t="shared" si="363"/>
        <v>314.29000000000002</v>
      </c>
      <c r="AD400">
        <f>ROUND((((ET400)-(EU400))+AE400),6)</f>
        <v>32.869999999999997</v>
      </c>
      <c r="AE400">
        <f t="shared" si="385"/>
        <v>5.71</v>
      </c>
      <c r="AF400">
        <f t="shared" si="385"/>
        <v>192.26</v>
      </c>
      <c r="AG400">
        <f t="shared" si="364"/>
        <v>0</v>
      </c>
      <c r="AH400">
        <f t="shared" si="386"/>
        <v>15</v>
      </c>
      <c r="AI400">
        <f t="shared" si="386"/>
        <v>0</v>
      </c>
      <c r="AJ400">
        <f t="shared" si="365"/>
        <v>0</v>
      </c>
      <c r="AK400">
        <v>539.41999999999996</v>
      </c>
      <c r="AL400">
        <v>314.29000000000002</v>
      </c>
      <c r="AM400">
        <v>32.869999999999997</v>
      </c>
      <c r="AN400">
        <v>5.71</v>
      </c>
      <c r="AO400">
        <v>192.26</v>
      </c>
      <c r="AP400">
        <v>0</v>
      </c>
      <c r="AQ400">
        <v>15</v>
      </c>
      <c r="AR400">
        <v>0</v>
      </c>
      <c r="AS400">
        <v>0</v>
      </c>
      <c r="AT400">
        <v>77</v>
      </c>
      <c r="AU400">
        <v>41</v>
      </c>
      <c r="AV400">
        <v>1</v>
      </c>
      <c r="AW400">
        <v>1</v>
      </c>
      <c r="AZ400">
        <v>1</v>
      </c>
      <c r="BA400">
        <v>25.44</v>
      </c>
      <c r="BB400">
        <v>9.25</v>
      </c>
      <c r="BC400">
        <v>6.58</v>
      </c>
      <c r="BD400" t="s">
        <v>3</v>
      </c>
      <c r="BE400" t="s">
        <v>3</v>
      </c>
      <c r="BF400" t="s">
        <v>3</v>
      </c>
      <c r="BG400" t="s">
        <v>3</v>
      </c>
      <c r="BH400">
        <v>0</v>
      </c>
      <c r="BI400">
        <v>2</v>
      </c>
      <c r="BJ400" t="s">
        <v>577</v>
      </c>
      <c r="BM400">
        <v>1518</v>
      </c>
      <c r="BN400">
        <v>0</v>
      </c>
      <c r="BO400" t="s">
        <v>575</v>
      </c>
      <c r="BP400">
        <v>1</v>
      </c>
      <c r="BQ400">
        <v>40</v>
      </c>
      <c r="BR400">
        <v>0</v>
      </c>
      <c r="BS400">
        <v>25.44</v>
      </c>
      <c r="BT400">
        <v>1</v>
      </c>
      <c r="BU400">
        <v>1</v>
      </c>
      <c r="BV400">
        <v>1</v>
      </c>
      <c r="BW400">
        <v>1</v>
      </c>
      <c r="BX400">
        <v>1</v>
      </c>
      <c r="BY400" t="s">
        <v>3</v>
      </c>
      <c r="BZ400">
        <v>77</v>
      </c>
      <c r="CA400">
        <v>41</v>
      </c>
      <c r="CB400" t="s">
        <v>3</v>
      </c>
      <c r="CE400">
        <v>30</v>
      </c>
      <c r="CF400">
        <v>0</v>
      </c>
      <c r="CG400">
        <v>0</v>
      </c>
      <c r="CM400">
        <v>0</v>
      </c>
      <c r="CN400" t="s">
        <v>3</v>
      </c>
      <c r="CO400">
        <v>0</v>
      </c>
      <c r="CP400">
        <f t="shared" si="366"/>
        <v>50842.19</v>
      </c>
      <c r="CQ400">
        <f t="shared" si="367"/>
        <v>2068.0300000000002</v>
      </c>
      <c r="CR400">
        <f>(ROUND((ROUND(((ET400)*AV400*1),2)*BB400),2)+ROUND((ROUND(((AE400-(EU400))*AV400*1),2)*BS400),2))</f>
        <v>304.05</v>
      </c>
      <c r="CS400">
        <f t="shared" si="368"/>
        <v>145.26</v>
      </c>
      <c r="CT400">
        <f t="shared" si="369"/>
        <v>4891.09</v>
      </c>
      <c r="CU400">
        <f t="shared" si="370"/>
        <v>0</v>
      </c>
      <c r="CV400">
        <f t="shared" si="371"/>
        <v>15</v>
      </c>
      <c r="CW400">
        <f t="shared" si="372"/>
        <v>0</v>
      </c>
      <c r="CX400">
        <f t="shared" si="373"/>
        <v>0</v>
      </c>
      <c r="CY400">
        <f t="shared" si="374"/>
        <v>26362.998200000002</v>
      </c>
      <c r="CZ400">
        <f t="shared" si="375"/>
        <v>14037.4406</v>
      </c>
      <c r="DC400" t="s">
        <v>3</v>
      </c>
      <c r="DD400" t="s">
        <v>3</v>
      </c>
      <c r="DE400" t="s">
        <v>3</v>
      </c>
      <c r="DF400" t="s">
        <v>3</v>
      </c>
      <c r="DG400" t="s">
        <v>3</v>
      </c>
      <c r="DH400" t="s">
        <v>3</v>
      </c>
      <c r="DI400" t="s">
        <v>3</v>
      </c>
      <c r="DJ400" t="s">
        <v>3</v>
      </c>
      <c r="DK400" t="s">
        <v>3</v>
      </c>
      <c r="DL400" t="s">
        <v>3</v>
      </c>
      <c r="DM400" t="s">
        <v>3</v>
      </c>
      <c r="DN400">
        <v>114</v>
      </c>
      <c r="DO400">
        <v>67</v>
      </c>
      <c r="DP400">
        <v>1</v>
      </c>
      <c r="DQ400">
        <v>1</v>
      </c>
      <c r="DU400">
        <v>1003</v>
      </c>
      <c r="DV400" t="s">
        <v>152</v>
      </c>
      <c r="DW400" t="s">
        <v>152</v>
      </c>
      <c r="DX400">
        <v>100</v>
      </c>
      <c r="DZ400" t="s">
        <v>3</v>
      </c>
      <c r="EA400" t="s">
        <v>3</v>
      </c>
      <c r="EB400" t="s">
        <v>3</v>
      </c>
      <c r="EC400" t="s">
        <v>3</v>
      </c>
      <c r="EE400">
        <v>43089596</v>
      </c>
      <c r="EF400">
        <v>40</v>
      </c>
      <c r="EG400" t="s">
        <v>553</v>
      </c>
      <c r="EH400">
        <v>0</v>
      </c>
      <c r="EI400" t="s">
        <v>3</v>
      </c>
      <c r="EJ400">
        <v>2</v>
      </c>
      <c r="EK400">
        <v>1518</v>
      </c>
      <c r="EL400" t="s">
        <v>578</v>
      </c>
      <c r="EM400" t="s">
        <v>579</v>
      </c>
      <c r="EO400" t="s">
        <v>3</v>
      </c>
      <c r="EQ400">
        <v>0</v>
      </c>
      <c r="ER400">
        <v>539.41999999999996</v>
      </c>
      <c r="ES400">
        <v>314.29000000000002</v>
      </c>
      <c r="ET400">
        <v>32.869999999999997</v>
      </c>
      <c r="EU400">
        <v>5.71</v>
      </c>
      <c r="EV400">
        <v>192.26</v>
      </c>
      <c r="EW400">
        <v>15</v>
      </c>
      <c r="EX400">
        <v>0</v>
      </c>
      <c r="EY400">
        <v>0</v>
      </c>
      <c r="FQ400">
        <v>0</v>
      </c>
      <c r="FR400">
        <f t="shared" si="376"/>
        <v>0</v>
      </c>
      <c r="FS400">
        <v>0</v>
      </c>
      <c r="FX400">
        <v>114</v>
      </c>
      <c r="FY400">
        <v>67</v>
      </c>
      <c r="GA400" t="s">
        <v>3</v>
      </c>
      <c r="GD400">
        <v>0</v>
      </c>
      <c r="GF400">
        <v>-962109038</v>
      </c>
      <c r="GG400">
        <v>2</v>
      </c>
      <c r="GH400">
        <v>1</v>
      </c>
      <c r="GI400">
        <v>2</v>
      </c>
      <c r="GJ400">
        <v>0</v>
      </c>
      <c r="GK400">
        <f>ROUND(R400*(R12)/100,2)</f>
        <v>1596.44</v>
      </c>
      <c r="GL400">
        <f t="shared" si="377"/>
        <v>0</v>
      </c>
      <c r="GM400">
        <f t="shared" si="378"/>
        <v>92839.07</v>
      </c>
      <c r="GN400">
        <f t="shared" si="379"/>
        <v>0</v>
      </c>
      <c r="GO400">
        <f t="shared" si="380"/>
        <v>92839.07</v>
      </c>
      <c r="GP400">
        <f t="shared" si="381"/>
        <v>0</v>
      </c>
      <c r="GR400">
        <v>0</v>
      </c>
      <c r="GS400">
        <v>3</v>
      </c>
      <c r="GT400">
        <v>0</v>
      </c>
      <c r="GU400" t="s">
        <v>3</v>
      </c>
      <c r="GV400">
        <f t="shared" si="382"/>
        <v>0</v>
      </c>
      <c r="GW400">
        <v>1</v>
      </c>
      <c r="GX400">
        <f t="shared" si="383"/>
        <v>0</v>
      </c>
      <c r="HA400">
        <v>0</v>
      </c>
      <c r="HB400">
        <v>0</v>
      </c>
      <c r="HC400">
        <f t="shared" si="384"/>
        <v>0</v>
      </c>
      <c r="HE400" t="s">
        <v>3</v>
      </c>
      <c r="HF400" t="s">
        <v>3</v>
      </c>
      <c r="HM400" t="s">
        <v>3</v>
      </c>
      <c r="IK400">
        <v>0</v>
      </c>
    </row>
    <row r="401" spans="1:245" x14ac:dyDescent="0.2">
      <c r="A401">
        <v>17</v>
      </c>
      <c r="B401">
        <v>1</v>
      </c>
      <c r="C401">
        <f>ROW(SmtRes!A269)</f>
        <v>269</v>
      </c>
      <c r="D401">
        <f>ROW(EtalonRes!A274)</f>
        <v>274</v>
      </c>
      <c r="E401" t="s">
        <v>580</v>
      </c>
      <c r="F401" t="s">
        <v>581</v>
      </c>
      <c r="G401" t="s">
        <v>582</v>
      </c>
      <c r="H401" t="s">
        <v>152</v>
      </c>
      <c r="I401">
        <f>ROUND(700/100,9)</f>
        <v>7</v>
      </c>
      <c r="J401">
        <v>0</v>
      </c>
      <c r="K401">
        <f>ROUND(700/100,9)</f>
        <v>7</v>
      </c>
      <c r="O401">
        <f t="shared" si="352"/>
        <v>14150.22</v>
      </c>
      <c r="P401">
        <f t="shared" si="353"/>
        <v>457.84</v>
      </c>
      <c r="Q401">
        <f>(ROUND((ROUND(((ET401)*AV401*I401),2)*BB401),2)+ROUND((ROUND(((AE401-(EU401))*AV401*I401),2)*BS401),2))</f>
        <v>122.68</v>
      </c>
      <c r="R401">
        <f t="shared" si="354"/>
        <v>69.45</v>
      </c>
      <c r="S401">
        <f t="shared" si="355"/>
        <v>13569.7</v>
      </c>
      <c r="T401">
        <f t="shared" si="356"/>
        <v>0</v>
      </c>
      <c r="U401">
        <f t="shared" si="357"/>
        <v>43.26</v>
      </c>
      <c r="V401">
        <f t="shared" si="358"/>
        <v>0</v>
      </c>
      <c r="W401">
        <f t="shared" si="359"/>
        <v>0</v>
      </c>
      <c r="X401">
        <f t="shared" si="360"/>
        <v>10448.67</v>
      </c>
      <c r="Y401">
        <f t="shared" si="361"/>
        <v>5563.58</v>
      </c>
      <c r="AA401">
        <v>42938047</v>
      </c>
      <c r="AB401">
        <f t="shared" si="362"/>
        <v>87.83</v>
      </c>
      <c r="AC401">
        <f t="shared" si="363"/>
        <v>9.94</v>
      </c>
      <c r="AD401">
        <f>ROUND((((ET401)-(EU401))+AE401),6)</f>
        <v>1.69</v>
      </c>
      <c r="AE401">
        <f t="shared" si="385"/>
        <v>0.39</v>
      </c>
      <c r="AF401">
        <f t="shared" si="385"/>
        <v>76.2</v>
      </c>
      <c r="AG401">
        <f t="shared" si="364"/>
        <v>0</v>
      </c>
      <c r="AH401">
        <f t="shared" si="386"/>
        <v>6.18</v>
      </c>
      <c r="AI401">
        <f t="shared" si="386"/>
        <v>0</v>
      </c>
      <c r="AJ401">
        <f t="shared" si="365"/>
        <v>0</v>
      </c>
      <c r="AK401">
        <v>87.83</v>
      </c>
      <c r="AL401">
        <v>9.94</v>
      </c>
      <c r="AM401">
        <v>1.69</v>
      </c>
      <c r="AN401">
        <v>0.39</v>
      </c>
      <c r="AO401">
        <v>76.2</v>
      </c>
      <c r="AP401">
        <v>0</v>
      </c>
      <c r="AQ401">
        <v>6.18</v>
      </c>
      <c r="AR401">
        <v>0</v>
      </c>
      <c r="AS401">
        <v>0</v>
      </c>
      <c r="AT401">
        <v>77</v>
      </c>
      <c r="AU401">
        <v>41</v>
      </c>
      <c r="AV401">
        <v>1</v>
      </c>
      <c r="AW401">
        <v>1</v>
      </c>
      <c r="AZ401">
        <v>1</v>
      </c>
      <c r="BA401">
        <v>25.44</v>
      </c>
      <c r="BB401">
        <v>10.37</v>
      </c>
      <c r="BC401">
        <v>6.58</v>
      </c>
      <c r="BD401" t="s">
        <v>3</v>
      </c>
      <c r="BE401" t="s">
        <v>3</v>
      </c>
      <c r="BF401" t="s">
        <v>3</v>
      </c>
      <c r="BG401" t="s">
        <v>3</v>
      </c>
      <c r="BH401">
        <v>0</v>
      </c>
      <c r="BI401">
        <v>2</v>
      </c>
      <c r="BJ401" t="s">
        <v>583</v>
      </c>
      <c r="BM401">
        <v>331</v>
      </c>
      <c r="BN401">
        <v>0</v>
      </c>
      <c r="BO401" t="s">
        <v>581</v>
      </c>
      <c r="BP401">
        <v>1</v>
      </c>
      <c r="BQ401">
        <v>40</v>
      </c>
      <c r="BR401">
        <v>0</v>
      </c>
      <c r="BS401">
        <v>25.44</v>
      </c>
      <c r="BT401">
        <v>1</v>
      </c>
      <c r="BU401">
        <v>1</v>
      </c>
      <c r="BV401">
        <v>1</v>
      </c>
      <c r="BW401">
        <v>1</v>
      </c>
      <c r="BX401">
        <v>1</v>
      </c>
      <c r="BY401" t="s">
        <v>3</v>
      </c>
      <c r="BZ401">
        <v>77</v>
      </c>
      <c r="CA401">
        <v>41</v>
      </c>
      <c r="CB401" t="s">
        <v>3</v>
      </c>
      <c r="CE401">
        <v>30</v>
      </c>
      <c r="CF401">
        <v>0</v>
      </c>
      <c r="CG401">
        <v>0</v>
      </c>
      <c r="CM401">
        <v>0</v>
      </c>
      <c r="CN401" t="s">
        <v>3</v>
      </c>
      <c r="CO401">
        <v>0</v>
      </c>
      <c r="CP401">
        <f t="shared" si="366"/>
        <v>14150.220000000001</v>
      </c>
      <c r="CQ401">
        <f t="shared" si="367"/>
        <v>65.41</v>
      </c>
      <c r="CR401">
        <f>(ROUND((ROUND(((ET401)*AV401*1),2)*BB401),2)+ROUND((ROUND(((AE401-(EU401))*AV401*1),2)*BS401),2))</f>
        <v>17.53</v>
      </c>
      <c r="CS401">
        <f t="shared" si="368"/>
        <v>9.92</v>
      </c>
      <c r="CT401">
        <f t="shared" si="369"/>
        <v>1938.53</v>
      </c>
      <c r="CU401">
        <f t="shared" si="370"/>
        <v>0</v>
      </c>
      <c r="CV401">
        <f t="shared" si="371"/>
        <v>6.18</v>
      </c>
      <c r="CW401">
        <f t="shared" si="372"/>
        <v>0</v>
      </c>
      <c r="CX401">
        <f t="shared" si="373"/>
        <v>0</v>
      </c>
      <c r="CY401">
        <f t="shared" si="374"/>
        <v>10448.669000000002</v>
      </c>
      <c r="CZ401">
        <f t="shared" si="375"/>
        <v>5563.5770000000002</v>
      </c>
      <c r="DC401" t="s">
        <v>3</v>
      </c>
      <c r="DD401" t="s">
        <v>3</v>
      </c>
      <c r="DE401" t="s">
        <v>3</v>
      </c>
      <c r="DF401" t="s">
        <v>3</v>
      </c>
      <c r="DG401" t="s">
        <v>3</v>
      </c>
      <c r="DH401" t="s">
        <v>3</v>
      </c>
      <c r="DI401" t="s">
        <v>3</v>
      </c>
      <c r="DJ401" t="s">
        <v>3</v>
      </c>
      <c r="DK401" t="s">
        <v>3</v>
      </c>
      <c r="DL401" t="s">
        <v>3</v>
      </c>
      <c r="DM401" t="s">
        <v>3</v>
      </c>
      <c r="DN401">
        <v>114</v>
      </c>
      <c r="DO401">
        <v>67</v>
      </c>
      <c r="DP401">
        <v>1</v>
      </c>
      <c r="DQ401">
        <v>1</v>
      </c>
      <c r="DU401">
        <v>1003</v>
      </c>
      <c r="DV401" t="s">
        <v>152</v>
      </c>
      <c r="DW401" t="s">
        <v>152</v>
      </c>
      <c r="DX401">
        <v>100</v>
      </c>
      <c r="DZ401" t="s">
        <v>3</v>
      </c>
      <c r="EA401" t="s">
        <v>3</v>
      </c>
      <c r="EB401" t="s">
        <v>3</v>
      </c>
      <c r="EC401" t="s">
        <v>3</v>
      </c>
      <c r="EE401">
        <v>43088409</v>
      </c>
      <c r="EF401">
        <v>40</v>
      </c>
      <c r="EG401" t="s">
        <v>553</v>
      </c>
      <c r="EH401">
        <v>0</v>
      </c>
      <c r="EI401" t="s">
        <v>3</v>
      </c>
      <c r="EJ401">
        <v>2</v>
      </c>
      <c r="EK401">
        <v>331</v>
      </c>
      <c r="EL401" t="s">
        <v>584</v>
      </c>
      <c r="EM401" t="s">
        <v>585</v>
      </c>
      <c r="EO401" t="s">
        <v>3</v>
      </c>
      <c r="EQ401">
        <v>0</v>
      </c>
      <c r="ER401">
        <v>87.83</v>
      </c>
      <c r="ES401">
        <v>9.94</v>
      </c>
      <c r="ET401">
        <v>1.69</v>
      </c>
      <c r="EU401">
        <v>0.39</v>
      </c>
      <c r="EV401">
        <v>76.2</v>
      </c>
      <c r="EW401">
        <v>6.18</v>
      </c>
      <c r="EX401">
        <v>0</v>
      </c>
      <c r="EY401">
        <v>0</v>
      </c>
      <c r="FQ401">
        <v>0</v>
      </c>
      <c r="FR401">
        <f t="shared" si="376"/>
        <v>0</v>
      </c>
      <c r="FS401">
        <v>0</v>
      </c>
      <c r="FX401">
        <v>114</v>
      </c>
      <c r="FY401">
        <v>67</v>
      </c>
      <c r="GA401" t="s">
        <v>3</v>
      </c>
      <c r="GD401">
        <v>0</v>
      </c>
      <c r="GF401">
        <v>978592077</v>
      </c>
      <c r="GG401">
        <v>2</v>
      </c>
      <c r="GH401">
        <v>1</v>
      </c>
      <c r="GI401">
        <v>2</v>
      </c>
      <c r="GJ401">
        <v>0</v>
      </c>
      <c r="GK401">
        <f>ROUND(R401*(R12)/100,2)</f>
        <v>109.04</v>
      </c>
      <c r="GL401">
        <f t="shared" si="377"/>
        <v>0</v>
      </c>
      <c r="GM401">
        <f t="shared" si="378"/>
        <v>30271.51</v>
      </c>
      <c r="GN401">
        <f t="shared" si="379"/>
        <v>0</v>
      </c>
      <c r="GO401">
        <f t="shared" si="380"/>
        <v>30271.51</v>
      </c>
      <c r="GP401">
        <f t="shared" si="381"/>
        <v>0</v>
      </c>
      <c r="GR401">
        <v>0</v>
      </c>
      <c r="GS401">
        <v>3</v>
      </c>
      <c r="GT401">
        <v>0</v>
      </c>
      <c r="GU401" t="s">
        <v>3</v>
      </c>
      <c r="GV401">
        <f t="shared" si="382"/>
        <v>0</v>
      </c>
      <c r="GW401">
        <v>1</v>
      </c>
      <c r="GX401">
        <f t="shared" si="383"/>
        <v>0</v>
      </c>
      <c r="HA401">
        <v>0</v>
      </c>
      <c r="HB401">
        <v>0</v>
      </c>
      <c r="HC401">
        <f t="shared" si="384"/>
        <v>0</v>
      </c>
      <c r="HE401" t="s">
        <v>3</v>
      </c>
      <c r="HF401" t="s">
        <v>3</v>
      </c>
      <c r="HM401" t="s">
        <v>3</v>
      </c>
      <c r="IK401">
        <v>0</v>
      </c>
    </row>
    <row r="402" spans="1:245" x14ac:dyDescent="0.2">
      <c r="A402">
        <v>17</v>
      </c>
      <c r="B402">
        <v>1</v>
      </c>
      <c r="C402">
        <f>ROW(SmtRes!A285)</f>
        <v>285</v>
      </c>
      <c r="D402">
        <f>ROW(EtalonRes!A290)</f>
        <v>290</v>
      </c>
      <c r="E402" t="s">
        <v>586</v>
      </c>
      <c r="F402" t="s">
        <v>95</v>
      </c>
      <c r="G402" t="s">
        <v>587</v>
      </c>
      <c r="H402" t="s">
        <v>97</v>
      </c>
      <c r="I402">
        <f>ROUND(4/100,9)</f>
        <v>0.04</v>
      </c>
      <c r="J402">
        <v>0</v>
      </c>
      <c r="K402">
        <f>ROUND(4/100,9)</f>
        <v>0.04</v>
      </c>
      <c r="O402">
        <f t="shared" si="352"/>
        <v>3671.58</v>
      </c>
      <c r="P402">
        <f t="shared" si="353"/>
        <v>855.84</v>
      </c>
      <c r="Q402">
        <f>(ROUND((ROUND((((ET402*1.25))*AV402*I402),2)*BB402),2)+ROUND((ROUND(((AE402-((EU402*1.25)))*AV402*I402),2)*BS402),2))</f>
        <v>473.73</v>
      </c>
      <c r="R402">
        <f t="shared" si="354"/>
        <v>54.95</v>
      </c>
      <c r="S402">
        <f t="shared" si="355"/>
        <v>2342.0100000000002</v>
      </c>
      <c r="T402">
        <f t="shared" si="356"/>
        <v>0</v>
      </c>
      <c r="U402">
        <f t="shared" si="357"/>
        <v>8.234</v>
      </c>
      <c r="V402">
        <f t="shared" si="358"/>
        <v>0</v>
      </c>
      <c r="W402">
        <f t="shared" si="359"/>
        <v>0</v>
      </c>
      <c r="X402">
        <f t="shared" si="360"/>
        <v>1592.57</v>
      </c>
      <c r="Y402">
        <f t="shared" si="361"/>
        <v>960.22</v>
      </c>
      <c r="AA402">
        <v>42938047</v>
      </c>
      <c r="AB402">
        <f t="shared" si="362"/>
        <v>5415.2455</v>
      </c>
      <c r="AC402">
        <f t="shared" si="363"/>
        <v>1800.88</v>
      </c>
      <c r="AD402">
        <f>ROUND(((((ET402*1.25))-((EU402*1.25)))+AE402),6)</f>
        <v>1312.9625000000001</v>
      </c>
      <c r="AE402">
        <f>ROUND(((EU402*1.25)),6)</f>
        <v>53.95</v>
      </c>
      <c r="AF402">
        <f>ROUND(((EV402*1.15)),6)</f>
        <v>2301.4029999999998</v>
      </c>
      <c r="AG402">
        <f t="shared" si="364"/>
        <v>0</v>
      </c>
      <c r="AH402">
        <f>((EW402*1.15))</f>
        <v>205.85</v>
      </c>
      <c r="AI402">
        <f>((EX402*1.25))</f>
        <v>0</v>
      </c>
      <c r="AJ402">
        <f t="shared" si="365"/>
        <v>0</v>
      </c>
      <c r="AK402">
        <v>4852.47</v>
      </c>
      <c r="AL402">
        <v>1800.88</v>
      </c>
      <c r="AM402">
        <v>1050.3699999999999</v>
      </c>
      <c r="AN402">
        <v>43.16</v>
      </c>
      <c r="AO402">
        <v>2001.22</v>
      </c>
      <c r="AP402">
        <v>0</v>
      </c>
      <c r="AQ402">
        <v>179</v>
      </c>
      <c r="AR402">
        <v>0</v>
      </c>
      <c r="AS402">
        <v>0</v>
      </c>
      <c r="AT402">
        <v>68</v>
      </c>
      <c r="AU402">
        <v>41</v>
      </c>
      <c r="AV402">
        <v>1</v>
      </c>
      <c r="AW402">
        <v>1</v>
      </c>
      <c r="AZ402">
        <v>1</v>
      </c>
      <c r="BA402">
        <v>25.44</v>
      </c>
      <c r="BB402">
        <v>9.02</v>
      </c>
      <c r="BC402">
        <v>11.88</v>
      </c>
      <c r="BD402" t="s">
        <v>3</v>
      </c>
      <c r="BE402" t="s">
        <v>3</v>
      </c>
      <c r="BF402" t="s">
        <v>3</v>
      </c>
      <c r="BG402" t="s">
        <v>3</v>
      </c>
      <c r="BH402">
        <v>0</v>
      </c>
      <c r="BI402">
        <v>1</v>
      </c>
      <c r="BJ402" t="s">
        <v>98</v>
      </c>
      <c r="BM402">
        <v>47</v>
      </c>
      <c r="BN402">
        <v>0</v>
      </c>
      <c r="BO402" t="s">
        <v>95</v>
      </c>
      <c r="BP402">
        <v>1</v>
      </c>
      <c r="BQ402">
        <v>30</v>
      </c>
      <c r="BR402">
        <v>0</v>
      </c>
      <c r="BS402">
        <v>25.44</v>
      </c>
      <c r="BT402">
        <v>1</v>
      </c>
      <c r="BU402">
        <v>1</v>
      </c>
      <c r="BV402">
        <v>1</v>
      </c>
      <c r="BW402">
        <v>1</v>
      </c>
      <c r="BX402">
        <v>1</v>
      </c>
      <c r="BY402" t="s">
        <v>3</v>
      </c>
      <c r="BZ402">
        <v>68</v>
      </c>
      <c r="CA402">
        <v>41</v>
      </c>
      <c r="CB402" t="s">
        <v>3</v>
      </c>
      <c r="CE402">
        <v>30</v>
      </c>
      <c r="CF402">
        <v>0</v>
      </c>
      <c r="CG402">
        <v>0</v>
      </c>
      <c r="CM402">
        <v>0</v>
      </c>
      <c r="CN402" t="s">
        <v>1584</v>
      </c>
      <c r="CO402">
        <v>0</v>
      </c>
      <c r="CP402">
        <f t="shared" si="366"/>
        <v>3671.5800000000004</v>
      </c>
      <c r="CQ402">
        <f t="shared" si="367"/>
        <v>21394.45</v>
      </c>
      <c r="CR402">
        <f>(ROUND((ROUND((((ET402*1.25))*AV402*1),2)*BB402),2)+ROUND((ROUND(((AE402-((EU402*1.25)))*AV402*1),2)*BS402),2))</f>
        <v>11842.9</v>
      </c>
      <c r="CS402">
        <f t="shared" si="368"/>
        <v>1372.49</v>
      </c>
      <c r="CT402">
        <f t="shared" si="369"/>
        <v>58547.62</v>
      </c>
      <c r="CU402">
        <f t="shared" si="370"/>
        <v>0</v>
      </c>
      <c r="CV402">
        <f t="shared" si="371"/>
        <v>205.85</v>
      </c>
      <c r="CW402">
        <f t="shared" si="372"/>
        <v>0</v>
      </c>
      <c r="CX402">
        <f t="shared" si="373"/>
        <v>0</v>
      </c>
      <c r="CY402">
        <f t="shared" si="374"/>
        <v>1592.5668000000003</v>
      </c>
      <c r="CZ402">
        <f t="shared" si="375"/>
        <v>960.22410000000002</v>
      </c>
      <c r="DC402" t="s">
        <v>3</v>
      </c>
      <c r="DD402" t="s">
        <v>3</v>
      </c>
      <c r="DE402" t="s">
        <v>20</v>
      </c>
      <c r="DF402" t="s">
        <v>20</v>
      </c>
      <c r="DG402" t="s">
        <v>21</v>
      </c>
      <c r="DH402" t="s">
        <v>3</v>
      </c>
      <c r="DI402" t="s">
        <v>21</v>
      </c>
      <c r="DJ402" t="s">
        <v>20</v>
      </c>
      <c r="DK402" t="s">
        <v>3</v>
      </c>
      <c r="DL402" t="s">
        <v>3</v>
      </c>
      <c r="DM402" t="s">
        <v>3</v>
      </c>
      <c r="DN402">
        <v>85</v>
      </c>
      <c r="DO402">
        <v>70</v>
      </c>
      <c r="DP402">
        <v>1</v>
      </c>
      <c r="DQ402">
        <v>1</v>
      </c>
      <c r="DU402">
        <v>1013</v>
      </c>
      <c r="DV402" t="s">
        <v>97</v>
      </c>
      <c r="DW402" t="s">
        <v>97</v>
      </c>
      <c r="DX402">
        <v>1</v>
      </c>
      <c r="DZ402" t="s">
        <v>3</v>
      </c>
      <c r="EA402" t="s">
        <v>3</v>
      </c>
      <c r="EB402" t="s">
        <v>3</v>
      </c>
      <c r="EC402" t="s">
        <v>3</v>
      </c>
      <c r="EE402">
        <v>43088125</v>
      </c>
      <c r="EF402">
        <v>30</v>
      </c>
      <c r="EG402" t="s">
        <v>22</v>
      </c>
      <c r="EH402">
        <v>0</v>
      </c>
      <c r="EI402" t="s">
        <v>3</v>
      </c>
      <c r="EJ402">
        <v>1</v>
      </c>
      <c r="EK402">
        <v>47</v>
      </c>
      <c r="EL402" t="s">
        <v>99</v>
      </c>
      <c r="EM402" t="s">
        <v>100</v>
      </c>
      <c r="EO402" t="s">
        <v>59</v>
      </c>
      <c r="EQ402">
        <v>0</v>
      </c>
      <c r="ER402">
        <v>4852.47</v>
      </c>
      <c r="ES402">
        <v>1800.88</v>
      </c>
      <c r="ET402">
        <v>1050.3699999999999</v>
      </c>
      <c r="EU402">
        <v>43.16</v>
      </c>
      <c r="EV402">
        <v>2001.22</v>
      </c>
      <c r="EW402">
        <v>179</v>
      </c>
      <c r="EX402">
        <v>0</v>
      </c>
      <c r="EY402">
        <v>0</v>
      </c>
      <c r="FQ402">
        <v>0</v>
      </c>
      <c r="FR402">
        <f t="shared" si="376"/>
        <v>0</v>
      </c>
      <c r="FS402">
        <v>0</v>
      </c>
      <c r="FX402">
        <v>85</v>
      </c>
      <c r="FY402">
        <v>70</v>
      </c>
      <c r="GA402" t="s">
        <v>3</v>
      </c>
      <c r="GD402">
        <v>0</v>
      </c>
      <c r="GF402">
        <v>1584326544</v>
      </c>
      <c r="GG402">
        <v>2</v>
      </c>
      <c r="GH402">
        <v>1</v>
      </c>
      <c r="GI402">
        <v>2</v>
      </c>
      <c r="GJ402">
        <v>0</v>
      </c>
      <c r="GK402">
        <f>ROUND(R402*(R12)/100,2)</f>
        <v>86.27</v>
      </c>
      <c r="GL402">
        <f t="shared" si="377"/>
        <v>0</v>
      </c>
      <c r="GM402">
        <f t="shared" si="378"/>
        <v>6310.64</v>
      </c>
      <c r="GN402">
        <f t="shared" si="379"/>
        <v>6310.64</v>
      </c>
      <c r="GO402">
        <f t="shared" si="380"/>
        <v>0</v>
      </c>
      <c r="GP402">
        <f t="shared" si="381"/>
        <v>0</v>
      </c>
      <c r="GR402">
        <v>0</v>
      </c>
      <c r="GS402">
        <v>3</v>
      </c>
      <c r="GT402">
        <v>0</v>
      </c>
      <c r="GU402" t="s">
        <v>3</v>
      </c>
      <c r="GV402">
        <f t="shared" si="382"/>
        <v>0</v>
      </c>
      <c r="GW402">
        <v>1</v>
      </c>
      <c r="GX402">
        <f t="shared" si="383"/>
        <v>0</v>
      </c>
      <c r="HA402">
        <v>0</v>
      </c>
      <c r="HB402">
        <v>0</v>
      </c>
      <c r="HC402">
        <f t="shared" si="384"/>
        <v>0</v>
      </c>
      <c r="HE402" t="s">
        <v>3</v>
      </c>
      <c r="HF402" t="s">
        <v>3</v>
      </c>
      <c r="HM402" t="s">
        <v>3</v>
      </c>
      <c r="IK402">
        <v>0</v>
      </c>
    </row>
    <row r="403" spans="1:245" x14ac:dyDescent="0.2">
      <c r="A403">
        <v>18</v>
      </c>
      <c r="B403">
        <v>1</v>
      </c>
      <c r="C403">
        <v>284</v>
      </c>
      <c r="E403" t="s">
        <v>588</v>
      </c>
      <c r="F403" t="s">
        <v>589</v>
      </c>
      <c r="G403" t="s">
        <v>590</v>
      </c>
      <c r="H403" t="s">
        <v>104</v>
      </c>
      <c r="I403">
        <f>I402*J403</f>
        <v>0.3</v>
      </c>
      <c r="J403">
        <v>7.5</v>
      </c>
      <c r="K403">
        <v>7.5</v>
      </c>
      <c r="O403">
        <f t="shared" si="352"/>
        <v>23812.61</v>
      </c>
      <c r="P403">
        <f t="shared" si="353"/>
        <v>23812.61</v>
      </c>
      <c r="Q403">
        <f>(ROUND((ROUND(((ET403)*AV403*I403),2)*BB403),2)+ROUND((ROUND(((AE403-(EU403))*AV403*I403),2)*BS403),2))</f>
        <v>0</v>
      </c>
      <c r="R403">
        <f t="shared" si="354"/>
        <v>0</v>
      </c>
      <c r="S403">
        <f t="shared" si="355"/>
        <v>0</v>
      </c>
      <c r="T403">
        <f t="shared" si="356"/>
        <v>0</v>
      </c>
      <c r="U403">
        <f t="shared" si="357"/>
        <v>0</v>
      </c>
      <c r="V403">
        <f t="shared" si="358"/>
        <v>0</v>
      </c>
      <c r="W403">
        <f t="shared" si="359"/>
        <v>0</v>
      </c>
      <c r="X403">
        <f t="shared" si="360"/>
        <v>0</v>
      </c>
      <c r="Y403">
        <f t="shared" si="361"/>
        <v>0</v>
      </c>
      <c r="AA403">
        <v>42938047</v>
      </c>
      <c r="AB403">
        <f t="shared" si="362"/>
        <v>5504.52</v>
      </c>
      <c r="AC403">
        <f t="shared" si="363"/>
        <v>5504.52</v>
      </c>
      <c r="AD403">
        <f>ROUND((((ET403)-(EU403))+AE403),6)</f>
        <v>0</v>
      </c>
      <c r="AE403">
        <f>ROUND((EU403),6)</f>
        <v>0</v>
      </c>
      <c r="AF403">
        <f>ROUND((EV403),6)</f>
        <v>0</v>
      </c>
      <c r="AG403">
        <f t="shared" si="364"/>
        <v>0</v>
      </c>
      <c r="AH403">
        <f>(EW403)</f>
        <v>0</v>
      </c>
      <c r="AI403">
        <f>(EX403)</f>
        <v>0</v>
      </c>
      <c r="AJ403">
        <f t="shared" si="365"/>
        <v>0</v>
      </c>
      <c r="AK403">
        <v>5504.52</v>
      </c>
      <c r="AL403">
        <v>5504.52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1</v>
      </c>
      <c r="AW403">
        <v>1</v>
      </c>
      <c r="AZ403">
        <v>1</v>
      </c>
      <c r="BA403">
        <v>1</v>
      </c>
      <c r="BB403">
        <v>1</v>
      </c>
      <c r="BC403">
        <v>14.42</v>
      </c>
      <c r="BD403" t="s">
        <v>3</v>
      </c>
      <c r="BE403" t="s">
        <v>3</v>
      </c>
      <c r="BF403" t="s">
        <v>3</v>
      </c>
      <c r="BG403" t="s">
        <v>3</v>
      </c>
      <c r="BH403">
        <v>3</v>
      </c>
      <c r="BI403">
        <v>1</v>
      </c>
      <c r="BJ403" t="s">
        <v>591</v>
      </c>
      <c r="BM403">
        <v>47</v>
      </c>
      <c r="BN403">
        <v>0</v>
      </c>
      <c r="BO403" t="s">
        <v>589</v>
      </c>
      <c r="BP403">
        <v>1</v>
      </c>
      <c r="BQ403">
        <v>30</v>
      </c>
      <c r="BR403">
        <v>0</v>
      </c>
      <c r="BS403">
        <v>1</v>
      </c>
      <c r="BT403">
        <v>1</v>
      </c>
      <c r="BU403">
        <v>1</v>
      </c>
      <c r="BV403">
        <v>1</v>
      </c>
      <c r="BW403">
        <v>1</v>
      </c>
      <c r="BX403">
        <v>1</v>
      </c>
      <c r="BY403" t="s">
        <v>3</v>
      </c>
      <c r="BZ403">
        <v>0</v>
      </c>
      <c r="CA403">
        <v>0</v>
      </c>
      <c r="CB403" t="s">
        <v>3</v>
      </c>
      <c r="CE403">
        <v>30</v>
      </c>
      <c r="CF403">
        <v>0</v>
      </c>
      <c r="CG403">
        <v>0</v>
      </c>
      <c r="CM403">
        <v>0</v>
      </c>
      <c r="CN403" t="s">
        <v>3</v>
      </c>
      <c r="CO403">
        <v>0</v>
      </c>
      <c r="CP403">
        <f t="shared" si="366"/>
        <v>23812.61</v>
      </c>
      <c r="CQ403">
        <f t="shared" si="367"/>
        <v>79375.179999999993</v>
      </c>
      <c r="CR403">
        <f>(ROUND((ROUND(((ET403)*AV403*1),2)*BB403),2)+ROUND((ROUND(((AE403-(EU403))*AV403*1),2)*BS403),2))</f>
        <v>0</v>
      </c>
      <c r="CS403">
        <f t="shared" si="368"/>
        <v>0</v>
      </c>
      <c r="CT403">
        <f t="shared" si="369"/>
        <v>0</v>
      </c>
      <c r="CU403">
        <f t="shared" si="370"/>
        <v>0</v>
      </c>
      <c r="CV403">
        <f t="shared" si="371"/>
        <v>0</v>
      </c>
      <c r="CW403">
        <f t="shared" si="372"/>
        <v>0</v>
      </c>
      <c r="CX403">
        <f t="shared" si="373"/>
        <v>0</v>
      </c>
      <c r="CY403">
        <f t="shared" si="374"/>
        <v>0</v>
      </c>
      <c r="CZ403">
        <f t="shared" si="375"/>
        <v>0</v>
      </c>
      <c r="DC403" t="s">
        <v>3</v>
      </c>
      <c r="DD403" t="s">
        <v>3</v>
      </c>
      <c r="DE403" t="s">
        <v>3</v>
      </c>
      <c r="DF403" t="s">
        <v>3</v>
      </c>
      <c r="DG403" t="s">
        <v>3</v>
      </c>
      <c r="DH403" t="s">
        <v>3</v>
      </c>
      <c r="DI403" t="s">
        <v>3</v>
      </c>
      <c r="DJ403" t="s">
        <v>3</v>
      </c>
      <c r="DK403" t="s">
        <v>3</v>
      </c>
      <c r="DL403" t="s">
        <v>3</v>
      </c>
      <c r="DM403" t="s">
        <v>3</v>
      </c>
      <c r="DN403">
        <v>85</v>
      </c>
      <c r="DO403">
        <v>70</v>
      </c>
      <c r="DP403">
        <v>1</v>
      </c>
      <c r="DQ403">
        <v>1</v>
      </c>
      <c r="DU403">
        <v>1009</v>
      </c>
      <c r="DV403" t="s">
        <v>104</v>
      </c>
      <c r="DW403" t="s">
        <v>104</v>
      </c>
      <c r="DX403">
        <v>1000</v>
      </c>
      <c r="DZ403" t="s">
        <v>3</v>
      </c>
      <c r="EA403" t="s">
        <v>3</v>
      </c>
      <c r="EB403" t="s">
        <v>3</v>
      </c>
      <c r="EC403" t="s">
        <v>3</v>
      </c>
      <c r="EE403">
        <v>43088125</v>
      </c>
      <c r="EF403">
        <v>30</v>
      </c>
      <c r="EG403" t="s">
        <v>22</v>
      </c>
      <c r="EH403">
        <v>0</v>
      </c>
      <c r="EI403" t="s">
        <v>3</v>
      </c>
      <c r="EJ403">
        <v>1</v>
      </c>
      <c r="EK403">
        <v>47</v>
      </c>
      <c r="EL403" t="s">
        <v>99</v>
      </c>
      <c r="EM403" t="s">
        <v>100</v>
      </c>
      <c r="EO403" t="s">
        <v>3</v>
      </c>
      <c r="EQ403">
        <v>0</v>
      </c>
      <c r="ER403">
        <v>5504.52</v>
      </c>
      <c r="ES403">
        <v>5504.52</v>
      </c>
      <c r="ET403">
        <v>0</v>
      </c>
      <c r="EU403">
        <v>0</v>
      </c>
      <c r="EV403">
        <v>0</v>
      </c>
      <c r="EW403">
        <v>0</v>
      </c>
      <c r="EX403">
        <v>0</v>
      </c>
      <c r="FQ403">
        <v>0</v>
      </c>
      <c r="FR403">
        <f t="shared" si="376"/>
        <v>0</v>
      </c>
      <c r="FS403">
        <v>0</v>
      </c>
      <c r="FX403">
        <v>85</v>
      </c>
      <c r="FY403">
        <v>70</v>
      </c>
      <c r="GA403" t="s">
        <v>3</v>
      </c>
      <c r="GD403">
        <v>0</v>
      </c>
      <c r="GF403">
        <v>1547157676</v>
      </c>
      <c r="GG403">
        <v>2</v>
      </c>
      <c r="GH403">
        <v>1</v>
      </c>
      <c r="GI403">
        <v>2</v>
      </c>
      <c r="GJ403">
        <v>0</v>
      </c>
      <c r="GK403">
        <f>ROUND(R403*(R12)/100,2)</f>
        <v>0</v>
      </c>
      <c r="GL403">
        <f t="shared" si="377"/>
        <v>0</v>
      </c>
      <c r="GM403">
        <f t="shared" si="378"/>
        <v>23812.61</v>
      </c>
      <c r="GN403">
        <f t="shared" si="379"/>
        <v>23812.61</v>
      </c>
      <c r="GO403">
        <f t="shared" si="380"/>
        <v>0</v>
      </c>
      <c r="GP403">
        <f t="shared" si="381"/>
        <v>0</v>
      </c>
      <c r="GR403">
        <v>0</v>
      </c>
      <c r="GS403">
        <v>3</v>
      </c>
      <c r="GT403">
        <v>0</v>
      </c>
      <c r="GU403" t="s">
        <v>3</v>
      </c>
      <c r="GV403">
        <f t="shared" si="382"/>
        <v>0</v>
      </c>
      <c r="GW403">
        <v>1</v>
      </c>
      <c r="GX403">
        <f t="shared" si="383"/>
        <v>0</v>
      </c>
      <c r="HA403">
        <v>0</v>
      </c>
      <c r="HB403">
        <v>0</v>
      </c>
      <c r="HC403">
        <f t="shared" si="384"/>
        <v>0</v>
      </c>
      <c r="HE403" t="s">
        <v>3</v>
      </c>
      <c r="HF403" t="s">
        <v>3</v>
      </c>
      <c r="HM403" t="s">
        <v>3</v>
      </c>
      <c r="IK403">
        <v>0</v>
      </c>
    </row>
    <row r="404" spans="1:245" x14ac:dyDescent="0.2">
      <c r="A404">
        <v>18</v>
      </c>
      <c r="B404">
        <v>1</v>
      </c>
      <c r="C404">
        <v>283</v>
      </c>
      <c r="E404" t="s">
        <v>592</v>
      </c>
      <c r="F404" t="s">
        <v>593</v>
      </c>
      <c r="G404" t="s">
        <v>594</v>
      </c>
      <c r="H404" t="s">
        <v>84</v>
      </c>
      <c r="I404">
        <f>I402*J404</f>
        <v>4</v>
      </c>
      <c r="J404">
        <v>100</v>
      </c>
      <c r="K404">
        <v>100</v>
      </c>
      <c r="O404">
        <f t="shared" si="352"/>
        <v>16497.98</v>
      </c>
      <c r="P404">
        <f t="shared" si="353"/>
        <v>16497.98</v>
      </c>
      <c r="Q404">
        <f>(ROUND((ROUND(((ET404)*AV404*I404),2)*BB404),2)+ROUND((ROUND(((AE404-(EU404))*AV404*I404),2)*BS404),2))</f>
        <v>0</v>
      </c>
      <c r="R404">
        <f t="shared" si="354"/>
        <v>0</v>
      </c>
      <c r="S404">
        <f t="shared" si="355"/>
        <v>0</v>
      </c>
      <c r="T404">
        <f t="shared" si="356"/>
        <v>0</v>
      </c>
      <c r="U404">
        <f t="shared" si="357"/>
        <v>0</v>
      </c>
      <c r="V404">
        <f t="shared" si="358"/>
        <v>0</v>
      </c>
      <c r="W404">
        <f t="shared" si="359"/>
        <v>0</v>
      </c>
      <c r="X404">
        <f t="shared" si="360"/>
        <v>0</v>
      </c>
      <c r="Y404">
        <f t="shared" si="361"/>
        <v>0</v>
      </c>
      <c r="AA404">
        <v>42938047</v>
      </c>
      <c r="AB404">
        <f t="shared" si="362"/>
        <v>711.12</v>
      </c>
      <c r="AC404">
        <f t="shared" si="363"/>
        <v>711.12</v>
      </c>
      <c r="AD404">
        <f>ROUND((((ET404)-(EU404))+AE404),6)</f>
        <v>0</v>
      </c>
      <c r="AE404">
        <f>ROUND((EU404),6)</f>
        <v>0</v>
      </c>
      <c r="AF404">
        <f>ROUND((EV404),6)</f>
        <v>0</v>
      </c>
      <c r="AG404">
        <f t="shared" si="364"/>
        <v>0</v>
      </c>
      <c r="AH404">
        <f>(EW404)</f>
        <v>0</v>
      </c>
      <c r="AI404">
        <f>(EX404)</f>
        <v>0</v>
      </c>
      <c r="AJ404">
        <f t="shared" si="365"/>
        <v>0</v>
      </c>
      <c r="AK404">
        <v>711.12</v>
      </c>
      <c r="AL404">
        <v>711.12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1</v>
      </c>
      <c r="AW404">
        <v>1</v>
      </c>
      <c r="AZ404">
        <v>1</v>
      </c>
      <c r="BA404">
        <v>1</v>
      </c>
      <c r="BB404">
        <v>1</v>
      </c>
      <c r="BC404">
        <v>5.8</v>
      </c>
      <c r="BD404" t="s">
        <v>3</v>
      </c>
      <c r="BE404" t="s">
        <v>3</v>
      </c>
      <c r="BF404" t="s">
        <v>3</v>
      </c>
      <c r="BG404" t="s">
        <v>3</v>
      </c>
      <c r="BH404">
        <v>3</v>
      </c>
      <c r="BI404">
        <v>1</v>
      </c>
      <c r="BJ404" t="s">
        <v>595</v>
      </c>
      <c r="BM404">
        <v>47</v>
      </c>
      <c r="BN404">
        <v>0</v>
      </c>
      <c r="BO404" t="s">
        <v>593</v>
      </c>
      <c r="BP404">
        <v>1</v>
      </c>
      <c r="BQ404">
        <v>30</v>
      </c>
      <c r="BR404">
        <v>0</v>
      </c>
      <c r="BS404">
        <v>1</v>
      </c>
      <c r="BT404">
        <v>1</v>
      </c>
      <c r="BU404">
        <v>1</v>
      </c>
      <c r="BV404">
        <v>1</v>
      </c>
      <c r="BW404">
        <v>1</v>
      </c>
      <c r="BX404">
        <v>1</v>
      </c>
      <c r="BY404" t="s">
        <v>3</v>
      </c>
      <c r="BZ404">
        <v>0</v>
      </c>
      <c r="CA404">
        <v>0</v>
      </c>
      <c r="CB404" t="s">
        <v>3</v>
      </c>
      <c r="CE404">
        <v>30</v>
      </c>
      <c r="CF404">
        <v>0</v>
      </c>
      <c r="CG404">
        <v>0</v>
      </c>
      <c r="CM404">
        <v>0</v>
      </c>
      <c r="CN404" t="s">
        <v>3</v>
      </c>
      <c r="CO404">
        <v>0</v>
      </c>
      <c r="CP404">
        <f t="shared" si="366"/>
        <v>16497.98</v>
      </c>
      <c r="CQ404">
        <f t="shared" si="367"/>
        <v>4124.5</v>
      </c>
      <c r="CR404">
        <f>(ROUND((ROUND(((ET404)*AV404*1),2)*BB404),2)+ROUND((ROUND(((AE404-(EU404))*AV404*1),2)*BS404),2))</f>
        <v>0</v>
      </c>
      <c r="CS404">
        <f t="shared" si="368"/>
        <v>0</v>
      </c>
      <c r="CT404">
        <f t="shared" si="369"/>
        <v>0</v>
      </c>
      <c r="CU404">
        <f t="shared" si="370"/>
        <v>0</v>
      </c>
      <c r="CV404">
        <f t="shared" si="371"/>
        <v>0</v>
      </c>
      <c r="CW404">
        <f t="shared" si="372"/>
        <v>0</v>
      </c>
      <c r="CX404">
        <f t="shared" si="373"/>
        <v>0</v>
      </c>
      <c r="CY404">
        <f t="shared" si="374"/>
        <v>0</v>
      </c>
      <c r="CZ404">
        <f t="shared" si="375"/>
        <v>0</v>
      </c>
      <c r="DC404" t="s">
        <v>3</v>
      </c>
      <c r="DD404" t="s">
        <v>3</v>
      </c>
      <c r="DE404" t="s">
        <v>3</v>
      </c>
      <c r="DF404" t="s">
        <v>3</v>
      </c>
      <c r="DG404" t="s">
        <v>3</v>
      </c>
      <c r="DH404" t="s">
        <v>3</v>
      </c>
      <c r="DI404" t="s">
        <v>3</v>
      </c>
      <c r="DJ404" t="s">
        <v>3</v>
      </c>
      <c r="DK404" t="s">
        <v>3</v>
      </c>
      <c r="DL404" t="s">
        <v>3</v>
      </c>
      <c r="DM404" t="s">
        <v>3</v>
      </c>
      <c r="DN404">
        <v>85</v>
      </c>
      <c r="DO404">
        <v>70</v>
      </c>
      <c r="DP404">
        <v>1</v>
      </c>
      <c r="DQ404">
        <v>1</v>
      </c>
      <c r="DU404">
        <v>1007</v>
      </c>
      <c r="DV404" t="s">
        <v>84</v>
      </c>
      <c r="DW404" t="s">
        <v>84</v>
      </c>
      <c r="DX404">
        <v>1</v>
      </c>
      <c r="DZ404" t="s">
        <v>3</v>
      </c>
      <c r="EA404" t="s">
        <v>3</v>
      </c>
      <c r="EB404" t="s">
        <v>3</v>
      </c>
      <c r="EC404" t="s">
        <v>3</v>
      </c>
      <c r="EE404">
        <v>43088125</v>
      </c>
      <c r="EF404">
        <v>30</v>
      </c>
      <c r="EG404" t="s">
        <v>22</v>
      </c>
      <c r="EH404">
        <v>0</v>
      </c>
      <c r="EI404" t="s">
        <v>3</v>
      </c>
      <c r="EJ404">
        <v>1</v>
      </c>
      <c r="EK404">
        <v>47</v>
      </c>
      <c r="EL404" t="s">
        <v>99</v>
      </c>
      <c r="EM404" t="s">
        <v>100</v>
      </c>
      <c r="EO404" t="s">
        <v>3</v>
      </c>
      <c r="EQ404">
        <v>0</v>
      </c>
      <c r="ER404">
        <v>711.12</v>
      </c>
      <c r="ES404">
        <v>711.12</v>
      </c>
      <c r="ET404">
        <v>0</v>
      </c>
      <c r="EU404">
        <v>0</v>
      </c>
      <c r="EV404">
        <v>0</v>
      </c>
      <c r="EW404">
        <v>0</v>
      </c>
      <c r="EX404">
        <v>0</v>
      </c>
      <c r="FQ404">
        <v>0</v>
      </c>
      <c r="FR404">
        <f t="shared" si="376"/>
        <v>0</v>
      </c>
      <c r="FS404">
        <v>0</v>
      </c>
      <c r="FX404">
        <v>85</v>
      </c>
      <c r="FY404">
        <v>70</v>
      </c>
      <c r="GA404" t="s">
        <v>3</v>
      </c>
      <c r="GD404">
        <v>0</v>
      </c>
      <c r="GF404">
        <v>1796330771</v>
      </c>
      <c r="GG404">
        <v>2</v>
      </c>
      <c r="GH404">
        <v>1</v>
      </c>
      <c r="GI404">
        <v>2</v>
      </c>
      <c r="GJ404">
        <v>0</v>
      </c>
      <c r="GK404">
        <f>ROUND(R404*(R12)/100,2)</f>
        <v>0</v>
      </c>
      <c r="GL404">
        <f t="shared" si="377"/>
        <v>0</v>
      </c>
      <c r="GM404">
        <f t="shared" si="378"/>
        <v>16497.98</v>
      </c>
      <c r="GN404">
        <f t="shared" si="379"/>
        <v>16497.98</v>
      </c>
      <c r="GO404">
        <f t="shared" si="380"/>
        <v>0</v>
      </c>
      <c r="GP404">
        <f t="shared" si="381"/>
        <v>0</v>
      </c>
      <c r="GR404">
        <v>0</v>
      </c>
      <c r="GS404">
        <v>3</v>
      </c>
      <c r="GT404">
        <v>0</v>
      </c>
      <c r="GU404" t="s">
        <v>3</v>
      </c>
      <c r="GV404">
        <f t="shared" si="382"/>
        <v>0</v>
      </c>
      <c r="GW404">
        <v>1</v>
      </c>
      <c r="GX404">
        <f t="shared" si="383"/>
        <v>0</v>
      </c>
      <c r="HA404">
        <v>0</v>
      </c>
      <c r="HB404">
        <v>0</v>
      </c>
      <c r="HC404">
        <f t="shared" si="384"/>
        <v>0</v>
      </c>
      <c r="HE404" t="s">
        <v>3</v>
      </c>
      <c r="HF404" t="s">
        <v>3</v>
      </c>
      <c r="HM404" t="s">
        <v>3</v>
      </c>
      <c r="IK404">
        <v>0</v>
      </c>
    </row>
    <row r="406" spans="1:245" x14ac:dyDescent="0.2">
      <c r="A406" s="1">
        <v>5</v>
      </c>
      <c r="B406" s="1">
        <v>1</v>
      </c>
      <c r="C406" s="1"/>
      <c r="D406" s="1">
        <f>ROW(A413)</f>
        <v>413</v>
      </c>
      <c r="E406" s="1"/>
      <c r="F406" s="1" t="s">
        <v>596</v>
      </c>
      <c r="G406" s="1" t="s">
        <v>597</v>
      </c>
      <c r="H406" s="1" t="s">
        <v>3</v>
      </c>
      <c r="I406" s="1">
        <v>0</v>
      </c>
      <c r="J406" s="1"/>
      <c r="K406" s="1">
        <v>-1</v>
      </c>
      <c r="L406" s="1"/>
      <c r="M406" s="1" t="s">
        <v>3</v>
      </c>
      <c r="N406" s="1"/>
      <c r="O406" s="1"/>
      <c r="P406" s="1"/>
      <c r="Q406" s="1"/>
      <c r="R406" s="1"/>
      <c r="S406" s="1">
        <v>0</v>
      </c>
      <c r="T406" s="1"/>
      <c r="U406" s="1" t="s">
        <v>3</v>
      </c>
      <c r="V406" s="1">
        <v>0</v>
      </c>
      <c r="W406" s="1"/>
      <c r="X406" s="1"/>
      <c r="Y406" s="1"/>
      <c r="Z406" s="1"/>
      <c r="AA406" s="1"/>
      <c r="AB406" s="1" t="s">
        <v>3</v>
      </c>
      <c r="AC406" s="1" t="s">
        <v>3</v>
      </c>
      <c r="AD406" s="1" t="s">
        <v>3</v>
      </c>
      <c r="AE406" s="1" t="s">
        <v>3</v>
      </c>
      <c r="AF406" s="1" t="s">
        <v>3</v>
      </c>
      <c r="AG406" s="1" t="s">
        <v>3</v>
      </c>
      <c r="AH406" s="1"/>
      <c r="AI406" s="1"/>
      <c r="AJ406" s="1"/>
      <c r="AK406" s="1"/>
      <c r="AL406" s="1"/>
      <c r="AM406" s="1"/>
      <c r="AN406" s="1"/>
      <c r="AO406" s="1"/>
      <c r="AP406" s="1" t="s">
        <v>3</v>
      </c>
      <c r="AQ406" s="1" t="s">
        <v>3</v>
      </c>
      <c r="AR406" s="1" t="s">
        <v>3</v>
      </c>
      <c r="AS406" s="1"/>
      <c r="AT406" s="1"/>
      <c r="AU406" s="1"/>
      <c r="AV406" s="1"/>
      <c r="AW406" s="1"/>
      <c r="AX406" s="1"/>
      <c r="AY406" s="1"/>
      <c r="AZ406" s="1" t="s">
        <v>3</v>
      </c>
      <c r="BA406" s="1"/>
      <c r="BB406" s="1" t="s">
        <v>3</v>
      </c>
      <c r="BC406" s="1" t="s">
        <v>3</v>
      </c>
      <c r="BD406" s="1" t="s">
        <v>3</v>
      </c>
      <c r="BE406" s="1" t="s">
        <v>3</v>
      </c>
      <c r="BF406" s="1" t="s">
        <v>3</v>
      </c>
      <c r="BG406" s="1" t="s">
        <v>3</v>
      </c>
      <c r="BH406" s="1" t="s">
        <v>3</v>
      </c>
      <c r="BI406" s="1" t="s">
        <v>3</v>
      </c>
      <c r="BJ406" s="1" t="s">
        <v>3</v>
      </c>
      <c r="BK406" s="1" t="s">
        <v>3</v>
      </c>
      <c r="BL406" s="1" t="s">
        <v>3</v>
      </c>
      <c r="BM406" s="1" t="s">
        <v>3</v>
      </c>
      <c r="BN406" s="1" t="s">
        <v>3</v>
      </c>
      <c r="BO406" s="1" t="s">
        <v>3</v>
      </c>
      <c r="BP406" s="1" t="s">
        <v>3</v>
      </c>
      <c r="BQ406" s="1"/>
      <c r="BR406" s="1"/>
      <c r="BS406" s="1"/>
      <c r="BT406" s="1"/>
      <c r="BU406" s="1"/>
      <c r="BV406" s="1"/>
      <c r="BW406" s="1"/>
      <c r="BX406" s="1">
        <v>0</v>
      </c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>
        <v>0</v>
      </c>
    </row>
    <row r="408" spans="1:245" x14ac:dyDescent="0.2">
      <c r="A408" s="2">
        <v>52</v>
      </c>
      <c r="B408" s="2">
        <f t="shared" ref="B408:G408" si="387">B413</f>
        <v>1</v>
      </c>
      <c r="C408" s="2">
        <f t="shared" si="387"/>
        <v>5</v>
      </c>
      <c r="D408" s="2">
        <f t="shared" si="387"/>
        <v>406</v>
      </c>
      <c r="E408" s="2">
        <f t="shared" si="387"/>
        <v>0</v>
      </c>
      <c r="F408" s="2" t="str">
        <f t="shared" si="387"/>
        <v>Новый подраздел</v>
      </c>
      <c r="G408" s="2" t="str">
        <f t="shared" si="387"/>
        <v>Оборудование для автополива</v>
      </c>
      <c r="H408" s="2"/>
      <c r="I408" s="2"/>
      <c r="J408" s="2"/>
      <c r="K408" s="2"/>
      <c r="L408" s="2"/>
      <c r="M408" s="2"/>
      <c r="N408" s="2"/>
      <c r="O408" s="2">
        <f t="shared" ref="O408:AT408" si="388">O413</f>
        <v>2567817.9900000002</v>
      </c>
      <c r="P408" s="2">
        <f t="shared" si="388"/>
        <v>2567817.9900000002</v>
      </c>
      <c r="Q408" s="2">
        <f t="shared" si="388"/>
        <v>0</v>
      </c>
      <c r="R408" s="2">
        <f t="shared" si="388"/>
        <v>0</v>
      </c>
      <c r="S408" s="2">
        <f t="shared" si="388"/>
        <v>0</v>
      </c>
      <c r="T408" s="2">
        <f t="shared" si="388"/>
        <v>0</v>
      </c>
      <c r="U408" s="2">
        <f t="shared" si="388"/>
        <v>0</v>
      </c>
      <c r="V408" s="2">
        <f t="shared" si="388"/>
        <v>0</v>
      </c>
      <c r="W408" s="2">
        <f t="shared" si="388"/>
        <v>0</v>
      </c>
      <c r="X408" s="2">
        <f t="shared" si="388"/>
        <v>0</v>
      </c>
      <c r="Y408" s="2">
        <f t="shared" si="388"/>
        <v>0</v>
      </c>
      <c r="Z408" s="2">
        <f t="shared" si="388"/>
        <v>0</v>
      </c>
      <c r="AA408" s="2">
        <f t="shared" si="388"/>
        <v>0</v>
      </c>
      <c r="AB408" s="2">
        <f t="shared" si="388"/>
        <v>2567817.9900000002</v>
      </c>
      <c r="AC408" s="2">
        <f t="shared" si="388"/>
        <v>2567817.9900000002</v>
      </c>
      <c r="AD408" s="2">
        <f t="shared" si="388"/>
        <v>0</v>
      </c>
      <c r="AE408" s="2">
        <f t="shared" si="388"/>
        <v>0</v>
      </c>
      <c r="AF408" s="2">
        <f t="shared" si="388"/>
        <v>0</v>
      </c>
      <c r="AG408" s="2">
        <f t="shared" si="388"/>
        <v>0</v>
      </c>
      <c r="AH408" s="2">
        <f t="shared" si="388"/>
        <v>0</v>
      </c>
      <c r="AI408" s="2">
        <f t="shared" si="388"/>
        <v>0</v>
      </c>
      <c r="AJ408" s="2">
        <f t="shared" si="388"/>
        <v>0</v>
      </c>
      <c r="AK408" s="2">
        <f t="shared" si="388"/>
        <v>0</v>
      </c>
      <c r="AL408" s="2">
        <f t="shared" si="388"/>
        <v>0</v>
      </c>
      <c r="AM408" s="2">
        <f t="shared" si="388"/>
        <v>0</v>
      </c>
      <c r="AN408" s="2">
        <f t="shared" si="388"/>
        <v>0</v>
      </c>
      <c r="AO408" s="2">
        <f t="shared" si="388"/>
        <v>0</v>
      </c>
      <c r="AP408" s="2">
        <f t="shared" si="388"/>
        <v>0</v>
      </c>
      <c r="AQ408" s="2">
        <f t="shared" si="388"/>
        <v>0</v>
      </c>
      <c r="AR408" s="2">
        <f t="shared" si="388"/>
        <v>2567817.9900000002</v>
      </c>
      <c r="AS408" s="2">
        <f t="shared" si="388"/>
        <v>2567817.9900000002</v>
      </c>
      <c r="AT408" s="2">
        <f t="shared" si="388"/>
        <v>0</v>
      </c>
      <c r="AU408" s="2">
        <f t="shared" ref="AU408:BZ408" si="389">AU413</f>
        <v>0</v>
      </c>
      <c r="AV408" s="2">
        <f t="shared" si="389"/>
        <v>2567817.9900000002</v>
      </c>
      <c r="AW408" s="2">
        <f t="shared" si="389"/>
        <v>2567817.9900000002</v>
      </c>
      <c r="AX408" s="2">
        <f t="shared" si="389"/>
        <v>0</v>
      </c>
      <c r="AY408" s="2">
        <f t="shared" si="389"/>
        <v>2567817.9900000002</v>
      </c>
      <c r="AZ408" s="2">
        <f t="shared" si="389"/>
        <v>0</v>
      </c>
      <c r="BA408" s="2">
        <f t="shared" si="389"/>
        <v>0</v>
      </c>
      <c r="BB408" s="2">
        <f t="shared" si="389"/>
        <v>0</v>
      </c>
      <c r="BC408" s="2">
        <f t="shared" si="389"/>
        <v>0</v>
      </c>
      <c r="BD408" s="2">
        <f t="shared" si="389"/>
        <v>0</v>
      </c>
      <c r="BE408" s="2">
        <f t="shared" si="389"/>
        <v>0</v>
      </c>
      <c r="BF408" s="2">
        <f t="shared" si="389"/>
        <v>0</v>
      </c>
      <c r="BG408" s="2">
        <f t="shared" si="389"/>
        <v>0</v>
      </c>
      <c r="BH408" s="2">
        <f t="shared" si="389"/>
        <v>0</v>
      </c>
      <c r="BI408" s="2">
        <f t="shared" si="389"/>
        <v>0</v>
      </c>
      <c r="BJ408" s="2">
        <f t="shared" si="389"/>
        <v>0</v>
      </c>
      <c r="BK408" s="2">
        <f t="shared" si="389"/>
        <v>0</v>
      </c>
      <c r="BL408" s="2">
        <f t="shared" si="389"/>
        <v>0</v>
      </c>
      <c r="BM408" s="2">
        <f t="shared" si="389"/>
        <v>0</v>
      </c>
      <c r="BN408" s="2">
        <f t="shared" si="389"/>
        <v>0</v>
      </c>
      <c r="BO408" s="2">
        <f t="shared" si="389"/>
        <v>0</v>
      </c>
      <c r="BP408" s="2">
        <f t="shared" si="389"/>
        <v>0</v>
      </c>
      <c r="BQ408" s="2">
        <f t="shared" si="389"/>
        <v>0</v>
      </c>
      <c r="BR408" s="2">
        <f t="shared" si="389"/>
        <v>0</v>
      </c>
      <c r="BS408" s="2">
        <f t="shared" si="389"/>
        <v>0</v>
      </c>
      <c r="BT408" s="2">
        <f t="shared" si="389"/>
        <v>0</v>
      </c>
      <c r="BU408" s="2">
        <f t="shared" si="389"/>
        <v>0</v>
      </c>
      <c r="BV408" s="2">
        <f t="shared" si="389"/>
        <v>0</v>
      </c>
      <c r="BW408" s="2">
        <f t="shared" si="389"/>
        <v>0</v>
      </c>
      <c r="BX408" s="2">
        <f t="shared" si="389"/>
        <v>0</v>
      </c>
      <c r="BY408" s="2">
        <f t="shared" si="389"/>
        <v>0</v>
      </c>
      <c r="BZ408" s="2">
        <f t="shared" si="389"/>
        <v>0</v>
      </c>
      <c r="CA408" s="2">
        <f t="shared" ref="CA408:DF408" si="390">CA413</f>
        <v>2567817.9900000002</v>
      </c>
      <c r="CB408" s="2">
        <f t="shared" si="390"/>
        <v>2567817.9900000002</v>
      </c>
      <c r="CC408" s="2">
        <f t="shared" si="390"/>
        <v>0</v>
      </c>
      <c r="CD408" s="2">
        <f t="shared" si="390"/>
        <v>0</v>
      </c>
      <c r="CE408" s="2">
        <f t="shared" si="390"/>
        <v>2567817.9900000002</v>
      </c>
      <c r="CF408" s="2">
        <f t="shared" si="390"/>
        <v>2567817.9900000002</v>
      </c>
      <c r="CG408" s="2">
        <f t="shared" si="390"/>
        <v>0</v>
      </c>
      <c r="CH408" s="2">
        <f t="shared" si="390"/>
        <v>2567817.9900000002</v>
      </c>
      <c r="CI408" s="2">
        <f t="shared" si="390"/>
        <v>0</v>
      </c>
      <c r="CJ408" s="2">
        <f t="shared" si="390"/>
        <v>0</v>
      </c>
      <c r="CK408" s="2">
        <f t="shared" si="390"/>
        <v>0</v>
      </c>
      <c r="CL408" s="2">
        <f t="shared" si="390"/>
        <v>0</v>
      </c>
      <c r="CM408" s="2">
        <f t="shared" si="390"/>
        <v>0</v>
      </c>
      <c r="CN408" s="2">
        <f t="shared" si="390"/>
        <v>0</v>
      </c>
      <c r="CO408" s="2">
        <f t="shared" si="390"/>
        <v>0</v>
      </c>
      <c r="CP408" s="2">
        <f t="shared" si="390"/>
        <v>0</v>
      </c>
      <c r="CQ408" s="2">
        <f t="shared" si="390"/>
        <v>0</v>
      </c>
      <c r="CR408" s="2">
        <f t="shared" si="390"/>
        <v>0</v>
      </c>
      <c r="CS408" s="2">
        <f t="shared" si="390"/>
        <v>0</v>
      </c>
      <c r="CT408" s="2">
        <f t="shared" si="390"/>
        <v>0</v>
      </c>
      <c r="CU408" s="2">
        <f t="shared" si="390"/>
        <v>0</v>
      </c>
      <c r="CV408" s="2">
        <f t="shared" si="390"/>
        <v>0</v>
      </c>
      <c r="CW408" s="2">
        <f t="shared" si="390"/>
        <v>0</v>
      </c>
      <c r="CX408" s="2">
        <f t="shared" si="390"/>
        <v>0</v>
      </c>
      <c r="CY408" s="2">
        <f t="shared" si="390"/>
        <v>0</v>
      </c>
      <c r="CZ408" s="2">
        <f t="shared" si="390"/>
        <v>0</v>
      </c>
      <c r="DA408" s="2">
        <f t="shared" si="390"/>
        <v>0</v>
      </c>
      <c r="DB408" s="2">
        <f t="shared" si="390"/>
        <v>0</v>
      </c>
      <c r="DC408" s="2">
        <f t="shared" si="390"/>
        <v>0</v>
      </c>
      <c r="DD408" s="2">
        <f t="shared" si="390"/>
        <v>0</v>
      </c>
      <c r="DE408" s="2">
        <f t="shared" si="390"/>
        <v>0</v>
      </c>
      <c r="DF408" s="2">
        <f t="shared" si="390"/>
        <v>0</v>
      </c>
      <c r="DG408" s="3">
        <f t="shared" ref="DG408:EL408" si="391">DG413</f>
        <v>0</v>
      </c>
      <c r="DH408" s="3">
        <f t="shared" si="391"/>
        <v>0</v>
      </c>
      <c r="DI408" s="3">
        <f t="shared" si="391"/>
        <v>0</v>
      </c>
      <c r="DJ408" s="3">
        <f t="shared" si="391"/>
        <v>0</v>
      </c>
      <c r="DK408" s="3">
        <f t="shared" si="391"/>
        <v>0</v>
      </c>
      <c r="DL408" s="3">
        <f t="shared" si="391"/>
        <v>0</v>
      </c>
      <c r="DM408" s="3">
        <f t="shared" si="391"/>
        <v>0</v>
      </c>
      <c r="DN408" s="3">
        <f t="shared" si="391"/>
        <v>0</v>
      </c>
      <c r="DO408" s="3">
        <f t="shared" si="391"/>
        <v>0</v>
      </c>
      <c r="DP408" s="3">
        <f t="shared" si="391"/>
        <v>0</v>
      </c>
      <c r="DQ408" s="3">
        <f t="shared" si="391"/>
        <v>0</v>
      </c>
      <c r="DR408" s="3">
        <f t="shared" si="391"/>
        <v>0</v>
      </c>
      <c r="DS408" s="3">
        <f t="shared" si="391"/>
        <v>0</v>
      </c>
      <c r="DT408" s="3">
        <f t="shared" si="391"/>
        <v>0</v>
      </c>
      <c r="DU408" s="3">
        <f t="shared" si="391"/>
        <v>0</v>
      </c>
      <c r="DV408" s="3">
        <f t="shared" si="391"/>
        <v>0</v>
      </c>
      <c r="DW408" s="3">
        <f t="shared" si="391"/>
        <v>0</v>
      </c>
      <c r="DX408" s="3">
        <f t="shared" si="391"/>
        <v>0</v>
      </c>
      <c r="DY408" s="3">
        <f t="shared" si="391"/>
        <v>0</v>
      </c>
      <c r="DZ408" s="3">
        <f t="shared" si="391"/>
        <v>0</v>
      </c>
      <c r="EA408" s="3">
        <f t="shared" si="391"/>
        <v>0</v>
      </c>
      <c r="EB408" s="3">
        <f t="shared" si="391"/>
        <v>0</v>
      </c>
      <c r="EC408" s="3">
        <f t="shared" si="391"/>
        <v>0</v>
      </c>
      <c r="ED408" s="3">
        <f t="shared" si="391"/>
        <v>0</v>
      </c>
      <c r="EE408" s="3">
        <f t="shared" si="391"/>
        <v>0</v>
      </c>
      <c r="EF408" s="3">
        <f t="shared" si="391"/>
        <v>0</v>
      </c>
      <c r="EG408" s="3">
        <f t="shared" si="391"/>
        <v>0</v>
      </c>
      <c r="EH408" s="3">
        <f t="shared" si="391"/>
        <v>0</v>
      </c>
      <c r="EI408" s="3">
        <f t="shared" si="391"/>
        <v>0</v>
      </c>
      <c r="EJ408" s="3">
        <f t="shared" si="391"/>
        <v>0</v>
      </c>
      <c r="EK408" s="3">
        <f t="shared" si="391"/>
        <v>0</v>
      </c>
      <c r="EL408" s="3">
        <f t="shared" si="391"/>
        <v>0</v>
      </c>
      <c r="EM408" s="3">
        <f t="shared" ref="EM408:FR408" si="392">EM413</f>
        <v>0</v>
      </c>
      <c r="EN408" s="3">
        <f t="shared" si="392"/>
        <v>0</v>
      </c>
      <c r="EO408" s="3">
        <f t="shared" si="392"/>
        <v>0</v>
      </c>
      <c r="EP408" s="3">
        <f t="shared" si="392"/>
        <v>0</v>
      </c>
      <c r="EQ408" s="3">
        <f t="shared" si="392"/>
        <v>0</v>
      </c>
      <c r="ER408" s="3">
        <f t="shared" si="392"/>
        <v>0</v>
      </c>
      <c r="ES408" s="3">
        <f t="shared" si="392"/>
        <v>0</v>
      </c>
      <c r="ET408" s="3">
        <f t="shared" si="392"/>
        <v>0</v>
      </c>
      <c r="EU408" s="3">
        <f t="shared" si="392"/>
        <v>0</v>
      </c>
      <c r="EV408" s="3">
        <f t="shared" si="392"/>
        <v>0</v>
      </c>
      <c r="EW408" s="3">
        <f t="shared" si="392"/>
        <v>0</v>
      </c>
      <c r="EX408" s="3">
        <f t="shared" si="392"/>
        <v>0</v>
      </c>
      <c r="EY408" s="3">
        <f t="shared" si="392"/>
        <v>0</v>
      </c>
      <c r="EZ408" s="3">
        <f t="shared" si="392"/>
        <v>0</v>
      </c>
      <c r="FA408" s="3">
        <f t="shared" si="392"/>
        <v>0</v>
      </c>
      <c r="FB408" s="3">
        <f t="shared" si="392"/>
        <v>0</v>
      </c>
      <c r="FC408" s="3">
        <f t="shared" si="392"/>
        <v>0</v>
      </c>
      <c r="FD408" s="3">
        <f t="shared" si="392"/>
        <v>0</v>
      </c>
      <c r="FE408" s="3">
        <f t="shared" si="392"/>
        <v>0</v>
      </c>
      <c r="FF408" s="3">
        <f t="shared" si="392"/>
        <v>0</v>
      </c>
      <c r="FG408" s="3">
        <f t="shared" si="392"/>
        <v>0</v>
      </c>
      <c r="FH408" s="3">
        <f t="shared" si="392"/>
        <v>0</v>
      </c>
      <c r="FI408" s="3">
        <f t="shared" si="392"/>
        <v>0</v>
      </c>
      <c r="FJ408" s="3">
        <f t="shared" si="392"/>
        <v>0</v>
      </c>
      <c r="FK408" s="3">
        <f t="shared" si="392"/>
        <v>0</v>
      </c>
      <c r="FL408" s="3">
        <f t="shared" si="392"/>
        <v>0</v>
      </c>
      <c r="FM408" s="3">
        <f t="shared" si="392"/>
        <v>0</v>
      </c>
      <c r="FN408" s="3">
        <f t="shared" si="392"/>
        <v>0</v>
      </c>
      <c r="FO408" s="3">
        <f t="shared" si="392"/>
        <v>0</v>
      </c>
      <c r="FP408" s="3">
        <f t="shared" si="392"/>
        <v>0</v>
      </c>
      <c r="FQ408" s="3">
        <f t="shared" si="392"/>
        <v>0</v>
      </c>
      <c r="FR408" s="3">
        <f t="shared" si="392"/>
        <v>0</v>
      </c>
      <c r="FS408" s="3">
        <f t="shared" ref="FS408:GX408" si="393">FS413</f>
        <v>0</v>
      </c>
      <c r="FT408" s="3">
        <f t="shared" si="393"/>
        <v>0</v>
      </c>
      <c r="FU408" s="3">
        <f t="shared" si="393"/>
        <v>0</v>
      </c>
      <c r="FV408" s="3">
        <f t="shared" si="393"/>
        <v>0</v>
      </c>
      <c r="FW408" s="3">
        <f t="shared" si="393"/>
        <v>0</v>
      </c>
      <c r="FX408" s="3">
        <f t="shared" si="393"/>
        <v>0</v>
      </c>
      <c r="FY408" s="3">
        <f t="shared" si="393"/>
        <v>0</v>
      </c>
      <c r="FZ408" s="3">
        <f t="shared" si="393"/>
        <v>0</v>
      </c>
      <c r="GA408" s="3">
        <f t="shared" si="393"/>
        <v>0</v>
      </c>
      <c r="GB408" s="3">
        <f t="shared" si="393"/>
        <v>0</v>
      </c>
      <c r="GC408" s="3">
        <f t="shared" si="393"/>
        <v>0</v>
      </c>
      <c r="GD408" s="3">
        <f t="shared" si="393"/>
        <v>0</v>
      </c>
      <c r="GE408" s="3">
        <f t="shared" si="393"/>
        <v>0</v>
      </c>
      <c r="GF408" s="3">
        <f t="shared" si="393"/>
        <v>0</v>
      </c>
      <c r="GG408" s="3">
        <f t="shared" si="393"/>
        <v>0</v>
      </c>
      <c r="GH408" s="3">
        <f t="shared" si="393"/>
        <v>0</v>
      </c>
      <c r="GI408" s="3">
        <f t="shared" si="393"/>
        <v>0</v>
      </c>
      <c r="GJ408" s="3">
        <f t="shared" si="393"/>
        <v>0</v>
      </c>
      <c r="GK408" s="3">
        <f t="shared" si="393"/>
        <v>0</v>
      </c>
      <c r="GL408" s="3">
        <f t="shared" si="393"/>
        <v>0</v>
      </c>
      <c r="GM408" s="3">
        <f t="shared" si="393"/>
        <v>0</v>
      </c>
      <c r="GN408" s="3">
        <f t="shared" si="393"/>
        <v>0</v>
      </c>
      <c r="GO408" s="3">
        <f t="shared" si="393"/>
        <v>0</v>
      </c>
      <c r="GP408" s="3">
        <f t="shared" si="393"/>
        <v>0</v>
      </c>
      <c r="GQ408" s="3">
        <f t="shared" si="393"/>
        <v>0</v>
      </c>
      <c r="GR408" s="3">
        <f t="shared" si="393"/>
        <v>0</v>
      </c>
      <c r="GS408" s="3">
        <f t="shared" si="393"/>
        <v>0</v>
      </c>
      <c r="GT408" s="3">
        <f t="shared" si="393"/>
        <v>0</v>
      </c>
      <c r="GU408" s="3">
        <f t="shared" si="393"/>
        <v>0</v>
      </c>
      <c r="GV408" s="3">
        <f t="shared" si="393"/>
        <v>0</v>
      </c>
      <c r="GW408" s="3">
        <f t="shared" si="393"/>
        <v>0</v>
      </c>
      <c r="GX408" s="3">
        <f t="shared" si="393"/>
        <v>0</v>
      </c>
    </row>
    <row r="410" spans="1:245" x14ac:dyDescent="0.2">
      <c r="A410">
        <v>17</v>
      </c>
      <c r="B410">
        <v>1</v>
      </c>
      <c r="E410" t="s">
        <v>598</v>
      </c>
      <c r="F410" t="s">
        <v>118</v>
      </c>
      <c r="G410" t="s">
        <v>599</v>
      </c>
      <c r="H410" t="s">
        <v>169</v>
      </c>
      <c r="I410">
        <v>1</v>
      </c>
      <c r="J410">
        <v>0</v>
      </c>
      <c r="K410">
        <v>1</v>
      </c>
      <c r="O410">
        <f>ROUND(CP410,2)</f>
        <v>1751151.3</v>
      </c>
      <c r="P410">
        <f>ROUND((ROUND((AC410*AW410*I410),2)*BC410),2)</f>
        <v>1751151.3</v>
      </c>
      <c r="Q410">
        <f>(ROUND((ROUND(((ET410)*AV410*I410),2)*BB410),2)+ROUND((ROUND(((AE410-(EU410))*AV410*I410),2)*BS410),2))</f>
        <v>0</v>
      </c>
      <c r="R410">
        <f>ROUND((ROUND((AE410*AV410*I410),2)*BS410),2)</f>
        <v>0</v>
      </c>
      <c r="S410">
        <f>ROUND((ROUND((AF410*AV410*I410),2)*BA410),2)</f>
        <v>0</v>
      </c>
      <c r="T410">
        <f>ROUND(CU410*I410,2)</f>
        <v>0</v>
      </c>
      <c r="U410">
        <f>CV410*I410</f>
        <v>0</v>
      </c>
      <c r="V410">
        <f>CW410*I410</f>
        <v>0</v>
      </c>
      <c r="W410">
        <f>ROUND(CX410*I410,2)</f>
        <v>0</v>
      </c>
      <c r="X410">
        <f>ROUND(CY410,2)</f>
        <v>0</v>
      </c>
      <c r="Y410">
        <f>ROUND(CZ410,2)</f>
        <v>0</v>
      </c>
      <c r="AA410">
        <v>42938047</v>
      </c>
      <c r="AB410">
        <f>ROUND((AC410+AD410+AF410),6)</f>
        <v>276206.83</v>
      </c>
      <c r="AC410">
        <f>ROUND((ES410),6)</f>
        <v>276206.83</v>
      </c>
      <c r="AD410">
        <f>ROUND((((ET410)-(EU410))+AE410),6)</f>
        <v>0</v>
      </c>
      <c r="AE410">
        <f>ROUND((EU410),6)</f>
        <v>0</v>
      </c>
      <c r="AF410">
        <f>ROUND((EV410),6)</f>
        <v>0</v>
      </c>
      <c r="AG410">
        <f>ROUND((AP410),6)</f>
        <v>0</v>
      </c>
      <c r="AH410">
        <f>(EW410)</f>
        <v>0</v>
      </c>
      <c r="AI410">
        <f>(EX410)</f>
        <v>0</v>
      </c>
      <c r="AJ410">
        <f>(AS410)</f>
        <v>0</v>
      </c>
      <c r="AK410">
        <v>276206.83</v>
      </c>
      <c r="AL410">
        <v>276206.83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1</v>
      </c>
      <c r="AW410">
        <v>1</v>
      </c>
      <c r="AZ410">
        <v>1</v>
      </c>
      <c r="BA410">
        <v>1</v>
      </c>
      <c r="BB410">
        <v>1</v>
      </c>
      <c r="BC410">
        <v>6.34</v>
      </c>
      <c r="BD410" t="s">
        <v>3</v>
      </c>
      <c r="BE410" t="s">
        <v>3</v>
      </c>
      <c r="BF410" t="s">
        <v>3</v>
      </c>
      <c r="BG410" t="s">
        <v>3</v>
      </c>
      <c r="BH410">
        <v>3</v>
      </c>
      <c r="BI410">
        <v>1</v>
      </c>
      <c r="BJ410" t="s">
        <v>3</v>
      </c>
      <c r="BM410">
        <v>400002</v>
      </c>
      <c r="BN410">
        <v>0</v>
      </c>
      <c r="BO410" t="s">
        <v>3</v>
      </c>
      <c r="BP410">
        <v>0</v>
      </c>
      <c r="BQ410">
        <v>202</v>
      </c>
      <c r="BR410">
        <v>0</v>
      </c>
      <c r="BS410">
        <v>1</v>
      </c>
      <c r="BT410">
        <v>1</v>
      </c>
      <c r="BU410">
        <v>1</v>
      </c>
      <c r="BV410">
        <v>1</v>
      </c>
      <c r="BW410">
        <v>1</v>
      </c>
      <c r="BX410">
        <v>1</v>
      </c>
      <c r="BY410" t="s">
        <v>3</v>
      </c>
      <c r="BZ410">
        <v>0</v>
      </c>
      <c r="CA410">
        <v>0</v>
      </c>
      <c r="CB410" t="s">
        <v>3</v>
      </c>
      <c r="CE410">
        <v>30</v>
      </c>
      <c r="CF410">
        <v>0</v>
      </c>
      <c r="CG410">
        <v>0</v>
      </c>
      <c r="CM410">
        <v>0</v>
      </c>
      <c r="CN410" t="s">
        <v>3</v>
      </c>
      <c r="CO410">
        <v>0</v>
      </c>
      <c r="CP410">
        <f>(P410+Q410+S410)</f>
        <v>1751151.3</v>
      </c>
      <c r="CQ410">
        <f>ROUND((ROUND((AC410*AW410*1),2)*BC410),2)</f>
        <v>1751151.3</v>
      </c>
      <c r="CR410">
        <f>(ROUND((ROUND(((ET410)*AV410*1),2)*BB410),2)+ROUND((ROUND(((AE410-(EU410))*AV410*1),2)*BS410),2))</f>
        <v>0</v>
      </c>
      <c r="CS410">
        <f>ROUND((ROUND((AE410*AV410*1),2)*BS410),2)</f>
        <v>0</v>
      </c>
      <c r="CT410">
        <f>ROUND((ROUND((AF410*AV410*1),2)*BA410),2)</f>
        <v>0</v>
      </c>
      <c r="CU410">
        <f>AG410</f>
        <v>0</v>
      </c>
      <c r="CV410">
        <f>(AH410*AV410)</f>
        <v>0</v>
      </c>
      <c r="CW410">
        <f>AI410</f>
        <v>0</v>
      </c>
      <c r="CX410">
        <f>AJ410</f>
        <v>0</v>
      </c>
      <c r="CY410">
        <f>S410*(BZ410/100)</f>
        <v>0</v>
      </c>
      <c r="CZ410">
        <f>S410*(CA410/100)</f>
        <v>0</v>
      </c>
      <c r="DC410" t="s">
        <v>3</v>
      </c>
      <c r="DD410" t="s">
        <v>3</v>
      </c>
      <c r="DE410" t="s">
        <v>3</v>
      </c>
      <c r="DF410" t="s">
        <v>3</v>
      </c>
      <c r="DG410" t="s">
        <v>3</v>
      </c>
      <c r="DH410" t="s">
        <v>3</v>
      </c>
      <c r="DI410" t="s">
        <v>3</v>
      </c>
      <c r="DJ410" t="s">
        <v>3</v>
      </c>
      <c r="DK410" t="s">
        <v>3</v>
      </c>
      <c r="DL410" t="s">
        <v>3</v>
      </c>
      <c r="DM410" t="s">
        <v>3</v>
      </c>
      <c r="DN410">
        <v>0</v>
      </c>
      <c r="DO410">
        <v>0</v>
      </c>
      <c r="DP410">
        <v>1</v>
      </c>
      <c r="DQ410">
        <v>1</v>
      </c>
      <c r="DU410">
        <v>1010</v>
      </c>
      <c r="DV410" t="s">
        <v>169</v>
      </c>
      <c r="DW410" t="s">
        <v>169</v>
      </c>
      <c r="DX410">
        <v>1</v>
      </c>
      <c r="DZ410" t="s">
        <v>3</v>
      </c>
      <c r="EA410" t="s">
        <v>3</v>
      </c>
      <c r="EB410" t="s">
        <v>3</v>
      </c>
      <c r="EC410" t="s">
        <v>3</v>
      </c>
      <c r="EE410">
        <v>43090149</v>
      </c>
      <c r="EF410">
        <v>202</v>
      </c>
      <c r="EG410" t="s">
        <v>346</v>
      </c>
      <c r="EH410">
        <v>0</v>
      </c>
      <c r="EI410" t="s">
        <v>3</v>
      </c>
      <c r="EJ410">
        <v>1</v>
      </c>
      <c r="EK410">
        <v>400002</v>
      </c>
      <c r="EL410" t="s">
        <v>347</v>
      </c>
      <c r="EM410" t="s">
        <v>346</v>
      </c>
      <c r="EO410" t="s">
        <v>3</v>
      </c>
      <c r="EQ410">
        <v>0</v>
      </c>
      <c r="ER410">
        <v>276206.83</v>
      </c>
      <c r="ES410">
        <v>276206.83</v>
      </c>
      <c r="ET410">
        <v>0</v>
      </c>
      <c r="EU410">
        <v>0</v>
      </c>
      <c r="EV410">
        <v>0</v>
      </c>
      <c r="EW410">
        <v>0</v>
      </c>
      <c r="EX410">
        <v>0</v>
      </c>
      <c r="EY410">
        <v>0</v>
      </c>
      <c r="EZ410">
        <v>5</v>
      </c>
      <c r="FC410">
        <v>1</v>
      </c>
      <c r="FD410">
        <v>18</v>
      </c>
      <c r="FF410">
        <v>2060178</v>
      </c>
      <c r="FQ410">
        <v>0</v>
      </c>
      <c r="FR410">
        <f>ROUND(IF(AND(BH410=3,BI410=3),P410,0),2)</f>
        <v>0</v>
      </c>
      <c r="FS410">
        <v>0</v>
      </c>
      <c r="FX410">
        <v>0</v>
      </c>
      <c r="FY410">
        <v>0</v>
      </c>
      <c r="GA410" t="s">
        <v>600</v>
      </c>
      <c r="GD410">
        <v>0</v>
      </c>
      <c r="GF410">
        <v>-226551236</v>
      </c>
      <c r="GG410">
        <v>2</v>
      </c>
      <c r="GH410">
        <v>3</v>
      </c>
      <c r="GI410">
        <v>3</v>
      </c>
      <c r="GJ410">
        <v>0</v>
      </c>
      <c r="GK410">
        <f>ROUND(R410*(R12)/100,2)</f>
        <v>0</v>
      </c>
      <c r="GL410">
        <f>ROUND(IF(AND(BH410=3,BI410=3,FS410&lt;&gt;0),P410,0),2)</f>
        <v>0</v>
      </c>
      <c r="GM410">
        <f>ROUND(O410+X410+Y410+GK410,2)+GX410</f>
        <v>1751151.3</v>
      </c>
      <c r="GN410">
        <f>IF(OR(BI410=0,BI410=1),ROUND(O410+X410+Y410+GK410,2),0)</f>
        <v>1751151.3</v>
      </c>
      <c r="GO410">
        <f>IF(BI410=2,ROUND(O410+X410+Y410+GK410,2),0)</f>
        <v>0</v>
      </c>
      <c r="GP410">
        <f>IF(BI410=4,ROUND(O410+X410+Y410+GK410,2)+GX410,0)</f>
        <v>0</v>
      </c>
      <c r="GR410">
        <v>1</v>
      </c>
      <c r="GS410">
        <v>1</v>
      </c>
      <c r="GT410">
        <v>0</v>
      </c>
      <c r="GU410" t="s">
        <v>3</v>
      </c>
      <c r="GV410">
        <f>ROUND((GT410),6)</f>
        <v>0</v>
      </c>
      <c r="GW410">
        <v>1</v>
      </c>
      <c r="GX410">
        <f>ROUND(HC410*I410,2)</f>
        <v>0</v>
      </c>
      <c r="HA410">
        <v>0</v>
      </c>
      <c r="HB410">
        <v>0</v>
      </c>
      <c r="HC410">
        <f>GV410*GW410</f>
        <v>0</v>
      </c>
      <c r="HE410" t="s">
        <v>26</v>
      </c>
      <c r="HF410" t="s">
        <v>122</v>
      </c>
      <c r="HM410" t="s">
        <v>3</v>
      </c>
      <c r="IK410">
        <v>0</v>
      </c>
    </row>
    <row r="411" spans="1:245" x14ac:dyDescent="0.2">
      <c r="A411">
        <v>17</v>
      </c>
      <c r="B411">
        <v>1</v>
      </c>
      <c r="E411" t="s">
        <v>601</v>
      </c>
      <c r="F411" t="s">
        <v>118</v>
      </c>
      <c r="G411" t="s">
        <v>602</v>
      </c>
      <c r="H411" t="s">
        <v>169</v>
      </c>
      <c r="I411">
        <v>1</v>
      </c>
      <c r="J411">
        <v>0</v>
      </c>
      <c r="K411">
        <v>1</v>
      </c>
      <c r="O411">
        <f>ROUND(CP411,2)</f>
        <v>816666.69</v>
      </c>
      <c r="P411">
        <f>ROUND((ROUND((AC411*AW411*I411),2)*BC411),2)</f>
        <v>816666.69</v>
      </c>
      <c r="Q411">
        <f>(ROUND((ROUND(((ET411)*AV411*I411),2)*BB411),2)+ROUND((ROUND(((AE411-(EU411))*AV411*I411),2)*BS411),2))</f>
        <v>0</v>
      </c>
      <c r="R411">
        <f>ROUND((ROUND((AE411*AV411*I411),2)*BS411),2)</f>
        <v>0</v>
      </c>
      <c r="S411">
        <f>ROUND((ROUND((AF411*AV411*I411),2)*BA411),2)</f>
        <v>0</v>
      </c>
      <c r="T411">
        <f>ROUND(CU411*I411,2)</f>
        <v>0</v>
      </c>
      <c r="U411">
        <f>CV411*I411</f>
        <v>0</v>
      </c>
      <c r="V411">
        <f>CW411*I411</f>
        <v>0</v>
      </c>
      <c r="W411">
        <f>ROUND(CX411*I411,2)</f>
        <v>0</v>
      </c>
      <c r="X411">
        <f>ROUND(CY411,2)</f>
        <v>0</v>
      </c>
      <c r="Y411">
        <f>ROUND(CZ411,2)</f>
        <v>0</v>
      </c>
      <c r="AA411">
        <v>42938047</v>
      </c>
      <c r="AB411">
        <f>ROUND((AC411+AD411+AF411),6)</f>
        <v>128811.78</v>
      </c>
      <c r="AC411">
        <f>ROUND((ES411),6)</f>
        <v>128811.78</v>
      </c>
      <c r="AD411">
        <f>ROUND((((ET411)-(EU411))+AE411),6)</f>
        <v>0</v>
      </c>
      <c r="AE411">
        <f>ROUND((EU411),6)</f>
        <v>0</v>
      </c>
      <c r="AF411">
        <f>ROUND((EV411),6)</f>
        <v>0</v>
      </c>
      <c r="AG411">
        <f>ROUND((AP411),6)</f>
        <v>0</v>
      </c>
      <c r="AH411">
        <f>(EW411)</f>
        <v>0</v>
      </c>
      <c r="AI411">
        <f>(EX411)</f>
        <v>0</v>
      </c>
      <c r="AJ411">
        <f>(AS411)</f>
        <v>0</v>
      </c>
      <c r="AK411">
        <v>128811.78</v>
      </c>
      <c r="AL411">
        <v>128811.78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1</v>
      </c>
      <c r="AW411">
        <v>1</v>
      </c>
      <c r="AZ411">
        <v>1</v>
      </c>
      <c r="BA411">
        <v>1</v>
      </c>
      <c r="BB411">
        <v>1</v>
      </c>
      <c r="BC411">
        <v>6.34</v>
      </c>
      <c r="BD411" t="s">
        <v>3</v>
      </c>
      <c r="BE411" t="s">
        <v>3</v>
      </c>
      <c r="BF411" t="s">
        <v>3</v>
      </c>
      <c r="BG411" t="s">
        <v>3</v>
      </c>
      <c r="BH411">
        <v>3</v>
      </c>
      <c r="BI411">
        <v>1</v>
      </c>
      <c r="BJ411" t="s">
        <v>3</v>
      </c>
      <c r="BM411">
        <v>400002</v>
      </c>
      <c r="BN411">
        <v>0</v>
      </c>
      <c r="BO411" t="s">
        <v>3</v>
      </c>
      <c r="BP411">
        <v>0</v>
      </c>
      <c r="BQ411">
        <v>202</v>
      </c>
      <c r="BR411">
        <v>0</v>
      </c>
      <c r="BS411">
        <v>1</v>
      </c>
      <c r="BT411">
        <v>1</v>
      </c>
      <c r="BU411">
        <v>1</v>
      </c>
      <c r="BV411">
        <v>1</v>
      </c>
      <c r="BW411">
        <v>1</v>
      </c>
      <c r="BX411">
        <v>1</v>
      </c>
      <c r="BY411" t="s">
        <v>3</v>
      </c>
      <c r="BZ411">
        <v>0</v>
      </c>
      <c r="CA411">
        <v>0</v>
      </c>
      <c r="CB411" t="s">
        <v>3</v>
      </c>
      <c r="CE411">
        <v>30</v>
      </c>
      <c r="CF411">
        <v>0</v>
      </c>
      <c r="CG411">
        <v>0</v>
      </c>
      <c r="CM411">
        <v>0</v>
      </c>
      <c r="CN411" t="s">
        <v>3</v>
      </c>
      <c r="CO411">
        <v>0</v>
      </c>
      <c r="CP411">
        <f>(P411+Q411+S411)</f>
        <v>816666.69</v>
      </c>
      <c r="CQ411">
        <f>ROUND((ROUND((AC411*AW411*1),2)*BC411),2)</f>
        <v>816666.69</v>
      </c>
      <c r="CR411">
        <f>(ROUND((ROUND(((ET411)*AV411*1),2)*BB411),2)+ROUND((ROUND(((AE411-(EU411))*AV411*1),2)*BS411),2))</f>
        <v>0</v>
      </c>
      <c r="CS411">
        <f>ROUND((ROUND((AE411*AV411*1),2)*BS411),2)</f>
        <v>0</v>
      </c>
      <c r="CT411">
        <f>ROUND((ROUND((AF411*AV411*1),2)*BA411),2)</f>
        <v>0</v>
      </c>
      <c r="CU411">
        <f>AG411</f>
        <v>0</v>
      </c>
      <c r="CV411">
        <f>(AH411*AV411)</f>
        <v>0</v>
      </c>
      <c r="CW411">
        <f>AI411</f>
        <v>0</v>
      </c>
      <c r="CX411">
        <f>AJ411</f>
        <v>0</v>
      </c>
      <c r="CY411">
        <f>S411*(BZ411/100)</f>
        <v>0</v>
      </c>
      <c r="CZ411">
        <f>S411*(CA411/100)</f>
        <v>0</v>
      </c>
      <c r="DC411" t="s">
        <v>3</v>
      </c>
      <c r="DD411" t="s">
        <v>3</v>
      </c>
      <c r="DE411" t="s">
        <v>3</v>
      </c>
      <c r="DF411" t="s">
        <v>3</v>
      </c>
      <c r="DG411" t="s">
        <v>3</v>
      </c>
      <c r="DH411" t="s">
        <v>3</v>
      </c>
      <c r="DI411" t="s">
        <v>3</v>
      </c>
      <c r="DJ411" t="s">
        <v>3</v>
      </c>
      <c r="DK411" t="s">
        <v>3</v>
      </c>
      <c r="DL411" t="s">
        <v>3</v>
      </c>
      <c r="DM411" t="s">
        <v>3</v>
      </c>
      <c r="DN411">
        <v>0</v>
      </c>
      <c r="DO411">
        <v>0</v>
      </c>
      <c r="DP411">
        <v>1</v>
      </c>
      <c r="DQ411">
        <v>1</v>
      </c>
      <c r="DU411">
        <v>1010</v>
      </c>
      <c r="DV411" t="s">
        <v>169</v>
      </c>
      <c r="DW411" t="s">
        <v>169</v>
      </c>
      <c r="DX411">
        <v>1</v>
      </c>
      <c r="DZ411" t="s">
        <v>3</v>
      </c>
      <c r="EA411" t="s">
        <v>3</v>
      </c>
      <c r="EB411" t="s">
        <v>3</v>
      </c>
      <c r="EC411" t="s">
        <v>3</v>
      </c>
      <c r="EE411">
        <v>43090149</v>
      </c>
      <c r="EF411">
        <v>202</v>
      </c>
      <c r="EG411" t="s">
        <v>346</v>
      </c>
      <c r="EH411">
        <v>0</v>
      </c>
      <c r="EI411" t="s">
        <v>3</v>
      </c>
      <c r="EJ411">
        <v>1</v>
      </c>
      <c r="EK411">
        <v>400002</v>
      </c>
      <c r="EL411" t="s">
        <v>347</v>
      </c>
      <c r="EM411" t="s">
        <v>346</v>
      </c>
      <c r="EO411" t="s">
        <v>3</v>
      </c>
      <c r="EQ411">
        <v>0</v>
      </c>
      <c r="ER411">
        <v>128811.78</v>
      </c>
      <c r="ES411">
        <v>128811.78</v>
      </c>
      <c r="ET411">
        <v>0</v>
      </c>
      <c r="EU411">
        <v>0</v>
      </c>
      <c r="EV411">
        <v>0</v>
      </c>
      <c r="EW411">
        <v>0</v>
      </c>
      <c r="EX411">
        <v>0</v>
      </c>
      <c r="EY411">
        <v>0</v>
      </c>
      <c r="EZ411">
        <v>5</v>
      </c>
      <c r="FC411">
        <v>1</v>
      </c>
      <c r="FD411">
        <v>18</v>
      </c>
      <c r="FF411">
        <v>980000</v>
      </c>
      <c r="FQ411">
        <v>0</v>
      </c>
      <c r="FR411">
        <f>ROUND(IF(AND(BH411=3,BI411=3),P411,0),2)</f>
        <v>0</v>
      </c>
      <c r="FS411">
        <v>0</v>
      </c>
      <c r="FX411">
        <v>0</v>
      </c>
      <c r="FY411">
        <v>0</v>
      </c>
      <c r="GA411" t="s">
        <v>603</v>
      </c>
      <c r="GD411">
        <v>0</v>
      </c>
      <c r="GF411">
        <v>-769505105</v>
      </c>
      <c r="GG411">
        <v>2</v>
      </c>
      <c r="GH411">
        <v>3</v>
      </c>
      <c r="GI411">
        <v>3</v>
      </c>
      <c r="GJ411">
        <v>0</v>
      </c>
      <c r="GK411">
        <f>ROUND(R411*(R12)/100,2)</f>
        <v>0</v>
      </c>
      <c r="GL411">
        <f>ROUND(IF(AND(BH411=3,BI411=3,FS411&lt;&gt;0),P411,0),2)</f>
        <v>0</v>
      </c>
      <c r="GM411">
        <f>ROUND(O411+X411+Y411+GK411,2)+GX411</f>
        <v>816666.69</v>
      </c>
      <c r="GN411">
        <f>IF(OR(BI411=0,BI411=1),ROUND(O411+X411+Y411+GK411,2),0)</f>
        <v>816666.69</v>
      </c>
      <c r="GO411">
        <f>IF(BI411=2,ROUND(O411+X411+Y411+GK411,2),0)</f>
        <v>0</v>
      </c>
      <c r="GP411">
        <f>IF(BI411=4,ROUND(O411+X411+Y411+GK411,2)+GX411,0)</f>
        <v>0</v>
      </c>
      <c r="GR411">
        <v>1</v>
      </c>
      <c r="GS411">
        <v>1</v>
      </c>
      <c r="GT411">
        <v>0</v>
      </c>
      <c r="GU411" t="s">
        <v>3</v>
      </c>
      <c r="GV411">
        <f>ROUND((GT411),6)</f>
        <v>0</v>
      </c>
      <c r="GW411">
        <v>1</v>
      </c>
      <c r="GX411">
        <f>ROUND(HC411*I411,2)</f>
        <v>0</v>
      </c>
      <c r="HA411">
        <v>0</v>
      </c>
      <c r="HB411">
        <v>0</v>
      </c>
      <c r="HC411">
        <f>GV411*GW411</f>
        <v>0</v>
      </c>
      <c r="HE411" t="s">
        <v>122</v>
      </c>
      <c r="HF411" t="s">
        <v>122</v>
      </c>
      <c r="HM411" t="s">
        <v>3</v>
      </c>
      <c r="IK411">
        <v>0</v>
      </c>
    </row>
    <row r="413" spans="1:245" x14ac:dyDescent="0.2">
      <c r="A413" s="2">
        <v>51</v>
      </c>
      <c r="B413" s="2">
        <f>B406</f>
        <v>1</v>
      </c>
      <c r="C413" s="2">
        <f>A406</f>
        <v>5</v>
      </c>
      <c r="D413" s="2">
        <f>ROW(A406)</f>
        <v>406</v>
      </c>
      <c r="E413" s="2"/>
      <c r="F413" s="2" t="str">
        <f>IF(F406&lt;&gt;"",F406,"")</f>
        <v>Новый подраздел</v>
      </c>
      <c r="G413" s="2" t="str">
        <f>IF(G406&lt;&gt;"",G406,"")</f>
        <v>Оборудование для автополива</v>
      </c>
      <c r="H413" s="2">
        <v>0</v>
      </c>
      <c r="I413" s="2"/>
      <c r="J413" s="2"/>
      <c r="K413" s="2"/>
      <c r="L413" s="2"/>
      <c r="M413" s="2"/>
      <c r="N413" s="2"/>
      <c r="O413" s="2">
        <f t="shared" ref="O413:T413" si="394">ROUND(AB413,2)</f>
        <v>2567817.9900000002</v>
      </c>
      <c r="P413" s="2">
        <f t="shared" si="394"/>
        <v>2567817.9900000002</v>
      </c>
      <c r="Q413" s="2">
        <f t="shared" si="394"/>
        <v>0</v>
      </c>
      <c r="R413" s="2">
        <f t="shared" si="394"/>
        <v>0</v>
      </c>
      <c r="S413" s="2">
        <f t="shared" si="394"/>
        <v>0</v>
      </c>
      <c r="T413" s="2">
        <f t="shared" si="394"/>
        <v>0</v>
      </c>
      <c r="U413" s="2">
        <f>AH413</f>
        <v>0</v>
      </c>
      <c r="V413" s="2">
        <f>AI413</f>
        <v>0</v>
      </c>
      <c r="W413" s="2">
        <f>ROUND(AJ413,2)</f>
        <v>0</v>
      </c>
      <c r="X413" s="2">
        <f>ROUND(AK413,2)</f>
        <v>0</v>
      </c>
      <c r="Y413" s="2">
        <f>ROUND(AL413,2)</f>
        <v>0</v>
      </c>
      <c r="Z413" s="2"/>
      <c r="AA413" s="2"/>
      <c r="AB413" s="2">
        <f>ROUND(SUMIF(AA410:AA411,"=42938047",O410:O411),2)</f>
        <v>2567817.9900000002</v>
      </c>
      <c r="AC413" s="2">
        <f>ROUND(SUMIF(AA410:AA411,"=42938047",P410:P411),2)</f>
        <v>2567817.9900000002</v>
      </c>
      <c r="AD413" s="2">
        <f>ROUND(SUMIF(AA410:AA411,"=42938047",Q410:Q411),2)</f>
        <v>0</v>
      </c>
      <c r="AE413" s="2">
        <f>ROUND(SUMIF(AA410:AA411,"=42938047",R410:R411),2)</f>
        <v>0</v>
      </c>
      <c r="AF413" s="2">
        <f>ROUND(SUMIF(AA410:AA411,"=42938047",S410:S411),2)</f>
        <v>0</v>
      </c>
      <c r="AG413" s="2">
        <f>ROUND(SUMIF(AA410:AA411,"=42938047",T410:T411),2)</f>
        <v>0</v>
      </c>
      <c r="AH413" s="2">
        <f>SUMIF(AA410:AA411,"=42938047",U410:U411)</f>
        <v>0</v>
      </c>
      <c r="AI413" s="2">
        <f>SUMIF(AA410:AA411,"=42938047",V410:V411)</f>
        <v>0</v>
      </c>
      <c r="AJ413" s="2">
        <f>ROUND(SUMIF(AA410:AA411,"=42938047",W410:W411),2)</f>
        <v>0</v>
      </c>
      <c r="AK413" s="2">
        <f>ROUND(SUMIF(AA410:AA411,"=42938047",X410:X411),2)</f>
        <v>0</v>
      </c>
      <c r="AL413" s="2">
        <f>ROUND(SUMIF(AA410:AA411,"=42938047",Y410:Y411),2)</f>
        <v>0</v>
      </c>
      <c r="AM413" s="2"/>
      <c r="AN413" s="2"/>
      <c r="AO413" s="2">
        <f t="shared" ref="AO413:BD413" si="395">ROUND(BX413,2)</f>
        <v>0</v>
      </c>
      <c r="AP413" s="2">
        <f t="shared" si="395"/>
        <v>0</v>
      </c>
      <c r="AQ413" s="2">
        <f t="shared" si="395"/>
        <v>0</v>
      </c>
      <c r="AR413" s="2">
        <f t="shared" si="395"/>
        <v>2567817.9900000002</v>
      </c>
      <c r="AS413" s="2">
        <f t="shared" si="395"/>
        <v>2567817.9900000002</v>
      </c>
      <c r="AT413" s="2">
        <f t="shared" si="395"/>
        <v>0</v>
      </c>
      <c r="AU413" s="2">
        <f t="shared" si="395"/>
        <v>0</v>
      </c>
      <c r="AV413" s="2">
        <f t="shared" si="395"/>
        <v>2567817.9900000002</v>
      </c>
      <c r="AW413" s="2">
        <f t="shared" si="395"/>
        <v>2567817.9900000002</v>
      </c>
      <c r="AX413" s="2">
        <f t="shared" si="395"/>
        <v>0</v>
      </c>
      <c r="AY413" s="2">
        <f t="shared" si="395"/>
        <v>2567817.9900000002</v>
      </c>
      <c r="AZ413" s="2">
        <f t="shared" si="395"/>
        <v>0</v>
      </c>
      <c r="BA413" s="2">
        <f t="shared" si="395"/>
        <v>0</v>
      </c>
      <c r="BB413" s="2">
        <f t="shared" si="395"/>
        <v>0</v>
      </c>
      <c r="BC413" s="2">
        <f t="shared" si="395"/>
        <v>0</v>
      </c>
      <c r="BD413" s="2">
        <f t="shared" si="395"/>
        <v>0</v>
      </c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>
        <f>ROUND(SUMIF(AA410:AA411,"=42938047",FQ410:FQ411),2)</f>
        <v>0</v>
      </c>
      <c r="BY413" s="2">
        <f>ROUND(SUMIF(AA410:AA411,"=42938047",FR410:FR411),2)</f>
        <v>0</v>
      </c>
      <c r="BZ413" s="2">
        <f>ROUND(SUMIF(AA410:AA411,"=42938047",GL410:GL411),2)</f>
        <v>0</v>
      </c>
      <c r="CA413" s="2">
        <f>ROUND(SUMIF(AA410:AA411,"=42938047",GM410:GM411),2)</f>
        <v>2567817.9900000002</v>
      </c>
      <c r="CB413" s="2">
        <f>ROUND(SUMIF(AA410:AA411,"=42938047",GN410:GN411),2)</f>
        <v>2567817.9900000002</v>
      </c>
      <c r="CC413" s="2">
        <f>ROUND(SUMIF(AA410:AA411,"=42938047",GO410:GO411),2)</f>
        <v>0</v>
      </c>
      <c r="CD413" s="2">
        <f>ROUND(SUMIF(AA410:AA411,"=42938047",GP410:GP411),2)</f>
        <v>0</v>
      </c>
      <c r="CE413" s="2">
        <f>AC413-BX413</f>
        <v>2567817.9900000002</v>
      </c>
      <c r="CF413" s="2">
        <f>AC413-BY413</f>
        <v>2567817.9900000002</v>
      </c>
      <c r="CG413" s="2">
        <f>BX413-BZ413</f>
        <v>0</v>
      </c>
      <c r="CH413" s="2">
        <f>AC413-BX413-BY413+BZ413</f>
        <v>2567817.9900000002</v>
      </c>
      <c r="CI413" s="2">
        <f>BY413-BZ413</f>
        <v>0</v>
      </c>
      <c r="CJ413" s="2">
        <f>ROUND(SUMIF(AA410:AA411,"=42938047",GX410:GX411),2)</f>
        <v>0</v>
      </c>
      <c r="CK413" s="2">
        <f>ROUND(SUMIF(AA410:AA411,"=42938047",GY410:GY411),2)</f>
        <v>0</v>
      </c>
      <c r="CL413" s="2">
        <f>ROUND(SUMIF(AA410:AA411,"=42938047",GZ410:GZ411),2)</f>
        <v>0</v>
      </c>
      <c r="CM413" s="2">
        <f>ROUND(SUMIF(AA410:AA411,"=42938047",HD410:HD411),2)</f>
        <v>0</v>
      </c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3"/>
      <c r="DH413" s="3"/>
      <c r="DI413" s="3"/>
      <c r="DJ413" s="3"/>
      <c r="DK413" s="3"/>
      <c r="DL413" s="3"/>
      <c r="DM413" s="3"/>
      <c r="DN413" s="3"/>
      <c r="DO413" s="3"/>
      <c r="DP413" s="3"/>
      <c r="DQ413" s="3"/>
      <c r="DR413" s="3"/>
      <c r="DS413" s="3"/>
      <c r="DT413" s="3"/>
      <c r="DU413" s="3"/>
      <c r="DV413" s="3"/>
      <c r="DW413" s="3"/>
      <c r="DX413" s="3"/>
      <c r="DY413" s="3"/>
      <c r="DZ413" s="3"/>
      <c r="EA413" s="3"/>
      <c r="EB413" s="3"/>
      <c r="EC413" s="3"/>
      <c r="ED413" s="3"/>
      <c r="EE413" s="3"/>
      <c r="EF413" s="3"/>
      <c r="EG413" s="3"/>
      <c r="EH413" s="3"/>
      <c r="EI413" s="3"/>
      <c r="EJ413" s="3"/>
      <c r="EK413" s="3"/>
      <c r="EL413" s="3"/>
      <c r="EM413" s="3"/>
      <c r="EN413" s="3"/>
      <c r="EO413" s="3"/>
      <c r="EP413" s="3"/>
      <c r="EQ413" s="3"/>
      <c r="ER413" s="3"/>
      <c r="ES413" s="3"/>
      <c r="ET413" s="3"/>
      <c r="EU413" s="3"/>
      <c r="EV413" s="3"/>
      <c r="EW413" s="3"/>
      <c r="EX413" s="3"/>
      <c r="EY413" s="3"/>
      <c r="EZ413" s="3"/>
      <c r="FA413" s="3"/>
      <c r="FB413" s="3"/>
      <c r="FC413" s="3"/>
      <c r="FD413" s="3"/>
      <c r="FE413" s="3"/>
      <c r="FF413" s="3"/>
      <c r="FG413" s="3"/>
      <c r="FH413" s="3"/>
      <c r="FI413" s="3"/>
      <c r="FJ413" s="3"/>
      <c r="FK413" s="3"/>
      <c r="FL413" s="3"/>
      <c r="FM413" s="3"/>
      <c r="FN413" s="3"/>
      <c r="FO413" s="3"/>
      <c r="FP413" s="3"/>
      <c r="FQ413" s="3"/>
      <c r="FR413" s="3"/>
      <c r="FS413" s="3"/>
      <c r="FT413" s="3"/>
      <c r="FU413" s="3"/>
      <c r="FV413" s="3"/>
      <c r="FW413" s="3"/>
      <c r="FX413" s="3"/>
      <c r="FY413" s="3"/>
      <c r="FZ413" s="3"/>
      <c r="GA413" s="3"/>
      <c r="GB413" s="3"/>
      <c r="GC413" s="3"/>
      <c r="GD413" s="3"/>
      <c r="GE413" s="3"/>
      <c r="GF413" s="3"/>
      <c r="GG413" s="3"/>
      <c r="GH413" s="3"/>
      <c r="GI413" s="3"/>
      <c r="GJ413" s="3"/>
      <c r="GK413" s="3"/>
      <c r="GL413" s="3"/>
      <c r="GM413" s="3"/>
      <c r="GN413" s="3"/>
      <c r="GO413" s="3"/>
      <c r="GP413" s="3"/>
      <c r="GQ413" s="3"/>
      <c r="GR413" s="3"/>
      <c r="GS413" s="3"/>
      <c r="GT413" s="3"/>
      <c r="GU413" s="3"/>
      <c r="GV413" s="3"/>
      <c r="GW413" s="3"/>
      <c r="GX413" s="3">
        <v>0</v>
      </c>
    </row>
    <row r="415" spans="1:245" x14ac:dyDescent="0.2">
      <c r="A415" s="4">
        <v>50</v>
      </c>
      <c r="B415" s="4">
        <v>0</v>
      </c>
      <c r="C415" s="4">
        <v>0</v>
      </c>
      <c r="D415" s="4">
        <v>1</v>
      </c>
      <c r="E415" s="4">
        <v>201</v>
      </c>
      <c r="F415" s="4">
        <f>ROUND(Source!O413,O415)</f>
        <v>2567817.9900000002</v>
      </c>
      <c r="G415" s="4" t="s">
        <v>213</v>
      </c>
      <c r="H415" s="4" t="s">
        <v>214</v>
      </c>
      <c r="I415" s="4"/>
      <c r="J415" s="4"/>
      <c r="K415" s="4">
        <v>201</v>
      </c>
      <c r="L415" s="4">
        <v>1</v>
      </c>
      <c r="M415" s="4">
        <v>3</v>
      </c>
      <c r="N415" s="4" t="s">
        <v>3</v>
      </c>
      <c r="O415" s="4">
        <v>2</v>
      </c>
      <c r="P415" s="4"/>
      <c r="Q415" s="4"/>
      <c r="R415" s="4"/>
      <c r="S415" s="4"/>
      <c r="T415" s="4"/>
      <c r="U415" s="4"/>
      <c r="V415" s="4"/>
      <c r="W415" s="4"/>
    </row>
    <row r="416" spans="1:245" x14ac:dyDescent="0.2">
      <c r="A416" s="4">
        <v>50</v>
      </c>
      <c r="B416" s="4">
        <v>0</v>
      </c>
      <c r="C416" s="4">
        <v>0</v>
      </c>
      <c r="D416" s="4">
        <v>1</v>
      </c>
      <c r="E416" s="4">
        <v>202</v>
      </c>
      <c r="F416" s="4">
        <f>ROUND(Source!P413,O416)</f>
        <v>2567817.9900000002</v>
      </c>
      <c r="G416" s="4" t="s">
        <v>215</v>
      </c>
      <c r="H416" s="4" t="s">
        <v>216</v>
      </c>
      <c r="I416" s="4"/>
      <c r="J416" s="4"/>
      <c r="K416" s="4">
        <v>202</v>
      </c>
      <c r="L416" s="4">
        <v>2</v>
      </c>
      <c r="M416" s="4">
        <v>3</v>
      </c>
      <c r="N416" s="4" t="s">
        <v>3</v>
      </c>
      <c r="O416" s="4">
        <v>2</v>
      </c>
      <c r="P416" s="4"/>
      <c r="Q416" s="4"/>
      <c r="R416" s="4"/>
      <c r="S416" s="4"/>
      <c r="T416" s="4"/>
      <c r="U416" s="4"/>
      <c r="V416" s="4"/>
      <c r="W416" s="4"/>
    </row>
    <row r="417" spans="1:23" x14ac:dyDescent="0.2">
      <c r="A417" s="4">
        <v>50</v>
      </c>
      <c r="B417" s="4">
        <v>0</v>
      </c>
      <c r="C417" s="4">
        <v>0</v>
      </c>
      <c r="D417" s="4">
        <v>1</v>
      </c>
      <c r="E417" s="4">
        <v>222</v>
      </c>
      <c r="F417" s="4">
        <f>ROUND(Source!AO413,O417)</f>
        <v>0</v>
      </c>
      <c r="G417" s="4" t="s">
        <v>217</v>
      </c>
      <c r="H417" s="4" t="s">
        <v>218</v>
      </c>
      <c r="I417" s="4"/>
      <c r="J417" s="4"/>
      <c r="K417" s="4">
        <v>222</v>
      </c>
      <c r="L417" s="4">
        <v>3</v>
      </c>
      <c r="M417" s="4">
        <v>3</v>
      </c>
      <c r="N417" s="4" t="s">
        <v>3</v>
      </c>
      <c r="O417" s="4">
        <v>2</v>
      </c>
      <c r="P417" s="4"/>
      <c r="Q417" s="4"/>
      <c r="R417" s="4"/>
      <c r="S417" s="4"/>
      <c r="T417" s="4"/>
      <c r="U417" s="4"/>
      <c r="V417" s="4"/>
      <c r="W417" s="4"/>
    </row>
    <row r="418" spans="1:23" x14ac:dyDescent="0.2">
      <c r="A418" s="4">
        <v>50</v>
      </c>
      <c r="B418" s="4">
        <v>0</v>
      </c>
      <c r="C418" s="4">
        <v>0</v>
      </c>
      <c r="D418" s="4">
        <v>1</v>
      </c>
      <c r="E418" s="4">
        <v>225</v>
      </c>
      <c r="F418" s="4">
        <f>ROUND(Source!AV413,O418)</f>
        <v>2567817.9900000002</v>
      </c>
      <c r="G418" s="4" t="s">
        <v>219</v>
      </c>
      <c r="H418" s="4" t="s">
        <v>220</v>
      </c>
      <c r="I418" s="4"/>
      <c r="J418" s="4"/>
      <c r="K418" s="4">
        <v>225</v>
      </c>
      <c r="L418" s="4">
        <v>4</v>
      </c>
      <c r="M418" s="4">
        <v>3</v>
      </c>
      <c r="N418" s="4" t="s">
        <v>3</v>
      </c>
      <c r="O418" s="4">
        <v>2</v>
      </c>
      <c r="P418" s="4"/>
      <c r="Q418" s="4"/>
      <c r="R418" s="4"/>
      <c r="S418" s="4"/>
      <c r="T418" s="4"/>
      <c r="U418" s="4"/>
      <c r="V418" s="4"/>
      <c r="W418" s="4"/>
    </row>
    <row r="419" spans="1:23" x14ac:dyDescent="0.2">
      <c r="A419" s="4">
        <v>50</v>
      </c>
      <c r="B419" s="4">
        <v>0</v>
      </c>
      <c r="C419" s="4">
        <v>0</v>
      </c>
      <c r="D419" s="4">
        <v>1</v>
      </c>
      <c r="E419" s="4">
        <v>226</v>
      </c>
      <c r="F419" s="4">
        <f>ROUND(Source!AW413,O419)</f>
        <v>2567817.9900000002</v>
      </c>
      <c r="G419" s="4" t="s">
        <v>221</v>
      </c>
      <c r="H419" s="4" t="s">
        <v>222</v>
      </c>
      <c r="I419" s="4"/>
      <c r="J419" s="4"/>
      <c r="K419" s="4">
        <v>226</v>
      </c>
      <c r="L419" s="4">
        <v>5</v>
      </c>
      <c r="M419" s="4">
        <v>3</v>
      </c>
      <c r="N419" s="4" t="s">
        <v>3</v>
      </c>
      <c r="O419" s="4">
        <v>2</v>
      </c>
      <c r="P419" s="4"/>
      <c r="Q419" s="4"/>
      <c r="R419" s="4"/>
      <c r="S419" s="4"/>
      <c r="T419" s="4"/>
      <c r="U419" s="4"/>
      <c r="V419" s="4"/>
      <c r="W419" s="4"/>
    </row>
    <row r="420" spans="1:23" x14ac:dyDescent="0.2">
      <c r="A420" s="4">
        <v>50</v>
      </c>
      <c r="B420" s="4">
        <v>0</v>
      </c>
      <c r="C420" s="4">
        <v>0</v>
      </c>
      <c r="D420" s="4">
        <v>1</v>
      </c>
      <c r="E420" s="4">
        <v>227</v>
      </c>
      <c r="F420" s="4">
        <f>ROUND(Source!AX413,O420)</f>
        <v>0</v>
      </c>
      <c r="G420" s="4" t="s">
        <v>223</v>
      </c>
      <c r="H420" s="4" t="s">
        <v>224</v>
      </c>
      <c r="I420" s="4"/>
      <c r="J420" s="4"/>
      <c r="K420" s="4">
        <v>227</v>
      </c>
      <c r="L420" s="4">
        <v>6</v>
      </c>
      <c r="M420" s="4">
        <v>3</v>
      </c>
      <c r="N420" s="4" t="s">
        <v>3</v>
      </c>
      <c r="O420" s="4">
        <v>2</v>
      </c>
      <c r="P420" s="4"/>
      <c r="Q420" s="4"/>
      <c r="R420" s="4"/>
      <c r="S420" s="4"/>
      <c r="T420" s="4"/>
      <c r="U420" s="4"/>
      <c r="V420" s="4"/>
      <c r="W420" s="4"/>
    </row>
    <row r="421" spans="1:23" x14ac:dyDescent="0.2">
      <c r="A421" s="4">
        <v>50</v>
      </c>
      <c r="B421" s="4">
        <v>0</v>
      </c>
      <c r="C421" s="4">
        <v>0</v>
      </c>
      <c r="D421" s="4">
        <v>1</v>
      </c>
      <c r="E421" s="4">
        <v>228</v>
      </c>
      <c r="F421" s="4">
        <f>ROUND(Source!AY413,O421)</f>
        <v>2567817.9900000002</v>
      </c>
      <c r="G421" s="4" t="s">
        <v>225</v>
      </c>
      <c r="H421" s="4" t="s">
        <v>226</v>
      </c>
      <c r="I421" s="4"/>
      <c r="J421" s="4"/>
      <c r="K421" s="4">
        <v>228</v>
      </c>
      <c r="L421" s="4">
        <v>7</v>
      </c>
      <c r="M421" s="4">
        <v>3</v>
      </c>
      <c r="N421" s="4" t="s">
        <v>3</v>
      </c>
      <c r="O421" s="4">
        <v>2</v>
      </c>
      <c r="P421" s="4"/>
      <c r="Q421" s="4"/>
      <c r="R421" s="4"/>
      <c r="S421" s="4"/>
      <c r="T421" s="4"/>
      <c r="U421" s="4"/>
      <c r="V421" s="4"/>
      <c r="W421" s="4"/>
    </row>
    <row r="422" spans="1:23" x14ac:dyDescent="0.2">
      <c r="A422" s="4">
        <v>50</v>
      </c>
      <c r="B422" s="4">
        <v>0</v>
      </c>
      <c r="C422" s="4">
        <v>0</v>
      </c>
      <c r="D422" s="4">
        <v>1</v>
      </c>
      <c r="E422" s="4">
        <v>216</v>
      </c>
      <c r="F422" s="4">
        <f>ROUND(Source!AP413,O422)</f>
        <v>0</v>
      </c>
      <c r="G422" s="4" t="s">
        <v>227</v>
      </c>
      <c r="H422" s="4" t="s">
        <v>228</v>
      </c>
      <c r="I422" s="4"/>
      <c r="J422" s="4"/>
      <c r="K422" s="4">
        <v>216</v>
      </c>
      <c r="L422" s="4">
        <v>8</v>
      </c>
      <c r="M422" s="4">
        <v>3</v>
      </c>
      <c r="N422" s="4" t="s">
        <v>3</v>
      </c>
      <c r="O422" s="4">
        <v>2</v>
      </c>
      <c r="P422" s="4"/>
      <c r="Q422" s="4"/>
      <c r="R422" s="4"/>
      <c r="S422" s="4"/>
      <c r="T422" s="4"/>
      <c r="U422" s="4"/>
      <c r="V422" s="4"/>
      <c r="W422" s="4"/>
    </row>
    <row r="423" spans="1:23" x14ac:dyDescent="0.2">
      <c r="A423" s="4">
        <v>50</v>
      </c>
      <c r="B423" s="4">
        <v>0</v>
      </c>
      <c r="C423" s="4">
        <v>0</v>
      </c>
      <c r="D423" s="4">
        <v>1</v>
      </c>
      <c r="E423" s="4">
        <v>223</v>
      </c>
      <c r="F423" s="4">
        <f>ROUND(Source!AQ413,O423)</f>
        <v>0</v>
      </c>
      <c r="G423" s="4" t="s">
        <v>229</v>
      </c>
      <c r="H423" s="4" t="s">
        <v>230</v>
      </c>
      <c r="I423" s="4"/>
      <c r="J423" s="4"/>
      <c r="K423" s="4">
        <v>223</v>
      </c>
      <c r="L423" s="4">
        <v>9</v>
      </c>
      <c r="M423" s="4">
        <v>3</v>
      </c>
      <c r="N423" s="4" t="s">
        <v>3</v>
      </c>
      <c r="O423" s="4">
        <v>2</v>
      </c>
      <c r="P423" s="4"/>
      <c r="Q423" s="4"/>
      <c r="R423" s="4"/>
      <c r="S423" s="4"/>
      <c r="T423" s="4"/>
      <c r="U423" s="4"/>
      <c r="V423" s="4"/>
      <c r="W423" s="4"/>
    </row>
    <row r="424" spans="1:23" x14ac:dyDescent="0.2">
      <c r="A424" s="4">
        <v>50</v>
      </c>
      <c r="B424" s="4">
        <v>0</v>
      </c>
      <c r="C424" s="4">
        <v>0</v>
      </c>
      <c r="D424" s="4">
        <v>1</v>
      </c>
      <c r="E424" s="4">
        <v>229</v>
      </c>
      <c r="F424" s="4">
        <f>ROUND(Source!AZ413,O424)</f>
        <v>0</v>
      </c>
      <c r="G424" s="4" t="s">
        <v>231</v>
      </c>
      <c r="H424" s="4" t="s">
        <v>232</v>
      </c>
      <c r="I424" s="4"/>
      <c r="J424" s="4"/>
      <c r="K424" s="4">
        <v>229</v>
      </c>
      <c r="L424" s="4">
        <v>10</v>
      </c>
      <c r="M424" s="4">
        <v>3</v>
      </c>
      <c r="N424" s="4" t="s">
        <v>3</v>
      </c>
      <c r="O424" s="4">
        <v>2</v>
      </c>
      <c r="P424" s="4"/>
      <c r="Q424" s="4"/>
      <c r="R424" s="4"/>
      <c r="S424" s="4"/>
      <c r="T424" s="4"/>
      <c r="U424" s="4"/>
      <c r="V424" s="4"/>
      <c r="W424" s="4"/>
    </row>
    <row r="425" spans="1:23" x14ac:dyDescent="0.2">
      <c r="A425" s="4">
        <v>50</v>
      </c>
      <c r="B425" s="4">
        <v>0</v>
      </c>
      <c r="C425" s="4">
        <v>0</v>
      </c>
      <c r="D425" s="4">
        <v>1</v>
      </c>
      <c r="E425" s="4">
        <v>203</v>
      </c>
      <c r="F425" s="4">
        <f>ROUND(Source!Q413,O425)</f>
        <v>0</v>
      </c>
      <c r="G425" s="4" t="s">
        <v>233</v>
      </c>
      <c r="H425" s="4" t="s">
        <v>234</v>
      </c>
      <c r="I425" s="4"/>
      <c r="J425" s="4"/>
      <c r="K425" s="4">
        <v>203</v>
      </c>
      <c r="L425" s="4">
        <v>11</v>
      </c>
      <c r="M425" s="4">
        <v>3</v>
      </c>
      <c r="N425" s="4" t="s">
        <v>3</v>
      </c>
      <c r="O425" s="4">
        <v>2</v>
      </c>
      <c r="P425" s="4"/>
      <c r="Q425" s="4"/>
      <c r="R425" s="4"/>
      <c r="S425" s="4"/>
      <c r="T425" s="4"/>
      <c r="U425" s="4"/>
      <c r="V425" s="4"/>
      <c r="W425" s="4"/>
    </row>
    <row r="426" spans="1:23" x14ac:dyDescent="0.2">
      <c r="A426" s="4">
        <v>50</v>
      </c>
      <c r="B426" s="4">
        <v>0</v>
      </c>
      <c r="C426" s="4">
        <v>0</v>
      </c>
      <c r="D426" s="4">
        <v>1</v>
      </c>
      <c r="E426" s="4">
        <v>231</v>
      </c>
      <c r="F426" s="4">
        <f>ROUND(Source!BB413,O426)</f>
        <v>0</v>
      </c>
      <c r="G426" s="4" t="s">
        <v>235</v>
      </c>
      <c r="H426" s="4" t="s">
        <v>236</v>
      </c>
      <c r="I426" s="4"/>
      <c r="J426" s="4"/>
      <c r="K426" s="4">
        <v>231</v>
      </c>
      <c r="L426" s="4">
        <v>12</v>
      </c>
      <c r="M426" s="4">
        <v>3</v>
      </c>
      <c r="N426" s="4" t="s">
        <v>3</v>
      </c>
      <c r="O426" s="4">
        <v>2</v>
      </c>
      <c r="P426" s="4"/>
      <c r="Q426" s="4"/>
      <c r="R426" s="4"/>
      <c r="S426" s="4"/>
      <c r="T426" s="4"/>
      <c r="U426" s="4"/>
      <c r="V426" s="4"/>
      <c r="W426" s="4"/>
    </row>
    <row r="427" spans="1:23" x14ac:dyDescent="0.2">
      <c r="A427" s="4">
        <v>50</v>
      </c>
      <c r="B427" s="4">
        <v>0</v>
      </c>
      <c r="C427" s="4">
        <v>0</v>
      </c>
      <c r="D427" s="4">
        <v>1</v>
      </c>
      <c r="E427" s="4">
        <v>204</v>
      </c>
      <c r="F427" s="4">
        <f>ROUND(Source!R413,O427)</f>
        <v>0</v>
      </c>
      <c r="G427" s="4" t="s">
        <v>237</v>
      </c>
      <c r="H427" s="4" t="s">
        <v>238</v>
      </c>
      <c r="I427" s="4"/>
      <c r="J427" s="4"/>
      <c r="K427" s="4">
        <v>204</v>
      </c>
      <c r="L427" s="4">
        <v>13</v>
      </c>
      <c r="M427" s="4">
        <v>3</v>
      </c>
      <c r="N427" s="4" t="s">
        <v>3</v>
      </c>
      <c r="O427" s="4">
        <v>2</v>
      </c>
      <c r="P427" s="4"/>
      <c r="Q427" s="4"/>
      <c r="R427" s="4"/>
      <c r="S427" s="4"/>
      <c r="T427" s="4"/>
      <c r="U427" s="4"/>
      <c r="V427" s="4"/>
      <c r="W427" s="4"/>
    </row>
    <row r="428" spans="1:23" x14ac:dyDescent="0.2">
      <c r="A428" s="4">
        <v>50</v>
      </c>
      <c r="B428" s="4">
        <v>0</v>
      </c>
      <c r="C428" s="4">
        <v>0</v>
      </c>
      <c r="D428" s="4">
        <v>1</v>
      </c>
      <c r="E428" s="4">
        <v>205</v>
      </c>
      <c r="F428" s="4">
        <f>ROUND(Source!S413,O428)</f>
        <v>0</v>
      </c>
      <c r="G428" s="4" t="s">
        <v>239</v>
      </c>
      <c r="H428" s="4" t="s">
        <v>240</v>
      </c>
      <c r="I428" s="4"/>
      <c r="J428" s="4"/>
      <c r="K428" s="4">
        <v>205</v>
      </c>
      <c r="L428" s="4">
        <v>14</v>
      </c>
      <c r="M428" s="4">
        <v>3</v>
      </c>
      <c r="N428" s="4" t="s">
        <v>3</v>
      </c>
      <c r="O428" s="4">
        <v>2</v>
      </c>
      <c r="P428" s="4"/>
      <c r="Q428" s="4"/>
      <c r="R428" s="4"/>
      <c r="S428" s="4"/>
      <c r="T428" s="4"/>
      <c r="U428" s="4"/>
      <c r="V428" s="4"/>
      <c r="W428" s="4"/>
    </row>
    <row r="429" spans="1:23" x14ac:dyDescent="0.2">
      <c r="A429" s="4">
        <v>50</v>
      </c>
      <c r="B429" s="4">
        <v>0</v>
      </c>
      <c r="C429" s="4">
        <v>0</v>
      </c>
      <c r="D429" s="4">
        <v>1</v>
      </c>
      <c r="E429" s="4">
        <v>232</v>
      </c>
      <c r="F429" s="4">
        <f>ROUND(Source!BC413,O429)</f>
        <v>0</v>
      </c>
      <c r="G429" s="4" t="s">
        <v>241</v>
      </c>
      <c r="H429" s="4" t="s">
        <v>242</v>
      </c>
      <c r="I429" s="4"/>
      <c r="J429" s="4"/>
      <c r="K429" s="4">
        <v>232</v>
      </c>
      <c r="L429" s="4">
        <v>15</v>
      </c>
      <c r="M429" s="4">
        <v>3</v>
      </c>
      <c r="N429" s="4" t="s">
        <v>3</v>
      </c>
      <c r="O429" s="4">
        <v>2</v>
      </c>
      <c r="P429" s="4"/>
      <c r="Q429" s="4"/>
      <c r="R429" s="4"/>
      <c r="S429" s="4"/>
      <c r="T429" s="4"/>
      <c r="U429" s="4"/>
      <c r="V429" s="4"/>
      <c r="W429" s="4"/>
    </row>
    <row r="430" spans="1:23" x14ac:dyDescent="0.2">
      <c r="A430" s="4">
        <v>50</v>
      </c>
      <c r="B430" s="4">
        <v>0</v>
      </c>
      <c r="C430" s="4">
        <v>0</v>
      </c>
      <c r="D430" s="4">
        <v>1</v>
      </c>
      <c r="E430" s="4">
        <v>214</v>
      </c>
      <c r="F430" s="4">
        <f>ROUND(Source!AS413,O430)</f>
        <v>2567817.9900000002</v>
      </c>
      <c r="G430" s="4" t="s">
        <v>243</v>
      </c>
      <c r="H430" s="4" t="s">
        <v>244</v>
      </c>
      <c r="I430" s="4"/>
      <c r="J430" s="4"/>
      <c r="K430" s="4">
        <v>214</v>
      </c>
      <c r="L430" s="4">
        <v>16</v>
      </c>
      <c r="M430" s="4">
        <v>3</v>
      </c>
      <c r="N430" s="4" t="s">
        <v>3</v>
      </c>
      <c r="O430" s="4">
        <v>2</v>
      </c>
      <c r="P430" s="4"/>
      <c r="Q430" s="4"/>
      <c r="R430" s="4"/>
      <c r="S430" s="4"/>
      <c r="T430" s="4"/>
      <c r="U430" s="4"/>
      <c r="V430" s="4"/>
      <c r="W430" s="4"/>
    </row>
    <row r="431" spans="1:23" x14ac:dyDescent="0.2">
      <c r="A431" s="4">
        <v>50</v>
      </c>
      <c r="B431" s="4">
        <v>0</v>
      </c>
      <c r="C431" s="4">
        <v>0</v>
      </c>
      <c r="D431" s="4">
        <v>1</v>
      </c>
      <c r="E431" s="4">
        <v>215</v>
      </c>
      <c r="F431" s="4">
        <f>ROUND(Source!AT413,O431)</f>
        <v>0</v>
      </c>
      <c r="G431" s="4" t="s">
        <v>245</v>
      </c>
      <c r="H431" s="4" t="s">
        <v>246</v>
      </c>
      <c r="I431" s="4"/>
      <c r="J431" s="4"/>
      <c r="K431" s="4">
        <v>215</v>
      </c>
      <c r="L431" s="4">
        <v>17</v>
      </c>
      <c r="M431" s="4">
        <v>3</v>
      </c>
      <c r="N431" s="4" t="s">
        <v>3</v>
      </c>
      <c r="O431" s="4">
        <v>2</v>
      </c>
      <c r="P431" s="4"/>
      <c r="Q431" s="4"/>
      <c r="R431" s="4"/>
      <c r="S431" s="4"/>
      <c r="T431" s="4"/>
      <c r="U431" s="4"/>
      <c r="V431" s="4"/>
      <c r="W431" s="4"/>
    </row>
    <row r="432" spans="1:23" x14ac:dyDescent="0.2">
      <c r="A432" s="4">
        <v>50</v>
      </c>
      <c r="B432" s="4">
        <v>0</v>
      </c>
      <c r="C432" s="4">
        <v>0</v>
      </c>
      <c r="D432" s="4">
        <v>1</v>
      </c>
      <c r="E432" s="4">
        <v>217</v>
      </c>
      <c r="F432" s="4">
        <f>ROUND(Source!AU413,O432)</f>
        <v>0</v>
      </c>
      <c r="G432" s="4" t="s">
        <v>247</v>
      </c>
      <c r="H432" s="4" t="s">
        <v>248</v>
      </c>
      <c r="I432" s="4"/>
      <c r="J432" s="4"/>
      <c r="K432" s="4">
        <v>217</v>
      </c>
      <c r="L432" s="4">
        <v>18</v>
      </c>
      <c r="M432" s="4">
        <v>3</v>
      </c>
      <c r="N432" s="4" t="s">
        <v>3</v>
      </c>
      <c r="O432" s="4">
        <v>2</v>
      </c>
      <c r="P432" s="4"/>
      <c r="Q432" s="4"/>
      <c r="R432" s="4"/>
      <c r="S432" s="4"/>
      <c r="T432" s="4"/>
      <c r="U432" s="4"/>
      <c r="V432" s="4"/>
      <c r="W432" s="4"/>
    </row>
    <row r="433" spans="1:206" x14ac:dyDescent="0.2">
      <c r="A433" s="4">
        <v>50</v>
      </c>
      <c r="B433" s="4">
        <v>0</v>
      </c>
      <c r="C433" s="4">
        <v>0</v>
      </c>
      <c r="D433" s="4">
        <v>1</v>
      </c>
      <c r="E433" s="4">
        <v>230</v>
      </c>
      <c r="F433" s="4">
        <f>ROUND(Source!BA413,O433)</f>
        <v>0</v>
      </c>
      <c r="G433" s="4" t="s">
        <v>249</v>
      </c>
      <c r="H433" s="4" t="s">
        <v>250</v>
      </c>
      <c r="I433" s="4"/>
      <c r="J433" s="4"/>
      <c r="K433" s="4">
        <v>230</v>
      </c>
      <c r="L433" s="4">
        <v>19</v>
      </c>
      <c r="M433" s="4">
        <v>3</v>
      </c>
      <c r="N433" s="4" t="s">
        <v>3</v>
      </c>
      <c r="O433" s="4">
        <v>2</v>
      </c>
      <c r="P433" s="4"/>
      <c r="Q433" s="4"/>
      <c r="R433" s="4"/>
      <c r="S433" s="4"/>
      <c r="T433" s="4"/>
      <c r="U433" s="4"/>
      <c r="V433" s="4"/>
      <c r="W433" s="4"/>
    </row>
    <row r="434" spans="1:206" x14ac:dyDescent="0.2">
      <c r="A434" s="4">
        <v>50</v>
      </c>
      <c r="B434" s="4">
        <v>0</v>
      </c>
      <c r="C434" s="4">
        <v>0</v>
      </c>
      <c r="D434" s="4">
        <v>1</v>
      </c>
      <c r="E434" s="4">
        <v>206</v>
      </c>
      <c r="F434" s="4">
        <f>ROUND(Source!T413,O434)</f>
        <v>0</v>
      </c>
      <c r="G434" s="4" t="s">
        <v>251</v>
      </c>
      <c r="H434" s="4" t="s">
        <v>252</v>
      </c>
      <c r="I434" s="4"/>
      <c r="J434" s="4"/>
      <c r="K434" s="4">
        <v>206</v>
      </c>
      <c r="L434" s="4">
        <v>20</v>
      </c>
      <c r="M434" s="4">
        <v>3</v>
      </c>
      <c r="N434" s="4" t="s">
        <v>3</v>
      </c>
      <c r="O434" s="4">
        <v>2</v>
      </c>
      <c r="P434" s="4"/>
      <c r="Q434" s="4"/>
      <c r="R434" s="4"/>
      <c r="S434" s="4"/>
      <c r="T434" s="4"/>
      <c r="U434" s="4"/>
      <c r="V434" s="4"/>
      <c r="W434" s="4"/>
    </row>
    <row r="435" spans="1:206" x14ac:dyDescent="0.2">
      <c r="A435" s="4">
        <v>50</v>
      </c>
      <c r="B435" s="4">
        <v>0</v>
      </c>
      <c r="C435" s="4">
        <v>0</v>
      </c>
      <c r="D435" s="4">
        <v>1</v>
      </c>
      <c r="E435" s="4">
        <v>207</v>
      </c>
      <c r="F435" s="4">
        <f>Source!U413</f>
        <v>0</v>
      </c>
      <c r="G435" s="4" t="s">
        <v>253</v>
      </c>
      <c r="H435" s="4" t="s">
        <v>254</v>
      </c>
      <c r="I435" s="4"/>
      <c r="J435" s="4"/>
      <c r="K435" s="4">
        <v>207</v>
      </c>
      <c r="L435" s="4">
        <v>21</v>
      </c>
      <c r="M435" s="4">
        <v>3</v>
      </c>
      <c r="N435" s="4" t="s">
        <v>3</v>
      </c>
      <c r="O435" s="4">
        <v>-1</v>
      </c>
      <c r="P435" s="4"/>
      <c r="Q435" s="4"/>
      <c r="R435" s="4"/>
      <c r="S435" s="4"/>
      <c r="T435" s="4"/>
      <c r="U435" s="4"/>
      <c r="V435" s="4"/>
      <c r="W435" s="4"/>
    </row>
    <row r="436" spans="1:206" x14ac:dyDescent="0.2">
      <c r="A436" s="4">
        <v>50</v>
      </c>
      <c r="B436" s="4">
        <v>0</v>
      </c>
      <c r="C436" s="4">
        <v>0</v>
      </c>
      <c r="D436" s="4">
        <v>1</v>
      </c>
      <c r="E436" s="4">
        <v>208</v>
      </c>
      <c r="F436" s="4">
        <f>Source!V413</f>
        <v>0</v>
      </c>
      <c r="G436" s="4" t="s">
        <v>255</v>
      </c>
      <c r="H436" s="4" t="s">
        <v>256</v>
      </c>
      <c r="I436" s="4"/>
      <c r="J436" s="4"/>
      <c r="K436" s="4">
        <v>208</v>
      </c>
      <c r="L436" s="4">
        <v>22</v>
      </c>
      <c r="M436" s="4">
        <v>3</v>
      </c>
      <c r="N436" s="4" t="s">
        <v>3</v>
      </c>
      <c r="O436" s="4">
        <v>-1</v>
      </c>
      <c r="P436" s="4"/>
      <c r="Q436" s="4"/>
      <c r="R436" s="4"/>
      <c r="S436" s="4"/>
      <c r="T436" s="4"/>
      <c r="U436" s="4"/>
      <c r="V436" s="4"/>
      <c r="W436" s="4"/>
    </row>
    <row r="437" spans="1:206" x14ac:dyDescent="0.2">
      <c r="A437" s="4">
        <v>50</v>
      </c>
      <c r="B437" s="4">
        <v>0</v>
      </c>
      <c r="C437" s="4">
        <v>0</v>
      </c>
      <c r="D437" s="4">
        <v>1</v>
      </c>
      <c r="E437" s="4">
        <v>209</v>
      </c>
      <c r="F437" s="4">
        <f>ROUND(Source!W413,O437)</f>
        <v>0</v>
      </c>
      <c r="G437" s="4" t="s">
        <v>257</v>
      </c>
      <c r="H437" s="4" t="s">
        <v>258</v>
      </c>
      <c r="I437" s="4"/>
      <c r="J437" s="4"/>
      <c r="K437" s="4">
        <v>209</v>
      </c>
      <c r="L437" s="4">
        <v>23</v>
      </c>
      <c r="M437" s="4">
        <v>3</v>
      </c>
      <c r="N437" s="4" t="s">
        <v>3</v>
      </c>
      <c r="O437" s="4">
        <v>2</v>
      </c>
      <c r="P437" s="4"/>
      <c r="Q437" s="4"/>
      <c r="R437" s="4"/>
      <c r="S437" s="4"/>
      <c r="T437" s="4"/>
      <c r="U437" s="4"/>
      <c r="V437" s="4"/>
      <c r="W437" s="4"/>
    </row>
    <row r="438" spans="1:206" x14ac:dyDescent="0.2">
      <c r="A438" s="4">
        <v>50</v>
      </c>
      <c r="B438" s="4">
        <v>0</v>
      </c>
      <c r="C438" s="4">
        <v>0</v>
      </c>
      <c r="D438" s="4">
        <v>1</v>
      </c>
      <c r="E438" s="4">
        <v>233</v>
      </c>
      <c r="F438" s="4">
        <f>ROUND(Source!BD413,O438)</f>
        <v>0</v>
      </c>
      <c r="G438" s="4" t="s">
        <v>259</v>
      </c>
      <c r="H438" s="4" t="s">
        <v>260</v>
      </c>
      <c r="I438" s="4"/>
      <c r="J438" s="4"/>
      <c r="K438" s="4">
        <v>233</v>
      </c>
      <c r="L438" s="4">
        <v>24</v>
      </c>
      <c r="M438" s="4">
        <v>3</v>
      </c>
      <c r="N438" s="4" t="s">
        <v>3</v>
      </c>
      <c r="O438" s="4">
        <v>2</v>
      </c>
      <c r="P438" s="4"/>
      <c r="Q438" s="4"/>
      <c r="R438" s="4"/>
      <c r="S438" s="4"/>
      <c r="T438" s="4"/>
      <c r="U438" s="4"/>
      <c r="V438" s="4"/>
      <c r="W438" s="4"/>
    </row>
    <row r="439" spans="1:206" x14ac:dyDescent="0.2">
      <c r="A439" s="4">
        <v>50</v>
      </c>
      <c r="B439" s="4">
        <v>0</v>
      </c>
      <c r="C439" s="4">
        <v>0</v>
      </c>
      <c r="D439" s="4">
        <v>1</v>
      </c>
      <c r="E439" s="4">
        <v>210</v>
      </c>
      <c r="F439" s="4">
        <f>ROUND(Source!X413,O439)</f>
        <v>0</v>
      </c>
      <c r="G439" s="4" t="s">
        <v>261</v>
      </c>
      <c r="H439" s="4" t="s">
        <v>262</v>
      </c>
      <c r="I439" s="4"/>
      <c r="J439" s="4"/>
      <c r="K439" s="4">
        <v>210</v>
      </c>
      <c r="L439" s="4">
        <v>25</v>
      </c>
      <c r="M439" s="4">
        <v>3</v>
      </c>
      <c r="N439" s="4" t="s">
        <v>3</v>
      </c>
      <c r="O439" s="4">
        <v>2</v>
      </c>
      <c r="P439" s="4"/>
      <c r="Q439" s="4"/>
      <c r="R439" s="4"/>
      <c r="S439" s="4"/>
      <c r="T439" s="4"/>
      <c r="U439" s="4"/>
      <c r="V439" s="4"/>
      <c r="W439" s="4"/>
    </row>
    <row r="440" spans="1:206" x14ac:dyDescent="0.2">
      <c r="A440" s="4">
        <v>50</v>
      </c>
      <c r="B440" s="4">
        <v>0</v>
      </c>
      <c r="C440" s="4">
        <v>0</v>
      </c>
      <c r="D440" s="4">
        <v>1</v>
      </c>
      <c r="E440" s="4">
        <v>211</v>
      </c>
      <c r="F440" s="4">
        <f>ROUND(Source!Y413,O440)</f>
        <v>0</v>
      </c>
      <c r="G440" s="4" t="s">
        <v>263</v>
      </c>
      <c r="H440" s="4" t="s">
        <v>264</v>
      </c>
      <c r="I440" s="4"/>
      <c r="J440" s="4"/>
      <c r="K440" s="4">
        <v>211</v>
      </c>
      <c r="L440" s="4">
        <v>26</v>
      </c>
      <c r="M440" s="4">
        <v>3</v>
      </c>
      <c r="N440" s="4" t="s">
        <v>3</v>
      </c>
      <c r="O440" s="4">
        <v>2</v>
      </c>
      <c r="P440" s="4"/>
      <c r="Q440" s="4"/>
      <c r="R440" s="4"/>
      <c r="S440" s="4"/>
      <c r="T440" s="4"/>
      <c r="U440" s="4"/>
      <c r="V440" s="4"/>
      <c r="W440" s="4"/>
    </row>
    <row r="441" spans="1:206" x14ac:dyDescent="0.2">
      <c r="A441" s="4">
        <v>50</v>
      </c>
      <c r="B441" s="4">
        <v>0</v>
      </c>
      <c r="C441" s="4">
        <v>0</v>
      </c>
      <c r="D441" s="4">
        <v>1</v>
      </c>
      <c r="E441" s="4">
        <v>224</v>
      </c>
      <c r="F441" s="4">
        <f>ROUND(Source!AR413,O441)</f>
        <v>2567817.9900000002</v>
      </c>
      <c r="G441" s="4" t="s">
        <v>265</v>
      </c>
      <c r="H441" s="4" t="s">
        <v>266</v>
      </c>
      <c r="I441" s="4"/>
      <c r="J441" s="4"/>
      <c r="K441" s="4">
        <v>224</v>
      </c>
      <c r="L441" s="4">
        <v>27</v>
      </c>
      <c r="M441" s="4">
        <v>3</v>
      </c>
      <c r="N441" s="4" t="s">
        <v>3</v>
      </c>
      <c r="O441" s="4">
        <v>2</v>
      </c>
      <c r="P441" s="4"/>
      <c r="Q441" s="4"/>
      <c r="R441" s="4"/>
      <c r="S441" s="4"/>
      <c r="T441" s="4"/>
      <c r="U441" s="4"/>
      <c r="V441" s="4"/>
      <c r="W441" s="4"/>
    </row>
    <row r="443" spans="1:206" x14ac:dyDescent="0.2">
      <c r="A443" s="2">
        <v>51</v>
      </c>
      <c r="B443" s="2">
        <f>B378</f>
        <v>1</v>
      </c>
      <c r="C443" s="2">
        <f>A378</f>
        <v>4</v>
      </c>
      <c r="D443" s="2">
        <f>ROW(A378)</f>
        <v>378</v>
      </c>
      <c r="E443" s="2"/>
      <c r="F443" s="2" t="str">
        <f>IF(F378&lt;&gt;"",F378,"")</f>
        <v>Новый раздел</v>
      </c>
      <c r="G443" s="2" t="str">
        <f>IF(G378&lt;&gt;"",G378,"")</f>
        <v>Система автополива</v>
      </c>
      <c r="H443" s="2">
        <v>0</v>
      </c>
      <c r="I443" s="2"/>
      <c r="J443" s="2"/>
      <c r="K443" s="2"/>
      <c r="L443" s="2"/>
      <c r="M443" s="2"/>
      <c r="N443" s="2"/>
      <c r="O443" s="2">
        <f t="shared" ref="O443:T443" si="396">ROUND(O413+AB443,2)</f>
        <v>3494814.8</v>
      </c>
      <c r="P443" s="2">
        <f t="shared" si="396"/>
        <v>2942536.72</v>
      </c>
      <c r="Q443" s="2">
        <f t="shared" si="396"/>
        <v>293169.91999999998</v>
      </c>
      <c r="R443" s="2">
        <f t="shared" si="396"/>
        <v>15124.09</v>
      </c>
      <c r="S443" s="2">
        <f t="shared" si="396"/>
        <v>259108.16</v>
      </c>
      <c r="T443" s="2">
        <f t="shared" si="396"/>
        <v>0</v>
      </c>
      <c r="U443" s="2">
        <f>U413+AH443</f>
        <v>869.07292499999983</v>
      </c>
      <c r="V443" s="2">
        <f>V413+AI443</f>
        <v>0</v>
      </c>
      <c r="W443" s="2">
        <f>ROUND(W413+AJ443,2)</f>
        <v>0</v>
      </c>
      <c r="X443" s="2">
        <f>ROUND(X413+AK443,2)</f>
        <v>246444.2</v>
      </c>
      <c r="Y443" s="2">
        <f>ROUND(Y413+AL443,2)</f>
        <v>119364.23</v>
      </c>
      <c r="Z443" s="2"/>
      <c r="AA443" s="2"/>
      <c r="AB443" s="2">
        <f>ROUND(SUMIF(AA382:AA404,"=42938047",O382:O404),2)</f>
        <v>926996.81</v>
      </c>
      <c r="AC443" s="2">
        <f>ROUND(SUMIF(AA382:AA404,"=42938047",P382:P404),2)</f>
        <v>374718.73</v>
      </c>
      <c r="AD443" s="2">
        <f>ROUND(SUMIF(AA382:AA404,"=42938047",Q382:Q404),2)</f>
        <v>293169.91999999998</v>
      </c>
      <c r="AE443" s="2">
        <f>ROUND(SUMIF(AA382:AA404,"=42938047",R382:R404),2)</f>
        <v>15124.09</v>
      </c>
      <c r="AF443" s="2">
        <f>ROUND(SUMIF(AA382:AA404,"=42938047",S382:S404),2)</f>
        <v>259108.16</v>
      </c>
      <c r="AG443" s="2">
        <f>ROUND(SUMIF(AA382:AA404,"=42938047",T382:T404),2)</f>
        <v>0</v>
      </c>
      <c r="AH443" s="2">
        <f>SUMIF(AA382:AA404,"=42938047",U382:U404)</f>
        <v>869.07292499999983</v>
      </c>
      <c r="AI443" s="2">
        <f>SUMIF(AA382:AA404,"=42938047",V382:V404)</f>
        <v>0</v>
      </c>
      <c r="AJ443" s="2">
        <f>ROUND(SUMIF(AA382:AA404,"=42938047",W382:W404),2)</f>
        <v>0</v>
      </c>
      <c r="AK443" s="2">
        <f>ROUND(SUMIF(AA382:AA404,"=42938047",X382:X404),2)</f>
        <v>246444.2</v>
      </c>
      <c r="AL443" s="2">
        <f>ROUND(SUMIF(AA382:AA404,"=42938047",Y382:Y404),2)</f>
        <v>119364.23</v>
      </c>
      <c r="AM443" s="2"/>
      <c r="AN443" s="2"/>
      <c r="AO443" s="2">
        <f t="shared" ref="AO443:BD443" si="397">ROUND(AO413+BX443,2)</f>
        <v>0</v>
      </c>
      <c r="AP443" s="2">
        <f t="shared" si="397"/>
        <v>0</v>
      </c>
      <c r="AQ443" s="2">
        <f t="shared" si="397"/>
        <v>0</v>
      </c>
      <c r="AR443" s="2">
        <f t="shared" si="397"/>
        <v>3884368.06</v>
      </c>
      <c r="AS443" s="2">
        <f t="shared" si="397"/>
        <v>3501555.32</v>
      </c>
      <c r="AT443" s="2">
        <f t="shared" si="397"/>
        <v>131175.78</v>
      </c>
      <c r="AU443" s="2">
        <f t="shared" si="397"/>
        <v>251636.96</v>
      </c>
      <c r="AV443" s="2">
        <f t="shared" si="397"/>
        <v>2942536.72</v>
      </c>
      <c r="AW443" s="2">
        <f t="shared" si="397"/>
        <v>2942536.72</v>
      </c>
      <c r="AX443" s="2">
        <f t="shared" si="397"/>
        <v>0</v>
      </c>
      <c r="AY443" s="2">
        <f t="shared" si="397"/>
        <v>2942536.72</v>
      </c>
      <c r="AZ443" s="2">
        <f t="shared" si="397"/>
        <v>0</v>
      </c>
      <c r="BA443" s="2">
        <f t="shared" si="397"/>
        <v>0</v>
      </c>
      <c r="BB443" s="2">
        <f t="shared" si="397"/>
        <v>0</v>
      </c>
      <c r="BC443" s="2">
        <f t="shared" si="397"/>
        <v>0</v>
      </c>
      <c r="BD443" s="2">
        <f t="shared" si="397"/>
        <v>0</v>
      </c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>
        <f>ROUND(SUMIF(AA382:AA404,"=42938047",FQ382:FQ404),2)</f>
        <v>0</v>
      </c>
      <c r="BY443" s="2">
        <f>ROUND(SUMIF(AA382:AA404,"=42938047",FR382:FR404),2)</f>
        <v>0</v>
      </c>
      <c r="BZ443" s="2">
        <f>ROUND(SUMIF(AA382:AA404,"=42938047",GL382:GL404),2)</f>
        <v>0</v>
      </c>
      <c r="CA443" s="2">
        <f>ROUND(SUMIF(AA382:AA404,"=42938047",GM382:GM404),2)</f>
        <v>1316550.07</v>
      </c>
      <c r="CB443" s="2">
        <f>ROUND(SUMIF(AA382:AA404,"=42938047",GN382:GN404),2)</f>
        <v>933737.33</v>
      </c>
      <c r="CC443" s="2">
        <f>ROUND(SUMIF(AA382:AA404,"=42938047",GO382:GO404),2)</f>
        <v>131175.78</v>
      </c>
      <c r="CD443" s="2">
        <f>ROUND(SUMIF(AA382:AA404,"=42938047",GP382:GP404),2)</f>
        <v>251636.96</v>
      </c>
      <c r="CE443" s="2">
        <f>AC443-BX443</f>
        <v>374718.73</v>
      </c>
      <c r="CF443" s="2">
        <f>AC443-BY443</f>
        <v>374718.73</v>
      </c>
      <c r="CG443" s="2">
        <f>BX443-BZ443</f>
        <v>0</v>
      </c>
      <c r="CH443" s="2">
        <f>AC443-BX443-BY443+BZ443</f>
        <v>374718.73</v>
      </c>
      <c r="CI443" s="2">
        <f>BY443-BZ443</f>
        <v>0</v>
      </c>
      <c r="CJ443" s="2">
        <f>ROUND(SUMIF(AA382:AA404,"=42938047",GX382:GX404),2)</f>
        <v>0</v>
      </c>
      <c r="CK443" s="2">
        <f>ROUND(SUMIF(AA382:AA404,"=42938047",GY382:GY404),2)</f>
        <v>0</v>
      </c>
      <c r="CL443" s="2">
        <f>ROUND(SUMIF(AA382:AA404,"=42938047",GZ382:GZ404),2)</f>
        <v>0</v>
      </c>
      <c r="CM443" s="2">
        <f>ROUND(SUMIF(AA382:AA404,"=42938047",HD382:HD404),2)</f>
        <v>0</v>
      </c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3"/>
      <c r="DH443" s="3"/>
      <c r="DI443" s="3"/>
      <c r="DJ443" s="3"/>
      <c r="DK443" s="3"/>
      <c r="DL443" s="3"/>
      <c r="DM443" s="3"/>
      <c r="DN443" s="3"/>
      <c r="DO443" s="3"/>
      <c r="DP443" s="3"/>
      <c r="DQ443" s="3"/>
      <c r="DR443" s="3"/>
      <c r="DS443" s="3"/>
      <c r="DT443" s="3"/>
      <c r="DU443" s="3"/>
      <c r="DV443" s="3"/>
      <c r="DW443" s="3"/>
      <c r="DX443" s="3"/>
      <c r="DY443" s="3"/>
      <c r="DZ443" s="3"/>
      <c r="EA443" s="3"/>
      <c r="EB443" s="3"/>
      <c r="EC443" s="3"/>
      <c r="ED443" s="3"/>
      <c r="EE443" s="3"/>
      <c r="EF443" s="3"/>
      <c r="EG443" s="3"/>
      <c r="EH443" s="3"/>
      <c r="EI443" s="3"/>
      <c r="EJ443" s="3"/>
      <c r="EK443" s="3"/>
      <c r="EL443" s="3"/>
      <c r="EM443" s="3"/>
      <c r="EN443" s="3"/>
      <c r="EO443" s="3"/>
      <c r="EP443" s="3"/>
      <c r="EQ443" s="3"/>
      <c r="ER443" s="3"/>
      <c r="ES443" s="3"/>
      <c r="ET443" s="3"/>
      <c r="EU443" s="3"/>
      <c r="EV443" s="3"/>
      <c r="EW443" s="3"/>
      <c r="EX443" s="3"/>
      <c r="EY443" s="3"/>
      <c r="EZ443" s="3"/>
      <c r="FA443" s="3"/>
      <c r="FB443" s="3"/>
      <c r="FC443" s="3"/>
      <c r="FD443" s="3"/>
      <c r="FE443" s="3"/>
      <c r="FF443" s="3"/>
      <c r="FG443" s="3"/>
      <c r="FH443" s="3"/>
      <c r="FI443" s="3"/>
      <c r="FJ443" s="3"/>
      <c r="FK443" s="3"/>
      <c r="FL443" s="3"/>
      <c r="FM443" s="3"/>
      <c r="FN443" s="3"/>
      <c r="FO443" s="3"/>
      <c r="FP443" s="3"/>
      <c r="FQ443" s="3"/>
      <c r="FR443" s="3"/>
      <c r="FS443" s="3"/>
      <c r="FT443" s="3"/>
      <c r="FU443" s="3"/>
      <c r="FV443" s="3"/>
      <c r="FW443" s="3"/>
      <c r="FX443" s="3"/>
      <c r="FY443" s="3"/>
      <c r="FZ443" s="3"/>
      <c r="GA443" s="3"/>
      <c r="GB443" s="3"/>
      <c r="GC443" s="3"/>
      <c r="GD443" s="3"/>
      <c r="GE443" s="3"/>
      <c r="GF443" s="3"/>
      <c r="GG443" s="3"/>
      <c r="GH443" s="3"/>
      <c r="GI443" s="3"/>
      <c r="GJ443" s="3"/>
      <c r="GK443" s="3"/>
      <c r="GL443" s="3"/>
      <c r="GM443" s="3"/>
      <c r="GN443" s="3"/>
      <c r="GO443" s="3"/>
      <c r="GP443" s="3"/>
      <c r="GQ443" s="3"/>
      <c r="GR443" s="3"/>
      <c r="GS443" s="3"/>
      <c r="GT443" s="3"/>
      <c r="GU443" s="3"/>
      <c r="GV443" s="3"/>
      <c r="GW443" s="3"/>
      <c r="GX443" s="3">
        <v>0</v>
      </c>
    </row>
    <row r="445" spans="1:206" x14ac:dyDescent="0.2">
      <c r="A445" s="4">
        <v>50</v>
      </c>
      <c r="B445" s="4">
        <v>0</v>
      </c>
      <c r="C445" s="4">
        <v>0</v>
      </c>
      <c r="D445" s="4">
        <v>1</v>
      </c>
      <c r="E445" s="4">
        <v>201</v>
      </c>
      <c r="F445" s="4">
        <f>ROUND(Source!O443,O445)</f>
        <v>3494814.8</v>
      </c>
      <c r="G445" s="4" t="s">
        <v>213</v>
      </c>
      <c r="H445" s="4" t="s">
        <v>214</v>
      </c>
      <c r="I445" s="4"/>
      <c r="J445" s="4"/>
      <c r="K445" s="4">
        <v>201</v>
      </c>
      <c r="L445" s="4">
        <v>1</v>
      </c>
      <c r="M445" s="4">
        <v>3</v>
      </c>
      <c r="N445" s="4" t="s">
        <v>3</v>
      </c>
      <c r="O445" s="4">
        <v>2</v>
      </c>
      <c r="P445" s="4"/>
      <c r="Q445" s="4"/>
      <c r="R445" s="4"/>
      <c r="S445" s="4"/>
      <c r="T445" s="4"/>
      <c r="U445" s="4"/>
      <c r="V445" s="4"/>
      <c r="W445" s="4"/>
    </row>
    <row r="446" spans="1:206" x14ac:dyDescent="0.2">
      <c r="A446" s="4">
        <v>50</v>
      </c>
      <c r="B446" s="4">
        <v>0</v>
      </c>
      <c r="C446" s="4">
        <v>0</v>
      </c>
      <c r="D446" s="4">
        <v>1</v>
      </c>
      <c r="E446" s="4">
        <v>202</v>
      </c>
      <c r="F446" s="4">
        <f>ROUND(Source!P443,O446)</f>
        <v>2942536.72</v>
      </c>
      <c r="G446" s="4" t="s">
        <v>215</v>
      </c>
      <c r="H446" s="4" t="s">
        <v>216</v>
      </c>
      <c r="I446" s="4"/>
      <c r="J446" s="4"/>
      <c r="K446" s="4">
        <v>202</v>
      </c>
      <c r="L446" s="4">
        <v>2</v>
      </c>
      <c r="M446" s="4">
        <v>3</v>
      </c>
      <c r="N446" s="4" t="s">
        <v>3</v>
      </c>
      <c r="O446" s="4">
        <v>2</v>
      </c>
      <c r="P446" s="4"/>
      <c r="Q446" s="4"/>
      <c r="R446" s="4"/>
      <c r="S446" s="4"/>
      <c r="T446" s="4"/>
      <c r="U446" s="4"/>
      <c r="V446" s="4"/>
      <c r="W446" s="4"/>
    </row>
    <row r="447" spans="1:206" x14ac:dyDescent="0.2">
      <c r="A447" s="4">
        <v>50</v>
      </c>
      <c r="B447" s="4">
        <v>0</v>
      </c>
      <c r="C447" s="4">
        <v>0</v>
      </c>
      <c r="D447" s="4">
        <v>1</v>
      </c>
      <c r="E447" s="4">
        <v>222</v>
      </c>
      <c r="F447" s="4">
        <f>ROUND(Source!AO443,O447)</f>
        <v>0</v>
      </c>
      <c r="G447" s="4" t="s">
        <v>217</v>
      </c>
      <c r="H447" s="4" t="s">
        <v>218</v>
      </c>
      <c r="I447" s="4"/>
      <c r="J447" s="4"/>
      <c r="K447" s="4">
        <v>222</v>
      </c>
      <c r="L447" s="4">
        <v>3</v>
      </c>
      <c r="M447" s="4">
        <v>3</v>
      </c>
      <c r="N447" s="4" t="s">
        <v>3</v>
      </c>
      <c r="O447" s="4">
        <v>2</v>
      </c>
      <c r="P447" s="4"/>
      <c r="Q447" s="4"/>
      <c r="R447" s="4"/>
      <c r="S447" s="4"/>
      <c r="T447" s="4"/>
      <c r="U447" s="4"/>
      <c r="V447" s="4"/>
      <c r="W447" s="4"/>
    </row>
    <row r="448" spans="1:206" x14ac:dyDescent="0.2">
      <c r="A448" s="4">
        <v>50</v>
      </c>
      <c r="B448" s="4">
        <v>0</v>
      </c>
      <c r="C448" s="4">
        <v>0</v>
      </c>
      <c r="D448" s="4">
        <v>1</v>
      </c>
      <c r="E448" s="4">
        <v>225</v>
      </c>
      <c r="F448" s="4">
        <f>ROUND(Source!AV443,O448)</f>
        <v>2942536.72</v>
      </c>
      <c r="G448" s="4" t="s">
        <v>219</v>
      </c>
      <c r="H448" s="4" t="s">
        <v>220</v>
      </c>
      <c r="I448" s="4"/>
      <c r="J448" s="4"/>
      <c r="K448" s="4">
        <v>225</v>
      </c>
      <c r="L448" s="4">
        <v>4</v>
      </c>
      <c r="M448" s="4">
        <v>3</v>
      </c>
      <c r="N448" s="4" t="s">
        <v>3</v>
      </c>
      <c r="O448" s="4">
        <v>2</v>
      </c>
      <c r="P448" s="4"/>
      <c r="Q448" s="4"/>
      <c r="R448" s="4"/>
      <c r="S448" s="4"/>
      <c r="T448" s="4"/>
      <c r="U448" s="4"/>
      <c r="V448" s="4"/>
      <c r="W448" s="4"/>
    </row>
    <row r="449" spans="1:23" x14ac:dyDescent="0.2">
      <c r="A449" s="4">
        <v>50</v>
      </c>
      <c r="B449" s="4">
        <v>0</v>
      </c>
      <c r="C449" s="4">
        <v>0</v>
      </c>
      <c r="D449" s="4">
        <v>1</v>
      </c>
      <c r="E449" s="4">
        <v>226</v>
      </c>
      <c r="F449" s="4">
        <f>ROUND(Source!AW443,O449)</f>
        <v>2942536.72</v>
      </c>
      <c r="G449" s="4" t="s">
        <v>221</v>
      </c>
      <c r="H449" s="4" t="s">
        <v>222</v>
      </c>
      <c r="I449" s="4"/>
      <c r="J449" s="4"/>
      <c r="K449" s="4">
        <v>226</v>
      </c>
      <c r="L449" s="4">
        <v>5</v>
      </c>
      <c r="M449" s="4">
        <v>3</v>
      </c>
      <c r="N449" s="4" t="s">
        <v>3</v>
      </c>
      <c r="O449" s="4">
        <v>2</v>
      </c>
      <c r="P449" s="4"/>
      <c r="Q449" s="4"/>
      <c r="R449" s="4"/>
      <c r="S449" s="4"/>
      <c r="T449" s="4"/>
      <c r="U449" s="4"/>
      <c r="V449" s="4"/>
      <c r="W449" s="4"/>
    </row>
    <row r="450" spans="1:23" x14ac:dyDescent="0.2">
      <c r="A450" s="4">
        <v>50</v>
      </c>
      <c r="B450" s="4">
        <v>0</v>
      </c>
      <c r="C450" s="4">
        <v>0</v>
      </c>
      <c r="D450" s="4">
        <v>1</v>
      </c>
      <c r="E450" s="4">
        <v>227</v>
      </c>
      <c r="F450" s="4">
        <f>ROUND(Source!AX443,O450)</f>
        <v>0</v>
      </c>
      <c r="G450" s="4" t="s">
        <v>223</v>
      </c>
      <c r="H450" s="4" t="s">
        <v>224</v>
      </c>
      <c r="I450" s="4"/>
      <c r="J450" s="4"/>
      <c r="K450" s="4">
        <v>227</v>
      </c>
      <c r="L450" s="4">
        <v>6</v>
      </c>
      <c r="M450" s="4">
        <v>3</v>
      </c>
      <c r="N450" s="4" t="s">
        <v>3</v>
      </c>
      <c r="O450" s="4">
        <v>2</v>
      </c>
      <c r="P450" s="4"/>
      <c r="Q450" s="4"/>
      <c r="R450" s="4"/>
      <c r="S450" s="4"/>
      <c r="T450" s="4"/>
      <c r="U450" s="4"/>
      <c r="V450" s="4"/>
      <c r="W450" s="4"/>
    </row>
    <row r="451" spans="1:23" x14ac:dyDescent="0.2">
      <c r="A451" s="4">
        <v>50</v>
      </c>
      <c r="B451" s="4">
        <v>0</v>
      </c>
      <c r="C451" s="4">
        <v>0</v>
      </c>
      <c r="D451" s="4">
        <v>1</v>
      </c>
      <c r="E451" s="4">
        <v>228</v>
      </c>
      <c r="F451" s="4">
        <f>ROUND(Source!AY443,O451)</f>
        <v>2942536.72</v>
      </c>
      <c r="G451" s="4" t="s">
        <v>225</v>
      </c>
      <c r="H451" s="4" t="s">
        <v>226</v>
      </c>
      <c r="I451" s="4"/>
      <c r="J451" s="4"/>
      <c r="K451" s="4">
        <v>228</v>
      </c>
      <c r="L451" s="4">
        <v>7</v>
      </c>
      <c r="M451" s="4">
        <v>3</v>
      </c>
      <c r="N451" s="4" t="s">
        <v>3</v>
      </c>
      <c r="O451" s="4">
        <v>2</v>
      </c>
      <c r="P451" s="4"/>
      <c r="Q451" s="4"/>
      <c r="R451" s="4"/>
      <c r="S451" s="4"/>
      <c r="T451" s="4"/>
      <c r="U451" s="4"/>
      <c r="V451" s="4"/>
      <c r="W451" s="4"/>
    </row>
    <row r="452" spans="1:23" x14ac:dyDescent="0.2">
      <c r="A452" s="4">
        <v>50</v>
      </c>
      <c r="B452" s="4">
        <v>0</v>
      </c>
      <c r="C452" s="4">
        <v>0</v>
      </c>
      <c r="D452" s="4">
        <v>1</v>
      </c>
      <c r="E452" s="4">
        <v>216</v>
      </c>
      <c r="F452" s="4">
        <f>ROUND(Source!AP443,O452)</f>
        <v>0</v>
      </c>
      <c r="G452" s="4" t="s">
        <v>227</v>
      </c>
      <c r="H452" s="4" t="s">
        <v>228</v>
      </c>
      <c r="I452" s="4"/>
      <c r="J452" s="4"/>
      <c r="K452" s="4">
        <v>216</v>
      </c>
      <c r="L452" s="4">
        <v>8</v>
      </c>
      <c r="M452" s="4">
        <v>3</v>
      </c>
      <c r="N452" s="4" t="s">
        <v>3</v>
      </c>
      <c r="O452" s="4">
        <v>2</v>
      </c>
      <c r="P452" s="4"/>
      <c r="Q452" s="4"/>
      <c r="R452" s="4"/>
      <c r="S452" s="4"/>
      <c r="T452" s="4"/>
      <c r="U452" s="4"/>
      <c r="V452" s="4"/>
      <c r="W452" s="4"/>
    </row>
    <row r="453" spans="1:23" x14ac:dyDescent="0.2">
      <c r="A453" s="4">
        <v>50</v>
      </c>
      <c r="B453" s="4">
        <v>0</v>
      </c>
      <c r="C453" s="4">
        <v>0</v>
      </c>
      <c r="D453" s="4">
        <v>1</v>
      </c>
      <c r="E453" s="4">
        <v>223</v>
      </c>
      <c r="F453" s="4">
        <f>ROUND(Source!AQ443,O453)</f>
        <v>0</v>
      </c>
      <c r="G453" s="4" t="s">
        <v>229</v>
      </c>
      <c r="H453" s="4" t="s">
        <v>230</v>
      </c>
      <c r="I453" s="4"/>
      <c r="J453" s="4"/>
      <c r="K453" s="4">
        <v>223</v>
      </c>
      <c r="L453" s="4">
        <v>9</v>
      </c>
      <c r="M453" s="4">
        <v>3</v>
      </c>
      <c r="N453" s="4" t="s">
        <v>3</v>
      </c>
      <c r="O453" s="4">
        <v>2</v>
      </c>
      <c r="P453" s="4"/>
      <c r="Q453" s="4"/>
      <c r="R453" s="4"/>
      <c r="S453" s="4"/>
      <c r="T453" s="4"/>
      <c r="U453" s="4"/>
      <c r="V453" s="4"/>
      <c r="W453" s="4"/>
    </row>
    <row r="454" spans="1:23" x14ac:dyDescent="0.2">
      <c r="A454" s="4">
        <v>50</v>
      </c>
      <c r="B454" s="4">
        <v>0</v>
      </c>
      <c r="C454" s="4">
        <v>0</v>
      </c>
      <c r="D454" s="4">
        <v>1</v>
      </c>
      <c r="E454" s="4">
        <v>229</v>
      </c>
      <c r="F454" s="4">
        <f>ROUND(Source!AZ443,O454)</f>
        <v>0</v>
      </c>
      <c r="G454" s="4" t="s">
        <v>231</v>
      </c>
      <c r="H454" s="4" t="s">
        <v>232</v>
      </c>
      <c r="I454" s="4"/>
      <c r="J454" s="4"/>
      <c r="K454" s="4">
        <v>229</v>
      </c>
      <c r="L454" s="4">
        <v>10</v>
      </c>
      <c r="M454" s="4">
        <v>3</v>
      </c>
      <c r="N454" s="4" t="s">
        <v>3</v>
      </c>
      <c r="O454" s="4">
        <v>2</v>
      </c>
      <c r="P454" s="4"/>
      <c r="Q454" s="4"/>
      <c r="R454" s="4"/>
      <c r="S454" s="4"/>
      <c r="T454" s="4"/>
      <c r="U454" s="4"/>
      <c r="V454" s="4"/>
      <c r="W454" s="4"/>
    </row>
    <row r="455" spans="1:23" x14ac:dyDescent="0.2">
      <c r="A455" s="4">
        <v>50</v>
      </c>
      <c r="B455" s="4">
        <v>0</v>
      </c>
      <c r="C455" s="4">
        <v>0</v>
      </c>
      <c r="D455" s="4">
        <v>1</v>
      </c>
      <c r="E455" s="4">
        <v>203</v>
      </c>
      <c r="F455" s="4">
        <f>ROUND(Source!Q443,O455)</f>
        <v>293169.91999999998</v>
      </c>
      <c r="G455" s="4" t="s">
        <v>233</v>
      </c>
      <c r="H455" s="4" t="s">
        <v>234</v>
      </c>
      <c r="I455" s="4"/>
      <c r="J455" s="4"/>
      <c r="K455" s="4">
        <v>203</v>
      </c>
      <c r="L455" s="4">
        <v>11</v>
      </c>
      <c r="M455" s="4">
        <v>3</v>
      </c>
      <c r="N455" s="4" t="s">
        <v>3</v>
      </c>
      <c r="O455" s="4">
        <v>2</v>
      </c>
      <c r="P455" s="4"/>
      <c r="Q455" s="4"/>
      <c r="R455" s="4"/>
      <c r="S455" s="4"/>
      <c r="T455" s="4"/>
      <c r="U455" s="4"/>
      <c r="V455" s="4"/>
      <c r="W455" s="4"/>
    </row>
    <row r="456" spans="1:23" x14ac:dyDescent="0.2">
      <c r="A456" s="4">
        <v>50</v>
      </c>
      <c r="B456" s="4">
        <v>0</v>
      </c>
      <c r="C456" s="4">
        <v>0</v>
      </c>
      <c r="D456" s="4">
        <v>1</v>
      </c>
      <c r="E456" s="4">
        <v>231</v>
      </c>
      <c r="F456" s="4">
        <f>ROUND(Source!BB443,O456)</f>
        <v>0</v>
      </c>
      <c r="G456" s="4" t="s">
        <v>235</v>
      </c>
      <c r="H456" s="4" t="s">
        <v>236</v>
      </c>
      <c r="I456" s="4"/>
      <c r="J456" s="4"/>
      <c r="K456" s="4">
        <v>231</v>
      </c>
      <c r="L456" s="4">
        <v>12</v>
      </c>
      <c r="M456" s="4">
        <v>3</v>
      </c>
      <c r="N456" s="4" t="s">
        <v>3</v>
      </c>
      <c r="O456" s="4">
        <v>2</v>
      </c>
      <c r="P456" s="4"/>
      <c r="Q456" s="4"/>
      <c r="R456" s="4"/>
      <c r="S456" s="4"/>
      <c r="T456" s="4"/>
      <c r="U456" s="4"/>
      <c r="V456" s="4"/>
      <c r="W456" s="4"/>
    </row>
    <row r="457" spans="1:23" x14ac:dyDescent="0.2">
      <c r="A457" s="4">
        <v>50</v>
      </c>
      <c r="B457" s="4">
        <v>0</v>
      </c>
      <c r="C457" s="4">
        <v>0</v>
      </c>
      <c r="D457" s="4">
        <v>1</v>
      </c>
      <c r="E457" s="4">
        <v>204</v>
      </c>
      <c r="F457" s="4">
        <f>ROUND(Source!R443,O457)</f>
        <v>15124.09</v>
      </c>
      <c r="G457" s="4" t="s">
        <v>237</v>
      </c>
      <c r="H457" s="4" t="s">
        <v>238</v>
      </c>
      <c r="I457" s="4"/>
      <c r="J457" s="4"/>
      <c r="K457" s="4">
        <v>204</v>
      </c>
      <c r="L457" s="4">
        <v>13</v>
      </c>
      <c r="M457" s="4">
        <v>3</v>
      </c>
      <c r="N457" s="4" t="s">
        <v>3</v>
      </c>
      <c r="O457" s="4">
        <v>2</v>
      </c>
      <c r="P457" s="4"/>
      <c r="Q457" s="4"/>
      <c r="R457" s="4"/>
      <c r="S457" s="4"/>
      <c r="T457" s="4"/>
      <c r="U457" s="4"/>
      <c r="V457" s="4"/>
      <c r="W457" s="4"/>
    </row>
    <row r="458" spans="1:23" x14ac:dyDescent="0.2">
      <c r="A458" s="4">
        <v>50</v>
      </c>
      <c r="B458" s="4">
        <v>0</v>
      </c>
      <c r="C458" s="4">
        <v>0</v>
      </c>
      <c r="D458" s="4">
        <v>1</v>
      </c>
      <c r="E458" s="4">
        <v>205</v>
      </c>
      <c r="F458" s="4">
        <f>ROUND(Source!S443,O458)</f>
        <v>259108.16</v>
      </c>
      <c r="G458" s="4" t="s">
        <v>239</v>
      </c>
      <c r="H458" s="4" t="s">
        <v>240</v>
      </c>
      <c r="I458" s="4"/>
      <c r="J458" s="4"/>
      <c r="K458" s="4">
        <v>205</v>
      </c>
      <c r="L458" s="4">
        <v>14</v>
      </c>
      <c r="M458" s="4">
        <v>3</v>
      </c>
      <c r="N458" s="4" t="s">
        <v>3</v>
      </c>
      <c r="O458" s="4">
        <v>2</v>
      </c>
      <c r="P458" s="4"/>
      <c r="Q458" s="4"/>
      <c r="R458" s="4"/>
      <c r="S458" s="4"/>
      <c r="T458" s="4"/>
      <c r="U458" s="4"/>
      <c r="V458" s="4"/>
      <c r="W458" s="4"/>
    </row>
    <row r="459" spans="1:23" x14ac:dyDescent="0.2">
      <c r="A459" s="4">
        <v>50</v>
      </c>
      <c r="B459" s="4">
        <v>0</v>
      </c>
      <c r="C459" s="4">
        <v>0</v>
      </c>
      <c r="D459" s="4">
        <v>1</v>
      </c>
      <c r="E459" s="4">
        <v>232</v>
      </c>
      <c r="F459" s="4">
        <f>ROUND(Source!BC443,O459)</f>
        <v>0</v>
      </c>
      <c r="G459" s="4" t="s">
        <v>241</v>
      </c>
      <c r="H459" s="4" t="s">
        <v>242</v>
      </c>
      <c r="I459" s="4"/>
      <c r="J459" s="4"/>
      <c r="K459" s="4">
        <v>232</v>
      </c>
      <c r="L459" s="4">
        <v>15</v>
      </c>
      <c r="M459" s="4">
        <v>3</v>
      </c>
      <c r="N459" s="4" t="s">
        <v>3</v>
      </c>
      <c r="O459" s="4">
        <v>2</v>
      </c>
      <c r="P459" s="4"/>
      <c r="Q459" s="4"/>
      <c r="R459" s="4"/>
      <c r="S459" s="4"/>
      <c r="T459" s="4"/>
      <c r="U459" s="4"/>
      <c r="V459" s="4"/>
      <c r="W459" s="4"/>
    </row>
    <row r="460" spans="1:23" x14ac:dyDescent="0.2">
      <c r="A460" s="4">
        <v>50</v>
      </c>
      <c r="B460" s="4">
        <v>0</v>
      </c>
      <c r="C460" s="4">
        <v>0</v>
      </c>
      <c r="D460" s="4">
        <v>1</v>
      </c>
      <c r="E460" s="4">
        <v>214</v>
      </c>
      <c r="F460" s="4">
        <f>ROUND(Source!AS443,O460)</f>
        <v>3501555.32</v>
      </c>
      <c r="G460" s="4" t="s">
        <v>243</v>
      </c>
      <c r="H460" s="4" t="s">
        <v>244</v>
      </c>
      <c r="I460" s="4"/>
      <c r="J460" s="4"/>
      <c r="K460" s="4">
        <v>214</v>
      </c>
      <c r="L460" s="4">
        <v>16</v>
      </c>
      <c r="M460" s="4">
        <v>3</v>
      </c>
      <c r="N460" s="4" t="s">
        <v>3</v>
      </c>
      <c r="O460" s="4">
        <v>2</v>
      </c>
      <c r="P460" s="4"/>
      <c r="Q460" s="4"/>
      <c r="R460" s="4"/>
      <c r="S460" s="4"/>
      <c r="T460" s="4"/>
      <c r="U460" s="4"/>
      <c r="V460" s="4"/>
      <c r="W460" s="4"/>
    </row>
    <row r="461" spans="1:23" x14ac:dyDescent="0.2">
      <c r="A461" s="4">
        <v>50</v>
      </c>
      <c r="B461" s="4">
        <v>0</v>
      </c>
      <c r="C461" s="4">
        <v>0</v>
      </c>
      <c r="D461" s="4">
        <v>1</v>
      </c>
      <c r="E461" s="4">
        <v>215</v>
      </c>
      <c r="F461" s="4">
        <f>ROUND(Source!AT443,O461)</f>
        <v>131175.78</v>
      </c>
      <c r="G461" s="4" t="s">
        <v>245</v>
      </c>
      <c r="H461" s="4" t="s">
        <v>246</v>
      </c>
      <c r="I461" s="4"/>
      <c r="J461" s="4"/>
      <c r="K461" s="4">
        <v>215</v>
      </c>
      <c r="L461" s="4">
        <v>17</v>
      </c>
      <c r="M461" s="4">
        <v>3</v>
      </c>
      <c r="N461" s="4" t="s">
        <v>3</v>
      </c>
      <c r="O461" s="4">
        <v>2</v>
      </c>
      <c r="P461" s="4"/>
      <c r="Q461" s="4"/>
      <c r="R461" s="4"/>
      <c r="S461" s="4"/>
      <c r="T461" s="4"/>
      <c r="U461" s="4"/>
      <c r="V461" s="4"/>
      <c r="W461" s="4"/>
    </row>
    <row r="462" spans="1:23" x14ac:dyDescent="0.2">
      <c r="A462" s="4">
        <v>50</v>
      </c>
      <c r="B462" s="4">
        <v>0</v>
      </c>
      <c r="C462" s="4">
        <v>0</v>
      </c>
      <c r="D462" s="4">
        <v>1</v>
      </c>
      <c r="E462" s="4">
        <v>217</v>
      </c>
      <c r="F462" s="4">
        <f>ROUND(Source!AU443,O462)</f>
        <v>251636.96</v>
      </c>
      <c r="G462" s="4" t="s">
        <v>247</v>
      </c>
      <c r="H462" s="4" t="s">
        <v>248</v>
      </c>
      <c r="I462" s="4"/>
      <c r="J462" s="4"/>
      <c r="K462" s="4">
        <v>217</v>
      </c>
      <c r="L462" s="4">
        <v>18</v>
      </c>
      <c r="M462" s="4">
        <v>3</v>
      </c>
      <c r="N462" s="4" t="s">
        <v>3</v>
      </c>
      <c r="O462" s="4">
        <v>2</v>
      </c>
      <c r="P462" s="4"/>
      <c r="Q462" s="4"/>
      <c r="R462" s="4"/>
      <c r="S462" s="4"/>
      <c r="T462" s="4"/>
      <c r="U462" s="4"/>
      <c r="V462" s="4"/>
      <c r="W462" s="4"/>
    </row>
    <row r="463" spans="1:23" x14ac:dyDescent="0.2">
      <c r="A463" s="4">
        <v>50</v>
      </c>
      <c r="B463" s="4">
        <v>0</v>
      </c>
      <c r="C463" s="4">
        <v>0</v>
      </c>
      <c r="D463" s="4">
        <v>1</v>
      </c>
      <c r="E463" s="4">
        <v>230</v>
      </c>
      <c r="F463" s="4">
        <f>ROUND(Source!BA443,O463)</f>
        <v>0</v>
      </c>
      <c r="G463" s="4" t="s">
        <v>249</v>
      </c>
      <c r="H463" s="4" t="s">
        <v>250</v>
      </c>
      <c r="I463" s="4"/>
      <c r="J463" s="4"/>
      <c r="K463" s="4">
        <v>230</v>
      </c>
      <c r="L463" s="4">
        <v>19</v>
      </c>
      <c r="M463" s="4">
        <v>3</v>
      </c>
      <c r="N463" s="4" t="s">
        <v>3</v>
      </c>
      <c r="O463" s="4">
        <v>2</v>
      </c>
      <c r="P463" s="4"/>
      <c r="Q463" s="4"/>
      <c r="R463" s="4"/>
      <c r="S463" s="4"/>
      <c r="T463" s="4"/>
      <c r="U463" s="4"/>
      <c r="V463" s="4"/>
      <c r="W463" s="4"/>
    </row>
    <row r="464" spans="1:23" x14ac:dyDescent="0.2">
      <c r="A464" s="4">
        <v>50</v>
      </c>
      <c r="B464" s="4">
        <v>0</v>
      </c>
      <c r="C464" s="4">
        <v>0</v>
      </c>
      <c r="D464" s="4">
        <v>1</v>
      </c>
      <c r="E464" s="4">
        <v>206</v>
      </c>
      <c r="F464" s="4">
        <f>ROUND(Source!T443,O464)</f>
        <v>0</v>
      </c>
      <c r="G464" s="4" t="s">
        <v>251</v>
      </c>
      <c r="H464" s="4" t="s">
        <v>252</v>
      </c>
      <c r="I464" s="4"/>
      <c r="J464" s="4"/>
      <c r="K464" s="4">
        <v>206</v>
      </c>
      <c r="L464" s="4">
        <v>20</v>
      </c>
      <c r="M464" s="4">
        <v>3</v>
      </c>
      <c r="N464" s="4" t="s">
        <v>3</v>
      </c>
      <c r="O464" s="4">
        <v>2</v>
      </c>
      <c r="P464" s="4"/>
      <c r="Q464" s="4"/>
      <c r="R464" s="4"/>
      <c r="S464" s="4"/>
      <c r="T464" s="4"/>
      <c r="U464" s="4"/>
      <c r="V464" s="4"/>
      <c r="W464" s="4"/>
    </row>
    <row r="465" spans="1:245" x14ac:dyDescent="0.2">
      <c r="A465" s="4">
        <v>50</v>
      </c>
      <c r="B465" s="4">
        <v>0</v>
      </c>
      <c r="C465" s="4">
        <v>0</v>
      </c>
      <c r="D465" s="4">
        <v>1</v>
      </c>
      <c r="E465" s="4">
        <v>207</v>
      </c>
      <c r="F465" s="4">
        <f>Source!U443</f>
        <v>869.07292499999983</v>
      </c>
      <c r="G465" s="4" t="s">
        <v>253</v>
      </c>
      <c r="H465" s="4" t="s">
        <v>254</v>
      </c>
      <c r="I465" s="4"/>
      <c r="J465" s="4"/>
      <c r="K465" s="4">
        <v>207</v>
      </c>
      <c r="L465" s="4">
        <v>21</v>
      </c>
      <c r="M465" s="4">
        <v>3</v>
      </c>
      <c r="N465" s="4" t="s">
        <v>3</v>
      </c>
      <c r="O465" s="4">
        <v>-1</v>
      </c>
      <c r="P465" s="4"/>
      <c r="Q465" s="4"/>
      <c r="R465" s="4"/>
      <c r="S465" s="4"/>
      <c r="T465" s="4"/>
      <c r="U465" s="4"/>
      <c r="V465" s="4"/>
      <c r="W465" s="4"/>
    </row>
    <row r="466" spans="1:245" x14ac:dyDescent="0.2">
      <c r="A466" s="4">
        <v>50</v>
      </c>
      <c r="B466" s="4">
        <v>0</v>
      </c>
      <c r="C466" s="4">
        <v>0</v>
      </c>
      <c r="D466" s="4">
        <v>1</v>
      </c>
      <c r="E466" s="4">
        <v>208</v>
      </c>
      <c r="F466" s="4">
        <f>Source!V443</f>
        <v>0</v>
      </c>
      <c r="G466" s="4" t="s">
        <v>255</v>
      </c>
      <c r="H466" s="4" t="s">
        <v>256</v>
      </c>
      <c r="I466" s="4"/>
      <c r="J466" s="4"/>
      <c r="K466" s="4">
        <v>208</v>
      </c>
      <c r="L466" s="4">
        <v>22</v>
      </c>
      <c r="M466" s="4">
        <v>3</v>
      </c>
      <c r="N466" s="4" t="s">
        <v>3</v>
      </c>
      <c r="O466" s="4">
        <v>-1</v>
      </c>
      <c r="P466" s="4"/>
      <c r="Q466" s="4"/>
      <c r="R466" s="4"/>
      <c r="S466" s="4"/>
      <c r="T466" s="4"/>
      <c r="U466" s="4"/>
      <c r="V466" s="4"/>
      <c r="W466" s="4"/>
    </row>
    <row r="467" spans="1:245" x14ac:dyDescent="0.2">
      <c r="A467" s="4">
        <v>50</v>
      </c>
      <c r="B467" s="4">
        <v>0</v>
      </c>
      <c r="C467" s="4">
        <v>0</v>
      </c>
      <c r="D467" s="4">
        <v>1</v>
      </c>
      <c r="E467" s="4">
        <v>209</v>
      </c>
      <c r="F467" s="4">
        <f>ROUND(Source!W443,O467)</f>
        <v>0</v>
      </c>
      <c r="G467" s="4" t="s">
        <v>257</v>
      </c>
      <c r="H467" s="4" t="s">
        <v>258</v>
      </c>
      <c r="I467" s="4"/>
      <c r="J467" s="4"/>
      <c r="K467" s="4">
        <v>209</v>
      </c>
      <c r="L467" s="4">
        <v>23</v>
      </c>
      <c r="M467" s="4">
        <v>3</v>
      </c>
      <c r="N467" s="4" t="s">
        <v>3</v>
      </c>
      <c r="O467" s="4">
        <v>2</v>
      </c>
      <c r="P467" s="4"/>
      <c r="Q467" s="4"/>
      <c r="R467" s="4"/>
      <c r="S467" s="4"/>
      <c r="T467" s="4"/>
      <c r="U467" s="4"/>
      <c r="V467" s="4"/>
      <c r="W467" s="4"/>
    </row>
    <row r="468" spans="1:245" x14ac:dyDescent="0.2">
      <c r="A468" s="4">
        <v>50</v>
      </c>
      <c r="B468" s="4">
        <v>0</v>
      </c>
      <c r="C468" s="4">
        <v>0</v>
      </c>
      <c r="D468" s="4">
        <v>1</v>
      </c>
      <c r="E468" s="4">
        <v>233</v>
      </c>
      <c r="F468" s="4">
        <f>ROUND(Source!BD443,O468)</f>
        <v>0</v>
      </c>
      <c r="G468" s="4" t="s">
        <v>259</v>
      </c>
      <c r="H468" s="4" t="s">
        <v>260</v>
      </c>
      <c r="I468" s="4"/>
      <c r="J468" s="4"/>
      <c r="K468" s="4">
        <v>233</v>
      </c>
      <c r="L468" s="4">
        <v>24</v>
      </c>
      <c r="M468" s="4">
        <v>3</v>
      </c>
      <c r="N468" s="4" t="s">
        <v>3</v>
      </c>
      <c r="O468" s="4">
        <v>2</v>
      </c>
      <c r="P468" s="4"/>
      <c r="Q468" s="4"/>
      <c r="R468" s="4"/>
      <c r="S468" s="4"/>
      <c r="T468" s="4"/>
      <c r="U468" s="4"/>
      <c r="V468" s="4"/>
      <c r="W468" s="4"/>
    </row>
    <row r="469" spans="1:245" x14ac:dyDescent="0.2">
      <c r="A469" s="4">
        <v>50</v>
      </c>
      <c r="B469" s="4">
        <v>0</v>
      </c>
      <c r="C469" s="4">
        <v>0</v>
      </c>
      <c r="D469" s="4">
        <v>1</v>
      </c>
      <c r="E469" s="4">
        <v>210</v>
      </c>
      <c r="F469" s="4">
        <f>ROUND(Source!X443,O469)</f>
        <v>246444.2</v>
      </c>
      <c r="G469" s="4" t="s">
        <v>261</v>
      </c>
      <c r="H469" s="4" t="s">
        <v>262</v>
      </c>
      <c r="I469" s="4"/>
      <c r="J469" s="4"/>
      <c r="K469" s="4">
        <v>210</v>
      </c>
      <c r="L469" s="4">
        <v>25</v>
      </c>
      <c r="M469" s="4">
        <v>3</v>
      </c>
      <c r="N469" s="4" t="s">
        <v>3</v>
      </c>
      <c r="O469" s="4">
        <v>2</v>
      </c>
      <c r="P469" s="4"/>
      <c r="Q469" s="4"/>
      <c r="R469" s="4"/>
      <c r="S469" s="4"/>
      <c r="T469" s="4"/>
      <c r="U469" s="4"/>
      <c r="V469" s="4"/>
      <c r="W469" s="4"/>
    </row>
    <row r="470" spans="1:245" x14ac:dyDescent="0.2">
      <c r="A470" s="4">
        <v>50</v>
      </c>
      <c r="B470" s="4">
        <v>0</v>
      </c>
      <c r="C470" s="4">
        <v>0</v>
      </c>
      <c r="D470" s="4">
        <v>1</v>
      </c>
      <c r="E470" s="4">
        <v>211</v>
      </c>
      <c r="F470" s="4">
        <f>ROUND(Source!Y443,O470)</f>
        <v>119364.23</v>
      </c>
      <c r="G470" s="4" t="s">
        <v>263</v>
      </c>
      <c r="H470" s="4" t="s">
        <v>264</v>
      </c>
      <c r="I470" s="4"/>
      <c r="J470" s="4"/>
      <c r="K470" s="4">
        <v>211</v>
      </c>
      <c r="L470" s="4">
        <v>26</v>
      </c>
      <c r="M470" s="4">
        <v>3</v>
      </c>
      <c r="N470" s="4" t="s">
        <v>3</v>
      </c>
      <c r="O470" s="4">
        <v>2</v>
      </c>
      <c r="P470" s="4"/>
      <c r="Q470" s="4"/>
      <c r="R470" s="4"/>
      <c r="S470" s="4"/>
      <c r="T470" s="4"/>
      <c r="U470" s="4"/>
      <c r="V470" s="4"/>
      <c r="W470" s="4"/>
    </row>
    <row r="471" spans="1:245" x14ac:dyDescent="0.2">
      <c r="A471" s="4">
        <v>50</v>
      </c>
      <c r="B471" s="4">
        <v>0</v>
      </c>
      <c r="C471" s="4">
        <v>0</v>
      </c>
      <c r="D471" s="4">
        <v>1</v>
      </c>
      <c r="E471" s="4">
        <v>224</v>
      </c>
      <c r="F471" s="4">
        <f>ROUND(Source!AR443,O471)</f>
        <v>3884368.06</v>
      </c>
      <c r="G471" s="4" t="s">
        <v>265</v>
      </c>
      <c r="H471" s="4" t="s">
        <v>266</v>
      </c>
      <c r="I471" s="4"/>
      <c r="J471" s="4"/>
      <c r="K471" s="4">
        <v>224</v>
      </c>
      <c r="L471" s="4">
        <v>27</v>
      </c>
      <c r="M471" s="4">
        <v>3</v>
      </c>
      <c r="N471" s="4" t="s">
        <v>3</v>
      </c>
      <c r="O471" s="4">
        <v>2</v>
      </c>
      <c r="P471" s="4"/>
      <c r="Q471" s="4"/>
      <c r="R471" s="4"/>
      <c r="S471" s="4"/>
      <c r="T471" s="4"/>
      <c r="U471" s="4"/>
      <c r="V471" s="4"/>
      <c r="W471" s="4"/>
    </row>
    <row r="473" spans="1:245" x14ac:dyDescent="0.2">
      <c r="A473" s="1">
        <v>4</v>
      </c>
      <c r="B473" s="1">
        <v>1</v>
      </c>
      <c r="C473" s="1"/>
      <c r="D473" s="1">
        <f>ROW(A507)</f>
        <v>507</v>
      </c>
      <c r="E473" s="1"/>
      <c r="F473" s="1" t="s">
        <v>13</v>
      </c>
      <c r="G473" s="1" t="s">
        <v>604</v>
      </c>
      <c r="H473" s="1" t="s">
        <v>3</v>
      </c>
      <c r="I473" s="1">
        <v>0</v>
      </c>
      <c r="J473" s="1"/>
      <c r="K473" s="1">
        <v>-1</v>
      </c>
      <c r="L473" s="1"/>
      <c r="M473" s="1" t="s">
        <v>3</v>
      </c>
      <c r="N473" s="1"/>
      <c r="O473" s="1"/>
      <c r="P473" s="1"/>
      <c r="Q473" s="1"/>
      <c r="R473" s="1"/>
      <c r="S473" s="1">
        <v>0</v>
      </c>
      <c r="T473" s="1"/>
      <c r="U473" s="1" t="s">
        <v>3</v>
      </c>
      <c r="V473" s="1">
        <v>0</v>
      </c>
      <c r="W473" s="1"/>
      <c r="X473" s="1"/>
      <c r="Y473" s="1"/>
      <c r="Z473" s="1"/>
      <c r="AA473" s="1"/>
      <c r="AB473" s="1" t="s">
        <v>3</v>
      </c>
      <c r="AC473" s="1" t="s">
        <v>3</v>
      </c>
      <c r="AD473" s="1" t="s">
        <v>3</v>
      </c>
      <c r="AE473" s="1" t="s">
        <v>3</v>
      </c>
      <c r="AF473" s="1" t="s">
        <v>3</v>
      </c>
      <c r="AG473" s="1" t="s">
        <v>3</v>
      </c>
      <c r="AH473" s="1"/>
      <c r="AI473" s="1"/>
      <c r="AJ473" s="1"/>
      <c r="AK473" s="1"/>
      <c r="AL473" s="1"/>
      <c r="AM473" s="1"/>
      <c r="AN473" s="1"/>
      <c r="AO473" s="1"/>
      <c r="AP473" s="1" t="s">
        <v>3</v>
      </c>
      <c r="AQ473" s="1" t="s">
        <v>3</v>
      </c>
      <c r="AR473" s="1" t="s">
        <v>3</v>
      </c>
      <c r="AS473" s="1"/>
      <c r="AT473" s="1"/>
      <c r="AU473" s="1"/>
      <c r="AV473" s="1"/>
      <c r="AW473" s="1"/>
      <c r="AX473" s="1"/>
      <c r="AY473" s="1"/>
      <c r="AZ473" s="1" t="s">
        <v>3</v>
      </c>
      <c r="BA473" s="1"/>
      <c r="BB473" s="1" t="s">
        <v>3</v>
      </c>
      <c r="BC473" s="1" t="s">
        <v>3</v>
      </c>
      <c r="BD473" s="1" t="s">
        <v>3</v>
      </c>
      <c r="BE473" s="1" t="s">
        <v>3</v>
      </c>
      <c r="BF473" s="1" t="s">
        <v>3</v>
      </c>
      <c r="BG473" s="1" t="s">
        <v>3</v>
      </c>
      <c r="BH473" s="1" t="s">
        <v>3</v>
      </c>
      <c r="BI473" s="1" t="s">
        <v>3</v>
      </c>
      <c r="BJ473" s="1" t="s">
        <v>3</v>
      </c>
      <c r="BK473" s="1" t="s">
        <v>3</v>
      </c>
      <c r="BL473" s="1" t="s">
        <v>3</v>
      </c>
      <c r="BM473" s="1" t="s">
        <v>3</v>
      </c>
      <c r="BN473" s="1" t="s">
        <v>3</v>
      </c>
      <c r="BO473" s="1" t="s">
        <v>3</v>
      </c>
      <c r="BP473" s="1" t="s">
        <v>3</v>
      </c>
      <c r="BQ473" s="1"/>
      <c r="BR473" s="1"/>
      <c r="BS473" s="1"/>
      <c r="BT473" s="1"/>
      <c r="BU473" s="1"/>
      <c r="BV473" s="1"/>
      <c r="BW473" s="1"/>
      <c r="BX473" s="1">
        <v>0</v>
      </c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>
        <v>0</v>
      </c>
    </row>
    <row r="475" spans="1:245" x14ac:dyDescent="0.2">
      <c r="A475" s="2">
        <v>52</v>
      </c>
      <c r="B475" s="2">
        <f t="shared" ref="B475:G475" si="398">B507</f>
        <v>1</v>
      </c>
      <c r="C475" s="2">
        <f t="shared" si="398"/>
        <v>4</v>
      </c>
      <c r="D475" s="2">
        <f t="shared" si="398"/>
        <v>473</v>
      </c>
      <c r="E475" s="2">
        <f t="shared" si="398"/>
        <v>0</v>
      </c>
      <c r="F475" s="2" t="str">
        <f t="shared" si="398"/>
        <v>Новый раздел</v>
      </c>
      <c r="G475" s="2" t="str">
        <f t="shared" si="398"/>
        <v>Ремонт водоема с обустройством и корректировкой береговой полосы</v>
      </c>
      <c r="H475" s="2"/>
      <c r="I475" s="2"/>
      <c r="J475" s="2"/>
      <c r="K475" s="2"/>
      <c r="L475" s="2"/>
      <c r="M475" s="2"/>
      <c r="N475" s="2"/>
      <c r="O475" s="2">
        <f t="shared" ref="O475:AT475" si="399">O507</f>
        <v>3464189.33</v>
      </c>
      <c r="P475" s="2">
        <f t="shared" si="399"/>
        <v>1439091.8</v>
      </c>
      <c r="Q475" s="2">
        <f t="shared" si="399"/>
        <v>1123018.53</v>
      </c>
      <c r="R475" s="2">
        <f t="shared" si="399"/>
        <v>219490.73</v>
      </c>
      <c r="S475" s="2">
        <f t="shared" si="399"/>
        <v>902079</v>
      </c>
      <c r="T475" s="2">
        <f t="shared" si="399"/>
        <v>0</v>
      </c>
      <c r="U475" s="2">
        <f t="shared" si="399"/>
        <v>3310.68772205</v>
      </c>
      <c r="V475" s="2">
        <f t="shared" si="399"/>
        <v>0</v>
      </c>
      <c r="W475" s="2">
        <f t="shared" si="399"/>
        <v>0</v>
      </c>
      <c r="X475" s="2">
        <f t="shared" si="399"/>
        <v>647567.32999999996</v>
      </c>
      <c r="Y475" s="2">
        <f t="shared" si="399"/>
        <v>380538.28</v>
      </c>
      <c r="Z475" s="2">
        <f t="shared" si="399"/>
        <v>0</v>
      </c>
      <c r="AA475" s="2">
        <f t="shared" si="399"/>
        <v>0</v>
      </c>
      <c r="AB475" s="2">
        <f t="shared" si="399"/>
        <v>3464189.33</v>
      </c>
      <c r="AC475" s="2">
        <f t="shared" si="399"/>
        <v>1439091.8</v>
      </c>
      <c r="AD475" s="2">
        <f t="shared" si="399"/>
        <v>1123018.53</v>
      </c>
      <c r="AE475" s="2">
        <f t="shared" si="399"/>
        <v>219490.73</v>
      </c>
      <c r="AF475" s="2">
        <f t="shared" si="399"/>
        <v>902079</v>
      </c>
      <c r="AG475" s="2">
        <f t="shared" si="399"/>
        <v>0</v>
      </c>
      <c r="AH475" s="2">
        <f t="shared" si="399"/>
        <v>3310.68772205</v>
      </c>
      <c r="AI475" s="2">
        <f t="shared" si="399"/>
        <v>0</v>
      </c>
      <c r="AJ475" s="2">
        <f t="shared" si="399"/>
        <v>0</v>
      </c>
      <c r="AK475" s="2">
        <f t="shared" si="399"/>
        <v>647567.32999999996</v>
      </c>
      <c r="AL475" s="2">
        <f t="shared" si="399"/>
        <v>380538.28</v>
      </c>
      <c r="AM475" s="2">
        <f t="shared" si="399"/>
        <v>0</v>
      </c>
      <c r="AN475" s="2">
        <f t="shared" si="399"/>
        <v>0</v>
      </c>
      <c r="AO475" s="2">
        <f t="shared" si="399"/>
        <v>0</v>
      </c>
      <c r="AP475" s="2">
        <f t="shared" si="399"/>
        <v>0</v>
      </c>
      <c r="AQ475" s="2">
        <f t="shared" si="399"/>
        <v>0</v>
      </c>
      <c r="AR475" s="2">
        <f t="shared" si="399"/>
        <v>4836895.4000000004</v>
      </c>
      <c r="AS475" s="2">
        <f t="shared" si="399"/>
        <v>3999476.62</v>
      </c>
      <c r="AT475" s="2">
        <f t="shared" si="399"/>
        <v>0</v>
      </c>
      <c r="AU475" s="2">
        <f t="shared" ref="AU475:BZ475" si="400">AU507</f>
        <v>837418.78</v>
      </c>
      <c r="AV475" s="2">
        <f t="shared" si="400"/>
        <v>1439091.8</v>
      </c>
      <c r="AW475" s="2">
        <f t="shared" si="400"/>
        <v>1439091.8</v>
      </c>
      <c r="AX475" s="2">
        <f t="shared" si="400"/>
        <v>0</v>
      </c>
      <c r="AY475" s="2">
        <f t="shared" si="400"/>
        <v>1439091.8</v>
      </c>
      <c r="AZ475" s="2">
        <f t="shared" si="400"/>
        <v>0</v>
      </c>
      <c r="BA475" s="2">
        <f t="shared" si="400"/>
        <v>0</v>
      </c>
      <c r="BB475" s="2">
        <f t="shared" si="400"/>
        <v>0</v>
      </c>
      <c r="BC475" s="2">
        <f t="shared" si="400"/>
        <v>0</v>
      </c>
      <c r="BD475" s="2">
        <f t="shared" si="400"/>
        <v>0</v>
      </c>
      <c r="BE475" s="2">
        <f t="shared" si="400"/>
        <v>0</v>
      </c>
      <c r="BF475" s="2">
        <f t="shared" si="400"/>
        <v>0</v>
      </c>
      <c r="BG475" s="2">
        <f t="shared" si="400"/>
        <v>0</v>
      </c>
      <c r="BH475" s="2">
        <f t="shared" si="400"/>
        <v>0</v>
      </c>
      <c r="BI475" s="2">
        <f t="shared" si="400"/>
        <v>0</v>
      </c>
      <c r="BJ475" s="2">
        <f t="shared" si="400"/>
        <v>0</v>
      </c>
      <c r="BK475" s="2">
        <f t="shared" si="400"/>
        <v>0</v>
      </c>
      <c r="BL475" s="2">
        <f t="shared" si="400"/>
        <v>0</v>
      </c>
      <c r="BM475" s="2">
        <f t="shared" si="400"/>
        <v>0</v>
      </c>
      <c r="BN475" s="2">
        <f t="shared" si="400"/>
        <v>0</v>
      </c>
      <c r="BO475" s="2">
        <f t="shared" si="400"/>
        <v>0</v>
      </c>
      <c r="BP475" s="2">
        <f t="shared" si="400"/>
        <v>0</v>
      </c>
      <c r="BQ475" s="2">
        <f t="shared" si="400"/>
        <v>0</v>
      </c>
      <c r="BR475" s="2">
        <f t="shared" si="400"/>
        <v>0</v>
      </c>
      <c r="BS475" s="2">
        <f t="shared" si="400"/>
        <v>0</v>
      </c>
      <c r="BT475" s="2">
        <f t="shared" si="400"/>
        <v>0</v>
      </c>
      <c r="BU475" s="2">
        <f t="shared" si="400"/>
        <v>0</v>
      </c>
      <c r="BV475" s="2">
        <f t="shared" si="400"/>
        <v>0</v>
      </c>
      <c r="BW475" s="2">
        <f t="shared" si="400"/>
        <v>0</v>
      </c>
      <c r="BX475" s="2">
        <f t="shared" si="400"/>
        <v>0</v>
      </c>
      <c r="BY475" s="2">
        <f t="shared" si="400"/>
        <v>0</v>
      </c>
      <c r="BZ475" s="2">
        <f t="shared" si="400"/>
        <v>0</v>
      </c>
      <c r="CA475" s="2">
        <f t="shared" ref="CA475:DF475" si="401">CA507</f>
        <v>4836895.4000000004</v>
      </c>
      <c r="CB475" s="2">
        <f t="shared" si="401"/>
        <v>3999476.62</v>
      </c>
      <c r="CC475" s="2">
        <f t="shared" si="401"/>
        <v>0</v>
      </c>
      <c r="CD475" s="2">
        <f t="shared" si="401"/>
        <v>837418.78</v>
      </c>
      <c r="CE475" s="2">
        <f t="shared" si="401"/>
        <v>1439091.8</v>
      </c>
      <c r="CF475" s="2">
        <f t="shared" si="401"/>
        <v>1439091.8</v>
      </c>
      <c r="CG475" s="2">
        <f t="shared" si="401"/>
        <v>0</v>
      </c>
      <c r="CH475" s="2">
        <f t="shared" si="401"/>
        <v>1439091.8</v>
      </c>
      <c r="CI475" s="2">
        <f t="shared" si="401"/>
        <v>0</v>
      </c>
      <c r="CJ475" s="2">
        <f t="shared" si="401"/>
        <v>0</v>
      </c>
      <c r="CK475" s="2">
        <f t="shared" si="401"/>
        <v>0</v>
      </c>
      <c r="CL475" s="2">
        <f t="shared" si="401"/>
        <v>0</v>
      </c>
      <c r="CM475" s="2">
        <f t="shared" si="401"/>
        <v>0</v>
      </c>
      <c r="CN475" s="2">
        <f t="shared" si="401"/>
        <v>0</v>
      </c>
      <c r="CO475" s="2">
        <f t="shared" si="401"/>
        <v>0</v>
      </c>
      <c r="CP475" s="2">
        <f t="shared" si="401"/>
        <v>0</v>
      </c>
      <c r="CQ475" s="2">
        <f t="shared" si="401"/>
        <v>0</v>
      </c>
      <c r="CR475" s="2">
        <f t="shared" si="401"/>
        <v>0</v>
      </c>
      <c r="CS475" s="2">
        <f t="shared" si="401"/>
        <v>0</v>
      </c>
      <c r="CT475" s="2">
        <f t="shared" si="401"/>
        <v>0</v>
      </c>
      <c r="CU475" s="2">
        <f t="shared" si="401"/>
        <v>0</v>
      </c>
      <c r="CV475" s="2">
        <f t="shared" si="401"/>
        <v>0</v>
      </c>
      <c r="CW475" s="2">
        <f t="shared" si="401"/>
        <v>0</v>
      </c>
      <c r="CX475" s="2">
        <f t="shared" si="401"/>
        <v>0</v>
      </c>
      <c r="CY475" s="2">
        <f t="shared" si="401"/>
        <v>0</v>
      </c>
      <c r="CZ475" s="2">
        <f t="shared" si="401"/>
        <v>0</v>
      </c>
      <c r="DA475" s="2">
        <f t="shared" si="401"/>
        <v>0</v>
      </c>
      <c r="DB475" s="2">
        <f t="shared" si="401"/>
        <v>0</v>
      </c>
      <c r="DC475" s="2">
        <f t="shared" si="401"/>
        <v>0</v>
      </c>
      <c r="DD475" s="2">
        <f t="shared" si="401"/>
        <v>0</v>
      </c>
      <c r="DE475" s="2">
        <f t="shared" si="401"/>
        <v>0</v>
      </c>
      <c r="DF475" s="2">
        <f t="shared" si="401"/>
        <v>0</v>
      </c>
      <c r="DG475" s="3">
        <f t="shared" ref="DG475:EL475" si="402">DG507</f>
        <v>0</v>
      </c>
      <c r="DH475" s="3">
        <f t="shared" si="402"/>
        <v>0</v>
      </c>
      <c r="DI475" s="3">
        <f t="shared" si="402"/>
        <v>0</v>
      </c>
      <c r="DJ475" s="3">
        <f t="shared" si="402"/>
        <v>0</v>
      </c>
      <c r="DK475" s="3">
        <f t="shared" si="402"/>
        <v>0</v>
      </c>
      <c r="DL475" s="3">
        <f t="shared" si="402"/>
        <v>0</v>
      </c>
      <c r="DM475" s="3">
        <f t="shared" si="402"/>
        <v>0</v>
      </c>
      <c r="DN475" s="3">
        <f t="shared" si="402"/>
        <v>0</v>
      </c>
      <c r="DO475" s="3">
        <f t="shared" si="402"/>
        <v>0</v>
      </c>
      <c r="DP475" s="3">
        <f t="shared" si="402"/>
        <v>0</v>
      </c>
      <c r="DQ475" s="3">
        <f t="shared" si="402"/>
        <v>0</v>
      </c>
      <c r="DR475" s="3">
        <f t="shared" si="402"/>
        <v>0</v>
      </c>
      <c r="DS475" s="3">
        <f t="shared" si="402"/>
        <v>0</v>
      </c>
      <c r="DT475" s="3">
        <f t="shared" si="402"/>
        <v>0</v>
      </c>
      <c r="DU475" s="3">
        <f t="shared" si="402"/>
        <v>0</v>
      </c>
      <c r="DV475" s="3">
        <f t="shared" si="402"/>
        <v>0</v>
      </c>
      <c r="DW475" s="3">
        <f t="shared" si="402"/>
        <v>0</v>
      </c>
      <c r="DX475" s="3">
        <f t="shared" si="402"/>
        <v>0</v>
      </c>
      <c r="DY475" s="3">
        <f t="shared" si="402"/>
        <v>0</v>
      </c>
      <c r="DZ475" s="3">
        <f t="shared" si="402"/>
        <v>0</v>
      </c>
      <c r="EA475" s="3">
        <f t="shared" si="402"/>
        <v>0</v>
      </c>
      <c r="EB475" s="3">
        <f t="shared" si="402"/>
        <v>0</v>
      </c>
      <c r="EC475" s="3">
        <f t="shared" si="402"/>
        <v>0</v>
      </c>
      <c r="ED475" s="3">
        <f t="shared" si="402"/>
        <v>0</v>
      </c>
      <c r="EE475" s="3">
        <f t="shared" si="402"/>
        <v>0</v>
      </c>
      <c r="EF475" s="3">
        <f t="shared" si="402"/>
        <v>0</v>
      </c>
      <c r="EG475" s="3">
        <f t="shared" si="402"/>
        <v>0</v>
      </c>
      <c r="EH475" s="3">
        <f t="shared" si="402"/>
        <v>0</v>
      </c>
      <c r="EI475" s="3">
        <f t="shared" si="402"/>
        <v>0</v>
      </c>
      <c r="EJ475" s="3">
        <f t="shared" si="402"/>
        <v>0</v>
      </c>
      <c r="EK475" s="3">
        <f t="shared" si="402"/>
        <v>0</v>
      </c>
      <c r="EL475" s="3">
        <f t="shared" si="402"/>
        <v>0</v>
      </c>
      <c r="EM475" s="3">
        <f t="shared" ref="EM475:FR475" si="403">EM507</f>
        <v>0</v>
      </c>
      <c r="EN475" s="3">
        <f t="shared" si="403"/>
        <v>0</v>
      </c>
      <c r="EO475" s="3">
        <f t="shared" si="403"/>
        <v>0</v>
      </c>
      <c r="EP475" s="3">
        <f t="shared" si="403"/>
        <v>0</v>
      </c>
      <c r="EQ475" s="3">
        <f t="shared" si="403"/>
        <v>0</v>
      </c>
      <c r="ER475" s="3">
        <f t="shared" si="403"/>
        <v>0</v>
      </c>
      <c r="ES475" s="3">
        <f t="shared" si="403"/>
        <v>0</v>
      </c>
      <c r="ET475" s="3">
        <f t="shared" si="403"/>
        <v>0</v>
      </c>
      <c r="EU475" s="3">
        <f t="shared" si="403"/>
        <v>0</v>
      </c>
      <c r="EV475" s="3">
        <f t="shared" si="403"/>
        <v>0</v>
      </c>
      <c r="EW475" s="3">
        <f t="shared" si="403"/>
        <v>0</v>
      </c>
      <c r="EX475" s="3">
        <f t="shared" si="403"/>
        <v>0</v>
      </c>
      <c r="EY475" s="3">
        <f t="shared" si="403"/>
        <v>0</v>
      </c>
      <c r="EZ475" s="3">
        <f t="shared" si="403"/>
        <v>0</v>
      </c>
      <c r="FA475" s="3">
        <f t="shared" si="403"/>
        <v>0</v>
      </c>
      <c r="FB475" s="3">
        <f t="shared" si="403"/>
        <v>0</v>
      </c>
      <c r="FC475" s="3">
        <f t="shared" si="403"/>
        <v>0</v>
      </c>
      <c r="FD475" s="3">
        <f t="shared" si="403"/>
        <v>0</v>
      </c>
      <c r="FE475" s="3">
        <f t="shared" si="403"/>
        <v>0</v>
      </c>
      <c r="FF475" s="3">
        <f t="shared" si="403"/>
        <v>0</v>
      </c>
      <c r="FG475" s="3">
        <f t="shared" si="403"/>
        <v>0</v>
      </c>
      <c r="FH475" s="3">
        <f t="shared" si="403"/>
        <v>0</v>
      </c>
      <c r="FI475" s="3">
        <f t="shared" si="403"/>
        <v>0</v>
      </c>
      <c r="FJ475" s="3">
        <f t="shared" si="403"/>
        <v>0</v>
      </c>
      <c r="FK475" s="3">
        <f t="shared" si="403"/>
        <v>0</v>
      </c>
      <c r="FL475" s="3">
        <f t="shared" si="403"/>
        <v>0</v>
      </c>
      <c r="FM475" s="3">
        <f t="shared" si="403"/>
        <v>0</v>
      </c>
      <c r="FN475" s="3">
        <f t="shared" si="403"/>
        <v>0</v>
      </c>
      <c r="FO475" s="3">
        <f t="shared" si="403"/>
        <v>0</v>
      </c>
      <c r="FP475" s="3">
        <f t="shared" si="403"/>
        <v>0</v>
      </c>
      <c r="FQ475" s="3">
        <f t="shared" si="403"/>
        <v>0</v>
      </c>
      <c r="FR475" s="3">
        <f t="shared" si="403"/>
        <v>0</v>
      </c>
      <c r="FS475" s="3">
        <f t="shared" ref="FS475:GX475" si="404">FS507</f>
        <v>0</v>
      </c>
      <c r="FT475" s="3">
        <f t="shared" si="404"/>
        <v>0</v>
      </c>
      <c r="FU475" s="3">
        <f t="shared" si="404"/>
        <v>0</v>
      </c>
      <c r="FV475" s="3">
        <f t="shared" si="404"/>
        <v>0</v>
      </c>
      <c r="FW475" s="3">
        <f t="shared" si="404"/>
        <v>0</v>
      </c>
      <c r="FX475" s="3">
        <f t="shared" si="404"/>
        <v>0</v>
      </c>
      <c r="FY475" s="3">
        <f t="shared" si="404"/>
        <v>0</v>
      </c>
      <c r="FZ475" s="3">
        <f t="shared" si="404"/>
        <v>0</v>
      </c>
      <c r="GA475" s="3">
        <f t="shared" si="404"/>
        <v>0</v>
      </c>
      <c r="GB475" s="3">
        <f t="shared" si="404"/>
        <v>0</v>
      </c>
      <c r="GC475" s="3">
        <f t="shared" si="404"/>
        <v>0</v>
      </c>
      <c r="GD475" s="3">
        <f t="shared" si="404"/>
        <v>0</v>
      </c>
      <c r="GE475" s="3">
        <f t="shared" si="404"/>
        <v>0</v>
      </c>
      <c r="GF475" s="3">
        <f t="shared" si="404"/>
        <v>0</v>
      </c>
      <c r="GG475" s="3">
        <f t="shared" si="404"/>
        <v>0</v>
      </c>
      <c r="GH475" s="3">
        <f t="shared" si="404"/>
        <v>0</v>
      </c>
      <c r="GI475" s="3">
        <f t="shared" si="404"/>
        <v>0</v>
      </c>
      <c r="GJ475" s="3">
        <f t="shared" si="404"/>
        <v>0</v>
      </c>
      <c r="GK475" s="3">
        <f t="shared" si="404"/>
        <v>0</v>
      </c>
      <c r="GL475" s="3">
        <f t="shared" si="404"/>
        <v>0</v>
      </c>
      <c r="GM475" s="3">
        <f t="shared" si="404"/>
        <v>0</v>
      </c>
      <c r="GN475" s="3">
        <f t="shared" si="404"/>
        <v>0</v>
      </c>
      <c r="GO475" s="3">
        <f t="shared" si="404"/>
        <v>0</v>
      </c>
      <c r="GP475" s="3">
        <f t="shared" si="404"/>
        <v>0</v>
      </c>
      <c r="GQ475" s="3">
        <f t="shared" si="404"/>
        <v>0</v>
      </c>
      <c r="GR475" s="3">
        <f t="shared" si="404"/>
        <v>0</v>
      </c>
      <c r="GS475" s="3">
        <f t="shared" si="404"/>
        <v>0</v>
      </c>
      <c r="GT475" s="3">
        <f t="shared" si="404"/>
        <v>0</v>
      </c>
      <c r="GU475" s="3">
        <f t="shared" si="404"/>
        <v>0</v>
      </c>
      <c r="GV475" s="3">
        <f t="shared" si="404"/>
        <v>0</v>
      </c>
      <c r="GW475" s="3">
        <f t="shared" si="404"/>
        <v>0</v>
      </c>
      <c r="GX475" s="3">
        <f t="shared" si="404"/>
        <v>0</v>
      </c>
    </row>
    <row r="477" spans="1:245" x14ac:dyDescent="0.2">
      <c r="A477">
        <v>17</v>
      </c>
      <c r="B477">
        <v>1</v>
      </c>
      <c r="C477">
        <f>ROW(SmtRes!A286)</f>
        <v>286</v>
      </c>
      <c r="D477">
        <f>ROW(EtalonRes!A291)</f>
        <v>291</v>
      </c>
      <c r="E477" t="s">
        <v>605</v>
      </c>
      <c r="F477" t="s">
        <v>606</v>
      </c>
      <c r="G477" t="s">
        <v>607</v>
      </c>
      <c r="H477" t="s">
        <v>358</v>
      </c>
      <c r="I477">
        <v>250</v>
      </c>
      <c r="J477">
        <v>0</v>
      </c>
      <c r="K477">
        <v>250</v>
      </c>
      <c r="O477">
        <f t="shared" ref="O477:O505" si="405">ROUND(CP477,2)</f>
        <v>27729.599999999999</v>
      </c>
      <c r="P477">
        <f t="shared" ref="P477:P505" si="406">ROUND((ROUND((AC477*AW477*I477),2)*BC477),2)</f>
        <v>0</v>
      </c>
      <c r="Q477">
        <f>(ROUND((ROUND(((ET477)*AV477*I477),2)*BB477),2)+ROUND((ROUND(((AE477-(EU477))*AV477*I477),2)*BS477),2))</f>
        <v>0</v>
      </c>
      <c r="R477">
        <f t="shared" ref="R477:R505" si="407">ROUND((ROUND((AE477*AV477*I477),2)*BS477),2)</f>
        <v>0</v>
      </c>
      <c r="S477">
        <f t="shared" ref="S477:S505" si="408">ROUND((ROUND((AF477*AV477*I477),2)*BA477),2)</f>
        <v>27729.599999999999</v>
      </c>
      <c r="T477">
        <f t="shared" ref="T477:T505" si="409">ROUND(CU477*I477,2)</f>
        <v>0</v>
      </c>
      <c r="U477">
        <f t="shared" ref="U477:U505" si="410">CV477*I477</f>
        <v>75</v>
      </c>
      <c r="V477">
        <f t="shared" ref="V477:V505" si="411">CW477*I477</f>
        <v>0</v>
      </c>
      <c r="W477">
        <f t="shared" ref="W477:W505" si="412">ROUND(CX477*I477,2)</f>
        <v>0</v>
      </c>
      <c r="X477">
        <f t="shared" ref="X477:X505" si="413">ROUND(CY477,2)</f>
        <v>20242.61</v>
      </c>
      <c r="Y477">
        <f t="shared" ref="Y477:Y505" si="414">ROUND(CZ477,2)</f>
        <v>11369.14</v>
      </c>
      <c r="AA477">
        <v>42938047</v>
      </c>
      <c r="AB477">
        <f t="shared" ref="AB477:AB505" si="415">ROUND((AC477+AD477+AF477),6)</f>
        <v>4.3600000000000003</v>
      </c>
      <c r="AC477">
        <f t="shared" ref="AC477:AC505" si="416">ROUND((ES477),6)</f>
        <v>0</v>
      </c>
      <c r="AD477">
        <f>ROUND((((ET477)-(EU477))+AE477),6)</f>
        <v>0</v>
      </c>
      <c r="AE477">
        <f t="shared" ref="AE477:AF479" si="417">ROUND((EU477),6)</f>
        <v>0</v>
      </c>
      <c r="AF477">
        <f t="shared" si="417"/>
        <v>4.3600000000000003</v>
      </c>
      <c r="AG477">
        <f t="shared" ref="AG477:AG505" si="418">ROUND((AP477),6)</f>
        <v>0</v>
      </c>
      <c r="AH477">
        <f t="shared" ref="AH477:AI479" si="419">(EW477)</f>
        <v>0.3</v>
      </c>
      <c r="AI477">
        <f t="shared" si="419"/>
        <v>0</v>
      </c>
      <c r="AJ477">
        <f t="shared" ref="AJ477:AJ505" si="420">(AS477)</f>
        <v>0</v>
      </c>
      <c r="AK477">
        <v>4.3600000000000003</v>
      </c>
      <c r="AL477">
        <v>0</v>
      </c>
      <c r="AM477">
        <v>0</v>
      </c>
      <c r="AN477">
        <v>0</v>
      </c>
      <c r="AO477">
        <v>4.3600000000000003</v>
      </c>
      <c r="AP477">
        <v>0</v>
      </c>
      <c r="AQ477">
        <v>0.3</v>
      </c>
      <c r="AR477">
        <v>0</v>
      </c>
      <c r="AS477">
        <v>0</v>
      </c>
      <c r="AT477">
        <v>73</v>
      </c>
      <c r="AU477">
        <v>41</v>
      </c>
      <c r="AV477">
        <v>1</v>
      </c>
      <c r="AW477">
        <v>1</v>
      </c>
      <c r="AZ477">
        <v>1</v>
      </c>
      <c r="BA477">
        <v>25.44</v>
      </c>
      <c r="BB477">
        <v>1</v>
      </c>
      <c r="BC477">
        <v>1</v>
      </c>
      <c r="BD477" t="s">
        <v>3</v>
      </c>
      <c r="BE477" t="s">
        <v>3</v>
      </c>
      <c r="BF477" t="s">
        <v>3</v>
      </c>
      <c r="BG477" t="s">
        <v>3</v>
      </c>
      <c r="BH477">
        <v>0</v>
      </c>
      <c r="BI477">
        <v>4</v>
      </c>
      <c r="BJ477" t="s">
        <v>608</v>
      </c>
      <c r="BM477">
        <v>1091</v>
      </c>
      <c r="BN477">
        <v>0</v>
      </c>
      <c r="BO477" t="s">
        <v>606</v>
      </c>
      <c r="BP477">
        <v>1</v>
      </c>
      <c r="BQ477">
        <v>140</v>
      </c>
      <c r="BR477">
        <v>0</v>
      </c>
      <c r="BS477">
        <v>25.44</v>
      </c>
      <c r="BT477">
        <v>1</v>
      </c>
      <c r="BU477">
        <v>1</v>
      </c>
      <c r="BV477">
        <v>1</v>
      </c>
      <c r="BW477">
        <v>1</v>
      </c>
      <c r="BX477">
        <v>1</v>
      </c>
      <c r="BY477" t="s">
        <v>3</v>
      </c>
      <c r="BZ477">
        <v>73</v>
      </c>
      <c r="CA477">
        <v>41</v>
      </c>
      <c r="CB477" t="s">
        <v>3</v>
      </c>
      <c r="CE477">
        <v>30</v>
      </c>
      <c r="CF477">
        <v>0</v>
      </c>
      <c r="CG477">
        <v>0</v>
      </c>
      <c r="CM477">
        <v>0</v>
      </c>
      <c r="CN477" t="s">
        <v>3</v>
      </c>
      <c r="CO477">
        <v>0</v>
      </c>
      <c r="CP477">
        <f t="shared" ref="CP477:CP505" si="421">(P477+Q477+S477)</f>
        <v>27729.599999999999</v>
      </c>
      <c r="CQ477">
        <f t="shared" ref="CQ477:CQ505" si="422">ROUND((ROUND((AC477*AW477*1),2)*BC477),2)</f>
        <v>0</v>
      </c>
      <c r="CR477">
        <f>(ROUND((ROUND(((ET477)*AV477*1),2)*BB477),2)+ROUND((ROUND(((AE477-(EU477))*AV477*1),2)*BS477),2))</f>
        <v>0</v>
      </c>
      <c r="CS477">
        <f t="shared" ref="CS477:CS505" si="423">ROUND((ROUND((AE477*AV477*1),2)*BS477),2)</f>
        <v>0</v>
      </c>
      <c r="CT477">
        <f t="shared" ref="CT477:CT505" si="424">ROUND((ROUND((AF477*AV477*1),2)*BA477),2)</f>
        <v>110.92</v>
      </c>
      <c r="CU477">
        <f t="shared" ref="CU477:CU505" si="425">AG477</f>
        <v>0</v>
      </c>
      <c r="CV477">
        <f t="shared" ref="CV477:CV505" si="426">(AH477*AV477)</f>
        <v>0.3</v>
      </c>
      <c r="CW477">
        <f t="shared" ref="CW477:CW505" si="427">AI477</f>
        <v>0</v>
      </c>
      <c r="CX477">
        <f t="shared" ref="CX477:CX505" si="428">AJ477</f>
        <v>0</v>
      </c>
      <c r="CY477">
        <f t="shared" ref="CY477:CY505" si="429">S477*(BZ477/100)</f>
        <v>20242.608</v>
      </c>
      <c r="CZ477">
        <f t="shared" ref="CZ477:CZ505" si="430">S477*(CA477/100)</f>
        <v>11369.135999999999</v>
      </c>
      <c r="DC477" t="s">
        <v>3</v>
      </c>
      <c r="DD477" t="s">
        <v>3</v>
      </c>
      <c r="DE477" t="s">
        <v>3</v>
      </c>
      <c r="DF477" t="s">
        <v>3</v>
      </c>
      <c r="DG477" t="s">
        <v>3</v>
      </c>
      <c r="DH477" t="s">
        <v>3</v>
      </c>
      <c r="DI477" t="s">
        <v>3</v>
      </c>
      <c r="DJ477" t="s">
        <v>3</v>
      </c>
      <c r="DK477" t="s">
        <v>3</v>
      </c>
      <c r="DL477" t="s">
        <v>3</v>
      </c>
      <c r="DM477" t="s">
        <v>3</v>
      </c>
      <c r="DN477">
        <v>91</v>
      </c>
      <c r="DO477">
        <v>70</v>
      </c>
      <c r="DP477">
        <v>1</v>
      </c>
      <c r="DQ477">
        <v>1</v>
      </c>
      <c r="DU477">
        <v>1013</v>
      </c>
      <c r="DV477" t="s">
        <v>358</v>
      </c>
      <c r="DW477" t="s">
        <v>358</v>
      </c>
      <c r="DX477">
        <v>1</v>
      </c>
      <c r="DZ477" t="s">
        <v>3</v>
      </c>
      <c r="EA477" t="s">
        <v>3</v>
      </c>
      <c r="EB477" t="s">
        <v>3</v>
      </c>
      <c r="EC477" t="s">
        <v>3</v>
      </c>
      <c r="EE477">
        <v>43089169</v>
      </c>
      <c r="EF477">
        <v>140</v>
      </c>
      <c r="EG477" t="s">
        <v>609</v>
      </c>
      <c r="EH477">
        <v>0</v>
      </c>
      <c r="EI477" t="s">
        <v>3</v>
      </c>
      <c r="EJ477">
        <v>4</v>
      </c>
      <c r="EK477">
        <v>1091</v>
      </c>
      <c r="EL477" t="s">
        <v>610</v>
      </c>
      <c r="EM477" t="s">
        <v>611</v>
      </c>
      <c r="EO477" t="s">
        <v>3</v>
      </c>
      <c r="EQ477">
        <v>0</v>
      </c>
      <c r="ER477">
        <v>4.3600000000000003</v>
      </c>
      <c r="ES477">
        <v>0</v>
      </c>
      <c r="ET477">
        <v>0</v>
      </c>
      <c r="EU477">
        <v>0</v>
      </c>
      <c r="EV477">
        <v>4.3600000000000003</v>
      </c>
      <c r="EW477">
        <v>0.3</v>
      </c>
      <c r="EX477">
        <v>0</v>
      </c>
      <c r="EY477">
        <v>0</v>
      </c>
      <c r="FQ477">
        <v>0</v>
      </c>
      <c r="FR477">
        <f t="shared" ref="FR477:FR505" si="431">ROUND(IF(AND(BH477=3,BI477=3),P477,0),2)</f>
        <v>0</v>
      </c>
      <c r="FS477">
        <v>0</v>
      </c>
      <c r="FX477">
        <v>91</v>
      </c>
      <c r="FY477">
        <v>70</v>
      </c>
      <c r="GA477" t="s">
        <v>3</v>
      </c>
      <c r="GD477">
        <v>0</v>
      </c>
      <c r="GF477">
        <v>-1230993361</v>
      </c>
      <c r="GG477">
        <v>2</v>
      </c>
      <c r="GH477">
        <v>1</v>
      </c>
      <c r="GI477">
        <v>2</v>
      </c>
      <c r="GJ477">
        <v>0</v>
      </c>
      <c r="GK477">
        <f>ROUND(R477*(R12)/100,2)</f>
        <v>0</v>
      </c>
      <c r="GL477">
        <f t="shared" ref="GL477:GL505" si="432">ROUND(IF(AND(BH477=3,BI477=3,FS477&lt;&gt;0),P477,0),2)</f>
        <v>0</v>
      </c>
      <c r="GM477">
        <f t="shared" ref="GM477:GM505" si="433">ROUND(O477+X477+Y477+GK477,2)+GX477</f>
        <v>59341.35</v>
      </c>
      <c r="GN477">
        <f t="shared" ref="GN477:GN505" si="434">IF(OR(BI477=0,BI477=1),ROUND(O477+X477+Y477+GK477,2),0)</f>
        <v>0</v>
      </c>
      <c r="GO477">
        <f t="shared" ref="GO477:GO505" si="435">IF(BI477=2,ROUND(O477+X477+Y477+GK477,2),0)</f>
        <v>0</v>
      </c>
      <c r="GP477">
        <f t="shared" ref="GP477:GP505" si="436">IF(BI477=4,ROUND(O477+X477+Y477+GK477,2)+GX477,0)</f>
        <v>59341.35</v>
      </c>
      <c r="GR477">
        <v>0</v>
      </c>
      <c r="GS477">
        <v>3</v>
      </c>
      <c r="GT477">
        <v>0</v>
      </c>
      <c r="GU477" t="s">
        <v>3</v>
      </c>
      <c r="GV477">
        <f t="shared" ref="GV477:GV505" si="437">ROUND((GT477),6)</f>
        <v>0</v>
      </c>
      <c r="GW477">
        <v>1</v>
      </c>
      <c r="GX477">
        <f t="shared" ref="GX477:GX505" si="438">ROUND(HC477*I477,2)</f>
        <v>0</v>
      </c>
      <c r="HA477">
        <v>0</v>
      </c>
      <c r="HB477">
        <v>0</v>
      </c>
      <c r="HC477">
        <f t="shared" ref="HC477:HC505" si="439">GV477*GW477</f>
        <v>0</v>
      </c>
      <c r="HE477" t="s">
        <v>3</v>
      </c>
      <c r="HF477" t="s">
        <v>3</v>
      </c>
      <c r="HM477" t="s">
        <v>3</v>
      </c>
      <c r="IK477">
        <v>0</v>
      </c>
    </row>
    <row r="478" spans="1:245" x14ac:dyDescent="0.2">
      <c r="A478">
        <v>17</v>
      </c>
      <c r="B478">
        <v>1</v>
      </c>
      <c r="C478">
        <f>ROW(SmtRes!A288)</f>
        <v>288</v>
      </c>
      <c r="D478">
        <f>ROW(EtalonRes!A292)</f>
        <v>292</v>
      </c>
      <c r="E478" t="s">
        <v>612</v>
      </c>
      <c r="F478" t="s">
        <v>613</v>
      </c>
      <c r="G478" t="s">
        <v>614</v>
      </c>
      <c r="H478" t="s">
        <v>358</v>
      </c>
      <c r="I478">
        <v>250</v>
      </c>
      <c r="J478">
        <v>0</v>
      </c>
      <c r="K478">
        <v>250</v>
      </c>
      <c r="O478">
        <f t="shared" si="405"/>
        <v>11066.4</v>
      </c>
      <c r="P478">
        <f t="shared" si="406"/>
        <v>0</v>
      </c>
      <c r="Q478">
        <f>(ROUND((ROUND(((ET478)*AV478*I478),2)*BB478),2)+ROUND((ROUND(((AE478-(EU478))*AV478*I478),2)*BS478),2))</f>
        <v>0</v>
      </c>
      <c r="R478">
        <f t="shared" si="407"/>
        <v>0</v>
      </c>
      <c r="S478">
        <f t="shared" si="408"/>
        <v>11066.4</v>
      </c>
      <c r="T478">
        <f t="shared" si="409"/>
        <v>0</v>
      </c>
      <c r="U478">
        <f t="shared" si="410"/>
        <v>30</v>
      </c>
      <c r="V478">
        <f t="shared" si="411"/>
        <v>0</v>
      </c>
      <c r="W478">
        <f t="shared" si="412"/>
        <v>0</v>
      </c>
      <c r="X478">
        <f t="shared" si="413"/>
        <v>8078.47</v>
      </c>
      <c r="Y478">
        <f t="shared" si="414"/>
        <v>4537.22</v>
      </c>
      <c r="AA478">
        <v>42938047</v>
      </c>
      <c r="AB478">
        <f t="shared" si="415"/>
        <v>1.74</v>
      </c>
      <c r="AC478">
        <f t="shared" si="416"/>
        <v>0</v>
      </c>
      <c r="AD478">
        <f>ROUND((((ET478)-(EU478))+AE478),6)</f>
        <v>0</v>
      </c>
      <c r="AE478">
        <f t="shared" si="417"/>
        <v>0</v>
      </c>
      <c r="AF478">
        <f t="shared" si="417"/>
        <v>1.74</v>
      </c>
      <c r="AG478">
        <f t="shared" si="418"/>
        <v>0</v>
      </c>
      <c r="AH478">
        <f t="shared" si="419"/>
        <v>0.12</v>
      </c>
      <c r="AI478">
        <f t="shared" si="419"/>
        <v>0</v>
      </c>
      <c r="AJ478">
        <f t="shared" si="420"/>
        <v>0</v>
      </c>
      <c r="AK478">
        <v>1.74</v>
      </c>
      <c r="AL478">
        <v>0</v>
      </c>
      <c r="AM478">
        <v>0</v>
      </c>
      <c r="AN478">
        <v>0</v>
      </c>
      <c r="AO478">
        <v>1.74</v>
      </c>
      <c r="AP478">
        <v>0</v>
      </c>
      <c r="AQ478">
        <v>0.12</v>
      </c>
      <c r="AR478">
        <v>0</v>
      </c>
      <c r="AS478">
        <v>0</v>
      </c>
      <c r="AT478">
        <v>73</v>
      </c>
      <c r="AU478">
        <v>41</v>
      </c>
      <c r="AV478">
        <v>1</v>
      </c>
      <c r="AW478">
        <v>1</v>
      </c>
      <c r="AZ478">
        <v>1</v>
      </c>
      <c r="BA478">
        <v>25.44</v>
      </c>
      <c r="BB478">
        <v>1</v>
      </c>
      <c r="BC478">
        <v>1</v>
      </c>
      <c r="BD478" t="s">
        <v>3</v>
      </c>
      <c r="BE478" t="s">
        <v>3</v>
      </c>
      <c r="BF478" t="s">
        <v>3</v>
      </c>
      <c r="BG478" t="s">
        <v>3</v>
      </c>
      <c r="BH478">
        <v>0</v>
      </c>
      <c r="BI478">
        <v>4</v>
      </c>
      <c r="BJ478" t="s">
        <v>615</v>
      </c>
      <c r="BM478">
        <v>1091</v>
      </c>
      <c r="BN478">
        <v>0</v>
      </c>
      <c r="BO478" t="s">
        <v>613</v>
      </c>
      <c r="BP478">
        <v>1</v>
      </c>
      <c r="BQ478">
        <v>140</v>
      </c>
      <c r="BR478">
        <v>0</v>
      </c>
      <c r="BS478">
        <v>25.44</v>
      </c>
      <c r="BT478">
        <v>1</v>
      </c>
      <c r="BU478">
        <v>1</v>
      </c>
      <c r="BV478">
        <v>1</v>
      </c>
      <c r="BW478">
        <v>1</v>
      </c>
      <c r="BX478">
        <v>1</v>
      </c>
      <c r="BY478" t="s">
        <v>3</v>
      </c>
      <c r="BZ478">
        <v>73</v>
      </c>
      <c r="CA478">
        <v>41</v>
      </c>
      <c r="CB478" t="s">
        <v>3</v>
      </c>
      <c r="CE478">
        <v>30</v>
      </c>
      <c r="CF478">
        <v>0</v>
      </c>
      <c r="CG478">
        <v>0</v>
      </c>
      <c r="CM478">
        <v>0</v>
      </c>
      <c r="CN478" t="s">
        <v>3</v>
      </c>
      <c r="CO478">
        <v>0</v>
      </c>
      <c r="CP478">
        <f t="shared" si="421"/>
        <v>11066.4</v>
      </c>
      <c r="CQ478">
        <f t="shared" si="422"/>
        <v>0</v>
      </c>
      <c r="CR478">
        <f>(ROUND((ROUND(((ET478)*AV478*1),2)*BB478),2)+ROUND((ROUND(((AE478-(EU478))*AV478*1),2)*BS478),2))</f>
        <v>0</v>
      </c>
      <c r="CS478">
        <f t="shared" si="423"/>
        <v>0</v>
      </c>
      <c r="CT478">
        <f t="shared" si="424"/>
        <v>44.27</v>
      </c>
      <c r="CU478">
        <f t="shared" si="425"/>
        <v>0</v>
      </c>
      <c r="CV478">
        <f t="shared" si="426"/>
        <v>0.12</v>
      </c>
      <c r="CW478">
        <f t="shared" si="427"/>
        <v>0</v>
      </c>
      <c r="CX478">
        <f t="shared" si="428"/>
        <v>0</v>
      </c>
      <c r="CY478">
        <f t="shared" si="429"/>
        <v>8078.4719999999998</v>
      </c>
      <c r="CZ478">
        <f t="shared" si="430"/>
        <v>4537.2239999999993</v>
      </c>
      <c r="DC478" t="s">
        <v>3</v>
      </c>
      <c r="DD478" t="s">
        <v>3</v>
      </c>
      <c r="DE478" t="s">
        <v>3</v>
      </c>
      <c r="DF478" t="s">
        <v>3</v>
      </c>
      <c r="DG478" t="s">
        <v>3</v>
      </c>
      <c r="DH478" t="s">
        <v>3</v>
      </c>
      <c r="DI478" t="s">
        <v>3</v>
      </c>
      <c r="DJ478" t="s">
        <v>3</v>
      </c>
      <c r="DK478" t="s">
        <v>3</v>
      </c>
      <c r="DL478" t="s">
        <v>3</v>
      </c>
      <c r="DM478" t="s">
        <v>3</v>
      </c>
      <c r="DN478">
        <v>91</v>
      </c>
      <c r="DO478">
        <v>70</v>
      </c>
      <c r="DP478">
        <v>1</v>
      </c>
      <c r="DQ478">
        <v>1</v>
      </c>
      <c r="DU478">
        <v>1013</v>
      </c>
      <c r="DV478" t="s">
        <v>358</v>
      </c>
      <c r="DW478" t="s">
        <v>358</v>
      </c>
      <c r="DX478">
        <v>1</v>
      </c>
      <c r="DZ478" t="s">
        <v>3</v>
      </c>
      <c r="EA478" t="s">
        <v>3</v>
      </c>
      <c r="EB478" t="s">
        <v>3</v>
      </c>
      <c r="EC478" t="s">
        <v>3</v>
      </c>
      <c r="EE478">
        <v>43089169</v>
      </c>
      <c r="EF478">
        <v>140</v>
      </c>
      <c r="EG478" t="s">
        <v>609</v>
      </c>
      <c r="EH478">
        <v>0</v>
      </c>
      <c r="EI478" t="s">
        <v>3</v>
      </c>
      <c r="EJ478">
        <v>4</v>
      </c>
      <c r="EK478">
        <v>1091</v>
      </c>
      <c r="EL478" t="s">
        <v>610</v>
      </c>
      <c r="EM478" t="s">
        <v>611</v>
      </c>
      <c r="EO478" t="s">
        <v>3</v>
      </c>
      <c r="EQ478">
        <v>0</v>
      </c>
      <c r="ER478">
        <v>1.74</v>
      </c>
      <c r="ES478">
        <v>0</v>
      </c>
      <c r="ET478">
        <v>0</v>
      </c>
      <c r="EU478">
        <v>0</v>
      </c>
      <c r="EV478">
        <v>1.74</v>
      </c>
      <c r="EW478">
        <v>0.12</v>
      </c>
      <c r="EX478">
        <v>0</v>
      </c>
      <c r="EY478">
        <v>0</v>
      </c>
      <c r="FQ478">
        <v>0</v>
      </c>
      <c r="FR478">
        <f t="shared" si="431"/>
        <v>0</v>
      </c>
      <c r="FS478">
        <v>0</v>
      </c>
      <c r="FX478">
        <v>91</v>
      </c>
      <c r="FY478">
        <v>70</v>
      </c>
      <c r="GA478" t="s">
        <v>3</v>
      </c>
      <c r="GD478">
        <v>0</v>
      </c>
      <c r="GF478">
        <v>-172074404</v>
      </c>
      <c r="GG478">
        <v>2</v>
      </c>
      <c r="GH478">
        <v>1</v>
      </c>
      <c r="GI478">
        <v>2</v>
      </c>
      <c r="GJ478">
        <v>0</v>
      </c>
      <c r="GK478">
        <f>ROUND(R478*(R12)/100,2)</f>
        <v>0</v>
      </c>
      <c r="GL478">
        <f t="shared" si="432"/>
        <v>0</v>
      </c>
      <c r="GM478">
        <f t="shared" si="433"/>
        <v>23682.09</v>
      </c>
      <c r="GN478">
        <f t="shared" si="434"/>
        <v>0</v>
      </c>
      <c r="GO478">
        <f t="shared" si="435"/>
        <v>0</v>
      </c>
      <c r="GP478">
        <f t="shared" si="436"/>
        <v>23682.09</v>
      </c>
      <c r="GR478">
        <v>0</v>
      </c>
      <c r="GS478">
        <v>3</v>
      </c>
      <c r="GT478">
        <v>0</v>
      </c>
      <c r="GU478" t="s">
        <v>3</v>
      </c>
      <c r="GV478">
        <f t="shared" si="437"/>
        <v>0</v>
      </c>
      <c r="GW478">
        <v>1</v>
      </c>
      <c r="GX478">
        <f t="shared" si="438"/>
        <v>0</v>
      </c>
      <c r="HA478">
        <v>0</v>
      </c>
      <c r="HB478">
        <v>0</v>
      </c>
      <c r="HC478">
        <f t="shared" si="439"/>
        <v>0</v>
      </c>
      <c r="HE478" t="s">
        <v>3</v>
      </c>
      <c r="HF478" t="s">
        <v>3</v>
      </c>
      <c r="HM478" t="s">
        <v>3</v>
      </c>
      <c r="IK478">
        <v>0</v>
      </c>
    </row>
    <row r="479" spans="1:245" x14ac:dyDescent="0.2">
      <c r="A479">
        <v>18</v>
      </c>
      <c r="B479">
        <v>1</v>
      </c>
      <c r="C479">
        <v>288</v>
      </c>
      <c r="E479" t="s">
        <v>616</v>
      </c>
      <c r="F479" t="s">
        <v>469</v>
      </c>
      <c r="G479" t="s">
        <v>470</v>
      </c>
      <c r="H479" t="s">
        <v>84</v>
      </c>
      <c r="I479">
        <f>I478*J479</f>
        <v>250</v>
      </c>
      <c r="J479">
        <v>1</v>
      </c>
      <c r="K479">
        <v>1</v>
      </c>
      <c r="O479">
        <f t="shared" si="405"/>
        <v>9084.9500000000007</v>
      </c>
      <c r="P479">
        <f t="shared" si="406"/>
        <v>9084.9500000000007</v>
      </c>
      <c r="Q479">
        <f>(ROUND((ROUND(((ET479)*AV479*I479),2)*BB479),2)+ROUND((ROUND(((AE479-(EU479))*AV479*I479),2)*BS479),2))</f>
        <v>0</v>
      </c>
      <c r="R479">
        <f t="shared" si="407"/>
        <v>0</v>
      </c>
      <c r="S479">
        <f t="shared" si="408"/>
        <v>0</v>
      </c>
      <c r="T479">
        <f t="shared" si="409"/>
        <v>0</v>
      </c>
      <c r="U479">
        <f t="shared" si="410"/>
        <v>0</v>
      </c>
      <c r="V479">
        <f t="shared" si="411"/>
        <v>0</v>
      </c>
      <c r="W479">
        <f t="shared" si="412"/>
        <v>0</v>
      </c>
      <c r="X479">
        <f t="shared" si="413"/>
        <v>0</v>
      </c>
      <c r="Y479">
        <f t="shared" si="414"/>
        <v>0</v>
      </c>
      <c r="AA479">
        <v>42938047</v>
      </c>
      <c r="AB479">
        <f t="shared" si="415"/>
        <v>7.07</v>
      </c>
      <c r="AC479">
        <f t="shared" si="416"/>
        <v>7.07</v>
      </c>
      <c r="AD479">
        <f>ROUND((((ET479)-(EU479))+AE479),6)</f>
        <v>0</v>
      </c>
      <c r="AE479">
        <f t="shared" si="417"/>
        <v>0</v>
      </c>
      <c r="AF479">
        <f t="shared" si="417"/>
        <v>0</v>
      </c>
      <c r="AG479">
        <f t="shared" si="418"/>
        <v>0</v>
      </c>
      <c r="AH479">
        <f t="shared" si="419"/>
        <v>0</v>
      </c>
      <c r="AI479">
        <f t="shared" si="419"/>
        <v>0</v>
      </c>
      <c r="AJ479">
        <f t="shared" si="420"/>
        <v>0</v>
      </c>
      <c r="AK479">
        <v>7.07</v>
      </c>
      <c r="AL479">
        <v>7.07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1</v>
      </c>
      <c r="AW479">
        <v>1</v>
      </c>
      <c r="AZ479">
        <v>1</v>
      </c>
      <c r="BA479">
        <v>1</v>
      </c>
      <c r="BB479">
        <v>1</v>
      </c>
      <c r="BC479">
        <v>5.14</v>
      </c>
      <c r="BD479" t="s">
        <v>3</v>
      </c>
      <c r="BE479" t="s">
        <v>3</v>
      </c>
      <c r="BF479" t="s">
        <v>3</v>
      </c>
      <c r="BG479" t="s">
        <v>3</v>
      </c>
      <c r="BH479">
        <v>3</v>
      </c>
      <c r="BI479">
        <v>4</v>
      </c>
      <c r="BJ479" t="s">
        <v>471</v>
      </c>
      <c r="BM479">
        <v>1091</v>
      </c>
      <c r="BN479">
        <v>0</v>
      </c>
      <c r="BO479" t="s">
        <v>469</v>
      </c>
      <c r="BP479">
        <v>1</v>
      </c>
      <c r="BQ479">
        <v>140</v>
      </c>
      <c r="BR479">
        <v>0</v>
      </c>
      <c r="BS479">
        <v>1</v>
      </c>
      <c r="BT479">
        <v>1</v>
      </c>
      <c r="BU479">
        <v>1</v>
      </c>
      <c r="BV479">
        <v>1</v>
      </c>
      <c r="BW479">
        <v>1</v>
      </c>
      <c r="BX479">
        <v>1</v>
      </c>
      <c r="BY479" t="s">
        <v>3</v>
      </c>
      <c r="BZ479">
        <v>0</v>
      </c>
      <c r="CA479">
        <v>0</v>
      </c>
      <c r="CB479" t="s">
        <v>3</v>
      </c>
      <c r="CE479">
        <v>30</v>
      </c>
      <c r="CF479">
        <v>0</v>
      </c>
      <c r="CG479">
        <v>0</v>
      </c>
      <c r="CM479">
        <v>0</v>
      </c>
      <c r="CN479" t="s">
        <v>3</v>
      </c>
      <c r="CO479">
        <v>0</v>
      </c>
      <c r="CP479">
        <f t="shared" si="421"/>
        <v>9084.9500000000007</v>
      </c>
      <c r="CQ479">
        <f t="shared" si="422"/>
        <v>36.340000000000003</v>
      </c>
      <c r="CR479">
        <f>(ROUND((ROUND(((ET479)*AV479*1),2)*BB479),2)+ROUND((ROUND(((AE479-(EU479))*AV479*1),2)*BS479),2))</f>
        <v>0</v>
      </c>
      <c r="CS479">
        <f t="shared" si="423"/>
        <v>0</v>
      </c>
      <c r="CT479">
        <f t="shared" si="424"/>
        <v>0</v>
      </c>
      <c r="CU479">
        <f t="shared" si="425"/>
        <v>0</v>
      </c>
      <c r="CV479">
        <f t="shared" si="426"/>
        <v>0</v>
      </c>
      <c r="CW479">
        <f t="shared" si="427"/>
        <v>0</v>
      </c>
      <c r="CX479">
        <f t="shared" si="428"/>
        <v>0</v>
      </c>
      <c r="CY479">
        <f t="shared" si="429"/>
        <v>0</v>
      </c>
      <c r="CZ479">
        <f t="shared" si="430"/>
        <v>0</v>
      </c>
      <c r="DC479" t="s">
        <v>3</v>
      </c>
      <c r="DD479" t="s">
        <v>3</v>
      </c>
      <c r="DE479" t="s">
        <v>3</v>
      </c>
      <c r="DF479" t="s">
        <v>3</v>
      </c>
      <c r="DG479" t="s">
        <v>3</v>
      </c>
      <c r="DH479" t="s">
        <v>3</v>
      </c>
      <c r="DI479" t="s">
        <v>3</v>
      </c>
      <c r="DJ479" t="s">
        <v>3</v>
      </c>
      <c r="DK479" t="s">
        <v>3</v>
      </c>
      <c r="DL479" t="s">
        <v>3</v>
      </c>
      <c r="DM479" t="s">
        <v>3</v>
      </c>
      <c r="DN479">
        <v>91</v>
      </c>
      <c r="DO479">
        <v>70</v>
      </c>
      <c r="DP479">
        <v>1</v>
      </c>
      <c r="DQ479">
        <v>1</v>
      </c>
      <c r="DU479">
        <v>1007</v>
      </c>
      <c r="DV479" t="s">
        <v>84</v>
      </c>
      <c r="DW479" t="s">
        <v>84</v>
      </c>
      <c r="DX479">
        <v>1</v>
      </c>
      <c r="DZ479" t="s">
        <v>3</v>
      </c>
      <c r="EA479" t="s">
        <v>3</v>
      </c>
      <c r="EB479" t="s">
        <v>3</v>
      </c>
      <c r="EC479" t="s">
        <v>3</v>
      </c>
      <c r="EE479">
        <v>43089169</v>
      </c>
      <c r="EF479">
        <v>140</v>
      </c>
      <c r="EG479" t="s">
        <v>609</v>
      </c>
      <c r="EH479">
        <v>0</v>
      </c>
      <c r="EI479" t="s">
        <v>3</v>
      </c>
      <c r="EJ479">
        <v>4</v>
      </c>
      <c r="EK479">
        <v>1091</v>
      </c>
      <c r="EL479" t="s">
        <v>610</v>
      </c>
      <c r="EM479" t="s">
        <v>611</v>
      </c>
      <c r="EO479" t="s">
        <v>3</v>
      </c>
      <c r="EQ479">
        <v>0</v>
      </c>
      <c r="ER479">
        <v>7.07</v>
      </c>
      <c r="ES479">
        <v>7.07</v>
      </c>
      <c r="ET479">
        <v>0</v>
      </c>
      <c r="EU479">
        <v>0</v>
      </c>
      <c r="EV479">
        <v>0</v>
      </c>
      <c r="EW479">
        <v>0</v>
      </c>
      <c r="EX479">
        <v>0</v>
      </c>
      <c r="FQ479">
        <v>0</v>
      </c>
      <c r="FR479">
        <f t="shared" si="431"/>
        <v>0</v>
      </c>
      <c r="FS479">
        <v>0</v>
      </c>
      <c r="FX479">
        <v>91</v>
      </c>
      <c r="FY479">
        <v>70</v>
      </c>
      <c r="GA479" t="s">
        <v>3</v>
      </c>
      <c r="GD479">
        <v>0</v>
      </c>
      <c r="GF479">
        <v>1570211838</v>
      </c>
      <c r="GG479">
        <v>2</v>
      </c>
      <c r="GH479">
        <v>1</v>
      </c>
      <c r="GI479">
        <v>2</v>
      </c>
      <c r="GJ479">
        <v>0</v>
      </c>
      <c r="GK479">
        <f>ROUND(R479*(R12)/100,2)</f>
        <v>0</v>
      </c>
      <c r="GL479">
        <f t="shared" si="432"/>
        <v>0</v>
      </c>
      <c r="GM479">
        <f t="shared" si="433"/>
        <v>9084.9500000000007</v>
      </c>
      <c r="GN479">
        <f t="shared" si="434"/>
        <v>0</v>
      </c>
      <c r="GO479">
        <f t="shared" si="435"/>
        <v>0</v>
      </c>
      <c r="GP479">
        <f t="shared" si="436"/>
        <v>9084.9500000000007</v>
      </c>
      <c r="GR479">
        <v>0</v>
      </c>
      <c r="GS479">
        <v>3</v>
      </c>
      <c r="GT479">
        <v>0</v>
      </c>
      <c r="GU479" t="s">
        <v>3</v>
      </c>
      <c r="GV479">
        <f t="shared" si="437"/>
        <v>0</v>
      </c>
      <c r="GW479">
        <v>1</v>
      </c>
      <c r="GX479">
        <f t="shared" si="438"/>
        <v>0</v>
      </c>
      <c r="HA479">
        <v>0</v>
      </c>
      <c r="HB479">
        <v>0</v>
      </c>
      <c r="HC479">
        <f t="shared" si="439"/>
        <v>0</v>
      </c>
      <c r="HE479" t="s">
        <v>3</v>
      </c>
      <c r="HF479" t="s">
        <v>3</v>
      </c>
      <c r="HM479" t="s">
        <v>3</v>
      </c>
      <c r="IK479">
        <v>0</v>
      </c>
    </row>
    <row r="480" spans="1:245" x14ac:dyDescent="0.2">
      <c r="A480">
        <v>17</v>
      </c>
      <c r="B480">
        <v>1</v>
      </c>
      <c r="C480">
        <f>ROW(SmtRes!A293)</f>
        <v>293</v>
      </c>
      <c r="D480">
        <f>ROW(EtalonRes!A297)</f>
        <v>297</v>
      </c>
      <c r="E480" t="s">
        <v>617</v>
      </c>
      <c r="F480" t="s">
        <v>439</v>
      </c>
      <c r="G480" t="s">
        <v>618</v>
      </c>
      <c r="H480" t="s">
        <v>441</v>
      </c>
      <c r="I480">
        <f>ROUND(211.77/10,9)</f>
        <v>21.177</v>
      </c>
      <c r="J480">
        <v>0</v>
      </c>
      <c r="K480">
        <f>ROUND(211.77/10,9)</f>
        <v>21.177</v>
      </c>
      <c r="O480">
        <f t="shared" si="405"/>
        <v>451481.57</v>
      </c>
      <c r="P480">
        <f t="shared" si="406"/>
        <v>0</v>
      </c>
      <c r="Q480">
        <f>(ROUND((ROUND(((ET480)*AV480*I480),2)*BB480),2)+ROUND((ROUND(((AE480-(EU480))*AV480*I480),2)*BS480),2))</f>
        <v>118968.3</v>
      </c>
      <c r="R480">
        <f t="shared" si="407"/>
        <v>78333.320000000007</v>
      </c>
      <c r="S480">
        <f t="shared" si="408"/>
        <v>332513.27</v>
      </c>
      <c r="T480">
        <f t="shared" si="409"/>
        <v>0</v>
      </c>
      <c r="U480">
        <f t="shared" si="410"/>
        <v>1318.9226193</v>
      </c>
      <c r="V480">
        <f t="shared" si="411"/>
        <v>0</v>
      </c>
      <c r="W480">
        <f t="shared" si="412"/>
        <v>0</v>
      </c>
      <c r="X480">
        <f t="shared" si="413"/>
        <v>226109.02</v>
      </c>
      <c r="Y480">
        <f t="shared" si="414"/>
        <v>136330.44</v>
      </c>
      <c r="AA480">
        <v>42938047</v>
      </c>
      <c r="AB480">
        <f t="shared" si="415"/>
        <v>1128.8423</v>
      </c>
      <c r="AC480">
        <f t="shared" si="416"/>
        <v>0</v>
      </c>
      <c r="AD480">
        <f>ROUND((((ET480)-(EU480))+AE480),6)</f>
        <v>511.64</v>
      </c>
      <c r="AE480">
        <f>ROUND((EU480),6)</f>
        <v>145.4</v>
      </c>
      <c r="AF480">
        <f>ROUND(((EV480*0.33)),6)</f>
        <v>617.20230000000004</v>
      </c>
      <c r="AG480">
        <f t="shared" si="418"/>
        <v>0</v>
      </c>
      <c r="AH480">
        <f>((EW480*0.33))</f>
        <v>62.280900000000003</v>
      </c>
      <c r="AI480">
        <f>(EX480)</f>
        <v>0</v>
      </c>
      <c r="AJ480">
        <f t="shared" si="420"/>
        <v>0</v>
      </c>
      <c r="AK480">
        <v>2381.9499999999998</v>
      </c>
      <c r="AL480">
        <v>0</v>
      </c>
      <c r="AM480">
        <v>511.64</v>
      </c>
      <c r="AN480">
        <v>145.4</v>
      </c>
      <c r="AO480">
        <v>1870.31</v>
      </c>
      <c r="AP480">
        <v>0</v>
      </c>
      <c r="AQ480">
        <v>188.73</v>
      </c>
      <c r="AR480">
        <v>0</v>
      </c>
      <c r="AS480">
        <v>0</v>
      </c>
      <c r="AT480">
        <v>68</v>
      </c>
      <c r="AU480">
        <v>41</v>
      </c>
      <c r="AV480">
        <v>1</v>
      </c>
      <c r="AW480">
        <v>1</v>
      </c>
      <c r="AZ480">
        <v>1</v>
      </c>
      <c r="BA480">
        <v>25.44</v>
      </c>
      <c r="BB480">
        <v>10.98</v>
      </c>
      <c r="BC480">
        <v>1</v>
      </c>
      <c r="BD480" t="s">
        <v>3</v>
      </c>
      <c r="BE480" t="s">
        <v>3</v>
      </c>
      <c r="BF480" t="s">
        <v>3</v>
      </c>
      <c r="BG480" t="s">
        <v>3</v>
      </c>
      <c r="BH480">
        <v>0</v>
      </c>
      <c r="BI480">
        <v>1</v>
      </c>
      <c r="BJ480" t="s">
        <v>442</v>
      </c>
      <c r="BM480">
        <v>406</v>
      </c>
      <c r="BN480">
        <v>0</v>
      </c>
      <c r="BO480" t="s">
        <v>439</v>
      </c>
      <c r="BP480">
        <v>1</v>
      </c>
      <c r="BQ480">
        <v>60</v>
      </c>
      <c r="BR480">
        <v>0</v>
      </c>
      <c r="BS480">
        <v>25.44</v>
      </c>
      <c r="BT480">
        <v>1</v>
      </c>
      <c r="BU480">
        <v>1</v>
      </c>
      <c r="BV480">
        <v>1</v>
      </c>
      <c r="BW480">
        <v>1</v>
      </c>
      <c r="BX480">
        <v>1</v>
      </c>
      <c r="BY480" t="s">
        <v>3</v>
      </c>
      <c r="BZ480">
        <v>68</v>
      </c>
      <c r="CA480">
        <v>41</v>
      </c>
      <c r="CB480" t="s">
        <v>3</v>
      </c>
      <c r="CE480">
        <v>30</v>
      </c>
      <c r="CF480">
        <v>0</v>
      </c>
      <c r="CG480">
        <v>0</v>
      </c>
      <c r="CM480">
        <v>0</v>
      </c>
      <c r="CN480" t="s">
        <v>3</v>
      </c>
      <c r="CO480">
        <v>0</v>
      </c>
      <c r="CP480">
        <f t="shared" si="421"/>
        <v>451481.57</v>
      </c>
      <c r="CQ480">
        <f t="shared" si="422"/>
        <v>0</v>
      </c>
      <c r="CR480">
        <f>(ROUND((ROUND(((ET480)*AV480*1),2)*BB480),2)+ROUND((ROUND(((AE480-(EU480))*AV480*1),2)*BS480),2))</f>
        <v>5617.81</v>
      </c>
      <c r="CS480">
        <f t="shared" si="423"/>
        <v>3698.98</v>
      </c>
      <c r="CT480">
        <f t="shared" si="424"/>
        <v>15701.57</v>
      </c>
      <c r="CU480">
        <f t="shared" si="425"/>
        <v>0</v>
      </c>
      <c r="CV480">
        <f t="shared" si="426"/>
        <v>62.280900000000003</v>
      </c>
      <c r="CW480">
        <f t="shared" si="427"/>
        <v>0</v>
      </c>
      <c r="CX480">
        <f t="shared" si="428"/>
        <v>0</v>
      </c>
      <c r="CY480">
        <f t="shared" si="429"/>
        <v>226109.02360000001</v>
      </c>
      <c r="CZ480">
        <f t="shared" si="430"/>
        <v>136330.44070000001</v>
      </c>
      <c r="DC480" t="s">
        <v>3</v>
      </c>
      <c r="DD480" t="s">
        <v>3</v>
      </c>
      <c r="DE480" t="s">
        <v>3</v>
      </c>
      <c r="DF480" t="s">
        <v>3</v>
      </c>
      <c r="DG480" t="s">
        <v>443</v>
      </c>
      <c r="DH480" t="s">
        <v>3</v>
      </c>
      <c r="DI480" t="s">
        <v>443</v>
      </c>
      <c r="DJ480" t="s">
        <v>3</v>
      </c>
      <c r="DK480" t="s">
        <v>3</v>
      </c>
      <c r="DL480" t="s">
        <v>3</v>
      </c>
      <c r="DM480" t="s">
        <v>3</v>
      </c>
      <c r="DN480">
        <v>80</v>
      </c>
      <c r="DO480">
        <v>55</v>
      </c>
      <c r="DP480">
        <v>1</v>
      </c>
      <c r="DQ480">
        <v>1</v>
      </c>
      <c r="DU480">
        <v>1013</v>
      </c>
      <c r="DV480" t="s">
        <v>441</v>
      </c>
      <c r="DW480" t="s">
        <v>441</v>
      </c>
      <c r="DX480">
        <v>1</v>
      </c>
      <c r="DZ480" t="s">
        <v>3</v>
      </c>
      <c r="EA480" t="s">
        <v>3</v>
      </c>
      <c r="EB480" t="s">
        <v>3</v>
      </c>
      <c r="EC480" t="s">
        <v>3</v>
      </c>
      <c r="EE480">
        <v>43088484</v>
      </c>
      <c r="EF480">
        <v>60</v>
      </c>
      <c r="EG480" t="s">
        <v>40</v>
      </c>
      <c r="EH480">
        <v>0</v>
      </c>
      <c r="EI480" t="s">
        <v>3</v>
      </c>
      <c r="EJ480">
        <v>1</v>
      </c>
      <c r="EK480">
        <v>406</v>
      </c>
      <c r="EL480" t="s">
        <v>444</v>
      </c>
      <c r="EM480" t="s">
        <v>445</v>
      </c>
      <c r="EO480" t="s">
        <v>3</v>
      </c>
      <c r="EQ480">
        <v>0</v>
      </c>
      <c r="ER480">
        <v>2381.9499999999998</v>
      </c>
      <c r="ES480">
        <v>0</v>
      </c>
      <c r="ET480">
        <v>511.64</v>
      </c>
      <c r="EU480">
        <v>145.4</v>
      </c>
      <c r="EV480">
        <v>1870.31</v>
      </c>
      <c r="EW480">
        <v>188.73</v>
      </c>
      <c r="EX480">
        <v>0</v>
      </c>
      <c r="EY480">
        <v>0</v>
      </c>
      <c r="FQ480">
        <v>0</v>
      </c>
      <c r="FR480">
        <f t="shared" si="431"/>
        <v>0</v>
      </c>
      <c r="FS480">
        <v>0</v>
      </c>
      <c r="FX480">
        <v>80</v>
      </c>
      <c r="FY480">
        <v>55</v>
      </c>
      <c r="GA480" t="s">
        <v>3</v>
      </c>
      <c r="GD480">
        <v>0</v>
      </c>
      <c r="GF480">
        <v>-357829192</v>
      </c>
      <c r="GG480">
        <v>2</v>
      </c>
      <c r="GH480">
        <v>1</v>
      </c>
      <c r="GI480">
        <v>2</v>
      </c>
      <c r="GJ480">
        <v>0</v>
      </c>
      <c r="GK480">
        <f>ROUND(R480*(R12)/100,2)</f>
        <v>122983.31</v>
      </c>
      <c r="GL480">
        <f t="shared" si="432"/>
        <v>0</v>
      </c>
      <c r="GM480">
        <f t="shared" si="433"/>
        <v>936904.34</v>
      </c>
      <c r="GN480">
        <f t="shared" si="434"/>
        <v>936904.34</v>
      </c>
      <c r="GO480">
        <f t="shared" si="435"/>
        <v>0</v>
      </c>
      <c r="GP480">
        <f t="shared" si="436"/>
        <v>0</v>
      </c>
      <c r="GR480">
        <v>0</v>
      </c>
      <c r="GS480">
        <v>3</v>
      </c>
      <c r="GT480">
        <v>0</v>
      </c>
      <c r="GU480" t="s">
        <v>3</v>
      </c>
      <c r="GV480">
        <f t="shared" si="437"/>
        <v>0</v>
      </c>
      <c r="GW480">
        <v>1</v>
      </c>
      <c r="GX480">
        <f t="shared" si="438"/>
        <v>0</v>
      </c>
      <c r="HA480">
        <v>0</v>
      </c>
      <c r="HB480">
        <v>0</v>
      </c>
      <c r="HC480">
        <f t="shared" si="439"/>
        <v>0</v>
      </c>
      <c r="HE480" t="s">
        <v>3</v>
      </c>
      <c r="HF480" t="s">
        <v>3</v>
      </c>
      <c r="HM480" t="s">
        <v>3</v>
      </c>
      <c r="IK480">
        <v>0</v>
      </c>
    </row>
    <row r="481" spans="1:245" x14ac:dyDescent="0.2">
      <c r="A481">
        <v>17</v>
      </c>
      <c r="B481">
        <v>1</v>
      </c>
      <c r="C481">
        <f>ROW(SmtRes!A296)</f>
        <v>296</v>
      </c>
      <c r="D481">
        <f>ROW(EtalonRes!A300)</f>
        <v>300</v>
      </c>
      <c r="E481" t="s">
        <v>619</v>
      </c>
      <c r="F481" t="s">
        <v>620</v>
      </c>
      <c r="G481" t="s">
        <v>621</v>
      </c>
      <c r="H481" t="s">
        <v>358</v>
      </c>
      <c r="I481">
        <v>180</v>
      </c>
      <c r="J481">
        <v>0</v>
      </c>
      <c r="K481">
        <v>180</v>
      </c>
      <c r="O481">
        <f t="shared" si="405"/>
        <v>492025.32</v>
      </c>
      <c r="P481">
        <f t="shared" si="406"/>
        <v>0</v>
      </c>
      <c r="Q481">
        <f>(ROUND((ROUND(((ET481)*AV481*I481),2)*BB481),2)+ROUND((ROUND(((AE481-(EU481))*AV481*I481),2)*BS481),2))</f>
        <v>118820.52</v>
      </c>
      <c r="R481">
        <f t="shared" si="407"/>
        <v>77159.520000000004</v>
      </c>
      <c r="S481">
        <f t="shared" si="408"/>
        <v>373204.8</v>
      </c>
      <c r="T481">
        <f t="shared" si="409"/>
        <v>0</v>
      </c>
      <c r="U481">
        <f t="shared" si="410"/>
        <v>1296</v>
      </c>
      <c r="V481">
        <f t="shared" si="411"/>
        <v>0</v>
      </c>
      <c r="W481">
        <f t="shared" si="412"/>
        <v>0</v>
      </c>
      <c r="X481">
        <f t="shared" si="413"/>
        <v>253779.26</v>
      </c>
      <c r="Y481">
        <f t="shared" si="414"/>
        <v>153013.97</v>
      </c>
      <c r="AA481">
        <v>42938047</v>
      </c>
      <c r="AB481">
        <f t="shared" si="415"/>
        <v>137.91999999999999</v>
      </c>
      <c r="AC481">
        <f t="shared" si="416"/>
        <v>0</v>
      </c>
      <c r="AD481">
        <f>ROUND((((ET481)-(EU481))+AE481),6)</f>
        <v>56.42</v>
      </c>
      <c r="AE481">
        <f>ROUND((EU481),6)</f>
        <v>16.850000000000001</v>
      </c>
      <c r="AF481">
        <f>ROUND((EV481),6)</f>
        <v>81.5</v>
      </c>
      <c r="AG481">
        <f t="shared" si="418"/>
        <v>0</v>
      </c>
      <c r="AH481">
        <f>(EW481)</f>
        <v>7.2</v>
      </c>
      <c r="AI481">
        <f>(EX481)</f>
        <v>0</v>
      </c>
      <c r="AJ481">
        <f t="shared" si="420"/>
        <v>0</v>
      </c>
      <c r="AK481">
        <v>137.91999999999999</v>
      </c>
      <c r="AL481">
        <v>0</v>
      </c>
      <c r="AM481">
        <v>56.42</v>
      </c>
      <c r="AN481">
        <v>16.850000000000001</v>
      </c>
      <c r="AO481">
        <v>81.5</v>
      </c>
      <c r="AP481">
        <v>0</v>
      </c>
      <c r="AQ481">
        <v>7.2</v>
      </c>
      <c r="AR481">
        <v>0</v>
      </c>
      <c r="AS481">
        <v>0</v>
      </c>
      <c r="AT481">
        <v>68</v>
      </c>
      <c r="AU481">
        <v>41</v>
      </c>
      <c r="AV481">
        <v>1</v>
      </c>
      <c r="AW481">
        <v>1</v>
      </c>
      <c r="AZ481">
        <v>1</v>
      </c>
      <c r="BA481">
        <v>25.44</v>
      </c>
      <c r="BB481">
        <v>11.7</v>
      </c>
      <c r="BC481">
        <v>1</v>
      </c>
      <c r="BD481" t="s">
        <v>3</v>
      </c>
      <c r="BE481" t="s">
        <v>3</v>
      </c>
      <c r="BF481" t="s">
        <v>3</v>
      </c>
      <c r="BG481" t="s">
        <v>3</v>
      </c>
      <c r="BH481">
        <v>0</v>
      </c>
      <c r="BI481">
        <v>1</v>
      </c>
      <c r="BJ481" t="s">
        <v>622</v>
      </c>
      <c r="BM481">
        <v>394</v>
      </c>
      <c r="BN481">
        <v>0</v>
      </c>
      <c r="BO481" t="s">
        <v>620</v>
      </c>
      <c r="BP481">
        <v>1</v>
      </c>
      <c r="BQ481">
        <v>60</v>
      </c>
      <c r="BR481">
        <v>0</v>
      </c>
      <c r="BS481">
        <v>25.44</v>
      </c>
      <c r="BT481">
        <v>1</v>
      </c>
      <c r="BU481">
        <v>1</v>
      </c>
      <c r="BV481">
        <v>1</v>
      </c>
      <c r="BW481">
        <v>1</v>
      </c>
      <c r="BX481">
        <v>1</v>
      </c>
      <c r="BY481" t="s">
        <v>3</v>
      </c>
      <c r="BZ481">
        <v>68</v>
      </c>
      <c r="CA481">
        <v>41</v>
      </c>
      <c r="CB481" t="s">
        <v>3</v>
      </c>
      <c r="CE481">
        <v>30</v>
      </c>
      <c r="CF481">
        <v>0</v>
      </c>
      <c r="CG481">
        <v>0</v>
      </c>
      <c r="CM481">
        <v>0</v>
      </c>
      <c r="CN481" t="s">
        <v>3</v>
      </c>
      <c r="CO481">
        <v>0</v>
      </c>
      <c r="CP481">
        <f t="shared" si="421"/>
        <v>492025.32</v>
      </c>
      <c r="CQ481">
        <f t="shared" si="422"/>
        <v>0</v>
      </c>
      <c r="CR481">
        <f>(ROUND((ROUND(((ET481)*AV481*1),2)*BB481),2)+ROUND((ROUND(((AE481-(EU481))*AV481*1),2)*BS481),2))</f>
        <v>660.11</v>
      </c>
      <c r="CS481">
        <f t="shared" si="423"/>
        <v>428.66</v>
      </c>
      <c r="CT481">
        <f t="shared" si="424"/>
        <v>2073.36</v>
      </c>
      <c r="CU481">
        <f t="shared" si="425"/>
        <v>0</v>
      </c>
      <c r="CV481">
        <f t="shared" si="426"/>
        <v>7.2</v>
      </c>
      <c r="CW481">
        <f t="shared" si="427"/>
        <v>0</v>
      </c>
      <c r="CX481">
        <f t="shared" si="428"/>
        <v>0</v>
      </c>
      <c r="CY481">
        <f t="shared" si="429"/>
        <v>253779.26400000002</v>
      </c>
      <c r="CZ481">
        <f t="shared" si="430"/>
        <v>153013.96799999999</v>
      </c>
      <c r="DC481" t="s">
        <v>3</v>
      </c>
      <c r="DD481" t="s">
        <v>3</v>
      </c>
      <c r="DE481" t="s">
        <v>3</v>
      </c>
      <c r="DF481" t="s">
        <v>3</v>
      </c>
      <c r="DG481" t="s">
        <v>3</v>
      </c>
      <c r="DH481" t="s">
        <v>3</v>
      </c>
      <c r="DI481" t="s">
        <v>3</v>
      </c>
      <c r="DJ481" t="s">
        <v>3</v>
      </c>
      <c r="DK481" t="s">
        <v>3</v>
      </c>
      <c r="DL481" t="s">
        <v>3</v>
      </c>
      <c r="DM481" t="s">
        <v>3</v>
      </c>
      <c r="DN481">
        <v>80</v>
      </c>
      <c r="DO481">
        <v>55</v>
      </c>
      <c r="DP481">
        <v>1</v>
      </c>
      <c r="DQ481">
        <v>1</v>
      </c>
      <c r="DU481">
        <v>1013</v>
      </c>
      <c r="DV481" t="s">
        <v>358</v>
      </c>
      <c r="DW481" t="s">
        <v>358</v>
      </c>
      <c r="DX481">
        <v>1</v>
      </c>
      <c r="DZ481" t="s">
        <v>3</v>
      </c>
      <c r="EA481" t="s">
        <v>3</v>
      </c>
      <c r="EB481" t="s">
        <v>3</v>
      </c>
      <c r="EC481" t="s">
        <v>3</v>
      </c>
      <c r="EE481">
        <v>43088472</v>
      </c>
      <c r="EF481">
        <v>60</v>
      </c>
      <c r="EG481" t="s">
        <v>40</v>
      </c>
      <c r="EH481">
        <v>0</v>
      </c>
      <c r="EI481" t="s">
        <v>3</v>
      </c>
      <c r="EJ481">
        <v>1</v>
      </c>
      <c r="EK481">
        <v>394</v>
      </c>
      <c r="EL481" t="s">
        <v>623</v>
      </c>
      <c r="EM481" t="s">
        <v>624</v>
      </c>
      <c r="EO481" t="s">
        <v>3</v>
      </c>
      <c r="EQ481">
        <v>0</v>
      </c>
      <c r="ER481">
        <v>137.91999999999999</v>
      </c>
      <c r="ES481">
        <v>0</v>
      </c>
      <c r="ET481">
        <v>56.42</v>
      </c>
      <c r="EU481">
        <v>16.850000000000001</v>
      </c>
      <c r="EV481">
        <v>81.5</v>
      </c>
      <c r="EW481">
        <v>7.2</v>
      </c>
      <c r="EX481">
        <v>0</v>
      </c>
      <c r="EY481">
        <v>0</v>
      </c>
      <c r="FQ481">
        <v>0</v>
      </c>
      <c r="FR481">
        <f t="shared" si="431"/>
        <v>0</v>
      </c>
      <c r="FS481">
        <v>0</v>
      </c>
      <c r="FX481">
        <v>80</v>
      </c>
      <c r="FY481">
        <v>55</v>
      </c>
      <c r="GA481" t="s">
        <v>3</v>
      </c>
      <c r="GD481">
        <v>0</v>
      </c>
      <c r="GF481">
        <v>1853963621</v>
      </c>
      <c r="GG481">
        <v>2</v>
      </c>
      <c r="GH481">
        <v>1</v>
      </c>
      <c r="GI481">
        <v>2</v>
      </c>
      <c r="GJ481">
        <v>0</v>
      </c>
      <c r="GK481">
        <f>ROUND(R481*(R12)/100,2)</f>
        <v>121140.45</v>
      </c>
      <c r="GL481">
        <f t="shared" si="432"/>
        <v>0</v>
      </c>
      <c r="GM481">
        <f t="shared" si="433"/>
        <v>1019959</v>
      </c>
      <c r="GN481">
        <f t="shared" si="434"/>
        <v>1019959</v>
      </c>
      <c r="GO481">
        <f t="shared" si="435"/>
        <v>0</v>
      </c>
      <c r="GP481">
        <f t="shared" si="436"/>
        <v>0</v>
      </c>
      <c r="GR481">
        <v>0</v>
      </c>
      <c r="GS481">
        <v>3</v>
      </c>
      <c r="GT481">
        <v>0</v>
      </c>
      <c r="GU481" t="s">
        <v>3</v>
      </c>
      <c r="GV481">
        <f t="shared" si="437"/>
        <v>0</v>
      </c>
      <c r="GW481">
        <v>1</v>
      </c>
      <c r="GX481">
        <f t="shared" si="438"/>
        <v>0</v>
      </c>
      <c r="HA481">
        <v>0</v>
      </c>
      <c r="HB481">
        <v>0</v>
      </c>
      <c r="HC481">
        <f t="shared" si="439"/>
        <v>0</v>
      </c>
      <c r="HE481" t="s">
        <v>3</v>
      </c>
      <c r="HF481" t="s">
        <v>3</v>
      </c>
      <c r="HM481" t="s">
        <v>3</v>
      </c>
      <c r="IK481">
        <v>0</v>
      </c>
    </row>
    <row r="482" spans="1:245" x14ac:dyDescent="0.2">
      <c r="A482">
        <v>17</v>
      </c>
      <c r="B482">
        <v>1</v>
      </c>
      <c r="C482">
        <f>ROW(SmtRes!A299)</f>
        <v>299</v>
      </c>
      <c r="D482">
        <f>ROW(EtalonRes!A303)</f>
        <v>303</v>
      </c>
      <c r="E482" t="s">
        <v>625</v>
      </c>
      <c r="F482" t="s">
        <v>69</v>
      </c>
      <c r="G482" t="s">
        <v>1589</v>
      </c>
      <c r="H482" t="s">
        <v>63</v>
      </c>
      <c r="I482">
        <f>ROUND(171.45/100,9)</f>
        <v>1.7144999999999999</v>
      </c>
      <c r="J482">
        <v>0</v>
      </c>
      <c r="K482">
        <f>ROUND(171.45/100,9)</f>
        <v>1.7144999999999999</v>
      </c>
      <c r="O482">
        <f t="shared" si="405"/>
        <v>13184.94</v>
      </c>
      <c r="P482">
        <f t="shared" si="406"/>
        <v>0</v>
      </c>
      <c r="Q482">
        <f>(ROUND((ROUND((((ET482*1.25*0.75))*AV482*I482),2)*BB482),2)+ROUND((ROUND(((AE482-((EU482*1.25*0.75)))*AV482*I482),2)*BS482),2))</f>
        <v>12654.52</v>
      </c>
      <c r="R482">
        <f t="shared" si="407"/>
        <v>3576.61</v>
      </c>
      <c r="S482">
        <f t="shared" si="408"/>
        <v>530.41999999999996</v>
      </c>
      <c r="T482">
        <f t="shared" si="409"/>
        <v>0</v>
      </c>
      <c r="U482">
        <f t="shared" si="410"/>
        <v>2.0406836249999998</v>
      </c>
      <c r="V482">
        <f t="shared" si="411"/>
        <v>0</v>
      </c>
      <c r="W482">
        <f t="shared" si="412"/>
        <v>0</v>
      </c>
      <c r="X482">
        <f t="shared" si="413"/>
        <v>487.99</v>
      </c>
      <c r="Y482">
        <f t="shared" si="414"/>
        <v>265.20999999999998</v>
      </c>
      <c r="AA482">
        <v>42938047</v>
      </c>
      <c r="AB482">
        <f t="shared" si="415"/>
        <v>838.68937500000004</v>
      </c>
      <c r="AC482">
        <f t="shared" si="416"/>
        <v>0</v>
      </c>
      <c r="AD482">
        <f>ROUND(((((ET482*1.25*0.75))-((EU482*1.25*0.75)))+AE482),6)</f>
        <v>826.52812500000005</v>
      </c>
      <c r="AE482">
        <f>ROUND(((EU482*1.25*0.75)),6)</f>
        <v>82.003124999999997</v>
      </c>
      <c r="AF482">
        <f>ROUND(((EV482*1.15*0.75)),6)</f>
        <v>12.161250000000001</v>
      </c>
      <c r="AG482">
        <f t="shared" si="418"/>
        <v>0</v>
      </c>
      <c r="AH482">
        <f>((EW482*1.15*0.75))</f>
        <v>1.1902499999999998</v>
      </c>
      <c r="AI482">
        <f>((EX482*1.25*0.75))</f>
        <v>0</v>
      </c>
      <c r="AJ482">
        <f t="shared" si="420"/>
        <v>0</v>
      </c>
      <c r="AK482">
        <v>895.73</v>
      </c>
      <c r="AL482">
        <v>0</v>
      </c>
      <c r="AM482">
        <v>881.63</v>
      </c>
      <c r="AN482">
        <v>87.47</v>
      </c>
      <c r="AO482">
        <v>14.1</v>
      </c>
      <c r="AP482">
        <v>0</v>
      </c>
      <c r="AQ482">
        <v>1.38</v>
      </c>
      <c r="AR482">
        <v>0</v>
      </c>
      <c r="AS482">
        <v>0</v>
      </c>
      <c r="AT482">
        <v>92</v>
      </c>
      <c r="AU482">
        <v>50</v>
      </c>
      <c r="AV482">
        <v>1</v>
      </c>
      <c r="AW482">
        <v>1</v>
      </c>
      <c r="AZ482">
        <v>1</v>
      </c>
      <c r="BA482">
        <v>25.44</v>
      </c>
      <c r="BB482">
        <v>8.93</v>
      </c>
      <c r="BC482">
        <v>1</v>
      </c>
      <c r="BD482" t="s">
        <v>3</v>
      </c>
      <c r="BE482" t="s">
        <v>3</v>
      </c>
      <c r="BF482" t="s">
        <v>3</v>
      </c>
      <c r="BG482" t="s">
        <v>3</v>
      </c>
      <c r="BH482">
        <v>0</v>
      </c>
      <c r="BI482">
        <v>1</v>
      </c>
      <c r="BJ482" t="s">
        <v>71</v>
      </c>
      <c r="BM482">
        <v>2</v>
      </c>
      <c r="BN482">
        <v>0</v>
      </c>
      <c r="BO482" t="s">
        <v>69</v>
      </c>
      <c r="BP482">
        <v>1</v>
      </c>
      <c r="BQ482">
        <v>30</v>
      </c>
      <c r="BR482">
        <v>0</v>
      </c>
      <c r="BS482">
        <v>25.44</v>
      </c>
      <c r="BT482">
        <v>1</v>
      </c>
      <c r="BU482">
        <v>1</v>
      </c>
      <c r="BV482">
        <v>1</v>
      </c>
      <c r="BW482">
        <v>1</v>
      </c>
      <c r="BX482">
        <v>1</v>
      </c>
      <c r="BY482" t="s">
        <v>3</v>
      </c>
      <c r="BZ482">
        <v>92</v>
      </c>
      <c r="CA482">
        <v>50</v>
      </c>
      <c r="CB482" t="s">
        <v>3</v>
      </c>
      <c r="CE482">
        <v>30</v>
      </c>
      <c r="CF482">
        <v>0</v>
      </c>
      <c r="CG482">
        <v>0</v>
      </c>
      <c r="CM482">
        <v>0</v>
      </c>
      <c r="CN482" t="s">
        <v>1584</v>
      </c>
      <c r="CO482">
        <v>0</v>
      </c>
      <c r="CP482">
        <f t="shared" si="421"/>
        <v>13184.94</v>
      </c>
      <c r="CQ482">
        <f t="shared" si="422"/>
        <v>0</v>
      </c>
      <c r="CR482">
        <f>(ROUND((ROUND((((ET482*1.25*0.75))*AV482*1),2)*BB482),2)+ROUND((ROUND(((AE482-((EU482*1.25*0.75)))*AV482*1),2)*BS482),2))</f>
        <v>7380.91</v>
      </c>
      <c r="CS482">
        <f t="shared" si="423"/>
        <v>2086.08</v>
      </c>
      <c r="CT482">
        <f t="shared" si="424"/>
        <v>309.35000000000002</v>
      </c>
      <c r="CU482">
        <f t="shared" si="425"/>
        <v>0</v>
      </c>
      <c r="CV482">
        <f t="shared" si="426"/>
        <v>1.1902499999999998</v>
      </c>
      <c r="CW482">
        <f t="shared" si="427"/>
        <v>0</v>
      </c>
      <c r="CX482">
        <f t="shared" si="428"/>
        <v>0</v>
      </c>
      <c r="CY482">
        <f t="shared" si="429"/>
        <v>487.9864</v>
      </c>
      <c r="CZ482">
        <f t="shared" si="430"/>
        <v>265.20999999999998</v>
      </c>
      <c r="DC482" t="s">
        <v>3</v>
      </c>
      <c r="DD482" t="s">
        <v>3</v>
      </c>
      <c r="DE482" t="s">
        <v>626</v>
      </c>
      <c r="DF482" t="s">
        <v>626</v>
      </c>
      <c r="DG482" t="s">
        <v>627</v>
      </c>
      <c r="DH482" t="s">
        <v>3</v>
      </c>
      <c r="DI482" t="s">
        <v>627</v>
      </c>
      <c r="DJ482" t="s">
        <v>626</v>
      </c>
      <c r="DK482" t="s">
        <v>3</v>
      </c>
      <c r="DL482" t="s">
        <v>3</v>
      </c>
      <c r="DM482" t="s">
        <v>3</v>
      </c>
      <c r="DN482">
        <v>98</v>
      </c>
      <c r="DO482">
        <v>77</v>
      </c>
      <c r="DP482">
        <v>1</v>
      </c>
      <c r="DQ482">
        <v>1</v>
      </c>
      <c r="DU482">
        <v>1013</v>
      </c>
      <c r="DV482" t="s">
        <v>63</v>
      </c>
      <c r="DW482" t="s">
        <v>63</v>
      </c>
      <c r="DX482">
        <v>1</v>
      </c>
      <c r="DZ482" t="s">
        <v>3</v>
      </c>
      <c r="EA482" t="s">
        <v>3</v>
      </c>
      <c r="EB482" t="s">
        <v>3</v>
      </c>
      <c r="EC482" t="s">
        <v>3</v>
      </c>
      <c r="EE482">
        <v>43090081</v>
      </c>
      <c r="EF482">
        <v>30</v>
      </c>
      <c r="EG482" t="s">
        <v>22</v>
      </c>
      <c r="EH482">
        <v>0</v>
      </c>
      <c r="EI482" t="s">
        <v>3</v>
      </c>
      <c r="EJ482">
        <v>1</v>
      </c>
      <c r="EK482">
        <v>2</v>
      </c>
      <c r="EL482" t="s">
        <v>72</v>
      </c>
      <c r="EM482" t="s">
        <v>73</v>
      </c>
      <c r="EO482" t="s">
        <v>59</v>
      </c>
      <c r="EQ482">
        <v>0</v>
      </c>
      <c r="ER482">
        <v>895.73</v>
      </c>
      <c r="ES482">
        <v>0</v>
      </c>
      <c r="ET482">
        <v>881.63</v>
      </c>
      <c r="EU482">
        <v>87.47</v>
      </c>
      <c r="EV482">
        <v>14.1</v>
      </c>
      <c r="EW482">
        <v>1.38</v>
      </c>
      <c r="EX482">
        <v>0</v>
      </c>
      <c r="EY482">
        <v>0</v>
      </c>
      <c r="FQ482">
        <v>0</v>
      </c>
      <c r="FR482">
        <f t="shared" si="431"/>
        <v>0</v>
      </c>
      <c r="FS482">
        <v>0</v>
      </c>
      <c r="FX482">
        <v>98</v>
      </c>
      <c r="FY482">
        <v>77</v>
      </c>
      <c r="GA482" t="s">
        <v>3</v>
      </c>
      <c r="GD482">
        <v>0</v>
      </c>
      <c r="GF482">
        <v>1306016239</v>
      </c>
      <c r="GG482">
        <v>2</v>
      </c>
      <c r="GH482">
        <v>1</v>
      </c>
      <c r="GI482">
        <v>2</v>
      </c>
      <c r="GJ482">
        <v>0</v>
      </c>
      <c r="GK482">
        <f>ROUND(R482*(R12)/100,2)</f>
        <v>5615.28</v>
      </c>
      <c r="GL482">
        <f t="shared" si="432"/>
        <v>0</v>
      </c>
      <c r="GM482">
        <f t="shared" si="433"/>
        <v>19553.419999999998</v>
      </c>
      <c r="GN482">
        <f t="shared" si="434"/>
        <v>19553.419999999998</v>
      </c>
      <c r="GO482">
        <f t="shared" si="435"/>
        <v>0</v>
      </c>
      <c r="GP482">
        <f t="shared" si="436"/>
        <v>0</v>
      </c>
      <c r="GR482">
        <v>0</v>
      </c>
      <c r="GS482">
        <v>3</v>
      </c>
      <c r="GT482">
        <v>0</v>
      </c>
      <c r="GU482" t="s">
        <v>3</v>
      </c>
      <c r="GV482">
        <f t="shared" si="437"/>
        <v>0</v>
      </c>
      <c r="GW482">
        <v>1</v>
      </c>
      <c r="GX482">
        <f t="shared" si="438"/>
        <v>0</v>
      </c>
      <c r="HA482">
        <v>0</v>
      </c>
      <c r="HB482">
        <v>0</v>
      </c>
      <c r="HC482">
        <f t="shared" si="439"/>
        <v>0</v>
      </c>
      <c r="HE482" t="s">
        <v>3</v>
      </c>
      <c r="HF482" t="s">
        <v>3</v>
      </c>
      <c r="HM482" t="s">
        <v>3</v>
      </c>
      <c r="IK482">
        <v>0</v>
      </c>
    </row>
    <row r="483" spans="1:245" x14ac:dyDescent="0.2">
      <c r="A483">
        <v>17</v>
      </c>
      <c r="B483">
        <v>1</v>
      </c>
      <c r="C483">
        <f>ROW(SmtRes!A300)</f>
        <v>300</v>
      </c>
      <c r="D483">
        <f>ROW(EtalonRes!A304)</f>
        <v>304</v>
      </c>
      <c r="E483" t="s">
        <v>628</v>
      </c>
      <c r="F483" t="s">
        <v>61</v>
      </c>
      <c r="G483" t="s">
        <v>330</v>
      </c>
      <c r="H483" t="s">
        <v>63</v>
      </c>
      <c r="I483">
        <f>ROUND(171.45/100,9)</f>
        <v>1.7144999999999999</v>
      </c>
      <c r="J483">
        <v>0</v>
      </c>
      <c r="K483">
        <f>ROUND(171.45/100,9)</f>
        <v>1.7144999999999999</v>
      </c>
      <c r="O483">
        <f t="shared" si="405"/>
        <v>25614.26</v>
      </c>
      <c r="P483">
        <f t="shared" si="406"/>
        <v>0</v>
      </c>
      <c r="Q483">
        <f>(ROUND((ROUND((((ET483*1.25))*AV483*I483),2)*BB483),2)+ROUND((ROUND(((AE483-((EU483*1.25)))*AV483*I483),2)*BS483),2))</f>
        <v>0</v>
      </c>
      <c r="R483">
        <f t="shared" si="407"/>
        <v>0</v>
      </c>
      <c r="S483">
        <f t="shared" si="408"/>
        <v>25614.26</v>
      </c>
      <c r="T483">
        <f t="shared" si="409"/>
        <v>0</v>
      </c>
      <c r="U483">
        <f t="shared" si="410"/>
        <v>94.985443124999975</v>
      </c>
      <c r="V483">
        <f t="shared" si="411"/>
        <v>0</v>
      </c>
      <c r="W483">
        <f t="shared" si="412"/>
        <v>0</v>
      </c>
      <c r="X483">
        <f t="shared" si="413"/>
        <v>18698.41</v>
      </c>
      <c r="Y483">
        <f t="shared" si="414"/>
        <v>10501.85</v>
      </c>
      <c r="AA483">
        <v>42938047</v>
      </c>
      <c r="AB483">
        <f t="shared" si="415"/>
        <v>587.25324999999998</v>
      </c>
      <c r="AC483">
        <f t="shared" si="416"/>
        <v>0</v>
      </c>
      <c r="AD483">
        <f>ROUND(((((ET483*1.25))-((EU483*1.25)))+AE483),6)</f>
        <v>0</v>
      </c>
      <c r="AE483">
        <f>ROUND(((EU483*1.25)),6)</f>
        <v>0</v>
      </c>
      <c r="AF483">
        <f>ROUND(((EV483*1.15*0.25)),6)</f>
        <v>587.25324999999998</v>
      </c>
      <c r="AG483">
        <f t="shared" si="418"/>
        <v>0</v>
      </c>
      <c r="AH483">
        <f>((EW483*1.15*0.25))</f>
        <v>55.40124999999999</v>
      </c>
      <c r="AI483">
        <f>((EX483*1.25))</f>
        <v>0</v>
      </c>
      <c r="AJ483">
        <f t="shared" si="420"/>
        <v>0</v>
      </c>
      <c r="AK483">
        <v>2042.62</v>
      </c>
      <c r="AL483">
        <v>0</v>
      </c>
      <c r="AM483">
        <v>0</v>
      </c>
      <c r="AN483">
        <v>0</v>
      </c>
      <c r="AO483">
        <v>2042.62</v>
      </c>
      <c r="AP483">
        <v>0</v>
      </c>
      <c r="AQ483">
        <v>192.7</v>
      </c>
      <c r="AR483">
        <v>0</v>
      </c>
      <c r="AS483">
        <v>0</v>
      </c>
      <c r="AT483">
        <v>73</v>
      </c>
      <c r="AU483">
        <v>41</v>
      </c>
      <c r="AV483">
        <v>1</v>
      </c>
      <c r="AW483">
        <v>1</v>
      </c>
      <c r="AZ483">
        <v>1</v>
      </c>
      <c r="BA483">
        <v>25.44</v>
      </c>
      <c r="BB483">
        <v>1</v>
      </c>
      <c r="BC483">
        <v>1</v>
      </c>
      <c r="BD483" t="s">
        <v>3</v>
      </c>
      <c r="BE483" t="s">
        <v>3</v>
      </c>
      <c r="BF483" t="s">
        <v>3</v>
      </c>
      <c r="BG483" t="s">
        <v>3</v>
      </c>
      <c r="BH483">
        <v>0</v>
      </c>
      <c r="BI483">
        <v>1</v>
      </c>
      <c r="BJ483" t="s">
        <v>64</v>
      </c>
      <c r="BM483">
        <v>16</v>
      </c>
      <c r="BN483">
        <v>0</v>
      </c>
      <c r="BO483" t="s">
        <v>61</v>
      </c>
      <c r="BP483">
        <v>1</v>
      </c>
      <c r="BQ483">
        <v>30</v>
      </c>
      <c r="BR483">
        <v>0</v>
      </c>
      <c r="BS483">
        <v>25.44</v>
      </c>
      <c r="BT483">
        <v>1</v>
      </c>
      <c r="BU483">
        <v>1</v>
      </c>
      <c r="BV483">
        <v>1</v>
      </c>
      <c r="BW483">
        <v>1</v>
      </c>
      <c r="BX483">
        <v>1</v>
      </c>
      <c r="BY483" t="s">
        <v>3</v>
      </c>
      <c r="BZ483">
        <v>73</v>
      </c>
      <c r="CA483">
        <v>41</v>
      </c>
      <c r="CB483" t="s">
        <v>3</v>
      </c>
      <c r="CE483">
        <v>30</v>
      </c>
      <c r="CF483">
        <v>0</v>
      </c>
      <c r="CG483">
        <v>0</v>
      </c>
      <c r="CM483">
        <v>0</v>
      </c>
      <c r="CN483" t="s">
        <v>1584</v>
      </c>
      <c r="CO483">
        <v>0</v>
      </c>
      <c r="CP483">
        <f t="shared" si="421"/>
        <v>25614.26</v>
      </c>
      <c r="CQ483">
        <f t="shared" si="422"/>
        <v>0</v>
      </c>
      <c r="CR483">
        <f>(ROUND((ROUND((((ET483*1.25))*AV483*1),2)*BB483),2)+ROUND((ROUND(((AE483-((EU483*1.25)))*AV483*1),2)*BS483),2))</f>
        <v>0</v>
      </c>
      <c r="CS483">
        <f t="shared" si="423"/>
        <v>0</v>
      </c>
      <c r="CT483">
        <f t="shared" si="424"/>
        <v>14939.64</v>
      </c>
      <c r="CU483">
        <f t="shared" si="425"/>
        <v>0</v>
      </c>
      <c r="CV483">
        <f t="shared" si="426"/>
        <v>55.40124999999999</v>
      </c>
      <c r="CW483">
        <f t="shared" si="427"/>
        <v>0</v>
      </c>
      <c r="CX483">
        <f t="shared" si="428"/>
        <v>0</v>
      </c>
      <c r="CY483">
        <f t="shared" si="429"/>
        <v>18698.409799999998</v>
      </c>
      <c r="CZ483">
        <f t="shared" si="430"/>
        <v>10501.846599999999</v>
      </c>
      <c r="DC483" t="s">
        <v>3</v>
      </c>
      <c r="DD483" t="s">
        <v>3</v>
      </c>
      <c r="DE483" t="s">
        <v>20</v>
      </c>
      <c r="DF483" t="s">
        <v>20</v>
      </c>
      <c r="DG483" t="s">
        <v>629</v>
      </c>
      <c r="DH483" t="s">
        <v>3</v>
      </c>
      <c r="DI483" t="s">
        <v>629</v>
      </c>
      <c r="DJ483" t="s">
        <v>20</v>
      </c>
      <c r="DK483" t="s">
        <v>3</v>
      </c>
      <c r="DL483" t="s">
        <v>3</v>
      </c>
      <c r="DM483" t="s">
        <v>3</v>
      </c>
      <c r="DN483">
        <v>91</v>
      </c>
      <c r="DO483">
        <v>67</v>
      </c>
      <c r="DP483">
        <v>1</v>
      </c>
      <c r="DQ483">
        <v>1</v>
      </c>
      <c r="DU483">
        <v>1013</v>
      </c>
      <c r="DV483" t="s">
        <v>63</v>
      </c>
      <c r="DW483" t="s">
        <v>63</v>
      </c>
      <c r="DX483">
        <v>1</v>
      </c>
      <c r="DZ483" t="s">
        <v>3</v>
      </c>
      <c r="EA483" t="s">
        <v>3</v>
      </c>
      <c r="EB483" t="s">
        <v>3</v>
      </c>
      <c r="EC483" t="s">
        <v>3</v>
      </c>
      <c r="EE483">
        <v>43090095</v>
      </c>
      <c r="EF483">
        <v>30</v>
      </c>
      <c r="EG483" t="s">
        <v>22</v>
      </c>
      <c r="EH483">
        <v>0</v>
      </c>
      <c r="EI483" t="s">
        <v>3</v>
      </c>
      <c r="EJ483">
        <v>1</v>
      </c>
      <c r="EK483">
        <v>16</v>
      </c>
      <c r="EL483" t="s">
        <v>66</v>
      </c>
      <c r="EM483" t="s">
        <v>67</v>
      </c>
      <c r="EO483" t="s">
        <v>59</v>
      </c>
      <c r="EQ483">
        <v>0</v>
      </c>
      <c r="ER483">
        <v>2042.62</v>
      </c>
      <c r="ES483">
        <v>0</v>
      </c>
      <c r="ET483">
        <v>0</v>
      </c>
      <c r="EU483">
        <v>0</v>
      </c>
      <c r="EV483">
        <v>2042.62</v>
      </c>
      <c r="EW483">
        <v>192.7</v>
      </c>
      <c r="EX483">
        <v>0</v>
      </c>
      <c r="EY483">
        <v>0</v>
      </c>
      <c r="FQ483">
        <v>0</v>
      </c>
      <c r="FR483">
        <f t="shared" si="431"/>
        <v>0</v>
      </c>
      <c r="FS483">
        <v>0</v>
      </c>
      <c r="FX483">
        <v>91</v>
      </c>
      <c r="FY483">
        <v>67</v>
      </c>
      <c r="GA483" t="s">
        <v>3</v>
      </c>
      <c r="GD483">
        <v>0</v>
      </c>
      <c r="GF483">
        <v>-1632341149</v>
      </c>
      <c r="GG483">
        <v>2</v>
      </c>
      <c r="GH483">
        <v>1</v>
      </c>
      <c r="GI483">
        <v>2</v>
      </c>
      <c r="GJ483">
        <v>0</v>
      </c>
      <c r="GK483">
        <f>ROUND(R483*(R12)/100,2)</f>
        <v>0</v>
      </c>
      <c r="GL483">
        <f t="shared" si="432"/>
        <v>0</v>
      </c>
      <c r="GM483">
        <f t="shared" si="433"/>
        <v>54814.52</v>
      </c>
      <c r="GN483">
        <f t="shared" si="434"/>
        <v>54814.52</v>
      </c>
      <c r="GO483">
        <f t="shared" si="435"/>
        <v>0</v>
      </c>
      <c r="GP483">
        <f t="shared" si="436"/>
        <v>0</v>
      </c>
      <c r="GR483">
        <v>0</v>
      </c>
      <c r="GS483">
        <v>3</v>
      </c>
      <c r="GT483">
        <v>0</v>
      </c>
      <c r="GU483" t="s">
        <v>3</v>
      </c>
      <c r="GV483">
        <f t="shared" si="437"/>
        <v>0</v>
      </c>
      <c r="GW483">
        <v>1</v>
      </c>
      <c r="GX483">
        <f t="shared" si="438"/>
        <v>0</v>
      </c>
      <c r="HA483">
        <v>0</v>
      </c>
      <c r="HB483">
        <v>0</v>
      </c>
      <c r="HC483">
        <f t="shared" si="439"/>
        <v>0</v>
      </c>
      <c r="HE483" t="s">
        <v>3</v>
      </c>
      <c r="HF483" t="s">
        <v>3</v>
      </c>
      <c r="HM483" t="s">
        <v>3</v>
      </c>
      <c r="IK483">
        <v>0</v>
      </c>
    </row>
    <row r="484" spans="1:245" x14ac:dyDescent="0.2">
      <c r="A484">
        <v>17</v>
      </c>
      <c r="B484">
        <v>1</v>
      </c>
      <c r="C484">
        <f>ROW(SmtRes!A308)</f>
        <v>308</v>
      </c>
      <c r="D484">
        <f>ROW(EtalonRes!A309)</f>
        <v>309</v>
      </c>
      <c r="E484" t="s">
        <v>630</v>
      </c>
      <c r="F484" t="s">
        <v>111</v>
      </c>
      <c r="G484" t="s">
        <v>1590</v>
      </c>
      <c r="H484" t="s">
        <v>113</v>
      </c>
      <c r="I484">
        <f>ROUND(340/1000,9)</f>
        <v>0.34</v>
      </c>
      <c r="J484">
        <v>0</v>
      </c>
      <c r="K484">
        <f>ROUND(340/1000,9)</f>
        <v>0.34</v>
      </c>
      <c r="O484">
        <f t="shared" si="405"/>
        <v>5340.63</v>
      </c>
      <c r="P484">
        <f t="shared" si="406"/>
        <v>1.1200000000000001</v>
      </c>
      <c r="Q484">
        <f>(ROUND((ROUND((((ET484*1.25))*AV484*I484),2)*BB484),2)+ROUND((ROUND(((AE484-((EU484*1.25)))*AV484*I484),2)*BS484),2))</f>
        <v>2501.42</v>
      </c>
      <c r="R484">
        <f t="shared" si="407"/>
        <v>673.4</v>
      </c>
      <c r="S484">
        <f t="shared" si="408"/>
        <v>2838.09</v>
      </c>
      <c r="T484">
        <f t="shared" si="409"/>
        <v>0</v>
      </c>
      <c r="U484">
        <f t="shared" si="410"/>
        <v>10.8307</v>
      </c>
      <c r="V484">
        <f t="shared" si="411"/>
        <v>0</v>
      </c>
      <c r="W484">
        <f t="shared" si="412"/>
        <v>0</v>
      </c>
      <c r="X484">
        <f t="shared" si="413"/>
        <v>3178.66</v>
      </c>
      <c r="Y484">
        <f t="shared" si="414"/>
        <v>1163.6199999999999</v>
      </c>
      <c r="AA484">
        <v>42938047</v>
      </c>
      <c r="AB484">
        <f t="shared" si="415"/>
        <v>1166.5340000000001</v>
      </c>
      <c r="AC484">
        <f t="shared" si="416"/>
        <v>0.49</v>
      </c>
      <c r="AD484">
        <f>ROUND(((((ET484*1.25))-((EU484*1.25)))+AE484),6)</f>
        <v>837.9375</v>
      </c>
      <c r="AE484">
        <f>ROUND(((EU484*1.25)),6)</f>
        <v>77.862499999999997</v>
      </c>
      <c r="AF484">
        <f>ROUND(((EV484*1.15)),6)</f>
        <v>328.10649999999998</v>
      </c>
      <c r="AG484">
        <f t="shared" si="418"/>
        <v>0</v>
      </c>
      <c r="AH484">
        <f>((EW484*1.15))</f>
        <v>31.854999999999997</v>
      </c>
      <c r="AI484">
        <f>((EX484*1.25))</f>
        <v>0</v>
      </c>
      <c r="AJ484">
        <f t="shared" si="420"/>
        <v>0</v>
      </c>
      <c r="AK484">
        <v>956.15</v>
      </c>
      <c r="AL484">
        <v>0.49</v>
      </c>
      <c r="AM484">
        <v>670.35</v>
      </c>
      <c r="AN484">
        <v>62.29</v>
      </c>
      <c r="AO484">
        <v>285.31</v>
      </c>
      <c r="AP484">
        <v>0</v>
      </c>
      <c r="AQ484">
        <v>27.7</v>
      </c>
      <c r="AR484">
        <v>0</v>
      </c>
      <c r="AS484">
        <v>0</v>
      </c>
      <c r="AT484">
        <v>112</v>
      </c>
      <c r="AU484">
        <v>41</v>
      </c>
      <c r="AV484">
        <v>1</v>
      </c>
      <c r="AW484">
        <v>1</v>
      </c>
      <c r="AZ484">
        <v>1</v>
      </c>
      <c r="BA484">
        <v>25.44</v>
      </c>
      <c r="BB484">
        <v>8.7799999999999994</v>
      </c>
      <c r="BC484">
        <v>6.57</v>
      </c>
      <c r="BD484" t="s">
        <v>3</v>
      </c>
      <c r="BE484" t="s">
        <v>3</v>
      </c>
      <c r="BF484" t="s">
        <v>3</v>
      </c>
      <c r="BG484" t="s">
        <v>3</v>
      </c>
      <c r="BH484">
        <v>0</v>
      </c>
      <c r="BI484">
        <v>1</v>
      </c>
      <c r="BJ484" t="s">
        <v>114</v>
      </c>
      <c r="BM484">
        <v>166</v>
      </c>
      <c r="BN484">
        <v>0</v>
      </c>
      <c r="BO484" t="s">
        <v>111</v>
      </c>
      <c r="BP484">
        <v>1</v>
      </c>
      <c r="BQ484">
        <v>30</v>
      </c>
      <c r="BR484">
        <v>0</v>
      </c>
      <c r="BS484">
        <v>25.44</v>
      </c>
      <c r="BT484">
        <v>1</v>
      </c>
      <c r="BU484">
        <v>1</v>
      </c>
      <c r="BV484">
        <v>1</v>
      </c>
      <c r="BW484">
        <v>1</v>
      </c>
      <c r="BX484">
        <v>1</v>
      </c>
      <c r="BY484" t="s">
        <v>3</v>
      </c>
      <c r="BZ484">
        <v>112</v>
      </c>
      <c r="CA484">
        <v>41</v>
      </c>
      <c r="CB484" t="s">
        <v>3</v>
      </c>
      <c r="CE484">
        <v>30</v>
      </c>
      <c r="CF484">
        <v>0</v>
      </c>
      <c r="CG484">
        <v>0</v>
      </c>
      <c r="CM484">
        <v>0</v>
      </c>
      <c r="CN484" t="s">
        <v>1584</v>
      </c>
      <c r="CO484">
        <v>0</v>
      </c>
      <c r="CP484">
        <f t="shared" si="421"/>
        <v>5340.63</v>
      </c>
      <c r="CQ484">
        <f t="shared" si="422"/>
        <v>3.22</v>
      </c>
      <c r="CR484">
        <f>(ROUND((ROUND((((ET484*1.25))*AV484*1),2)*BB484),2)+ROUND((ROUND(((AE484-((EU484*1.25)))*AV484*1),2)*BS484),2))</f>
        <v>7357.11</v>
      </c>
      <c r="CS484">
        <f t="shared" si="423"/>
        <v>1980.76</v>
      </c>
      <c r="CT484">
        <f t="shared" si="424"/>
        <v>8347.1200000000008</v>
      </c>
      <c r="CU484">
        <f t="shared" si="425"/>
        <v>0</v>
      </c>
      <c r="CV484">
        <f t="shared" si="426"/>
        <v>31.854999999999997</v>
      </c>
      <c r="CW484">
        <f t="shared" si="427"/>
        <v>0</v>
      </c>
      <c r="CX484">
        <f t="shared" si="428"/>
        <v>0</v>
      </c>
      <c r="CY484">
        <f t="shared" si="429"/>
        <v>3178.6608000000006</v>
      </c>
      <c r="CZ484">
        <f t="shared" si="430"/>
        <v>1163.6169</v>
      </c>
      <c r="DC484" t="s">
        <v>3</v>
      </c>
      <c r="DD484" t="s">
        <v>3</v>
      </c>
      <c r="DE484" t="s">
        <v>20</v>
      </c>
      <c r="DF484" t="s">
        <v>20</v>
      </c>
      <c r="DG484" t="s">
        <v>21</v>
      </c>
      <c r="DH484" t="s">
        <v>3</v>
      </c>
      <c r="DI484" t="s">
        <v>21</v>
      </c>
      <c r="DJ484" t="s">
        <v>20</v>
      </c>
      <c r="DK484" t="s">
        <v>3</v>
      </c>
      <c r="DL484" t="s">
        <v>3</v>
      </c>
      <c r="DM484" t="s">
        <v>3</v>
      </c>
      <c r="DN484">
        <v>140</v>
      </c>
      <c r="DO484">
        <v>79</v>
      </c>
      <c r="DP484">
        <v>1</v>
      </c>
      <c r="DQ484">
        <v>1</v>
      </c>
      <c r="DU484">
        <v>1005</v>
      </c>
      <c r="DV484" t="s">
        <v>113</v>
      </c>
      <c r="DW484" t="s">
        <v>113</v>
      </c>
      <c r="DX484">
        <v>1000</v>
      </c>
      <c r="DZ484" t="s">
        <v>3</v>
      </c>
      <c r="EA484" t="s">
        <v>3</v>
      </c>
      <c r="EB484" t="s">
        <v>3</v>
      </c>
      <c r="EC484" t="s">
        <v>3</v>
      </c>
      <c r="EE484">
        <v>43088244</v>
      </c>
      <c r="EF484">
        <v>30</v>
      </c>
      <c r="EG484" t="s">
        <v>22</v>
      </c>
      <c r="EH484">
        <v>0</v>
      </c>
      <c r="EI484" t="s">
        <v>3</v>
      </c>
      <c r="EJ484">
        <v>1</v>
      </c>
      <c r="EK484">
        <v>166</v>
      </c>
      <c r="EL484" t="s">
        <v>115</v>
      </c>
      <c r="EM484" t="s">
        <v>116</v>
      </c>
      <c r="EO484" t="s">
        <v>59</v>
      </c>
      <c r="EQ484">
        <v>0</v>
      </c>
      <c r="ER484">
        <v>956.15</v>
      </c>
      <c r="ES484">
        <v>0.49</v>
      </c>
      <c r="ET484">
        <v>670.35</v>
      </c>
      <c r="EU484">
        <v>62.29</v>
      </c>
      <c r="EV484">
        <v>285.31</v>
      </c>
      <c r="EW484">
        <v>27.7</v>
      </c>
      <c r="EX484">
        <v>0</v>
      </c>
      <c r="EY484">
        <v>0</v>
      </c>
      <c r="FQ484">
        <v>0</v>
      </c>
      <c r="FR484">
        <f t="shared" si="431"/>
        <v>0</v>
      </c>
      <c r="FS484">
        <v>0</v>
      </c>
      <c r="FX484">
        <v>140</v>
      </c>
      <c r="FY484">
        <v>79</v>
      </c>
      <c r="GA484" t="s">
        <v>3</v>
      </c>
      <c r="GD484">
        <v>0</v>
      </c>
      <c r="GF484">
        <v>542326998</v>
      </c>
      <c r="GG484">
        <v>2</v>
      </c>
      <c r="GH484">
        <v>1</v>
      </c>
      <c r="GI484">
        <v>2</v>
      </c>
      <c r="GJ484">
        <v>0</v>
      </c>
      <c r="GK484">
        <f>ROUND(R484*(R12)/100,2)</f>
        <v>1057.24</v>
      </c>
      <c r="GL484">
        <f t="shared" si="432"/>
        <v>0</v>
      </c>
      <c r="GM484">
        <f t="shared" si="433"/>
        <v>10740.15</v>
      </c>
      <c r="GN484">
        <f t="shared" si="434"/>
        <v>10740.15</v>
      </c>
      <c r="GO484">
        <f t="shared" si="435"/>
        <v>0</v>
      </c>
      <c r="GP484">
        <f t="shared" si="436"/>
        <v>0</v>
      </c>
      <c r="GR484">
        <v>0</v>
      </c>
      <c r="GS484">
        <v>3</v>
      </c>
      <c r="GT484">
        <v>0</v>
      </c>
      <c r="GU484" t="s">
        <v>3</v>
      </c>
      <c r="GV484">
        <f t="shared" si="437"/>
        <v>0</v>
      </c>
      <c r="GW484">
        <v>1</v>
      </c>
      <c r="GX484">
        <f t="shared" si="438"/>
        <v>0</v>
      </c>
      <c r="HA484">
        <v>0</v>
      </c>
      <c r="HB484">
        <v>0</v>
      </c>
      <c r="HC484">
        <f t="shared" si="439"/>
        <v>0</v>
      </c>
      <c r="HE484" t="s">
        <v>3</v>
      </c>
      <c r="HF484" t="s">
        <v>3</v>
      </c>
      <c r="HM484" t="s">
        <v>3</v>
      </c>
      <c r="IK484">
        <v>0</v>
      </c>
    </row>
    <row r="485" spans="1:245" x14ac:dyDescent="0.2">
      <c r="A485">
        <v>18</v>
      </c>
      <c r="B485">
        <v>1</v>
      </c>
      <c r="C485">
        <v>304</v>
      </c>
      <c r="E485" t="s">
        <v>631</v>
      </c>
      <c r="F485" t="s">
        <v>294</v>
      </c>
      <c r="G485" t="s">
        <v>295</v>
      </c>
      <c r="H485" t="s">
        <v>120</v>
      </c>
      <c r="I485">
        <f>I484*J485</f>
        <v>340</v>
      </c>
      <c r="J485">
        <v>999.99999999999989</v>
      </c>
      <c r="K485">
        <v>1000</v>
      </c>
      <c r="O485">
        <f t="shared" si="405"/>
        <v>20089.310000000001</v>
      </c>
      <c r="P485">
        <f t="shared" si="406"/>
        <v>20089.310000000001</v>
      </c>
      <c r="Q485">
        <f>(ROUND((ROUND(((ET485)*AV485*I485),2)*BB485),2)+ROUND((ROUND(((AE485-(EU485))*AV485*I485),2)*BS485),2))</f>
        <v>0</v>
      </c>
      <c r="R485">
        <f t="shared" si="407"/>
        <v>0</v>
      </c>
      <c r="S485">
        <f t="shared" si="408"/>
        <v>0</v>
      </c>
      <c r="T485">
        <f t="shared" si="409"/>
        <v>0</v>
      </c>
      <c r="U485">
        <f t="shared" si="410"/>
        <v>0</v>
      </c>
      <c r="V485">
        <f t="shared" si="411"/>
        <v>0</v>
      </c>
      <c r="W485">
        <f t="shared" si="412"/>
        <v>0</v>
      </c>
      <c r="X485">
        <f t="shared" si="413"/>
        <v>0</v>
      </c>
      <c r="Y485">
        <f t="shared" si="414"/>
        <v>0</v>
      </c>
      <c r="AA485">
        <v>42938047</v>
      </c>
      <c r="AB485">
        <f t="shared" si="415"/>
        <v>13.87</v>
      </c>
      <c r="AC485">
        <f t="shared" si="416"/>
        <v>13.87</v>
      </c>
      <c r="AD485">
        <f>ROUND((((ET485)-(EU485))+AE485),6)</f>
        <v>0</v>
      </c>
      <c r="AE485">
        <f t="shared" ref="AE485:AF488" si="440">ROUND((EU485),6)</f>
        <v>0</v>
      </c>
      <c r="AF485">
        <f t="shared" si="440"/>
        <v>0</v>
      </c>
      <c r="AG485">
        <f t="shared" si="418"/>
        <v>0</v>
      </c>
      <c r="AH485">
        <f t="shared" ref="AH485:AI488" si="441">(EW485)</f>
        <v>0</v>
      </c>
      <c r="AI485">
        <f t="shared" si="441"/>
        <v>0</v>
      </c>
      <c r="AJ485">
        <f t="shared" si="420"/>
        <v>0</v>
      </c>
      <c r="AK485">
        <v>13.87</v>
      </c>
      <c r="AL485">
        <v>13.87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1</v>
      </c>
      <c r="AW485">
        <v>1</v>
      </c>
      <c r="AZ485">
        <v>1</v>
      </c>
      <c r="BA485">
        <v>1</v>
      </c>
      <c r="BB485">
        <v>1</v>
      </c>
      <c r="BC485">
        <v>4.26</v>
      </c>
      <c r="BD485" t="s">
        <v>3</v>
      </c>
      <c r="BE485" t="s">
        <v>3</v>
      </c>
      <c r="BF485" t="s">
        <v>3</v>
      </c>
      <c r="BG485" t="s">
        <v>3</v>
      </c>
      <c r="BH485">
        <v>3</v>
      </c>
      <c r="BI485">
        <v>1</v>
      </c>
      <c r="BJ485" t="s">
        <v>296</v>
      </c>
      <c r="BM485">
        <v>166</v>
      </c>
      <c r="BN485">
        <v>0</v>
      </c>
      <c r="BO485" t="s">
        <v>294</v>
      </c>
      <c r="BP485">
        <v>1</v>
      </c>
      <c r="BQ485">
        <v>30</v>
      </c>
      <c r="BR485">
        <v>0</v>
      </c>
      <c r="BS485">
        <v>1</v>
      </c>
      <c r="BT485">
        <v>1</v>
      </c>
      <c r="BU485">
        <v>1</v>
      </c>
      <c r="BV485">
        <v>1</v>
      </c>
      <c r="BW485">
        <v>1</v>
      </c>
      <c r="BX485">
        <v>1</v>
      </c>
      <c r="BY485" t="s">
        <v>3</v>
      </c>
      <c r="BZ485">
        <v>0</v>
      </c>
      <c r="CA485">
        <v>0</v>
      </c>
      <c r="CB485" t="s">
        <v>3</v>
      </c>
      <c r="CE485">
        <v>30</v>
      </c>
      <c r="CF485">
        <v>0</v>
      </c>
      <c r="CG485">
        <v>0</v>
      </c>
      <c r="CM485">
        <v>0</v>
      </c>
      <c r="CN485" t="s">
        <v>3</v>
      </c>
      <c r="CO485">
        <v>0</v>
      </c>
      <c r="CP485">
        <f t="shared" si="421"/>
        <v>20089.310000000001</v>
      </c>
      <c r="CQ485">
        <f t="shared" si="422"/>
        <v>59.09</v>
      </c>
      <c r="CR485">
        <f>(ROUND((ROUND(((ET485)*AV485*1),2)*BB485),2)+ROUND((ROUND(((AE485-(EU485))*AV485*1),2)*BS485),2))</f>
        <v>0</v>
      </c>
      <c r="CS485">
        <f t="shared" si="423"/>
        <v>0</v>
      </c>
      <c r="CT485">
        <f t="shared" si="424"/>
        <v>0</v>
      </c>
      <c r="CU485">
        <f t="shared" si="425"/>
        <v>0</v>
      </c>
      <c r="CV485">
        <f t="shared" si="426"/>
        <v>0</v>
      </c>
      <c r="CW485">
        <f t="shared" si="427"/>
        <v>0</v>
      </c>
      <c r="CX485">
        <f t="shared" si="428"/>
        <v>0</v>
      </c>
      <c r="CY485">
        <f t="shared" si="429"/>
        <v>0</v>
      </c>
      <c r="CZ485">
        <f t="shared" si="430"/>
        <v>0</v>
      </c>
      <c r="DC485" t="s">
        <v>3</v>
      </c>
      <c r="DD485" t="s">
        <v>3</v>
      </c>
      <c r="DE485" t="s">
        <v>3</v>
      </c>
      <c r="DF485" t="s">
        <v>3</v>
      </c>
      <c r="DG485" t="s">
        <v>3</v>
      </c>
      <c r="DH485" t="s">
        <v>3</v>
      </c>
      <c r="DI485" t="s">
        <v>3</v>
      </c>
      <c r="DJ485" t="s">
        <v>3</v>
      </c>
      <c r="DK485" t="s">
        <v>3</v>
      </c>
      <c r="DL485" t="s">
        <v>3</v>
      </c>
      <c r="DM485" t="s">
        <v>3</v>
      </c>
      <c r="DN485">
        <v>140</v>
      </c>
      <c r="DO485">
        <v>79</v>
      </c>
      <c r="DP485">
        <v>1</v>
      </c>
      <c r="DQ485">
        <v>1</v>
      </c>
      <c r="DU485">
        <v>1005</v>
      </c>
      <c r="DV485" t="s">
        <v>120</v>
      </c>
      <c r="DW485" t="s">
        <v>120</v>
      </c>
      <c r="DX485">
        <v>1</v>
      </c>
      <c r="DZ485" t="s">
        <v>3</v>
      </c>
      <c r="EA485" t="s">
        <v>3</v>
      </c>
      <c r="EB485" t="s">
        <v>3</v>
      </c>
      <c r="EC485" t="s">
        <v>3</v>
      </c>
      <c r="EE485">
        <v>43088244</v>
      </c>
      <c r="EF485">
        <v>30</v>
      </c>
      <c r="EG485" t="s">
        <v>22</v>
      </c>
      <c r="EH485">
        <v>0</v>
      </c>
      <c r="EI485" t="s">
        <v>3</v>
      </c>
      <c r="EJ485">
        <v>1</v>
      </c>
      <c r="EK485">
        <v>166</v>
      </c>
      <c r="EL485" t="s">
        <v>115</v>
      </c>
      <c r="EM485" t="s">
        <v>116</v>
      </c>
      <c r="EO485" t="s">
        <v>3</v>
      </c>
      <c r="EQ485">
        <v>0</v>
      </c>
      <c r="ER485">
        <v>13.87</v>
      </c>
      <c r="ES485">
        <v>13.87</v>
      </c>
      <c r="ET485">
        <v>0</v>
      </c>
      <c r="EU485">
        <v>0</v>
      </c>
      <c r="EV485">
        <v>0</v>
      </c>
      <c r="EW485">
        <v>0</v>
      </c>
      <c r="EX485">
        <v>0</v>
      </c>
      <c r="FQ485">
        <v>0</v>
      </c>
      <c r="FR485">
        <f t="shared" si="431"/>
        <v>0</v>
      </c>
      <c r="FS485">
        <v>0</v>
      </c>
      <c r="FX485">
        <v>140</v>
      </c>
      <c r="FY485">
        <v>79</v>
      </c>
      <c r="GA485" t="s">
        <v>3</v>
      </c>
      <c r="GD485">
        <v>0</v>
      </c>
      <c r="GF485">
        <v>544087257</v>
      </c>
      <c r="GG485">
        <v>2</v>
      </c>
      <c r="GH485">
        <v>1</v>
      </c>
      <c r="GI485">
        <v>2</v>
      </c>
      <c r="GJ485">
        <v>0</v>
      </c>
      <c r="GK485">
        <f>ROUND(R485*(R12)/100,2)</f>
        <v>0</v>
      </c>
      <c r="GL485">
        <f t="shared" si="432"/>
        <v>0</v>
      </c>
      <c r="GM485">
        <f t="shared" si="433"/>
        <v>20089.310000000001</v>
      </c>
      <c r="GN485">
        <f t="shared" si="434"/>
        <v>20089.310000000001</v>
      </c>
      <c r="GO485">
        <f t="shared" si="435"/>
        <v>0</v>
      </c>
      <c r="GP485">
        <f t="shared" si="436"/>
        <v>0</v>
      </c>
      <c r="GR485">
        <v>0</v>
      </c>
      <c r="GS485">
        <v>3</v>
      </c>
      <c r="GT485">
        <v>0</v>
      </c>
      <c r="GU485" t="s">
        <v>3</v>
      </c>
      <c r="GV485">
        <f t="shared" si="437"/>
        <v>0</v>
      </c>
      <c r="GW485">
        <v>1</v>
      </c>
      <c r="GX485">
        <f t="shared" si="438"/>
        <v>0</v>
      </c>
      <c r="HA485">
        <v>0</v>
      </c>
      <c r="HB485">
        <v>0</v>
      </c>
      <c r="HC485">
        <f t="shared" si="439"/>
        <v>0</v>
      </c>
      <c r="HE485" t="s">
        <v>3</v>
      </c>
      <c r="HF485" t="s">
        <v>3</v>
      </c>
      <c r="HM485" t="s">
        <v>3</v>
      </c>
      <c r="IK485">
        <v>0</v>
      </c>
    </row>
    <row r="486" spans="1:245" x14ac:dyDescent="0.2">
      <c r="A486">
        <v>18</v>
      </c>
      <c r="B486">
        <v>1</v>
      </c>
      <c r="C486">
        <v>306</v>
      </c>
      <c r="E486" t="s">
        <v>632</v>
      </c>
      <c r="F486" t="s">
        <v>118</v>
      </c>
      <c r="G486" t="s">
        <v>633</v>
      </c>
      <c r="H486" t="s">
        <v>120</v>
      </c>
      <c r="I486">
        <f>I484*J486</f>
        <v>340</v>
      </c>
      <c r="J486">
        <v>999.99999999999989</v>
      </c>
      <c r="K486">
        <v>1000</v>
      </c>
      <c r="O486">
        <f t="shared" si="405"/>
        <v>368478.26</v>
      </c>
      <c r="P486">
        <f t="shared" si="406"/>
        <v>368478.26</v>
      </c>
      <c r="Q486">
        <f>(ROUND((ROUND(((ET486)*AV486*I486),2)*BB486),2)+ROUND((ROUND(((AE486-(EU486))*AV486*I486),2)*BS486),2))</f>
        <v>0</v>
      </c>
      <c r="R486">
        <f t="shared" si="407"/>
        <v>0</v>
      </c>
      <c r="S486">
        <f t="shared" si="408"/>
        <v>0</v>
      </c>
      <c r="T486">
        <f t="shared" si="409"/>
        <v>0</v>
      </c>
      <c r="U486">
        <f t="shared" si="410"/>
        <v>0</v>
      </c>
      <c r="V486">
        <f t="shared" si="411"/>
        <v>0</v>
      </c>
      <c r="W486">
        <f t="shared" si="412"/>
        <v>0</v>
      </c>
      <c r="X486">
        <f t="shared" si="413"/>
        <v>0</v>
      </c>
      <c r="Y486">
        <f t="shared" si="414"/>
        <v>0</v>
      </c>
      <c r="AA486">
        <v>42938047</v>
      </c>
      <c r="AB486">
        <f t="shared" si="415"/>
        <v>170.94</v>
      </c>
      <c r="AC486">
        <f t="shared" si="416"/>
        <v>170.94</v>
      </c>
      <c r="AD486">
        <f>ROUND((((ET486)-(EU486))+AE486),6)</f>
        <v>0</v>
      </c>
      <c r="AE486">
        <f t="shared" si="440"/>
        <v>0</v>
      </c>
      <c r="AF486">
        <f t="shared" si="440"/>
        <v>0</v>
      </c>
      <c r="AG486">
        <f t="shared" si="418"/>
        <v>0</v>
      </c>
      <c r="AH486">
        <f t="shared" si="441"/>
        <v>0</v>
      </c>
      <c r="AI486">
        <f t="shared" si="441"/>
        <v>0</v>
      </c>
      <c r="AJ486">
        <f t="shared" si="420"/>
        <v>0</v>
      </c>
      <c r="AK486">
        <v>170.94</v>
      </c>
      <c r="AL486">
        <v>170.94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1</v>
      </c>
      <c r="AW486">
        <v>1</v>
      </c>
      <c r="AZ486">
        <v>1</v>
      </c>
      <c r="BA486">
        <v>1</v>
      </c>
      <c r="BB486">
        <v>1</v>
      </c>
      <c r="BC486">
        <v>6.34</v>
      </c>
      <c r="BD486" t="s">
        <v>3</v>
      </c>
      <c r="BE486" t="s">
        <v>3</v>
      </c>
      <c r="BF486" t="s">
        <v>3</v>
      </c>
      <c r="BG486" t="s">
        <v>3</v>
      </c>
      <c r="BH486">
        <v>3</v>
      </c>
      <c r="BI486">
        <v>1</v>
      </c>
      <c r="BJ486" t="s">
        <v>3</v>
      </c>
      <c r="BM486">
        <v>166</v>
      </c>
      <c r="BN486">
        <v>0</v>
      </c>
      <c r="BO486" t="s">
        <v>3</v>
      </c>
      <c r="BP486">
        <v>0</v>
      </c>
      <c r="BQ486">
        <v>30</v>
      </c>
      <c r="BR486">
        <v>0</v>
      </c>
      <c r="BS486">
        <v>1</v>
      </c>
      <c r="BT486">
        <v>1</v>
      </c>
      <c r="BU486">
        <v>1</v>
      </c>
      <c r="BV486">
        <v>1</v>
      </c>
      <c r="BW486">
        <v>1</v>
      </c>
      <c r="BX486">
        <v>1</v>
      </c>
      <c r="BY486" t="s">
        <v>3</v>
      </c>
      <c r="BZ486">
        <v>0</v>
      </c>
      <c r="CA486">
        <v>0</v>
      </c>
      <c r="CB486" t="s">
        <v>3</v>
      </c>
      <c r="CE486">
        <v>30</v>
      </c>
      <c r="CF486">
        <v>0</v>
      </c>
      <c r="CG486">
        <v>0</v>
      </c>
      <c r="CM486">
        <v>0</v>
      </c>
      <c r="CN486" t="s">
        <v>3</v>
      </c>
      <c r="CO486">
        <v>0</v>
      </c>
      <c r="CP486">
        <f t="shared" si="421"/>
        <v>368478.26</v>
      </c>
      <c r="CQ486">
        <f t="shared" si="422"/>
        <v>1083.76</v>
      </c>
      <c r="CR486">
        <f>(ROUND((ROUND(((ET486)*AV486*1),2)*BB486),2)+ROUND((ROUND(((AE486-(EU486))*AV486*1),2)*BS486),2))</f>
        <v>0</v>
      </c>
      <c r="CS486">
        <f t="shared" si="423"/>
        <v>0</v>
      </c>
      <c r="CT486">
        <f t="shared" si="424"/>
        <v>0</v>
      </c>
      <c r="CU486">
        <f t="shared" si="425"/>
        <v>0</v>
      </c>
      <c r="CV486">
        <f t="shared" si="426"/>
        <v>0</v>
      </c>
      <c r="CW486">
        <f t="shared" si="427"/>
        <v>0</v>
      </c>
      <c r="CX486">
        <f t="shared" si="428"/>
        <v>0</v>
      </c>
      <c r="CY486">
        <f t="shared" si="429"/>
        <v>0</v>
      </c>
      <c r="CZ486">
        <f t="shared" si="430"/>
        <v>0</v>
      </c>
      <c r="DC486" t="s">
        <v>3</v>
      </c>
      <c r="DD486" t="s">
        <v>3</v>
      </c>
      <c r="DE486" t="s">
        <v>3</v>
      </c>
      <c r="DF486" t="s">
        <v>3</v>
      </c>
      <c r="DG486" t="s">
        <v>3</v>
      </c>
      <c r="DH486" t="s">
        <v>3</v>
      </c>
      <c r="DI486" t="s">
        <v>3</v>
      </c>
      <c r="DJ486" t="s">
        <v>3</v>
      </c>
      <c r="DK486" t="s">
        <v>3</v>
      </c>
      <c r="DL486" t="s">
        <v>3</v>
      </c>
      <c r="DM486" t="s">
        <v>3</v>
      </c>
      <c r="DN486">
        <v>140</v>
      </c>
      <c r="DO486">
        <v>79</v>
      </c>
      <c r="DP486">
        <v>1</v>
      </c>
      <c r="DQ486">
        <v>1</v>
      </c>
      <c r="DU486">
        <v>1005</v>
      </c>
      <c r="DV486" t="s">
        <v>120</v>
      </c>
      <c r="DW486" t="s">
        <v>120</v>
      </c>
      <c r="DX486">
        <v>1</v>
      </c>
      <c r="DZ486" t="s">
        <v>3</v>
      </c>
      <c r="EA486" t="s">
        <v>3</v>
      </c>
      <c r="EB486" t="s">
        <v>3</v>
      </c>
      <c r="EC486" t="s">
        <v>3</v>
      </c>
      <c r="EE486">
        <v>43088244</v>
      </c>
      <c r="EF486">
        <v>30</v>
      </c>
      <c r="EG486" t="s">
        <v>22</v>
      </c>
      <c r="EH486">
        <v>0</v>
      </c>
      <c r="EI486" t="s">
        <v>3</v>
      </c>
      <c r="EJ486">
        <v>1</v>
      </c>
      <c r="EK486">
        <v>166</v>
      </c>
      <c r="EL486" t="s">
        <v>115</v>
      </c>
      <c r="EM486" t="s">
        <v>116</v>
      </c>
      <c r="EO486" t="s">
        <v>3</v>
      </c>
      <c r="EQ486">
        <v>0</v>
      </c>
      <c r="ER486">
        <v>1083.75</v>
      </c>
      <c r="ES486">
        <v>170.94</v>
      </c>
      <c r="ET486">
        <v>0</v>
      </c>
      <c r="EU486">
        <v>0</v>
      </c>
      <c r="EV486">
        <v>0</v>
      </c>
      <c r="EW486">
        <v>0</v>
      </c>
      <c r="EX486">
        <v>0</v>
      </c>
      <c r="EZ486">
        <v>5</v>
      </c>
      <c r="FC486">
        <v>1</v>
      </c>
      <c r="FD486">
        <v>18</v>
      </c>
      <c r="FF486">
        <v>1275</v>
      </c>
      <c r="FQ486">
        <v>0</v>
      </c>
      <c r="FR486">
        <f t="shared" si="431"/>
        <v>0</v>
      </c>
      <c r="FS486">
        <v>0</v>
      </c>
      <c r="FX486">
        <v>140</v>
      </c>
      <c r="FY486">
        <v>79</v>
      </c>
      <c r="GA486" t="s">
        <v>634</v>
      </c>
      <c r="GD486">
        <v>0</v>
      </c>
      <c r="GF486">
        <v>1292001952</v>
      </c>
      <c r="GG486">
        <v>2</v>
      </c>
      <c r="GH486">
        <v>3</v>
      </c>
      <c r="GI486">
        <v>3</v>
      </c>
      <c r="GJ486">
        <v>0</v>
      </c>
      <c r="GK486">
        <f>ROUND(R486*(R12)/100,2)</f>
        <v>0</v>
      </c>
      <c r="GL486">
        <f t="shared" si="432"/>
        <v>0</v>
      </c>
      <c r="GM486">
        <f t="shared" si="433"/>
        <v>368478.26</v>
      </c>
      <c r="GN486">
        <f t="shared" si="434"/>
        <v>368478.26</v>
      </c>
      <c r="GO486">
        <f t="shared" si="435"/>
        <v>0</v>
      </c>
      <c r="GP486">
        <f t="shared" si="436"/>
        <v>0</v>
      </c>
      <c r="GR486">
        <v>1</v>
      </c>
      <c r="GS486">
        <v>1</v>
      </c>
      <c r="GT486">
        <v>0</v>
      </c>
      <c r="GU486" t="s">
        <v>3</v>
      </c>
      <c r="GV486">
        <f t="shared" si="437"/>
        <v>0</v>
      </c>
      <c r="GW486">
        <v>1</v>
      </c>
      <c r="GX486">
        <f t="shared" si="438"/>
        <v>0</v>
      </c>
      <c r="HA486">
        <v>0</v>
      </c>
      <c r="HB486">
        <v>0</v>
      </c>
      <c r="HC486">
        <f t="shared" si="439"/>
        <v>0</v>
      </c>
      <c r="HE486" t="s">
        <v>26</v>
      </c>
      <c r="HF486" t="s">
        <v>122</v>
      </c>
      <c r="HM486" t="s">
        <v>3</v>
      </c>
      <c r="IK486">
        <v>0</v>
      </c>
    </row>
    <row r="487" spans="1:245" x14ac:dyDescent="0.2">
      <c r="A487">
        <v>18</v>
      </c>
      <c r="B487">
        <v>1</v>
      </c>
      <c r="C487">
        <v>307</v>
      </c>
      <c r="E487" t="s">
        <v>635</v>
      </c>
      <c r="F487" t="s">
        <v>118</v>
      </c>
      <c r="G487" t="s">
        <v>636</v>
      </c>
      <c r="H487" t="s">
        <v>169</v>
      </c>
      <c r="I487">
        <f>I484*J487</f>
        <v>2</v>
      </c>
      <c r="J487">
        <v>5.8823529411764701</v>
      </c>
      <c r="K487">
        <v>5.8823530000000002</v>
      </c>
      <c r="O487">
        <f t="shared" si="405"/>
        <v>34634.15</v>
      </c>
      <c r="P487">
        <f t="shared" si="406"/>
        <v>34634.15</v>
      </c>
      <c r="Q487">
        <f>(ROUND((ROUND(((ET487)*AV487*I487),2)*BB487),2)+ROUND((ROUND(((AE487-(EU487))*AV487*I487),2)*BS487),2))</f>
        <v>0</v>
      </c>
      <c r="R487">
        <f t="shared" si="407"/>
        <v>0</v>
      </c>
      <c r="S487">
        <f t="shared" si="408"/>
        <v>0</v>
      </c>
      <c r="T487">
        <f t="shared" si="409"/>
        <v>0</v>
      </c>
      <c r="U487">
        <f t="shared" si="410"/>
        <v>0</v>
      </c>
      <c r="V487">
        <f t="shared" si="411"/>
        <v>0</v>
      </c>
      <c r="W487">
        <f t="shared" si="412"/>
        <v>0</v>
      </c>
      <c r="X487">
        <f t="shared" si="413"/>
        <v>0</v>
      </c>
      <c r="Y487">
        <f t="shared" si="414"/>
        <v>0</v>
      </c>
      <c r="AA487">
        <v>42938047</v>
      </c>
      <c r="AB487">
        <f t="shared" si="415"/>
        <v>2731.4</v>
      </c>
      <c r="AC487">
        <f t="shared" si="416"/>
        <v>2731.4</v>
      </c>
      <c r="AD487">
        <f>ROUND((((ET487)-(EU487))+AE487),6)</f>
        <v>0</v>
      </c>
      <c r="AE487">
        <f t="shared" si="440"/>
        <v>0</v>
      </c>
      <c r="AF487">
        <f t="shared" si="440"/>
        <v>0</v>
      </c>
      <c r="AG487">
        <f t="shared" si="418"/>
        <v>0</v>
      </c>
      <c r="AH487">
        <f t="shared" si="441"/>
        <v>0</v>
      </c>
      <c r="AI487">
        <f t="shared" si="441"/>
        <v>0</v>
      </c>
      <c r="AJ487">
        <f t="shared" si="420"/>
        <v>0</v>
      </c>
      <c r="AK487">
        <v>2731.4</v>
      </c>
      <c r="AL487">
        <v>2731.4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1</v>
      </c>
      <c r="AW487">
        <v>1</v>
      </c>
      <c r="AZ487">
        <v>1</v>
      </c>
      <c r="BA487">
        <v>1</v>
      </c>
      <c r="BB487">
        <v>1</v>
      </c>
      <c r="BC487">
        <v>6.34</v>
      </c>
      <c r="BD487" t="s">
        <v>3</v>
      </c>
      <c r="BE487" t="s">
        <v>3</v>
      </c>
      <c r="BF487" t="s">
        <v>3</v>
      </c>
      <c r="BG487" t="s">
        <v>3</v>
      </c>
      <c r="BH487">
        <v>3</v>
      </c>
      <c r="BI487">
        <v>1</v>
      </c>
      <c r="BJ487" t="s">
        <v>3</v>
      </c>
      <c r="BM487">
        <v>166</v>
      </c>
      <c r="BN487">
        <v>0</v>
      </c>
      <c r="BO487" t="s">
        <v>3</v>
      </c>
      <c r="BP487">
        <v>0</v>
      </c>
      <c r="BQ487">
        <v>30</v>
      </c>
      <c r="BR487">
        <v>0</v>
      </c>
      <c r="BS487">
        <v>1</v>
      </c>
      <c r="BT487">
        <v>1</v>
      </c>
      <c r="BU487">
        <v>1</v>
      </c>
      <c r="BV487">
        <v>1</v>
      </c>
      <c r="BW487">
        <v>1</v>
      </c>
      <c r="BX487">
        <v>1</v>
      </c>
      <c r="BY487" t="s">
        <v>3</v>
      </c>
      <c r="BZ487">
        <v>0</v>
      </c>
      <c r="CA487">
        <v>0</v>
      </c>
      <c r="CB487" t="s">
        <v>3</v>
      </c>
      <c r="CE487">
        <v>30</v>
      </c>
      <c r="CF487">
        <v>0</v>
      </c>
      <c r="CG487">
        <v>0</v>
      </c>
      <c r="CM487">
        <v>0</v>
      </c>
      <c r="CN487" t="s">
        <v>3</v>
      </c>
      <c r="CO487">
        <v>0</v>
      </c>
      <c r="CP487">
        <f t="shared" si="421"/>
        <v>34634.15</v>
      </c>
      <c r="CQ487">
        <f t="shared" si="422"/>
        <v>17317.080000000002</v>
      </c>
      <c r="CR487">
        <f>(ROUND((ROUND(((ET487)*AV487*1),2)*BB487),2)+ROUND((ROUND(((AE487-(EU487))*AV487*1),2)*BS487),2))</f>
        <v>0</v>
      </c>
      <c r="CS487">
        <f t="shared" si="423"/>
        <v>0</v>
      </c>
      <c r="CT487">
        <f t="shared" si="424"/>
        <v>0</v>
      </c>
      <c r="CU487">
        <f t="shared" si="425"/>
        <v>0</v>
      </c>
      <c r="CV487">
        <f t="shared" si="426"/>
        <v>0</v>
      </c>
      <c r="CW487">
        <f t="shared" si="427"/>
        <v>0</v>
      </c>
      <c r="CX487">
        <f t="shared" si="428"/>
        <v>0</v>
      </c>
      <c r="CY487">
        <f t="shared" si="429"/>
        <v>0</v>
      </c>
      <c r="CZ487">
        <f t="shared" si="430"/>
        <v>0</v>
      </c>
      <c r="DC487" t="s">
        <v>3</v>
      </c>
      <c r="DD487" t="s">
        <v>3</v>
      </c>
      <c r="DE487" t="s">
        <v>3</v>
      </c>
      <c r="DF487" t="s">
        <v>3</v>
      </c>
      <c r="DG487" t="s">
        <v>3</v>
      </c>
      <c r="DH487" t="s">
        <v>3</v>
      </c>
      <c r="DI487" t="s">
        <v>3</v>
      </c>
      <c r="DJ487" t="s">
        <v>3</v>
      </c>
      <c r="DK487" t="s">
        <v>3</v>
      </c>
      <c r="DL487" t="s">
        <v>3</v>
      </c>
      <c r="DM487" t="s">
        <v>3</v>
      </c>
      <c r="DN487">
        <v>140</v>
      </c>
      <c r="DO487">
        <v>79</v>
      </c>
      <c r="DP487">
        <v>1</v>
      </c>
      <c r="DQ487">
        <v>1</v>
      </c>
      <c r="DU487">
        <v>1010</v>
      </c>
      <c r="DV487" t="s">
        <v>169</v>
      </c>
      <c r="DW487" t="s">
        <v>169</v>
      </c>
      <c r="DX487">
        <v>1</v>
      </c>
      <c r="DZ487" t="s">
        <v>3</v>
      </c>
      <c r="EA487" t="s">
        <v>3</v>
      </c>
      <c r="EB487" t="s">
        <v>3</v>
      </c>
      <c r="EC487" t="s">
        <v>3</v>
      </c>
      <c r="EE487">
        <v>43088244</v>
      </c>
      <c r="EF487">
        <v>30</v>
      </c>
      <c r="EG487" t="s">
        <v>22</v>
      </c>
      <c r="EH487">
        <v>0</v>
      </c>
      <c r="EI487" t="s">
        <v>3</v>
      </c>
      <c r="EJ487">
        <v>1</v>
      </c>
      <c r="EK487">
        <v>166</v>
      </c>
      <c r="EL487" t="s">
        <v>115</v>
      </c>
      <c r="EM487" t="s">
        <v>116</v>
      </c>
      <c r="EO487" t="s">
        <v>3</v>
      </c>
      <c r="EQ487">
        <v>0</v>
      </c>
      <c r="ER487">
        <v>17317.05</v>
      </c>
      <c r="ES487">
        <v>2731.4</v>
      </c>
      <c r="ET487">
        <v>0</v>
      </c>
      <c r="EU487">
        <v>0</v>
      </c>
      <c r="EV487">
        <v>0</v>
      </c>
      <c r="EW487">
        <v>0</v>
      </c>
      <c r="EX487">
        <v>0</v>
      </c>
      <c r="EZ487">
        <v>5</v>
      </c>
      <c r="FC487">
        <v>1</v>
      </c>
      <c r="FD487">
        <v>18</v>
      </c>
      <c r="FF487">
        <v>20373</v>
      </c>
      <c r="FQ487">
        <v>0</v>
      </c>
      <c r="FR487">
        <f t="shared" si="431"/>
        <v>0</v>
      </c>
      <c r="FS487">
        <v>0</v>
      </c>
      <c r="FX487">
        <v>140</v>
      </c>
      <c r="FY487">
        <v>79</v>
      </c>
      <c r="GA487" t="s">
        <v>637</v>
      </c>
      <c r="GD487">
        <v>0</v>
      </c>
      <c r="GF487">
        <v>-1965181222</v>
      </c>
      <c r="GG487">
        <v>2</v>
      </c>
      <c r="GH487">
        <v>3</v>
      </c>
      <c r="GI487">
        <v>3</v>
      </c>
      <c r="GJ487">
        <v>0</v>
      </c>
      <c r="GK487">
        <f>ROUND(R487*(R12)/100,2)</f>
        <v>0</v>
      </c>
      <c r="GL487">
        <f t="shared" si="432"/>
        <v>0</v>
      </c>
      <c r="GM487">
        <f t="shared" si="433"/>
        <v>34634.15</v>
      </c>
      <c r="GN487">
        <f t="shared" si="434"/>
        <v>34634.15</v>
      </c>
      <c r="GO487">
        <f t="shared" si="435"/>
        <v>0</v>
      </c>
      <c r="GP487">
        <f t="shared" si="436"/>
        <v>0</v>
      </c>
      <c r="GR487">
        <v>1</v>
      </c>
      <c r="GS487">
        <v>1</v>
      </c>
      <c r="GT487">
        <v>0</v>
      </c>
      <c r="GU487" t="s">
        <v>3</v>
      </c>
      <c r="GV487">
        <f t="shared" si="437"/>
        <v>0</v>
      </c>
      <c r="GW487">
        <v>1</v>
      </c>
      <c r="GX487">
        <f t="shared" si="438"/>
        <v>0</v>
      </c>
      <c r="HA487">
        <v>0</v>
      </c>
      <c r="HB487">
        <v>0</v>
      </c>
      <c r="HC487">
        <f t="shared" si="439"/>
        <v>0</v>
      </c>
      <c r="HE487" t="s">
        <v>26</v>
      </c>
      <c r="HF487" t="s">
        <v>122</v>
      </c>
      <c r="HM487" t="s">
        <v>3</v>
      </c>
      <c r="IK487">
        <v>0</v>
      </c>
    </row>
    <row r="488" spans="1:245" x14ac:dyDescent="0.2">
      <c r="A488">
        <v>18</v>
      </c>
      <c r="B488">
        <v>1</v>
      </c>
      <c r="C488">
        <v>308</v>
      </c>
      <c r="E488" t="s">
        <v>638</v>
      </c>
      <c r="F488" t="s">
        <v>118</v>
      </c>
      <c r="G488" t="s">
        <v>639</v>
      </c>
      <c r="H488" t="s">
        <v>169</v>
      </c>
      <c r="I488">
        <f>I484*J488</f>
        <v>4</v>
      </c>
      <c r="J488">
        <v>11.76470588235294</v>
      </c>
      <c r="K488">
        <v>11.764706</v>
      </c>
      <c r="O488">
        <f t="shared" si="405"/>
        <v>24752.12</v>
      </c>
      <c r="P488">
        <f t="shared" si="406"/>
        <v>24752.12</v>
      </c>
      <c r="Q488">
        <f>(ROUND((ROUND(((ET488)*AV488*I488),2)*BB488),2)+ROUND((ROUND(((AE488-(EU488))*AV488*I488),2)*BS488),2))</f>
        <v>0</v>
      </c>
      <c r="R488">
        <f t="shared" si="407"/>
        <v>0</v>
      </c>
      <c r="S488">
        <f t="shared" si="408"/>
        <v>0</v>
      </c>
      <c r="T488">
        <f t="shared" si="409"/>
        <v>0</v>
      </c>
      <c r="U488">
        <f t="shared" si="410"/>
        <v>0</v>
      </c>
      <c r="V488">
        <f t="shared" si="411"/>
        <v>0</v>
      </c>
      <c r="W488">
        <f t="shared" si="412"/>
        <v>0</v>
      </c>
      <c r="X488">
        <f t="shared" si="413"/>
        <v>0</v>
      </c>
      <c r="Y488">
        <f t="shared" si="414"/>
        <v>0</v>
      </c>
      <c r="AA488">
        <v>42938047</v>
      </c>
      <c r="AB488">
        <f t="shared" si="415"/>
        <v>976.03</v>
      </c>
      <c r="AC488">
        <f t="shared" si="416"/>
        <v>976.03</v>
      </c>
      <c r="AD488">
        <f>ROUND((((ET488)-(EU488))+AE488),6)</f>
        <v>0</v>
      </c>
      <c r="AE488">
        <f t="shared" si="440"/>
        <v>0</v>
      </c>
      <c r="AF488">
        <f t="shared" si="440"/>
        <v>0</v>
      </c>
      <c r="AG488">
        <f t="shared" si="418"/>
        <v>0</v>
      </c>
      <c r="AH488">
        <f t="shared" si="441"/>
        <v>0</v>
      </c>
      <c r="AI488">
        <f t="shared" si="441"/>
        <v>0</v>
      </c>
      <c r="AJ488">
        <f t="shared" si="420"/>
        <v>0</v>
      </c>
      <c r="AK488">
        <v>976.03</v>
      </c>
      <c r="AL488">
        <v>976.03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1</v>
      </c>
      <c r="AW488">
        <v>1</v>
      </c>
      <c r="AZ488">
        <v>1</v>
      </c>
      <c r="BA488">
        <v>1</v>
      </c>
      <c r="BB488">
        <v>1</v>
      </c>
      <c r="BC488">
        <v>6.34</v>
      </c>
      <c r="BD488" t="s">
        <v>3</v>
      </c>
      <c r="BE488" t="s">
        <v>3</v>
      </c>
      <c r="BF488" t="s">
        <v>3</v>
      </c>
      <c r="BG488" t="s">
        <v>3</v>
      </c>
      <c r="BH488">
        <v>3</v>
      </c>
      <c r="BI488">
        <v>1</v>
      </c>
      <c r="BJ488" t="s">
        <v>3</v>
      </c>
      <c r="BM488">
        <v>166</v>
      </c>
      <c r="BN488">
        <v>0</v>
      </c>
      <c r="BO488" t="s">
        <v>3</v>
      </c>
      <c r="BP488">
        <v>0</v>
      </c>
      <c r="BQ488">
        <v>30</v>
      </c>
      <c r="BR488">
        <v>0</v>
      </c>
      <c r="BS488">
        <v>1</v>
      </c>
      <c r="BT488">
        <v>1</v>
      </c>
      <c r="BU488">
        <v>1</v>
      </c>
      <c r="BV488">
        <v>1</v>
      </c>
      <c r="BW488">
        <v>1</v>
      </c>
      <c r="BX488">
        <v>1</v>
      </c>
      <c r="BY488" t="s">
        <v>3</v>
      </c>
      <c r="BZ488">
        <v>0</v>
      </c>
      <c r="CA488">
        <v>0</v>
      </c>
      <c r="CB488" t="s">
        <v>3</v>
      </c>
      <c r="CE488">
        <v>30</v>
      </c>
      <c r="CF488">
        <v>0</v>
      </c>
      <c r="CG488">
        <v>0</v>
      </c>
      <c r="CM488">
        <v>0</v>
      </c>
      <c r="CN488" t="s">
        <v>3</v>
      </c>
      <c r="CO488">
        <v>0</v>
      </c>
      <c r="CP488">
        <f t="shared" si="421"/>
        <v>24752.12</v>
      </c>
      <c r="CQ488">
        <f t="shared" si="422"/>
        <v>6188.03</v>
      </c>
      <c r="CR488">
        <f>(ROUND((ROUND(((ET488)*AV488*1),2)*BB488),2)+ROUND((ROUND(((AE488-(EU488))*AV488*1),2)*BS488),2))</f>
        <v>0</v>
      </c>
      <c r="CS488">
        <f t="shared" si="423"/>
        <v>0</v>
      </c>
      <c r="CT488">
        <f t="shared" si="424"/>
        <v>0</v>
      </c>
      <c r="CU488">
        <f t="shared" si="425"/>
        <v>0</v>
      </c>
      <c r="CV488">
        <f t="shared" si="426"/>
        <v>0</v>
      </c>
      <c r="CW488">
        <f t="shared" si="427"/>
        <v>0</v>
      </c>
      <c r="CX488">
        <f t="shared" si="428"/>
        <v>0</v>
      </c>
      <c r="CY488">
        <f t="shared" si="429"/>
        <v>0</v>
      </c>
      <c r="CZ488">
        <f t="shared" si="430"/>
        <v>0</v>
      </c>
      <c r="DC488" t="s">
        <v>3</v>
      </c>
      <c r="DD488" t="s">
        <v>3</v>
      </c>
      <c r="DE488" t="s">
        <v>3</v>
      </c>
      <c r="DF488" t="s">
        <v>3</v>
      </c>
      <c r="DG488" t="s">
        <v>3</v>
      </c>
      <c r="DH488" t="s">
        <v>3</v>
      </c>
      <c r="DI488" t="s">
        <v>3</v>
      </c>
      <c r="DJ488" t="s">
        <v>3</v>
      </c>
      <c r="DK488" t="s">
        <v>3</v>
      </c>
      <c r="DL488" t="s">
        <v>3</v>
      </c>
      <c r="DM488" t="s">
        <v>3</v>
      </c>
      <c r="DN488">
        <v>140</v>
      </c>
      <c r="DO488">
        <v>79</v>
      </c>
      <c r="DP488">
        <v>1</v>
      </c>
      <c r="DQ488">
        <v>1</v>
      </c>
      <c r="DU488">
        <v>1010</v>
      </c>
      <c r="DV488" t="s">
        <v>169</v>
      </c>
      <c r="DW488" t="s">
        <v>169</v>
      </c>
      <c r="DX488">
        <v>1</v>
      </c>
      <c r="DZ488" t="s">
        <v>3</v>
      </c>
      <c r="EA488" t="s">
        <v>3</v>
      </c>
      <c r="EB488" t="s">
        <v>3</v>
      </c>
      <c r="EC488" t="s">
        <v>3</v>
      </c>
      <c r="EE488">
        <v>43088244</v>
      </c>
      <c r="EF488">
        <v>30</v>
      </c>
      <c r="EG488" t="s">
        <v>22</v>
      </c>
      <c r="EH488">
        <v>0</v>
      </c>
      <c r="EI488" t="s">
        <v>3</v>
      </c>
      <c r="EJ488">
        <v>1</v>
      </c>
      <c r="EK488">
        <v>166</v>
      </c>
      <c r="EL488" t="s">
        <v>115</v>
      </c>
      <c r="EM488" t="s">
        <v>116</v>
      </c>
      <c r="EO488" t="s">
        <v>3</v>
      </c>
      <c r="EQ488">
        <v>0</v>
      </c>
      <c r="ER488">
        <v>976.03</v>
      </c>
      <c r="ES488">
        <v>976.03</v>
      </c>
      <c r="ET488">
        <v>0</v>
      </c>
      <c r="EU488">
        <v>0</v>
      </c>
      <c r="EV488">
        <v>0</v>
      </c>
      <c r="EW488">
        <v>0</v>
      </c>
      <c r="EX488">
        <v>0</v>
      </c>
      <c r="EZ488">
        <v>5</v>
      </c>
      <c r="FC488">
        <v>1</v>
      </c>
      <c r="FD488">
        <v>18</v>
      </c>
      <c r="FF488">
        <v>7280</v>
      </c>
      <c r="FQ488">
        <v>0</v>
      </c>
      <c r="FR488">
        <f t="shared" si="431"/>
        <v>0</v>
      </c>
      <c r="FS488">
        <v>0</v>
      </c>
      <c r="FX488">
        <v>140</v>
      </c>
      <c r="FY488">
        <v>79</v>
      </c>
      <c r="GA488" t="s">
        <v>640</v>
      </c>
      <c r="GD488">
        <v>0</v>
      </c>
      <c r="GF488">
        <v>353011346</v>
      </c>
      <c r="GG488">
        <v>2</v>
      </c>
      <c r="GH488">
        <v>3</v>
      </c>
      <c r="GI488">
        <v>3</v>
      </c>
      <c r="GJ488">
        <v>0</v>
      </c>
      <c r="GK488">
        <f>ROUND(R488*(R12)/100,2)</f>
        <v>0</v>
      </c>
      <c r="GL488">
        <f t="shared" si="432"/>
        <v>0</v>
      </c>
      <c r="GM488">
        <f t="shared" si="433"/>
        <v>24752.12</v>
      </c>
      <c r="GN488">
        <f t="shared" si="434"/>
        <v>24752.12</v>
      </c>
      <c r="GO488">
        <f t="shared" si="435"/>
        <v>0</v>
      </c>
      <c r="GP488">
        <f t="shared" si="436"/>
        <v>0</v>
      </c>
      <c r="GR488">
        <v>1</v>
      </c>
      <c r="GS488">
        <v>1</v>
      </c>
      <c r="GT488">
        <v>0</v>
      </c>
      <c r="GU488" t="s">
        <v>3</v>
      </c>
      <c r="GV488">
        <f t="shared" si="437"/>
        <v>0</v>
      </c>
      <c r="GW488">
        <v>1</v>
      </c>
      <c r="GX488">
        <f t="shared" si="438"/>
        <v>0</v>
      </c>
      <c r="HA488">
        <v>0</v>
      </c>
      <c r="HB488">
        <v>0</v>
      </c>
      <c r="HC488">
        <f t="shared" si="439"/>
        <v>0</v>
      </c>
      <c r="HE488" t="s">
        <v>26</v>
      </c>
      <c r="HF488" t="s">
        <v>122</v>
      </c>
      <c r="HM488" t="s">
        <v>3</v>
      </c>
      <c r="IK488">
        <v>0</v>
      </c>
    </row>
    <row r="489" spans="1:245" x14ac:dyDescent="0.2">
      <c r="A489">
        <v>17</v>
      </c>
      <c r="B489">
        <v>1</v>
      </c>
      <c r="C489">
        <f>ROW(SmtRes!A313)</f>
        <v>313</v>
      </c>
      <c r="D489">
        <f>ROW(EtalonRes!A314)</f>
        <v>314</v>
      </c>
      <c r="E489" t="s">
        <v>641</v>
      </c>
      <c r="F489" t="s">
        <v>111</v>
      </c>
      <c r="G489" t="s">
        <v>112</v>
      </c>
      <c r="H489" t="s">
        <v>113</v>
      </c>
      <c r="I489">
        <f>ROUND(340/1000,9)</f>
        <v>0.34</v>
      </c>
      <c r="J489">
        <v>0</v>
      </c>
      <c r="K489">
        <f>ROUND(340/1000,9)</f>
        <v>0.34</v>
      </c>
      <c r="O489">
        <f t="shared" si="405"/>
        <v>5340.63</v>
      </c>
      <c r="P489">
        <f t="shared" si="406"/>
        <v>1.1200000000000001</v>
      </c>
      <c r="Q489">
        <f>(ROUND((ROUND((((ET489*1.25))*AV489*I489),2)*BB489),2)+ROUND((ROUND(((AE489-((EU489*1.25)))*AV489*I489),2)*BS489),2))</f>
        <v>2501.42</v>
      </c>
      <c r="R489">
        <f t="shared" si="407"/>
        <v>673.4</v>
      </c>
      <c r="S489">
        <f t="shared" si="408"/>
        <v>2838.09</v>
      </c>
      <c r="T489">
        <f t="shared" si="409"/>
        <v>0</v>
      </c>
      <c r="U489">
        <f t="shared" si="410"/>
        <v>10.8307</v>
      </c>
      <c r="V489">
        <f t="shared" si="411"/>
        <v>0</v>
      </c>
      <c r="W489">
        <f t="shared" si="412"/>
        <v>0</v>
      </c>
      <c r="X489">
        <f t="shared" si="413"/>
        <v>3178.66</v>
      </c>
      <c r="Y489">
        <f t="shared" si="414"/>
        <v>1163.6199999999999</v>
      </c>
      <c r="AA489">
        <v>42938047</v>
      </c>
      <c r="AB489">
        <f t="shared" si="415"/>
        <v>1166.5340000000001</v>
      </c>
      <c r="AC489">
        <f t="shared" si="416"/>
        <v>0.49</v>
      </c>
      <c r="AD489">
        <f>ROUND(((((ET489*1.25))-((EU489*1.25)))+AE489),6)</f>
        <v>837.9375</v>
      </c>
      <c r="AE489">
        <f>ROUND(((EU489*1.25)),6)</f>
        <v>77.862499999999997</v>
      </c>
      <c r="AF489">
        <f>ROUND(((EV489*1.15)),6)</f>
        <v>328.10649999999998</v>
      </c>
      <c r="AG489">
        <f t="shared" si="418"/>
        <v>0</v>
      </c>
      <c r="AH489">
        <f>((EW489*1.15))</f>
        <v>31.854999999999997</v>
      </c>
      <c r="AI489">
        <f>((EX489*1.25))</f>
        <v>0</v>
      </c>
      <c r="AJ489">
        <f t="shared" si="420"/>
        <v>0</v>
      </c>
      <c r="AK489">
        <v>956.15</v>
      </c>
      <c r="AL489">
        <v>0.49</v>
      </c>
      <c r="AM489">
        <v>670.35</v>
      </c>
      <c r="AN489">
        <v>62.29</v>
      </c>
      <c r="AO489">
        <v>285.31</v>
      </c>
      <c r="AP489">
        <v>0</v>
      </c>
      <c r="AQ489">
        <v>27.7</v>
      </c>
      <c r="AR489">
        <v>0</v>
      </c>
      <c r="AS489">
        <v>0</v>
      </c>
      <c r="AT489">
        <v>112</v>
      </c>
      <c r="AU489">
        <v>41</v>
      </c>
      <c r="AV489">
        <v>1</v>
      </c>
      <c r="AW489">
        <v>1</v>
      </c>
      <c r="AZ489">
        <v>1</v>
      </c>
      <c r="BA489">
        <v>25.44</v>
      </c>
      <c r="BB489">
        <v>8.7799999999999994</v>
      </c>
      <c r="BC489">
        <v>6.57</v>
      </c>
      <c r="BD489" t="s">
        <v>3</v>
      </c>
      <c r="BE489" t="s">
        <v>3</v>
      </c>
      <c r="BF489" t="s">
        <v>3</v>
      </c>
      <c r="BG489" t="s">
        <v>3</v>
      </c>
      <c r="BH489">
        <v>0</v>
      </c>
      <c r="BI489">
        <v>1</v>
      </c>
      <c r="BJ489" t="s">
        <v>114</v>
      </c>
      <c r="BM489">
        <v>166</v>
      </c>
      <c r="BN489">
        <v>0</v>
      </c>
      <c r="BO489" t="s">
        <v>111</v>
      </c>
      <c r="BP489">
        <v>1</v>
      </c>
      <c r="BQ489">
        <v>30</v>
      </c>
      <c r="BR489">
        <v>0</v>
      </c>
      <c r="BS489">
        <v>25.44</v>
      </c>
      <c r="BT489">
        <v>1</v>
      </c>
      <c r="BU489">
        <v>1</v>
      </c>
      <c r="BV489">
        <v>1</v>
      </c>
      <c r="BW489">
        <v>1</v>
      </c>
      <c r="BX489">
        <v>1</v>
      </c>
      <c r="BY489" t="s">
        <v>3</v>
      </c>
      <c r="BZ489">
        <v>112</v>
      </c>
      <c r="CA489">
        <v>41</v>
      </c>
      <c r="CB489" t="s">
        <v>3</v>
      </c>
      <c r="CE489">
        <v>30</v>
      </c>
      <c r="CF489">
        <v>0</v>
      </c>
      <c r="CG489">
        <v>0</v>
      </c>
      <c r="CM489">
        <v>0</v>
      </c>
      <c r="CN489" t="s">
        <v>1584</v>
      </c>
      <c r="CO489">
        <v>0</v>
      </c>
      <c r="CP489">
        <f t="shared" si="421"/>
        <v>5340.63</v>
      </c>
      <c r="CQ489">
        <f t="shared" si="422"/>
        <v>3.22</v>
      </c>
      <c r="CR489">
        <f>(ROUND((ROUND((((ET489*1.25))*AV489*1),2)*BB489),2)+ROUND((ROUND(((AE489-((EU489*1.25)))*AV489*1),2)*BS489),2))</f>
        <v>7357.11</v>
      </c>
      <c r="CS489">
        <f t="shared" si="423"/>
        <v>1980.76</v>
      </c>
      <c r="CT489">
        <f t="shared" si="424"/>
        <v>8347.1200000000008</v>
      </c>
      <c r="CU489">
        <f t="shared" si="425"/>
        <v>0</v>
      </c>
      <c r="CV489">
        <f t="shared" si="426"/>
        <v>31.854999999999997</v>
      </c>
      <c r="CW489">
        <f t="shared" si="427"/>
        <v>0</v>
      </c>
      <c r="CX489">
        <f t="shared" si="428"/>
        <v>0</v>
      </c>
      <c r="CY489">
        <f t="shared" si="429"/>
        <v>3178.6608000000006</v>
      </c>
      <c r="CZ489">
        <f t="shared" si="430"/>
        <v>1163.6169</v>
      </c>
      <c r="DC489" t="s">
        <v>3</v>
      </c>
      <c r="DD489" t="s">
        <v>3</v>
      </c>
      <c r="DE489" t="s">
        <v>20</v>
      </c>
      <c r="DF489" t="s">
        <v>20</v>
      </c>
      <c r="DG489" t="s">
        <v>21</v>
      </c>
      <c r="DH489" t="s">
        <v>3</v>
      </c>
      <c r="DI489" t="s">
        <v>21</v>
      </c>
      <c r="DJ489" t="s">
        <v>20</v>
      </c>
      <c r="DK489" t="s">
        <v>3</v>
      </c>
      <c r="DL489" t="s">
        <v>3</v>
      </c>
      <c r="DM489" t="s">
        <v>3</v>
      </c>
      <c r="DN489">
        <v>140</v>
      </c>
      <c r="DO489">
        <v>79</v>
      </c>
      <c r="DP489">
        <v>1</v>
      </c>
      <c r="DQ489">
        <v>1</v>
      </c>
      <c r="DU489">
        <v>1005</v>
      </c>
      <c r="DV489" t="s">
        <v>113</v>
      </c>
      <c r="DW489" t="s">
        <v>113</v>
      </c>
      <c r="DX489">
        <v>1000</v>
      </c>
      <c r="DZ489" t="s">
        <v>3</v>
      </c>
      <c r="EA489" t="s">
        <v>3</v>
      </c>
      <c r="EB489" t="s">
        <v>3</v>
      </c>
      <c r="EC489" t="s">
        <v>3</v>
      </c>
      <c r="EE489">
        <v>43088244</v>
      </c>
      <c r="EF489">
        <v>30</v>
      </c>
      <c r="EG489" t="s">
        <v>22</v>
      </c>
      <c r="EH489">
        <v>0</v>
      </c>
      <c r="EI489" t="s">
        <v>3</v>
      </c>
      <c r="EJ489">
        <v>1</v>
      </c>
      <c r="EK489">
        <v>166</v>
      </c>
      <c r="EL489" t="s">
        <v>115</v>
      </c>
      <c r="EM489" t="s">
        <v>116</v>
      </c>
      <c r="EO489" t="s">
        <v>59</v>
      </c>
      <c r="EQ489">
        <v>0</v>
      </c>
      <c r="ER489">
        <v>956.15</v>
      </c>
      <c r="ES489">
        <v>0.49</v>
      </c>
      <c r="ET489">
        <v>670.35</v>
      </c>
      <c r="EU489">
        <v>62.29</v>
      </c>
      <c r="EV489">
        <v>285.31</v>
      </c>
      <c r="EW489">
        <v>27.7</v>
      </c>
      <c r="EX489">
        <v>0</v>
      </c>
      <c r="EY489">
        <v>0</v>
      </c>
      <c r="FQ489">
        <v>0</v>
      </c>
      <c r="FR489">
        <f t="shared" si="431"/>
        <v>0</v>
      </c>
      <c r="FS489">
        <v>0</v>
      </c>
      <c r="FX489">
        <v>140</v>
      </c>
      <c r="FY489">
        <v>79</v>
      </c>
      <c r="GA489" t="s">
        <v>3</v>
      </c>
      <c r="GD489">
        <v>0</v>
      </c>
      <c r="GF489">
        <v>-1588331883</v>
      </c>
      <c r="GG489">
        <v>2</v>
      </c>
      <c r="GH489">
        <v>1</v>
      </c>
      <c r="GI489">
        <v>2</v>
      </c>
      <c r="GJ489">
        <v>0</v>
      </c>
      <c r="GK489">
        <f>ROUND(R489*(R12)/100,2)</f>
        <v>1057.24</v>
      </c>
      <c r="GL489">
        <f t="shared" si="432"/>
        <v>0</v>
      </c>
      <c r="GM489">
        <f t="shared" si="433"/>
        <v>10740.15</v>
      </c>
      <c r="GN489">
        <f t="shared" si="434"/>
        <v>10740.15</v>
      </c>
      <c r="GO489">
        <f t="shared" si="435"/>
        <v>0</v>
      </c>
      <c r="GP489">
        <f t="shared" si="436"/>
        <v>0</v>
      </c>
      <c r="GR489">
        <v>0</v>
      </c>
      <c r="GS489">
        <v>3</v>
      </c>
      <c r="GT489">
        <v>0</v>
      </c>
      <c r="GU489" t="s">
        <v>3</v>
      </c>
      <c r="GV489">
        <f t="shared" si="437"/>
        <v>0</v>
      </c>
      <c r="GW489">
        <v>1</v>
      </c>
      <c r="GX489">
        <f t="shared" si="438"/>
        <v>0</v>
      </c>
      <c r="HA489">
        <v>0</v>
      </c>
      <c r="HB489">
        <v>0</v>
      </c>
      <c r="HC489">
        <f t="shared" si="439"/>
        <v>0</v>
      </c>
      <c r="HE489" t="s">
        <v>3</v>
      </c>
      <c r="HF489" t="s">
        <v>3</v>
      </c>
      <c r="HM489" t="s">
        <v>3</v>
      </c>
      <c r="IK489">
        <v>0</v>
      </c>
    </row>
    <row r="490" spans="1:245" x14ac:dyDescent="0.2">
      <c r="A490">
        <v>18</v>
      </c>
      <c r="B490">
        <v>1</v>
      </c>
      <c r="C490">
        <v>312</v>
      </c>
      <c r="E490" t="s">
        <v>642</v>
      </c>
      <c r="F490" t="s">
        <v>643</v>
      </c>
      <c r="G490" t="s">
        <v>644</v>
      </c>
      <c r="H490" t="s">
        <v>120</v>
      </c>
      <c r="I490">
        <f>I489*J490</f>
        <v>340</v>
      </c>
      <c r="J490">
        <v>999.99999999999989</v>
      </c>
      <c r="K490">
        <v>1000</v>
      </c>
      <c r="O490">
        <f t="shared" si="405"/>
        <v>92545.89</v>
      </c>
      <c r="P490">
        <f t="shared" si="406"/>
        <v>92545.89</v>
      </c>
      <c r="Q490">
        <f>(ROUND((ROUND(((ET490)*AV490*I490),2)*BB490),2)+ROUND((ROUND(((AE490-(EU490))*AV490*I490),2)*BS490),2))</f>
        <v>0</v>
      </c>
      <c r="R490">
        <f t="shared" si="407"/>
        <v>0</v>
      </c>
      <c r="S490">
        <f t="shared" si="408"/>
        <v>0</v>
      </c>
      <c r="T490">
        <f t="shared" si="409"/>
        <v>0</v>
      </c>
      <c r="U490">
        <f t="shared" si="410"/>
        <v>0</v>
      </c>
      <c r="V490">
        <f t="shared" si="411"/>
        <v>0</v>
      </c>
      <c r="W490">
        <f t="shared" si="412"/>
        <v>0</v>
      </c>
      <c r="X490">
        <f t="shared" si="413"/>
        <v>0</v>
      </c>
      <c r="Y490">
        <f t="shared" si="414"/>
        <v>0</v>
      </c>
      <c r="AA490">
        <v>42938047</v>
      </c>
      <c r="AB490">
        <f t="shared" si="415"/>
        <v>75.819999999999993</v>
      </c>
      <c r="AC490">
        <f t="shared" si="416"/>
        <v>75.819999999999993</v>
      </c>
      <c r="AD490">
        <f>ROUND((((ET490)-(EU490))+AE490),6)</f>
        <v>0</v>
      </c>
      <c r="AE490">
        <f>ROUND((EU490),6)</f>
        <v>0</v>
      </c>
      <c r="AF490">
        <f>ROUND((EV490),6)</f>
        <v>0</v>
      </c>
      <c r="AG490">
        <f t="shared" si="418"/>
        <v>0</v>
      </c>
      <c r="AH490">
        <f>(EW490)</f>
        <v>0</v>
      </c>
      <c r="AI490">
        <f>(EX490)</f>
        <v>0</v>
      </c>
      <c r="AJ490">
        <f t="shared" si="420"/>
        <v>0</v>
      </c>
      <c r="AK490">
        <v>75.819999999999993</v>
      </c>
      <c r="AL490">
        <v>75.819999999999993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1</v>
      </c>
      <c r="AW490">
        <v>1</v>
      </c>
      <c r="AZ490">
        <v>1</v>
      </c>
      <c r="BA490">
        <v>1</v>
      </c>
      <c r="BB490">
        <v>1</v>
      </c>
      <c r="BC490">
        <v>3.59</v>
      </c>
      <c r="BD490" t="s">
        <v>3</v>
      </c>
      <c r="BE490" t="s">
        <v>3</v>
      </c>
      <c r="BF490" t="s">
        <v>3</v>
      </c>
      <c r="BG490" t="s">
        <v>3</v>
      </c>
      <c r="BH490">
        <v>3</v>
      </c>
      <c r="BI490">
        <v>1</v>
      </c>
      <c r="BJ490" t="s">
        <v>645</v>
      </c>
      <c r="BM490">
        <v>166</v>
      </c>
      <c r="BN490">
        <v>0</v>
      </c>
      <c r="BO490" t="s">
        <v>643</v>
      </c>
      <c r="BP490">
        <v>1</v>
      </c>
      <c r="BQ490">
        <v>30</v>
      </c>
      <c r="BR490">
        <v>0</v>
      </c>
      <c r="BS490">
        <v>1</v>
      </c>
      <c r="BT490">
        <v>1</v>
      </c>
      <c r="BU490">
        <v>1</v>
      </c>
      <c r="BV490">
        <v>1</v>
      </c>
      <c r="BW490">
        <v>1</v>
      </c>
      <c r="BX490">
        <v>1</v>
      </c>
      <c r="BY490" t="s">
        <v>3</v>
      </c>
      <c r="BZ490">
        <v>0</v>
      </c>
      <c r="CA490">
        <v>0</v>
      </c>
      <c r="CB490" t="s">
        <v>3</v>
      </c>
      <c r="CE490">
        <v>30</v>
      </c>
      <c r="CF490">
        <v>0</v>
      </c>
      <c r="CG490">
        <v>0</v>
      </c>
      <c r="CM490">
        <v>0</v>
      </c>
      <c r="CN490" t="s">
        <v>3</v>
      </c>
      <c r="CO490">
        <v>0</v>
      </c>
      <c r="CP490">
        <f t="shared" si="421"/>
        <v>92545.89</v>
      </c>
      <c r="CQ490">
        <f t="shared" si="422"/>
        <v>272.19</v>
      </c>
      <c r="CR490">
        <f>(ROUND((ROUND(((ET490)*AV490*1),2)*BB490),2)+ROUND((ROUND(((AE490-(EU490))*AV490*1),2)*BS490),2))</f>
        <v>0</v>
      </c>
      <c r="CS490">
        <f t="shared" si="423"/>
        <v>0</v>
      </c>
      <c r="CT490">
        <f t="shared" si="424"/>
        <v>0</v>
      </c>
      <c r="CU490">
        <f t="shared" si="425"/>
        <v>0</v>
      </c>
      <c r="CV490">
        <f t="shared" si="426"/>
        <v>0</v>
      </c>
      <c r="CW490">
        <f t="shared" si="427"/>
        <v>0</v>
      </c>
      <c r="CX490">
        <f t="shared" si="428"/>
        <v>0</v>
      </c>
      <c r="CY490">
        <f t="shared" si="429"/>
        <v>0</v>
      </c>
      <c r="CZ490">
        <f t="shared" si="430"/>
        <v>0</v>
      </c>
      <c r="DC490" t="s">
        <v>3</v>
      </c>
      <c r="DD490" t="s">
        <v>3</v>
      </c>
      <c r="DE490" t="s">
        <v>3</v>
      </c>
      <c r="DF490" t="s">
        <v>3</v>
      </c>
      <c r="DG490" t="s">
        <v>3</v>
      </c>
      <c r="DH490" t="s">
        <v>3</v>
      </c>
      <c r="DI490" t="s">
        <v>3</v>
      </c>
      <c r="DJ490" t="s">
        <v>3</v>
      </c>
      <c r="DK490" t="s">
        <v>3</v>
      </c>
      <c r="DL490" t="s">
        <v>3</v>
      </c>
      <c r="DM490" t="s">
        <v>3</v>
      </c>
      <c r="DN490">
        <v>140</v>
      </c>
      <c r="DO490">
        <v>79</v>
      </c>
      <c r="DP490">
        <v>1</v>
      </c>
      <c r="DQ490">
        <v>1</v>
      </c>
      <c r="DU490">
        <v>1005</v>
      </c>
      <c r="DV490" t="s">
        <v>120</v>
      </c>
      <c r="DW490" t="s">
        <v>120</v>
      </c>
      <c r="DX490">
        <v>1</v>
      </c>
      <c r="DZ490" t="s">
        <v>3</v>
      </c>
      <c r="EA490" t="s">
        <v>3</v>
      </c>
      <c r="EB490" t="s">
        <v>3</v>
      </c>
      <c r="EC490" t="s">
        <v>3</v>
      </c>
      <c r="EE490">
        <v>43088244</v>
      </c>
      <c r="EF490">
        <v>30</v>
      </c>
      <c r="EG490" t="s">
        <v>22</v>
      </c>
      <c r="EH490">
        <v>0</v>
      </c>
      <c r="EI490" t="s">
        <v>3</v>
      </c>
      <c r="EJ490">
        <v>1</v>
      </c>
      <c r="EK490">
        <v>166</v>
      </c>
      <c r="EL490" t="s">
        <v>115</v>
      </c>
      <c r="EM490" t="s">
        <v>116</v>
      </c>
      <c r="EO490" t="s">
        <v>3</v>
      </c>
      <c r="EQ490">
        <v>0</v>
      </c>
      <c r="ER490">
        <v>75.819999999999993</v>
      </c>
      <c r="ES490">
        <v>75.819999999999993</v>
      </c>
      <c r="ET490">
        <v>0</v>
      </c>
      <c r="EU490">
        <v>0</v>
      </c>
      <c r="EV490">
        <v>0</v>
      </c>
      <c r="EW490">
        <v>0</v>
      </c>
      <c r="EX490">
        <v>0</v>
      </c>
      <c r="FQ490">
        <v>0</v>
      </c>
      <c r="FR490">
        <f t="shared" si="431"/>
        <v>0</v>
      </c>
      <c r="FS490">
        <v>0</v>
      </c>
      <c r="FX490">
        <v>140</v>
      </c>
      <c r="FY490">
        <v>79</v>
      </c>
      <c r="GA490" t="s">
        <v>3</v>
      </c>
      <c r="GD490">
        <v>0</v>
      </c>
      <c r="GF490">
        <v>519372936</v>
      </c>
      <c r="GG490">
        <v>2</v>
      </c>
      <c r="GH490">
        <v>1</v>
      </c>
      <c r="GI490">
        <v>2</v>
      </c>
      <c r="GJ490">
        <v>0</v>
      </c>
      <c r="GK490">
        <f>ROUND(R490*(R12)/100,2)</f>
        <v>0</v>
      </c>
      <c r="GL490">
        <f t="shared" si="432"/>
        <v>0</v>
      </c>
      <c r="GM490">
        <f t="shared" si="433"/>
        <v>92545.89</v>
      </c>
      <c r="GN490">
        <f t="shared" si="434"/>
        <v>92545.89</v>
      </c>
      <c r="GO490">
        <f t="shared" si="435"/>
        <v>0</v>
      </c>
      <c r="GP490">
        <f t="shared" si="436"/>
        <v>0</v>
      </c>
      <c r="GR490">
        <v>0</v>
      </c>
      <c r="GS490">
        <v>3</v>
      </c>
      <c r="GT490">
        <v>0</v>
      </c>
      <c r="GU490" t="s">
        <v>3</v>
      </c>
      <c r="GV490">
        <f t="shared" si="437"/>
        <v>0</v>
      </c>
      <c r="GW490">
        <v>1</v>
      </c>
      <c r="GX490">
        <f t="shared" si="438"/>
        <v>0</v>
      </c>
      <c r="HA490">
        <v>0</v>
      </c>
      <c r="HB490">
        <v>0</v>
      </c>
      <c r="HC490">
        <f t="shared" si="439"/>
        <v>0</v>
      </c>
      <c r="HE490" t="s">
        <v>3</v>
      </c>
      <c r="HF490" t="s">
        <v>3</v>
      </c>
      <c r="HM490" t="s">
        <v>3</v>
      </c>
      <c r="IK490">
        <v>0</v>
      </c>
    </row>
    <row r="491" spans="1:245" x14ac:dyDescent="0.2">
      <c r="A491">
        <v>17</v>
      </c>
      <c r="B491">
        <v>1</v>
      </c>
      <c r="C491">
        <f>ROW(SmtRes!A318)</f>
        <v>318</v>
      </c>
      <c r="D491">
        <f>ROW(EtalonRes!A319)</f>
        <v>319</v>
      </c>
      <c r="E491" t="s">
        <v>646</v>
      </c>
      <c r="F491" t="s">
        <v>647</v>
      </c>
      <c r="G491" t="s">
        <v>648</v>
      </c>
      <c r="H491" t="s">
        <v>18</v>
      </c>
      <c r="I491">
        <f>ROUND(270/100,9)</f>
        <v>2.7</v>
      </c>
      <c r="J491">
        <v>0</v>
      </c>
      <c r="K491">
        <f>ROUND(270/100,9)</f>
        <v>2.7</v>
      </c>
      <c r="O491">
        <f t="shared" si="405"/>
        <v>36986.53</v>
      </c>
      <c r="P491">
        <f t="shared" si="406"/>
        <v>2991.06</v>
      </c>
      <c r="Q491">
        <f>(ROUND((ROUND((((ET491*1.25))*AV491*I491),2)*BB491),2)+ROUND((ROUND(((AE491-((EU491*1.25)))*AV491*I491),2)*BS491),2))</f>
        <v>0</v>
      </c>
      <c r="R491">
        <f t="shared" si="407"/>
        <v>0</v>
      </c>
      <c r="S491">
        <f t="shared" si="408"/>
        <v>33995.47</v>
      </c>
      <c r="T491">
        <f t="shared" si="409"/>
        <v>0</v>
      </c>
      <c r="U491">
        <f t="shared" si="410"/>
        <v>121.59179999999999</v>
      </c>
      <c r="V491">
        <f t="shared" si="411"/>
        <v>0</v>
      </c>
      <c r="W491">
        <f t="shared" si="412"/>
        <v>0</v>
      </c>
      <c r="X491">
        <f t="shared" si="413"/>
        <v>30595.919999999998</v>
      </c>
      <c r="Y491">
        <f t="shared" si="414"/>
        <v>13938.14</v>
      </c>
      <c r="AA491">
        <v>42938047</v>
      </c>
      <c r="AB491">
        <f t="shared" si="415"/>
        <v>588.80550000000005</v>
      </c>
      <c r="AC491">
        <f t="shared" si="416"/>
        <v>93.88</v>
      </c>
      <c r="AD491">
        <f>ROUND(((((ET491*1.25))-((EU491*1.25)))+AE491),6)</f>
        <v>0</v>
      </c>
      <c r="AE491">
        <f>ROUND(((EU491*1.25)),6)</f>
        <v>0</v>
      </c>
      <c r="AF491">
        <f>ROUND(((EV491*1.15)),6)</f>
        <v>494.9255</v>
      </c>
      <c r="AG491">
        <f t="shared" si="418"/>
        <v>0</v>
      </c>
      <c r="AH491">
        <f>((EW491*1.15))</f>
        <v>45.033999999999992</v>
      </c>
      <c r="AI491">
        <f>((EX491*1.25))</f>
        <v>0</v>
      </c>
      <c r="AJ491">
        <f t="shared" si="420"/>
        <v>0</v>
      </c>
      <c r="AK491">
        <v>524.25</v>
      </c>
      <c r="AL491">
        <v>93.88</v>
      </c>
      <c r="AM491">
        <v>0</v>
      </c>
      <c r="AN491">
        <v>0</v>
      </c>
      <c r="AO491">
        <v>430.37</v>
      </c>
      <c r="AP491">
        <v>0</v>
      </c>
      <c r="AQ491">
        <v>39.159999999999997</v>
      </c>
      <c r="AR491">
        <v>0</v>
      </c>
      <c r="AS491">
        <v>0</v>
      </c>
      <c r="AT491">
        <v>90</v>
      </c>
      <c r="AU491">
        <v>41</v>
      </c>
      <c r="AV491">
        <v>1</v>
      </c>
      <c r="AW491">
        <v>1</v>
      </c>
      <c r="AZ491">
        <v>1</v>
      </c>
      <c r="BA491">
        <v>25.44</v>
      </c>
      <c r="BB491">
        <v>1</v>
      </c>
      <c r="BC491">
        <v>11.8</v>
      </c>
      <c r="BD491" t="s">
        <v>3</v>
      </c>
      <c r="BE491" t="s">
        <v>3</v>
      </c>
      <c r="BF491" t="s">
        <v>3</v>
      </c>
      <c r="BG491" t="s">
        <v>3</v>
      </c>
      <c r="BH491">
        <v>0</v>
      </c>
      <c r="BI491">
        <v>1</v>
      </c>
      <c r="BJ491" t="s">
        <v>649</v>
      </c>
      <c r="BM491">
        <v>299</v>
      </c>
      <c r="BN491">
        <v>0</v>
      </c>
      <c r="BO491" t="s">
        <v>647</v>
      </c>
      <c r="BP491">
        <v>1</v>
      </c>
      <c r="BQ491">
        <v>30</v>
      </c>
      <c r="BR491">
        <v>0</v>
      </c>
      <c r="BS491">
        <v>25.44</v>
      </c>
      <c r="BT491">
        <v>1</v>
      </c>
      <c r="BU491">
        <v>1</v>
      </c>
      <c r="BV491">
        <v>1</v>
      </c>
      <c r="BW491">
        <v>1</v>
      </c>
      <c r="BX491">
        <v>1</v>
      </c>
      <c r="BY491" t="s">
        <v>3</v>
      </c>
      <c r="BZ491">
        <v>90</v>
      </c>
      <c r="CA491">
        <v>41</v>
      </c>
      <c r="CB491" t="s">
        <v>3</v>
      </c>
      <c r="CE491">
        <v>30</v>
      </c>
      <c r="CF491">
        <v>0</v>
      </c>
      <c r="CG491">
        <v>0</v>
      </c>
      <c r="CM491">
        <v>0</v>
      </c>
      <c r="CN491" t="s">
        <v>1584</v>
      </c>
      <c r="CO491">
        <v>0</v>
      </c>
      <c r="CP491">
        <f t="shared" si="421"/>
        <v>36986.53</v>
      </c>
      <c r="CQ491">
        <f t="shared" si="422"/>
        <v>1107.78</v>
      </c>
      <c r="CR491">
        <f>(ROUND((ROUND((((ET491*1.25))*AV491*1),2)*BB491),2)+ROUND((ROUND(((AE491-((EU491*1.25)))*AV491*1),2)*BS491),2))</f>
        <v>0</v>
      </c>
      <c r="CS491">
        <f t="shared" si="423"/>
        <v>0</v>
      </c>
      <c r="CT491">
        <f t="shared" si="424"/>
        <v>12591.02</v>
      </c>
      <c r="CU491">
        <f t="shared" si="425"/>
        <v>0</v>
      </c>
      <c r="CV491">
        <f t="shared" si="426"/>
        <v>45.033999999999992</v>
      </c>
      <c r="CW491">
        <f t="shared" si="427"/>
        <v>0</v>
      </c>
      <c r="CX491">
        <f t="shared" si="428"/>
        <v>0</v>
      </c>
      <c r="CY491">
        <f t="shared" si="429"/>
        <v>30595.923000000003</v>
      </c>
      <c r="CZ491">
        <f t="shared" si="430"/>
        <v>13938.1427</v>
      </c>
      <c r="DC491" t="s">
        <v>3</v>
      </c>
      <c r="DD491" t="s">
        <v>3</v>
      </c>
      <c r="DE491" t="s">
        <v>20</v>
      </c>
      <c r="DF491" t="s">
        <v>20</v>
      </c>
      <c r="DG491" t="s">
        <v>21</v>
      </c>
      <c r="DH491" t="s">
        <v>3</v>
      </c>
      <c r="DI491" t="s">
        <v>21</v>
      </c>
      <c r="DJ491" t="s">
        <v>20</v>
      </c>
      <c r="DK491" t="s">
        <v>3</v>
      </c>
      <c r="DL491" t="s">
        <v>3</v>
      </c>
      <c r="DM491" t="s">
        <v>3</v>
      </c>
      <c r="DN491">
        <v>156</v>
      </c>
      <c r="DO491">
        <v>84</v>
      </c>
      <c r="DP491">
        <v>1</v>
      </c>
      <c r="DQ491">
        <v>1</v>
      </c>
      <c r="DU491">
        <v>1005</v>
      </c>
      <c r="DV491" t="s">
        <v>18</v>
      </c>
      <c r="DW491" t="s">
        <v>18</v>
      </c>
      <c r="DX491">
        <v>100</v>
      </c>
      <c r="DZ491" t="s">
        <v>3</v>
      </c>
      <c r="EA491" t="s">
        <v>3</v>
      </c>
      <c r="EB491" t="s">
        <v>3</v>
      </c>
      <c r="EC491" t="s">
        <v>3</v>
      </c>
      <c r="EE491">
        <v>43088377</v>
      </c>
      <c r="EF491">
        <v>30</v>
      </c>
      <c r="EG491" t="s">
        <v>22</v>
      </c>
      <c r="EH491">
        <v>0</v>
      </c>
      <c r="EI491" t="s">
        <v>3</v>
      </c>
      <c r="EJ491">
        <v>1</v>
      </c>
      <c r="EK491">
        <v>299</v>
      </c>
      <c r="EL491" t="s">
        <v>650</v>
      </c>
      <c r="EM491" t="s">
        <v>651</v>
      </c>
      <c r="EO491" t="s">
        <v>59</v>
      </c>
      <c r="EQ491">
        <v>0</v>
      </c>
      <c r="ER491">
        <v>524.25</v>
      </c>
      <c r="ES491">
        <v>93.88</v>
      </c>
      <c r="ET491">
        <v>0</v>
      </c>
      <c r="EU491">
        <v>0</v>
      </c>
      <c r="EV491">
        <v>430.37</v>
      </c>
      <c r="EW491">
        <v>39.159999999999997</v>
      </c>
      <c r="EX491">
        <v>0</v>
      </c>
      <c r="EY491">
        <v>0</v>
      </c>
      <c r="FQ491">
        <v>0</v>
      </c>
      <c r="FR491">
        <f t="shared" si="431"/>
        <v>0</v>
      </c>
      <c r="FS491">
        <v>0</v>
      </c>
      <c r="FX491">
        <v>156</v>
      </c>
      <c r="FY491">
        <v>84</v>
      </c>
      <c r="GA491" t="s">
        <v>3</v>
      </c>
      <c r="GD491">
        <v>0</v>
      </c>
      <c r="GF491">
        <v>-1035018962</v>
      </c>
      <c r="GG491">
        <v>2</v>
      </c>
      <c r="GH491">
        <v>1</v>
      </c>
      <c r="GI491">
        <v>2</v>
      </c>
      <c r="GJ491">
        <v>0</v>
      </c>
      <c r="GK491">
        <f>ROUND(R491*(R12)/100,2)</f>
        <v>0</v>
      </c>
      <c r="GL491">
        <f t="shared" si="432"/>
        <v>0</v>
      </c>
      <c r="GM491">
        <f t="shared" si="433"/>
        <v>81520.59</v>
      </c>
      <c r="GN491">
        <f t="shared" si="434"/>
        <v>81520.59</v>
      </c>
      <c r="GO491">
        <f t="shared" si="435"/>
        <v>0</v>
      </c>
      <c r="GP491">
        <f t="shared" si="436"/>
        <v>0</v>
      </c>
      <c r="GR491">
        <v>0</v>
      </c>
      <c r="GS491">
        <v>3</v>
      </c>
      <c r="GT491">
        <v>0</v>
      </c>
      <c r="GU491" t="s">
        <v>3</v>
      </c>
      <c r="GV491">
        <f t="shared" si="437"/>
        <v>0</v>
      </c>
      <c r="GW491">
        <v>1</v>
      </c>
      <c r="GX491">
        <f t="shared" si="438"/>
        <v>0</v>
      </c>
      <c r="HA491">
        <v>0</v>
      </c>
      <c r="HB491">
        <v>0</v>
      </c>
      <c r="HC491">
        <f t="shared" si="439"/>
        <v>0</v>
      </c>
      <c r="HE491" t="s">
        <v>3</v>
      </c>
      <c r="HF491" t="s">
        <v>3</v>
      </c>
      <c r="HM491" t="s">
        <v>3</v>
      </c>
      <c r="IK491">
        <v>0</v>
      </c>
    </row>
    <row r="492" spans="1:245" x14ac:dyDescent="0.2">
      <c r="A492">
        <v>18</v>
      </c>
      <c r="B492">
        <v>1</v>
      </c>
      <c r="C492">
        <v>318</v>
      </c>
      <c r="E492" t="s">
        <v>652</v>
      </c>
      <c r="F492" t="s">
        <v>118</v>
      </c>
      <c r="G492" t="s">
        <v>653</v>
      </c>
      <c r="H492" t="s">
        <v>120</v>
      </c>
      <c r="I492">
        <f>I491*J492</f>
        <v>270</v>
      </c>
      <c r="J492">
        <v>100</v>
      </c>
      <c r="K492">
        <v>100</v>
      </c>
      <c r="O492">
        <f t="shared" si="405"/>
        <v>84905.279999999999</v>
      </c>
      <c r="P492">
        <f t="shared" si="406"/>
        <v>84905.279999999999</v>
      </c>
      <c r="Q492">
        <f>(ROUND((ROUND(((ET492)*AV492*I492),2)*BB492),2)+ROUND((ROUND(((AE492-(EU492))*AV492*I492),2)*BS492),2))</f>
        <v>0</v>
      </c>
      <c r="R492">
        <f t="shared" si="407"/>
        <v>0</v>
      </c>
      <c r="S492">
        <f t="shared" si="408"/>
        <v>0</v>
      </c>
      <c r="T492">
        <f t="shared" si="409"/>
        <v>0</v>
      </c>
      <c r="U492">
        <f t="shared" si="410"/>
        <v>0</v>
      </c>
      <c r="V492">
        <f t="shared" si="411"/>
        <v>0</v>
      </c>
      <c r="W492">
        <f t="shared" si="412"/>
        <v>0</v>
      </c>
      <c r="X492">
        <f t="shared" si="413"/>
        <v>0</v>
      </c>
      <c r="Y492">
        <f t="shared" si="414"/>
        <v>0</v>
      </c>
      <c r="AA492">
        <v>42938047</v>
      </c>
      <c r="AB492">
        <f t="shared" si="415"/>
        <v>49.6</v>
      </c>
      <c r="AC492">
        <f t="shared" si="416"/>
        <v>49.6</v>
      </c>
      <c r="AD492">
        <f>ROUND((((ET492)-(EU492))+AE492),6)</f>
        <v>0</v>
      </c>
      <c r="AE492">
        <f>ROUND((EU492),6)</f>
        <v>0</v>
      </c>
      <c r="AF492">
        <f>ROUND((EV492),6)</f>
        <v>0</v>
      </c>
      <c r="AG492">
        <f t="shared" si="418"/>
        <v>0</v>
      </c>
      <c r="AH492">
        <f>(EW492)</f>
        <v>0</v>
      </c>
      <c r="AI492">
        <f>(EX492)</f>
        <v>0</v>
      </c>
      <c r="AJ492">
        <f t="shared" si="420"/>
        <v>0</v>
      </c>
      <c r="AK492">
        <v>49.6</v>
      </c>
      <c r="AL492">
        <v>49.6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1</v>
      </c>
      <c r="AW492">
        <v>1</v>
      </c>
      <c r="AZ492">
        <v>1</v>
      </c>
      <c r="BA492">
        <v>1</v>
      </c>
      <c r="BB492">
        <v>1</v>
      </c>
      <c r="BC492">
        <v>6.34</v>
      </c>
      <c r="BD492" t="s">
        <v>3</v>
      </c>
      <c r="BE492" t="s">
        <v>3</v>
      </c>
      <c r="BF492" t="s">
        <v>3</v>
      </c>
      <c r="BG492" t="s">
        <v>3</v>
      </c>
      <c r="BH492">
        <v>3</v>
      </c>
      <c r="BI492">
        <v>1</v>
      </c>
      <c r="BJ492" t="s">
        <v>3</v>
      </c>
      <c r="BM492">
        <v>299</v>
      </c>
      <c r="BN492">
        <v>0</v>
      </c>
      <c r="BO492" t="s">
        <v>3</v>
      </c>
      <c r="BP492">
        <v>0</v>
      </c>
      <c r="BQ492">
        <v>30</v>
      </c>
      <c r="BR492">
        <v>0</v>
      </c>
      <c r="BS492">
        <v>1</v>
      </c>
      <c r="BT492">
        <v>1</v>
      </c>
      <c r="BU492">
        <v>1</v>
      </c>
      <c r="BV492">
        <v>1</v>
      </c>
      <c r="BW492">
        <v>1</v>
      </c>
      <c r="BX492">
        <v>1</v>
      </c>
      <c r="BY492" t="s">
        <v>3</v>
      </c>
      <c r="BZ492">
        <v>0</v>
      </c>
      <c r="CA492">
        <v>0</v>
      </c>
      <c r="CB492" t="s">
        <v>3</v>
      </c>
      <c r="CE492">
        <v>30</v>
      </c>
      <c r="CF492">
        <v>0</v>
      </c>
      <c r="CG492">
        <v>0</v>
      </c>
      <c r="CM492">
        <v>0</v>
      </c>
      <c r="CN492" t="s">
        <v>3</v>
      </c>
      <c r="CO492">
        <v>0</v>
      </c>
      <c r="CP492">
        <f t="shared" si="421"/>
        <v>84905.279999999999</v>
      </c>
      <c r="CQ492">
        <f t="shared" si="422"/>
        <v>314.45999999999998</v>
      </c>
      <c r="CR492">
        <f>(ROUND((ROUND(((ET492)*AV492*1),2)*BB492),2)+ROUND((ROUND(((AE492-(EU492))*AV492*1),2)*BS492),2))</f>
        <v>0</v>
      </c>
      <c r="CS492">
        <f t="shared" si="423"/>
        <v>0</v>
      </c>
      <c r="CT492">
        <f t="shared" si="424"/>
        <v>0</v>
      </c>
      <c r="CU492">
        <f t="shared" si="425"/>
        <v>0</v>
      </c>
      <c r="CV492">
        <f t="shared" si="426"/>
        <v>0</v>
      </c>
      <c r="CW492">
        <f t="shared" si="427"/>
        <v>0</v>
      </c>
      <c r="CX492">
        <f t="shared" si="428"/>
        <v>0</v>
      </c>
      <c r="CY492">
        <f t="shared" si="429"/>
        <v>0</v>
      </c>
      <c r="CZ492">
        <f t="shared" si="430"/>
        <v>0</v>
      </c>
      <c r="DC492" t="s">
        <v>3</v>
      </c>
      <c r="DD492" t="s">
        <v>3</v>
      </c>
      <c r="DE492" t="s">
        <v>3</v>
      </c>
      <c r="DF492" t="s">
        <v>3</v>
      </c>
      <c r="DG492" t="s">
        <v>3</v>
      </c>
      <c r="DH492" t="s">
        <v>3</v>
      </c>
      <c r="DI492" t="s">
        <v>3</v>
      </c>
      <c r="DJ492" t="s">
        <v>3</v>
      </c>
      <c r="DK492" t="s">
        <v>3</v>
      </c>
      <c r="DL492" t="s">
        <v>3</v>
      </c>
      <c r="DM492" t="s">
        <v>3</v>
      </c>
      <c r="DN492">
        <v>156</v>
      </c>
      <c r="DO492">
        <v>84</v>
      </c>
      <c r="DP492">
        <v>1</v>
      </c>
      <c r="DQ492">
        <v>1</v>
      </c>
      <c r="DU492">
        <v>1005</v>
      </c>
      <c r="DV492" t="s">
        <v>120</v>
      </c>
      <c r="DW492" t="s">
        <v>120</v>
      </c>
      <c r="DX492">
        <v>1</v>
      </c>
      <c r="DZ492" t="s">
        <v>3</v>
      </c>
      <c r="EA492" t="s">
        <v>3</v>
      </c>
      <c r="EB492" t="s">
        <v>3</v>
      </c>
      <c r="EC492" t="s">
        <v>3</v>
      </c>
      <c r="EE492">
        <v>43088377</v>
      </c>
      <c r="EF492">
        <v>30</v>
      </c>
      <c r="EG492" t="s">
        <v>22</v>
      </c>
      <c r="EH492">
        <v>0</v>
      </c>
      <c r="EI492" t="s">
        <v>3</v>
      </c>
      <c r="EJ492">
        <v>1</v>
      </c>
      <c r="EK492">
        <v>299</v>
      </c>
      <c r="EL492" t="s">
        <v>650</v>
      </c>
      <c r="EM492" t="s">
        <v>651</v>
      </c>
      <c r="EO492" t="s">
        <v>3</v>
      </c>
      <c r="EQ492">
        <v>0</v>
      </c>
      <c r="ER492">
        <v>49.6</v>
      </c>
      <c r="ES492">
        <v>49.6</v>
      </c>
      <c r="ET492">
        <v>0</v>
      </c>
      <c r="EU492">
        <v>0</v>
      </c>
      <c r="EV492">
        <v>0</v>
      </c>
      <c r="EW492">
        <v>0</v>
      </c>
      <c r="EX492">
        <v>0</v>
      </c>
      <c r="EZ492">
        <v>5</v>
      </c>
      <c r="FC492">
        <v>1</v>
      </c>
      <c r="FD492">
        <v>18</v>
      </c>
      <c r="FF492">
        <v>370</v>
      </c>
      <c r="FQ492">
        <v>0</v>
      </c>
      <c r="FR492">
        <f t="shared" si="431"/>
        <v>0</v>
      </c>
      <c r="FS492">
        <v>0</v>
      </c>
      <c r="FX492">
        <v>156</v>
      </c>
      <c r="FY492">
        <v>84</v>
      </c>
      <c r="GA492" t="s">
        <v>654</v>
      </c>
      <c r="GD492">
        <v>0</v>
      </c>
      <c r="GF492">
        <v>1646048488</v>
      </c>
      <c r="GG492">
        <v>2</v>
      </c>
      <c r="GH492">
        <v>3</v>
      </c>
      <c r="GI492">
        <v>3</v>
      </c>
      <c r="GJ492">
        <v>0</v>
      </c>
      <c r="GK492">
        <f>ROUND(R492*(R12)/100,2)</f>
        <v>0</v>
      </c>
      <c r="GL492">
        <f t="shared" si="432"/>
        <v>0</v>
      </c>
      <c r="GM492">
        <f t="shared" si="433"/>
        <v>84905.279999999999</v>
      </c>
      <c r="GN492">
        <f t="shared" si="434"/>
        <v>84905.279999999999</v>
      </c>
      <c r="GO492">
        <f t="shared" si="435"/>
        <v>0</v>
      </c>
      <c r="GP492">
        <f t="shared" si="436"/>
        <v>0</v>
      </c>
      <c r="GR492">
        <v>1</v>
      </c>
      <c r="GS492">
        <v>1</v>
      </c>
      <c r="GT492">
        <v>0</v>
      </c>
      <c r="GU492" t="s">
        <v>3</v>
      </c>
      <c r="GV492">
        <f t="shared" si="437"/>
        <v>0</v>
      </c>
      <c r="GW492">
        <v>1</v>
      </c>
      <c r="GX492">
        <f t="shared" si="438"/>
        <v>0</v>
      </c>
      <c r="HA492">
        <v>0</v>
      </c>
      <c r="HB492">
        <v>0</v>
      </c>
      <c r="HC492">
        <f t="shared" si="439"/>
        <v>0</v>
      </c>
      <c r="HE492" t="s">
        <v>26</v>
      </c>
      <c r="HF492" t="s">
        <v>122</v>
      </c>
      <c r="HM492" t="s">
        <v>3</v>
      </c>
      <c r="IK492">
        <v>0</v>
      </c>
    </row>
    <row r="493" spans="1:245" x14ac:dyDescent="0.2">
      <c r="A493">
        <v>17</v>
      </c>
      <c r="B493">
        <v>1</v>
      </c>
      <c r="C493">
        <f>ROW(SmtRes!A324)</f>
        <v>324</v>
      </c>
      <c r="D493">
        <f>ROW(EtalonRes!A324)</f>
        <v>324</v>
      </c>
      <c r="E493" t="s">
        <v>655</v>
      </c>
      <c r="F493" t="s">
        <v>656</v>
      </c>
      <c r="G493" t="s">
        <v>1591</v>
      </c>
      <c r="H493" t="s">
        <v>657</v>
      </c>
      <c r="I493">
        <f>ROUND(115.2/100,9)</f>
        <v>1.1519999999999999</v>
      </c>
      <c r="J493">
        <v>0</v>
      </c>
      <c r="K493">
        <f>ROUND(115.2/100,9)</f>
        <v>1.1519999999999999</v>
      </c>
      <c r="O493">
        <f t="shared" si="405"/>
        <v>41123.79</v>
      </c>
      <c r="P493">
        <f t="shared" si="406"/>
        <v>0</v>
      </c>
      <c r="Q493">
        <f>(ROUND((ROUND((((ET493*1.25))*AV493*I493),2)*BB493),2)+ROUND((ROUND(((AE493-((EU493*1.25)))*AV493*I493),2)*BS493),2))</f>
        <v>28572.71</v>
      </c>
      <c r="R493">
        <f t="shared" si="407"/>
        <v>15045.47</v>
      </c>
      <c r="S493">
        <f t="shared" si="408"/>
        <v>12551.08</v>
      </c>
      <c r="T493">
        <f t="shared" si="409"/>
        <v>0</v>
      </c>
      <c r="U493">
        <f t="shared" si="410"/>
        <v>47.851775999999994</v>
      </c>
      <c r="V493">
        <f t="shared" si="411"/>
        <v>0</v>
      </c>
      <c r="W493">
        <f t="shared" si="412"/>
        <v>0</v>
      </c>
      <c r="X493">
        <f t="shared" si="413"/>
        <v>11295.97</v>
      </c>
      <c r="Y493">
        <f t="shared" si="414"/>
        <v>6777.58</v>
      </c>
      <c r="AA493">
        <v>42938047</v>
      </c>
      <c r="AB493">
        <f t="shared" si="415"/>
        <v>3066.8474999999999</v>
      </c>
      <c r="AC493">
        <f t="shared" si="416"/>
        <v>0</v>
      </c>
      <c r="AD493">
        <f>ROUND(((((ET493*1.25))-((EU493*1.25)))+AE493),6)</f>
        <v>2638.5875000000001</v>
      </c>
      <c r="AE493">
        <f>ROUND(((EU493*1.25)),6)</f>
        <v>513.375</v>
      </c>
      <c r="AF493">
        <f>ROUND(((EV493*1.15)),6)</f>
        <v>428.26</v>
      </c>
      <c r="AG493">
        <f t="shared" si="418"/>
        <v>0</v>
      </c>
      <c r="AH493">
        <f>((EW493*1.15))</f>
        <v>41.537999999999997</v>
      </c>
      <c r="AI493">
        <f>((EX493*1.25))</f>
        <v>0</v>
      </c>
      <c r="AJ493">
        <f t="shared" si="420"/>
        <v>0</v>
      </c>
      <c r="AK493">
        <v>2483.27</v>
      </c>
      <c r="AL493">
        <v>0</v>
      </c>
      <c r="AM493">
        <v>2110.87</v>
      </c>
      <c r="AN493">
        <v>410.7</v>
      </c>
      <c r="AO493">
        <v>372.4</v>
      </c>
      <c r="AP493">
        <v>0</v>
      </c>
      <c r="AQ493">
        <v>36.119999999999997</v>
      </c>
      <c r="AR493">
        <v>0</v>
      </c>
      <c r="AS493">
        <v>0</v>
      </c>
      <c r="AT493">
        <v>90</v>
      </c>
      <c r="AU493">
        <v>54</v>
      </c>
      <c r="AV493">
        <v>1</v>
      </c>
      <c r="AW493">
        <v>1</v>
      </c>
      <c r="AZ493">
        <v>1</v>
      </c>
      <c r="BA493">
        <v>25.44</v>
      </c>
      <c r="BB493">
        <v>9.4</v>
      </c>
      <c r="BC493">
        <v>1</v>
      </c>
      <c r="BD493" t="s">
        <v>3</v>
      </c>
      <c r="BE493" t="s">
        <v>3</v>
      </c>
      <c r="BF493" t="s">
        <v>3</v>
      </c>
      <c r="BG493" t="s">
        <v>3</v>
      </c>
      <c r="BH493">
        <v>0</v>
      </c>
      <c r="BI493">
        <v>1</v>
      </c>
      <c r="BJ493" t="s">
        <v>658</v>
      </c>
      <c r="BM493">
        <v>1762</v>
      </c>
      <c r="BN493">
        <v>0</v>
      </c>
      <c r="BO493" t="s">
        <v>656</v>
      </c>
      <c r="BP493">
        <v>1</v>
      </c>
      <c r="BQ493">
        <v>30</v>
      </c>
      <c r="BR493">
        <v>0</v>
      </c>
      <c r="BS493">
        <v>25.44</v>
      </c>
      <c r="BT493">
        <v>1</v>
      </c>
      <c r="BU493">
        <v>1</v>
      </c>
      <c r="BV493">
        <v>1</v>
      </c>
      <c r="BW493">
        <v>1</v>
      </c>
      <c r="BX493">
        <v>1</v>
      </c>
      <c r="BY493" t="s">
        <v>3</v>
      </c>
      <c r="BZ493">
        <v>90</v>
      </c>
      <c r="CA493">
        <v>54</v>
      </c>
      <c r="CB493" t="s">
        <v>3</v>
      </c>
      <c r="CE493">
        <v>30</v>
      </c>
      <c r="CF493">
        <v>0</v>
      </c>
      <c r="CG493">
        <v>0</v>
      </c>
      <c r="CM493">
        <v>0</v>
      </c>
      <c r="CN493" t="s">
        <v>1584</v>
      </c>
      <c r="CO493">
        <v>0</v>
      </c>
      <c r="CP493">
        <f t="shared" si="421"/>
        <v>41123.79</v>
      </c>
      <c r="CQ493">
        <f t="shared" si="422"/>
        <v>0</v>
      </c>
      <c r="CR493">
        <f>(ROUND((ROUND((((ET493*1.25))*AV493*1),2)*BB493),2)+ROUND((ROUND(((AE493-((EU493*1.25)))*AV493*1),2)*BS493),2))</f>
        <v>24802.75</v>
      </c>
      <c r="CS493">
        <f t="shared" si="423"/>
        <v>13060.39</v>
      </c>
      <c r="CT493">
        <f t="shared" si="424"/>
        <v>10894.93</v>
      </c>
      <c r="CU493">
        <f t="shared" si="425"/>
        <v>0</v>
      </c>
      <c r="CV493">
        <f t="shared" si="426"/>
        <v>41.537999999999997</v>
      </c>
      <c r="CW493">
        <f t="shared" si="427"/>
        <v>0</v>
      </c>
      <c r="CX493">
        <f t="shared" si="428"/>
        <v>0</v>
      </c>
      <c r="CY493">
        <f t="shared" si="429"/>
        <v>11295.972</v>
      </c>
      <c r="CZ493">
        <f t="shared" si="430"/>
        <v>6777.5832</v>
      </c>
      <c r="DC493" t="s">
        <v>3</v>
      </c>
      <c r="DD493" t="s">
        <v>3</v>
      </c>
      <c r="DE493" t="s">
        <v>20</v>
      </c>
      <c r="DF493" t="s">
        <v>20</v>
      </c>
      <c r="DG493" t="s">
        <v>21</v>
      </c>
      <c r="DH493" t="s">
        <v>3</v>
      </c>
      <c r="DI493" t="s">
        <v>21</v>
      </c>
      <c r="DJ493" t="s">
        <v>20</v>
      </c>
      <c r="DK493" t="s">
        <v>3</v>
      </c>
      <c r="DL493" t="s">
        <v>3</v>
      </c>
      <c r="DM493" t="s">
        <v>3</v>
      </c>
      <c r="DN493">
        <v>84</v>
      </c>
      <c r="DO493">
        <v>114</v>
      </c>
      <c r="DP493">
        <v>1</v>
      </c>
      <c r="DQ493">
        <v>1</v>
      </c>
      <c r="DU493">
        <v>1007</v>
      </c>
      <c r="DV493" t="s">
        <v>657</v>
      </c>
      <c r="DW493" t="s">
        <v>657</v>
      </c>
      <c r="DX493">
        <v>100</v>
      </c>
      <c r="DZ493" t="s">
        <v>3</v>
      </c>
      <c r="EA493" t="s">
        <v>3</v>
      </c>
      <c r="EB493" t="s">
        <v>3</v>
      </c>
      <c r="EC493" t="s">
        <v>3</v>
      </c>
      <c r="EE493">
        <v>43089840</v>
      </c>
      <c r="EF493">
        <v>30</v>
      </c>
      <c r="EG493" t="s">
        <v>22</v>
      </c>
      <c r="EH493">
        <v>0</v>
      </c>
      <c r="EI493" t="s">
        <v>3</v>
      </c>
      <c r="EJ493">
        <v>1</v>
      </c>
      <c r="EK493">
        <v>1762</v>
      </c>
      <c r="EL493" t="s">
        <v>659</v>
      </c>
      <c r="EM493" t="s">
        <v>660</v>
      </c>
      <c r="EO493" t="s">
        <v>59</v>
      </c>
      <c r="EQ493">
        <v>0</v>
      </c>
      <c r="ER493">
        <v>2483.27</v>
      </c>
      <c r="ES493">
        <v>0</v>
      </c>
      <c r="ET493">
        <v>2110.87</v>
      </c>
      <c r="EU493">
        <v>410.7</v>
      </c>
      <c r="EV493">
        <v>372.4</v>
      </c>
      <c r="EW493">
        <v>36.119999999999997</v>
      </c>
      <c r="EX493">
        <v>0</v>
      </c>
      <c r="EY493">
        <v>0</v>
      </c>
      <c r="FQ493">
        <v>0</v>
      </c>
      <c r="FR493">
        <f t="shared" si="431"/>
        <v>0</v>
      </c>
      <c r="FS493">
        <v>0</v>
      </c>
      <c r="FX493">
        <v>84</v>
      </c>
      <c r="FY493">
        <v>114</v>
      </c>
      <c r="GA493" t="s">
        <v>3</v>
      </c>
      <c r="GD493">
        <v>0</v>
      </c>
      <c r="GF493">
        <v>-1122274913</v>
      </c>
      <c r="GG493">
        <v>2</v>
      </c>
      <c r="GH493">
        <v>1</v>
      </c>
      <c r="GI493">
        <v>2</v>
      </c>
      <c r="GJ493">
        <v>0</v>
      </c>
      <c r="GK493">
        <f>ROUND(R493*(R12)/100,2)</f>
        <v>23621.39</v>
      </c>
      <c r="GL493">
        <f t="shared" si="432"/>
        <v>0</v>
      </c>
      <c r="GM493">
        <f t="shared" si="433"/>
        <v>82818.73</v>
      </c>
      <c r="GN493">
        <f t="shared" si="434"/>
        <v>82818.73</v>
      </c>
      <c r="GO493">
        <f t="shared" si="435"/>
        <v>0</v>
      </c>
      <c r="GP493">
        <f t="shared" si="436"/>
        <v>0</v>
      </c>
      <c r="GR493">
        <v>0</v>
      </c>
      <c r="GS493">
        <v>3</v>
      </c>
      <c r="GT493">
        <v>0</v>
      </c>
      <c r="GU493" t="s">
        <v>3</v>
      </c>
      <c r="GV493">
        <f t="shared" si="437"/>
        <v>0</v>
      </c>
      <c r="GW493">
        <v>1</v>
      </c>
      <c r="GX493">
        <f t="shared" si="438"/>
        <v>0</v>
      </c>
      <c r="HA493">
        <v>0</v>
      </c>
      <c r="HB493">
        <v>0</v>
      </c>
      <c r="HC493">
        <f t="shared" si="439"/>
        <v>0</v>
      </c>
      <c r="HE493" t="s">
        <v>3</v>
      </c>
      <c r="HF493" t="s">
        <v>3</v>
      </c>
      <c r="HM493" t="s">
        <v>3</v>
      </c>
      <c r="IK493">
        <v>0</v>
      </c>
    </row>
    <row r="494" spans="1:245" x14ac:dyDescent="0.2">
      <c r="A494">
        <v>18</v>
      </c>
      <c r="B494">
        <v>1</v>
      </c>
      <c r="C494">
        <v>322</v>
      </c>
      <c r="E494" t="s">
        <v>661</v>
      </c>
      <c r="F494" t="s">
        <v>662</v>
      </c>
      <c r="G494" t="s">
        <v>663</v>
      </c>
      <c r="H494" t="s">
        <v>84</v>
      </c>
      <c r="I494">
        <f>I493*J494</f>
        <v>38.4</v>
      </c>
      <c r="J494">
        <v>33.333333333333336</v>
      </c>
      <c r="K494">
        <v>33.333333000000003</v>
      </c>
      <c r="O494">
        <f t="shared" si="405"/>
        <v>85979.27</v>
      </c>
      <c r="P494">
        <f t="shared" si="406"/>
        <v>85979.27</v>
      </c>
      <c r="Q494">
        <f>(ROUND((ROUND(((ET494)*AV494*I494),2)*BB494),2)+ROUND((ROUND(((AE494-(EU494))*AV494*I494),2)*BS494),2))</f>
        <v>0</v>
      </c>
      <c r="R494">
        <f t="shared" si="407"/>
        <v>0</v>
      </c>
      <c r="S494">
        <f t="shared" si="408"/>
        <v>0</v>
      </c>
      <c r="T494">
        <f t="shared" si="409"/>
        <v>0</v>
      </c>
      <c r="U494">
        <f t="shared" si="410"/>
        <v>0</v>
      </c>
      <c r="V494">
        <f t="shared" si="411"/>
        <v>0</v>
      </c>
      <c r="W494">
        <f t="shared" si="412"/>
        <v>0</v>
      </c>
      <c r="X494">
        <f t="shared" si="413"/>
        <v>0</v>
      </c>
      <c r="Y494">
        <f t="shared" si="414"/>
        <v>0</v>
      </c>
      <c r="AA494">
        <v>42938047</v>
      </c>
      <c r="AB494">
        <f t="shared" si="415"/>
        <v>160.62</v>
      </c>
      <c r="AC494">
        <f t="shared" si="416"/>
        <v>160.62</v>
      </c>
      <c r="AD494">
        <f>ROUND((((ET494)-(EU494))+AE494),6)</f>
        <v>0</v>
      </c>
      <c r="AE494">
        <f t="shared" ref="AE494:AF496" si="442">ROUND((EU494),6)</f>
        <v>0</v>
      </c>
      <c r="AF494">
        <f t="shared" si="442"/>
        <v>0</v>
      </c>
      <c r="AG494">
        <f t="shared" si="418"/>
        <v>0</v>
      </c>
      <c r="AH494">
        <f t="shared" ref="AH494:AI496" si="443">(EW494)</f>
        <v>0</v>
      </c>
      <c r="AI494">
        <f t="shared" si="443"/>
        <v>0</v>
      </c>
      <c r="AJ494">
        <f t="shared" si="420"/>
        <v>0</v>
      </c>
      <c r="AK494">
        <v>160.62</v>
      </c>
      <c r="AL494">
        <v>160.62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1</v>
      </c>
      <c r="AW494">
        <v>1</v>
      </c>
      <c r="AZ494">
        <v>1</v>
      </c>
      <c r="BA494">
        <v>1</v>
      </c>
      <c r="BB494">
        <v>1</v>
      </c>
      <c r="BC494">
        <v>13.94</v>
      </c>
      <c r="BD494" t="s">
        <v>3</v>
      </c>
      <c r="BE494" t="s">
        <v>3</v>
      </c>
      <c r="BF494" t="s">
        <v>3</v>
      </c>
      <c r="BG494" t="s">
        <v>3</v>
      </c>
      <c r="BH494">
        <v>3</v>
      </c>
      <c r="BI494">
        <v>1</v>
      </c>
      <c r="BJ494" t="s">
        <v>664</v>
      </c>
      <c r="BM494">
        <v>1762</v>
      </c>
      <c r="BN494">
        <v>0</v>
      </c>
      <c r="BO494" t="s">
        <v>662</v>
      </c>
      <c r="BP494">
        <v>1</v>
      </c>
      <c r="BQ494">
        <v>30</v>
      </c>
      <c r="BR494">
        <v>0</v>
      </c>
      <c r="BS494">
        <v>1</v>
      </c>
      <c r="BT494">
        <v>1</v>
      </c>
      <c r="BU494">
        <v>1</v>
      </c>
      <c r="BV494">
        <v>1</v>
      </c>
      <c r="BW494">
        <v>1</v>
      </c>
      <c r="BX494">
        <v>1</v>
      </c>
      <c r="BY494" t="s">
        <v>3</v>
      </c>
      <c r="BZ494">
        <v>0</v>
      </c>
      <c r="CA494">
        <v>0</v>
      </c>
      <c r="CB494" t="s">
        <v>3</v>
      </c>
      <c r="CE494">
        <v>30</v>
      </c>
      <c r="CF494">
        <v>0</v>
      </c>
      <c r="CG494">
        <v>0</v>
      </c>
      <c r="CM494">
        <v>0</v>
      </c>
      <c r="CN494" t="s">
        <v>3</v>
      </c>
      <c r="CO494">
        <v>0</v>
      </c>
      <c r="CP494">
        <f t="shared" si="421"/>
        <v>85979.27</v>
      </c>
      <c r="CQ494">
        <f t="shared" si="422"/>
        <v>2239.04</v>
      </c>
      <c r="CR494">
        <f>(ROUND((ROUND(((ET494)*AV494*1),2)*BB494),2)+ROUND((ROUND(((AE494-(EU494))*AV494*1),2)*BS494),2))</f>
        <v>0</v>
      </c>
      <c r="CS494">
        <f t="shared" si="423"/>
        <v>0</v>
      </c>
      <c r="CT494">
        <f t="shared" si="424"/>
        <v>0</v>
      </c>
      <c r="CU494">
        <f t="shared" si="425"/>
        <v>0</v>
      </c>
      <c r="CV494">
        <f t="shared" si="426"/>
        <v>0</v>
      </c>
      <c r="CW494">
        <f t="shared" si="427"/>
        <v>0</v>
      </c>
      <c r="CX494">
        <f t="shared" si="428"/>
        <v>0</v>
      </c>
      <c r="CY494">
        <f t="shared" si="429"/>
        <v>0</v>
      </c>
      <c r="CZ494">
        <f t="shared" si="430"/>
        <v>0</v>
      </c>
      <c r="DC494" t="s">
        <v>3</v>
      </c>
      <c r="DD494" t="s">
        <v>3</v>
      </c>
      <c r="DE494" t="s">
        <v>3</v>
      </c>
      <c r="DF494" t="s">
        <v>3</v>
      </c>
      <c r="DG494" t="s">
        <v>3</v>
      </c>
      <c r="DH494" t="s">
        <v>3</v>
      </c>
      <c r="DI494" t="s">
        <v>3</v>
      </c>
      <c r="DJ494" t="s">
        <v>3</v>
      </c>
      <c r="DK494" t="s">
        <v>3</v>
      </c>
      <c r="DL494" t="s">
        <v>3</v>
      </c>
      <c r="DM494" t="s">
        <v>3</v>
      </c>
      <c r="DN494">
        <v>84</v>
      </c>
      <c r="DO494">
        <v>114</v>
      </c>
      <c r="DP494">
        <v>1</v>
      </c>
      <c r="DQ494">
        <v>1</v>
      </c>
      <c r="DU494">
        <v>1007</v>
      </c>
      <c r="DV494" t="s">
        <v>84</v>
      </c>
      <c r="DW494" t="s">
        <v>84</v>
      </c>
      <c r="DX494">
        <v>1</v>
      </c>
      <c r="DZ494" t="s">
        <v>3</v>
      </c>
      <c r="EA494" t="s">
        <v>3</v>
      </c>
      <c r="EB494" t="s">
        <v>3</v>
      </c>
      <c r="EC494" t="s">
        <v>3</v>
      </c>
      <c r="EE494">
        <v>43089840</v>
      </c>
      <c r="EF494">
        <v>30</v>
      </c>
      <c r="EG494" t="s">
        <v>22</v>
      </c>
      <c r="EH494">
        <v>0</v>
      </c>
      <c r="EI494" t="s">
        <v>3</v>
      </c>
      <c r="EJ494">
        <v>1</v>
      </c>
      <c r="EK494">
        <v>1762</v>
      </c>
      <c r="EL494" t="s">
        <v>659</v>
      </c>
      <c r="EM494" t="s">
        <v>660</v>
      </c>
      <c r="EO494" t="s">
        <v>3</v>
      </c>
      <c r="EQ494">
        <v>0</v>
      </c>
      <c r="ER494">
        <v>160.62</v>
      </c>
      <c r="ES494">
        <v>160.62</v>
      </c>
      <c r="ET494">
        <v>0</v>
      </c>
      <c r="EU494">
        <v>0</v>
      </c>
      <c r="EV494">
        <v>0</v>
      </c>
      <c r="EW494">
        <v>0</v>
      </c>
      <c r="EX494">
        <v>0</v>
      </c>
      <c r="FQ494">
        <v>0</v>
      </c>
      <c r="FR494">
        <f t="shared" si="431"/>
        <v>0</v>
      </c>
      <c r="FS494">
        <v>0</v>
      </c>
      <c r="FX494">
        <v>84</v>
      </c>
      <c r="FY494">
        <v>114</v>
      </c>
      <c r="GA494" t="s">
        <v>3</v>
      </c>
      <c r="GD494">
        <v>0</v>
      </c>
      <c r="GF494">
        <v>558400410</v>
      </c>
      <c r="GG494">
        <v>2</v>
      </c>
      <c r="GH494">
        <v>1</v>
      </c>
      <c r="GI494">
        <v>2</v>
      </c>
      <c r="GJ494">
        <v>0</v>
      </c>
      <c r="GK494">
        <f>ROUND(R494*(R12)/100,2)</f>
        <v>0</v>
      </c>
      <c r="GL494">
        <f t="shared" si="432"/>
        <v>0</v>
      </c>
      <c r="GM494">
        <f t="shared" si="433"/>
        <v>85979.27</v>
      </c>
      <c r="GN494">
        <f t="shared" si="434"/>
        <v>85979.27</v>
      </c>
      <c r="GO494">
        <f t="shared" si="435"/>
        <v>0</v>
      </c>
      <c r="GP494">
        <f t="shared" si="436"/>
        <v>0</v>
      </c>
      <c r="GR494">
        <v>0</v>
      </c>
      <c r="GS494">
        <v>3</v>
      </c>
      <c r="GT494">
        <v>0</v>
      </c>
      <c r="GU494" t="s">
        <v>3</v>
      </c>
      <c r="GV494">
        <f t="shared" si="437"/>
        <v>0</v>
      </c>
      <c r="GW494">
        <v>1</v>
      </c>
      <c r="GX494">
        <f t="shared" si="438"/>
        <v>0</v>
      </c>
      <c r="HA494">
        <v>0</v>
      </c>
      <c r="HB494">
        <v>0</v>
      </c>
      <c r="HC494">
        <f t="shared" si="439"/>
        <v>0</v>
      </c>
      <c r="HE494" t="s">
        <v>3</v>
      </c>
      <c r="HF494" t="s">
        <v>3</v>
      </c>
      <c r="HM494" t="s">
        <v>3</v>
      </c>
      <c r="IK494">
        <v>0</v>
      </c>
    </row>
    <row r="495" spans="1:245" x14ac:dyDescent="0.2">
      <c r="A495">
        <v>18</v>
      </c>
      <c r="B495">
        <v>1</v>
      </c>
      <c r="C495">
        <v>323</v>
      </c>
      <c r="E495" t="s">
        <v>665</v>
      </c>
      <c r="F495" t="s">
        <v>82</v>
      </c>
      <c r="G495" t="s">
        <v>83</v>
      </c>
      <c r="H495" t="s">
        <v>84</v>
      </c>
      <c r="I495">
        <f>I493*J495</f>
        <v>38.4</v>
      </c>
      <c r="J495">
        <v>33.333333333333336</v>
      </c>
      <c r="K495">
        <v>33.333333000000003</v>
      </c>
      <c r="O495">
        <f t="shared" si="405"/>
        <v>88036.17</v>
      </c>
      <c r="P495">
        <f t="shared" si="406"/>
        <v>88036.17</v>
      </c>
      <c r="Q495">
        <f>(ROUND((ROUND(((ET495)*AV495*I495),2)*BB495),2)+ROUND((ROUND(((AE495-(EU495))*AV495*I495),2)*BS495),2))</f>
        <v>0</v>
      </c>
      <c r="R495">
        <f t="shared" si="407"/>
        <v>0</v>
      </c>
      <c r="S495">
        <f t="shared" si="408"/>
        <v>0</v>
      </c>
      <c r="T495">
        <f t="shared" si="409"/>
        <v>0</v>
      </c>
      <c r="U495">
        <f t="shared" si="410"/>
        <v>0</v>
      </c>
      <c r="V495">
        <f t="shared" si="411"/>
        <v>0</v>
      </c>
      <c r="W495">
        <f t="shared" si="412"/>
        <v>0</v>
      </c>
      <c r="X495">
        <f t="shared" si="413"/>
        <v>0</v>
      </c>
      <c r="Y495">
        <f t="shared" si="414"/>
        <v>0</v>
      </c>
      <c r="AA495">
        <v>42938047</v>
      </c>
      <c r="AB495">
        <f t="shared" si="415"/>
        <v>158.22</v>
      </c>
      <c r="AC495">
        <f t="shared" si="416"/>
        <v>158.22</v>
      </c>
      <c r="AD495">
        <f>ROUND((((ET495)-(EU495))+AE495),6)</f>
        <v>0</v>
      </c>
      <c r="AE495">
        <f t="shared" si="442"/>
        <v>0</v>
      </c>
      <c r="AF495">
        <f t="shared" si="442"/>
        <v>0</v>
      </c>
      <c r="AG495">
        <f t="shared" si="418"/>
        <v>0</v>
      </c>
      <c r="AH495">
        <f t="shared" si="443"/>
        <v>0</v>
      </c>
      <c r="AI495">
        <f t="shared" si="443"/>
        <v>0</v>
      </c>
      <c r="AJ495">
        <f t="shared" si="420"/>
        <v>0</v>
      </c>
      <c r="AK495">
        <v>158.22</v>
      </c>
      <c r="AL495">
        <v>158.22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1</v>
      </c>
      <c r="AW495">
        <v>1</v>
      </c>
      <c r="AZ495">
        <v>1</v>
      </c>
      <c r="BA495">
        <v>1</v>
      </c>
      <c r="BB495">
        <v>1</v>
      </c>
      <c r="BC495">
        <v>14.49</v>
      </c>
      <c r="BD495" t="s">
        <v>3</v>
      </c>
      <c r="BE495" t="s">
        <v>3</v>
      </c>
      <c r="BF495" t="s">
        <v>3</v>
      </c>
      <c r="BG495" t="s">
        <v>3</v>
      </c>
      <c r="BH495">
        <v>3</v>
      </c>
      <c r="BI495">
        <v>1</v>
      </c>
      <c r="BJ495" t="s">
        <v>85</v>
      </c>
      <c r="BM495">
        <v>1762</v>
      </c>
      <c r="BN495">
        <v>0</v>
      </c>
      <c r="BO495" t="s">
        <v>82</v>
      </c>
      <c r="BP495">
        <v>1</v>
      </c>
      <c r="BQ495">
        <v>30</v>
      </c>
      <c r="BR495">
        <v>0</v>
      </c>
      <c r="BS495">
        <v>1</v>
      </c>
      <c r="BT495">
        <v>1</v>
      </c>
      <c r="BU495">
        <v>1</v>
      </c>
      <c r="BV495">
        <v>1</v>
      </c>
      <c r="BW495">
        <v>1</v>
      </c>
      <c r="BX495">
        <v>1</v>
      </c>
      <c r="BY495" t="s">
        <v>3</v>
      </c>
      <c r="BZ495">
        <v>0</v>
      </c>
      <c r="CA495">
        <v>0</v>
      </c>
      <c r="CB495" t="s">
        <v>3</v>
      </c>
      <c r="CE495">
        <v>30</v>
      </c>
      <c r="CF495">
        <v>0</v>
      </c>
      <c r="CG495">
        <v>0</v>
      </c>
      <c r="CM495">
        <v>0</v>
      </c>
      <c r="CN495" t="s">
        <v>3</v>
      </c>
      <c r="CO495">
        <v>0</v>
      </c>
      <c r="CP495">
        <f t="shared" si="421"/>
        <v>88036.17</v>
      </c>
      <c r="CQ495">
        <f t="shared" si="422"/>
        <v>2292.61</v>
      </c>
      <c r="CR495">
        <f>(ROUND((ROUND(((ET495)*AV495*1),2)*BB495),2)+ROUND((ROUND(((AE495-(EU495))*AV495*1),2)*BS495),2))</f>
        <v>0</v>
      </c>
      <c r="CS495">
        <f t="shared" si="423"/>
        <v>0</v>
      </c>
      <c r="CT495">
        <f t="shared" si="424"/>
        <v>0</v>
      </c>
      <c r="CU495">
        <f t="shared" si="425"/>
        <v>0</v>
      </c>
      <c r="CV495">
        <f t="shared" si="426"/>
        <v>0</v>
      </c>
      <c r="CW495">
        <f t="shared" si="427"/>
        <v>0</v>
      </c>
      <c r="CX495">
        <f t="shared" si="428"/>
        <v>0</v>
      </c>
      <c r="CY495">
        <f t="shared" si="429"/>
        <v>0</v>
      </c>
      <c r="CZ495">
        <f t="shared" si="430"/>
        <v>0</v>
      </c>
      <c r="DC495" t="s">
        <v>3</v>
      </c>
      <c r="DD495" t="s">
        <v>3</v>
      </c>
      <c r="DE495" t="s">
        <v>3</v>
      </c>
      <c r="DF495" t="s">
        <v>3</v>
      </c>
      <c r="DG495" t="s">
        <v>3</v>
      </c>
      <c r="DH495" t="s">
        <v>3</v>
      </c>
      <c r="DI495" t="s">
        <v>3</v>
      </c>
      <c r="DJ495" t="s">
        <v>3</v>
      </c>
      <c r="DK495" t="s">
        <v>3</v>
      </c>
      <c r="DL495" t="s">
        <v>3</v>
      </c>
      <c r="DM495" t="s">
        <v>3</v>
      </c>
      <c r="DN495">
        <v>84</v>
      </c>
      <c r="DO495">
        <v>114</v>
      </c>
      <c r="DP495">
        <v>1</v>
      </c>
      <c r="DQ495">
        <v>1</v>
      </c>
      <c r="DU495">
        <v>1007</v>
      </c>
      <c r="DV495" t="s">
        <v>84</v>
      </c>
      <c r="DW495" t="s">
        <v>84</v>
      </c>
      <c r="DX495">
        <v>1</v>
      </c>
      <c r="DZ495" t="s">
        <v>3</v>
      </c>
      <c r="EA495" t="s">
        <v>3</v>
      </c>
      <c r="EB495" t="s">
        <v>3</v>
      </c>
      <c r="EC495" t="s">
        <v>3</v>
      </c>
      <c r="EE495">
        <v>43089840</v>
      </c>
      <c r="EF495">
        <v>30</v>
      </c>
      <c r="EG495" t="s">
        <v>22</v>
      </c>
      <c r="EH495">
        <v>0</v>
      </c>
      <c r="EI495" t="s">
        <v>3</v>
      </c>
      <c r="EJ495">
        <v>1</v>
      </c>
      <c r="EK495">
        <v>1762</v>
      </c>
      <c r="EL495" t="s">
        <v>659</v>
      </c>
      <c r="EM495" t="s">
        <v>660</v>
      </c>
      <c r="EO495" t="s">
        <v>3</v>
      </c>
      <c r="EQ495">
        <v>0</v>
      </c>
      <c r="ER495">
        <v>158.22</v>
      </c>
      <c r="ES495">
        <v>158.22</v>
      </c>
      <c r="ET495">
        <v>0</v>
      </c>
      <c r="EU495">
        <v>0</v>
      </c>
      <c r="EV495">
        <v>0</v>
      </c>
      <c r="EW495">
        <v>0</v>
      </c>
      <c r="EX495">
        <v>0</v>
      </c>
      <c r="FQ495">
        <v>0</v>
      </c>
      <c r="FR495">
        <f t="shared" si="431"/>
        <v>0</v>
      </c>
      <c r="FS495">
        <v>0</v>
      </c>
      <c r="FX495">
        <v>84</v>
      </c>
      <c r="FY495">
        <v>114</v>
      </c>
      <c r="GA495" t="s">
        <v>3</v>
      </c>
      <c r="GD495">
        <v>0</v>
      </c>
      <c r="GF495">
        <v>2094184890</v>
      </c>
      <c r="GG495">
        <v>2</v>
      </c>
      <c r="GH495">
        <v>1</v>
      </c>
      <c r="GI495">
        <v>2</v>
      </c>
      <c r="GJ495">
        <v>0</v>
      </c>
      <c r="GK495">
        <f>ROUND(R495*(R12)/100,2)</f>
        <v>0</v>
      </c>
      <c r="GL495">
        <f t="shared" si="432"/>
        <v>0</v>
      </c>
      <c r="GM495">
        <f t="shared" si="433"/>
        <v>88036.17</v>
      </c>
      <c r="GN495">
        <f t="shared" si="434"/>
        <v>88036.17</v>
      </c>
      <c r="GO495">
        <f t="shared" si="435"/>
        <v>0</v>
      </c>
      <c r="GP495">
        <f t="shared" si="436"/>
        <v>0</v>
      </c>
      <c r="GR495">
        <v>0</v>
      </c>
      <c r="GS495">
        <v>3</v>
      </c>
      <c r="GT495">
        <v>0</v>
      </c>
      <c r="GU495" t="s">
        <v>3</v>
      </c>
      <c r="GV495">
        <f t="shared" si="437"/>
        <v>0</v>
      </c>
      <c r="GW495">
        <v>1</v>
      </c>
      <c r="GX495">
        <f t="shared" si="438"/>
        <v>0</v>
      </c>
      <c r="HA495">
        <v>0</v>
      </c>
      <c r="HB495">
        <v>0</v>
      </c>
      <c r="HC495">
        <f t="shared" si="439"/>
        <v>0</v>
      </c>
      <c r="HE495" t="s">
        <v>3</v>
      </c>
      <c r="HF495" t="s">
        <v>3</v>
      </c>
      <c r="HM495" t="s">
        <v>3</v>
      </c>
      <c r="IK495">
        <v>0</v>
      </c>
    </row>
    <row r="496" spans="1:245" x14ac:dyDescent="0.2">
      <c r="A496">
        <v>18</v>
      </c>
      <c r="B496">
        <v>1</v>
      </c>
      <c r="C496">
        <v>324</v>
      </c>
      <c r="E496" t="s">
        <v>666</v>
      </c>
      <c r="F496" t="s">
        <v>118</v>
      </c>
      <c r="G496" t="s">
        <v>667</v>
      </c>
      <c r="H496" t="s">
        <v>84</v>
      </c>
      <c r="I496">
        <f>I493*J496</f>
        <v>38.4</v>
      </c>
      <c r="J496">
        <v>33.333333333333336</v>
      </c>
      <c r="K496">
        <v>33.333333000000003</v>
      </c>
      <c r="O496">
        <f t="shared" si="405"/>
        <v>326401.46000000002</v>
      </c>
      <c r="P496">
        <f t="shared" si="406"/>
        <v>326401.46000000002</v>
      </c>
      <c r="Q496">
        <f>(ROUND((ROUND(((ET496)*AV496*I496),2)*BB496),2)+ROUND((ROUND(((AE496-(EU496))*AV496*I496),2)*BS496),2))</f>
        <v>0</v>
      </c>
      <c r="R496">
        <f t="shared" si="407"/>
        <v>0</v>
      </c>
      <c r="S496">
        <f t="shared" si="408"/>
        <v>0</v>
      </c>
      <c r="T496">
        <f t="shared" si="409"/>
        <v>0</v>
      </c>
      <c r="U496">
        <f t="shared" si="410"/>
        <v>0</v>
      </c>
      <c r="V496">
        <f t="shared" si="411"/>
        <v>0</v>
      </c>
      <c r="W496">
        <f t="shared" si="412"/>
        <v>0</v>
      </c>
      <c r="X496">
        <f t="shared" si="413"/>
        <v>0</v>
      </c>
      <c r="Y496">
        <f t="shared" si="414"/>
        <v>0</v>
      </c>
      <c r="AA496">
        <v>42938047</v>
      </c>
      <c r="AB496">
        <f t="shared" si="415"/>
        <v>1340.7</v>
      </c>
      <c r="AC496">
        <f t="shared" si="416"/>
        <v>1340.7</v>
      </c>
      <c r="AD496">
        <f>ROUND((((ET496)-(EU496))+AE496),6)</f>
        <v>0</v>
      </c>
      <c r="AE496">
        <f t="shared" si="442"/>
        <v>0</v>
      </c>
      <c r="AF496">
        <f t="shared" si="442"/>
        <v>0</v>
      </c>
      <c r="AG496">
        <f t="shared" si="418"/>
        <v>0</v>
      </c>
      <c r="AH496">
        <f t="shared" si="443"/>
        <v>0</v>
      </c>
      <c r="AI496">
        <f t="shared" si="443"/>
        <v>0</v>
      </c>
      <c r="AJ496">
        <f t="shared" si="420"/>
        <v>0</v>
      </c>
      <c r="AK496">
        <v>1340.7</v>
      </c>
      <c r="AL496">
        <v>1340.7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1</v>
      </c>
      <c r="AW496">
        <v>1</v>
      </c>
      <c r="AZ496">
        <v>1</v>
      </c>
      <c r="BA496">
        <v>1</v>
      </c>
      <c r="BB496">
        <v>1</v>
      </c>
      <c r="BC496">
        <v>6.34</v>
      </c>
      <c r="BD496" t="s">
        <v>3</v>
      </c>
      <c r="BE496" t="s">
        <v>3</v>
      </c>
      <c r="BF496" t="s">
        <v>3</v>
      </c>
      <c r="BG496" t="s">
        <v>3</v>
      </c>
      <c r="BH496">
        <v>3</v>
      </c>
      <c r="BI496">
        <v>1</v>
      </c>
      <c r="BJ496" t="s">
        <v>3</v>
      </c>
      <c r="BM496">
        <v>1762</v>
      </c>
      <c r="BN496">
        <v>0</v>
      </c>
      <c r="BO496" t="s">
        <v>3</v>
      </c>
      <c r="BP496">
        <v>0</v>
      </c>
      <c r="BQ496">
        <v>30</v>
      </c>
      <c r="BR496">
        <v>0</v>
      </c>
      <c r="BS496">
        <v>1</v>
      </c>
      <c r="BT496">
        <v>1</v>
      </c>
      <c r="BU496">
        <v>1</v>
      </c>
      <c r="BV496">
        <v>1</v>
      </c>
      <c r="BW496">
        <v>1</v>
      </c>
      <c r="BX496">
        <v>1</v>
      </c>
      <c r="BY496" t="s">
        <v>3</v>
      </c>
      <c r="BZ496">
        <v>0</v>
      </c>
      <c r="CA496">
        <v>0</v>
      </c>
      <c r="CB496" t="s">
        <v>3</v>
      </c>
      <c r="CE496">
        <v>30</v>
      </c>
      <c r="CF496">
        <v>0</v>
      </c>
      <c r="CG496">
        <v>0</v>
      </c>
      <c r="CM496">
        <v>0</v>
      </c>
      <c r="CN496" t="s">
        <v>3</v>
      </c>
      <c r="CO496">
        <v>0</v>
      </c>
      <c r="CP496">
        <f t="shared" si="421"/>
        <v>326401.46000000002</v>
      </c>
      <c r="CQ496">
        <f t="shared" si="422"/>
        <v>8500.0400000000009</v>
      </c>
      <c r="CR496">
        <f>(ROUND((ROUND(((ET496)*AV496*1),2)*BB496),2)+ROUND((ROUND(((AE496-(EU496))*AV496*1),2)*BS496),2))</f>
        <v>0</v>
      </c>
      <c r="CS496">
        <f t="shared" si="423"/>
        <v>0</v>
      </c>
      <c r="CT496">
        <f t="shared" si="424"/>
        <v>0</v>
      </c>
      <c r="CU496">
        <f t="shared" si="425"/>
        <v>0</v>
      </c>
      <c r="CV496">
        <f t="shared" si="426"/>
        <v>0</v>
      </c>
      <c r="CW496">
        <f t="shared" si="427"/>
        <v>0</v>
      </c>
      <c r="CX496">
        <f t="shared" si="428"/>
        <v>0</v>
      </c>
      <c r="CY496">
        <f t="shared" si="429"/>
        <v>0</v>
      </c>
      <c r="CZ496">
        <f t="shared" si="430"/>
        <v>0</v>
      </c>
      <c r="DC496" t="s">
        <v>3</v>
      </c>
      <c r="DD496" t="s">
        <v>3</v>
      </c>
      <c r="DE496" t="s">
        <v>3</v>
      </c>
      <c r="DF496" t="s">
        <v>3</v>
      </c>
      <c r="DG496" t="s">
        <v>3</v>
      </c>
      <c r="DH496" t="s">
        <v>3</v>
      </c>
      <c r="DI496" t="s">
        <v>3</v>
      </c>
      <c r="DJ496" t="s">
        <v>3</v>
      </c>
      <c r="DK496" t="s">
        <v>3</v>
      </c>
      <c r="DL496" t="s">
        <v>3</v>
      </c>
      <c r="DM496" t="s">
        <v>3</v>
      </c>
      <c r="DN496">
        <v>84</v>
      </c>
      <c r="DO496">
        <v>114</v>
      </c>
      <c r="DP496">
        <v>1</v>
      </c>
      <c r="DQ496">
        <v>1</v>
      </c>
      <c r="DU496">
        <v>1007</v>
      </c>
      <c r="DV496" t="s">
        <v>84</v>
      </c>
      <c r="DW496" t="s">
        <v>84</v>
      </c>
      <c r="DX496">
        <v>1</v>
      </c>
      <c r="DZ496" t="s">
        <v>3</v>
      </c>
      <c r="EA496" t="s">
        <v>3</v>
      </c>
      <c r="EB496" t="s">
        <v>3</v>
      </c>
      <c r="EC496" t="s">
        <v>3</v>
      </c>
      <c r="EE496">
        <v>43089840</v>
      </c>
      <c r="EF496">
        <v>30</v>
      </c>
      <c r="EG496" t="s">
        <v>22</v>
      </c>
      <c r="EH496">
        <v>0</v>
      </c>
      <c r="EI496" t="s">
        <v>3</v>
      </c>
      <c r="EJ496">
        <v>1</v>
      </c>
      <c r="EK496">
        <v>1762</v>
      </c>
      <c r="EL496" t="s">
        <v>659</v>
      </c>
      <c r="EM496" t="s">
        <v>660</v>
      </c>
      <c r="EO496" t="s">
        <v>3</v>
      </c>
      <c r="EQ496">
        <v>0</v>
      </c>
      <c r="ER496">
        <v>1340.7</v>
      </c>
      <c r="ES496">
        <v>1340.7</v>
      </c>
      <c r="ET496">
        <v>0</v>
      </c>
      <c r="EU496">
        <v>0</v>
      </c>
      <c r="EV496">
        <v>0</v>
      </c>
      <c r="EW496">
        <v>0</v>
      </c>
      <c r="EX496">
        <v>0</v>
      </c>
      <c r="EZ496">
        <v>5</v>
      </c>
      <c r="FC496">
        <v>1</v>
      </c>
      <c r="FD496">
        <v>18</v>
      </c>
      <c r="FF496">
        <v>10000</v>
      </c>
      <c r="FQ496">
        <v>0</v>
      </c>
      <c r="FR496">
        <f t="shared" si="431"/>
        <v>0</v>
      </c>
      <c r="FS496">
        <v>0</v>
      </c>
      <c r="FX496">
        <v>84</v>
      </c>
      <c r="FY496">
        <v>114</v>
      </c>
      <c r="GA496" t="s">
        <v>668</v>
      </c>
      <c r="GD496">
        <v>0</v>
      </c>
      <c r="GF496">
        <v>-429594785</v>
      </c>
      <c r="GG496">
        <v>2</v>
      </c>
      <c r="GH496">
        <v>3</v>
      </c>
      <c r="GI496">
        <v>3</v>
      </c>
      <c r="GJ496">
        <v>0</v>
      </c>
      <c r="GK496">
        <f>ROUND(R496*(R12)/100,2)</f>
        <v>0</v>
      </c>
      <c r="GL496">
        <f t="shared" si="432"/>
        <v>0</v>
      </c>
      <c r="GM496">
        <f t="shared" si="433"/>
        <v>326401.46000000002</v>
      </c>
      <c r="GN496">
        <f t="shared" si="434"/>
        <v>326401.46000000002</v>
      </c>
      <c r="GO496">
        <f t="shared" si="435"/>
        <v>0</v>
      </c>
      <c r="GP496">
        <f t="shared" si="436"/>
        <v>0</v>
      </c>
      <c r="GR496">
        <v>1</v>
      </c>
      <c r="GS496">
        <v>1</v>
      </c>
      <c r="GT496">
        <v>0</v>
      </c>
      <c r="GU496" t="s">
        <v>3</v>
      </c>
      <c r="GV496">
        <f t="shared" si="437"/>
        <v>0</v>
      </c>
      <c r="GW496">
        <v>1</v>
      </c>
      <c r="GX496">
        <f t="shared" si="438"/>
        <v>0</v>
      </c>
      <c r="HA496">
        <v>0</v>
      </c>
      <c r="HB496">
        <v>0</v>
      </c>
      <c r="HC496">
        <f t="shared" si="439"/>
        <v>0</v>
      </c>
      <c r="HE496" t="s">
        <v>26</v>
      </c>
      <c r="HF496" t="s">
        <v>122</v>
      </c>
      <c r="HM496" t="s">
        <v>3</v>
      </c>
      <c r="IK496">
        <v>0</v>
      </c>
    </row>
    <row r="497" spans="1:245" x14ac:dyDescent="0.2">
      <c r="A497">
        <v>17</v>
      </c>
      <c r="B497">
        <v>1</v>
      </c>
      <c r="C497">
        <f>ROW(SmtRes!A327)</f>
        <v>327</v>
      </c>
      <c r="D497">
        <f>ROW(EtalonRes!A327)</f>
        <v>327</v>
      </c>
      <c r="E497" t="s">
        <v>669</v>
      </c>
      <c r="F497" t="s">
        <v>670</v>
      </c>
      <c r="G497" t="s">
        <v>671</v>
      </c>
      <c r="H497" t="s">
        <v>358</v>
      </c>
      <c r="I497">
        <v>54</v>
      </c>
      <c r="J497">
        <v>0</v>
      </c>
      <c r="K497">
        <v>54</v>
      </c>
      <c r="O497">
        <f t="shared" si="405"/>
        <v>63128.21</v>
      </c>
      <c r="P497">
        <f t="shared" si="406"/>
        <v>0</v>
      </c>
      <c r="Q497">
        <f>(ROUND((ROUND((((ET497*1.25))*AV497*I497),2)*BB497),2)+ROUND((ROUND(((AE497-((EU497*1.25)))*AV497*I497),2)*BS497),2))</f>
        <v>16160.12</v>
      </c>
      <c r="R497">
        <f t="shared" si="407"/>
        <v>7899.12</v>
      </c>
      <c r="S497">
        <f t="shared" si="408"/>
        <v>46968.09</v>
      </c>
      <c r="T497">
        <f t="shared" si="409"/>
        <v>0</v>
      </c>
      <c r="U497">
        <f t="shared" si="410"/>
        <v>186.29999999999998</v>
      </c>
      <c r="V497">
        <f t="shared" si="411"/>
        <v>0</v>
      </c>
      <c r="W497">
        <f t="shared" si="412"/>
        <v>0</v>
      </c>
      <c r="X497">
        <f t="shared" si="413"/>
        <v>42271.28</v>
      </c>
      <c r="Y497">
        <f t="shared" si="414"/>
        <v>25362.77</v>
      </c>
      <c r="AA497">
        <v>42938047</v>
      </c>
      <c r="AB497">
        <f t="shared" si="415"/>
        <v>64.914500000000004</v>
      </c>
      <c r="AC497">
        <f t="shared" si="416"/>
        <v>0</v>
      </c>
      <c r="AD497">
        <f>ROUND(((((ET497*1.25))-((EU497*1.25)))+AE497),6)</f>
        <v>30.725000000000001</v>
      </c>
      <c r="AE497">
        <f>ROUND(((EU497*1.25)),6)</f>
        <v>5.75</v>
      </c>
      <c r="AF497">
        <f>ROUND(((EV497*1.15)),6)</f>
        <v>34.189500000000002</v>
      </c>
      <c r="AG497">
        <f t="shared" si="418"/>
        <v>0</v>
      </c>
      <c r="AH497">
        <f>((EW497*1.15))</f>
        <v>3.4499999999999997</v>
      </c>
      <c r="AI497">
        <f>((EX497*1.25))</f>
        <v>0</v>
      </c>
      <c r="AJ497">
        <f t="shared" si="420"/>
        <v>0</v>
      </c>
      <c r="AK497">
        <v>54.31</v>
      </c>
      <c r="AL497">
        <v>0</v>
      </c>
      <c r="AM497">
        <v>24.58</v>
      </c>
      <c r="AN497">
        <v>4.5999999999999996</v>
      </c>
      <c r="AO497">
        <v>29.73</v>
      </c>
      <c r="AP497">
        <v>0</v>
      </c>
      <c r="AQ497">
        <v>3</v>
      </c>
      <c r="AR497">
        <v>0</v>
      </c>
      <c r="AS497">
        <v>0</v>
      </c>
      <c r="AT497">
        <v>90</v>
      </c>
      <c r="AU497">
        <v>54</v>
      </c>
      <c r="AV497">
        <v>1</v>
      </c>
      <c r="AW497">
        <v>1</v>
      </c>
      <c r="AZ497">
        <v>1</v>
      </c>
      <c r="BA497">
        <v>25.44</v>
      </c>
      <c r="BB497">
        <v>9.74</v>
      </c>
      <c r="BC497">
        <v>1</v>
      </c>
      <c r="BD497" t="s">
        <v>3</v>
      </c>
      <c r="BE497" t="s">
        <v>3</v>
      </c>
      <c r="BF497" t="s">
        <v>3</v>
      </c>
      <c r="BG497" t="s">
        <v>3</v>
      </c>
      <c r="BH497">
        <v>0</v>
      </c>
      <c r="BI497">
        <v>1</v>
      </c>
      <c r="BJ497" t="s">
        <v>672</v>
      </c>
      <c r="BM497">
        <v>259</v>
      </c>
      <c r="BN497">
        <v>0</v>
      </c>
      <c r="BO497" t="s">
        <v>670</v>
      </c>
      <c r="BP497">
        <v>1</v>
      </c>
      <c r="BQ497">
        <v>30</v>
      </c>
      <c r="BR497">
        <v>0</v>
      </c>
      <c r="BS497">
        <v>25.44</v>
      </c>
      <c r="BT497">
        <v>1</v>
      </c>
      <c r="BU497">
        <v>1</v>
      </c>
      <c r="BV497">
        <v>1</v>
      </c>
      <c r="BW497">
        <v>1</v>
      </c>
      <c r="BX497">
        <v>1</v>
      </c>
      <c r="BY497" t="s">
        <v>3</v>
      </c>
      <c r="BZ497">
        <v>90</v>
      </c>
      <c r="CA497">
        <v>54</v>
      </c>
      <c r="CB497" t="s">
        <v>3</v>
      </c>
      <c r="CE497">
        <v>30</v>
      </c>
      <c r="CF497">
        <v>0</v>
      </c>
      <c r="CG497">
        <v>0</v>
      </c>
      <c r="CM497">
        <v>0</v>
      </c>
      <c r="CN497" t="s">
        <v>1584</v>
      </c>
      <c r="CO497">
        <v>0</v>
      </c>
      <c r="CP497">
        <f t="shared" si="421"/>
        <v>63128.21</v>
      </c>
      <c r="CQ497">
        <f t="shared" si="422"/>
        <v>0</v>
      </c>
      <c r="CR497">
        <f>(ROUND((ROUND((((ET497*1.25))*AV497*1),2)*BB497),2)+ROUND((ROUND(((AE497-((EU497*1.25)))*AV497*1),2)*BS497),2))</f>
        <v>299.31</v>
      </c>
      <c r="CS497">
        <f t="shared" si="423"/>
        <v>146.28</v>
      </c>
      <c r="CT497">
        <f t="shared" si="424"/>
        <v>869.79</v>
      </c>
      <c r="CU497">
        <f t="shared" si="425"/>
        <v>0</v>
      </c>
      <c r="CV497">
        <f t="shared" si="426"/>
        <v>3.4499999999999997</v>
      </c>
      <c r="CW497">
        <f t="shared" si="427"/>
        <v>0</v>
      </c>
      <c r="CX497">
        <f t="shared" si="428"/>
        <v>0</v>
      </c>
      <c r="CY497">
        <f t="shared" si="429"/>
        <v>42271.280999999995</v>
      </c>
      <c r="CZ497">
        <f t="shared" si="430"/>
        <v>25362.768599999999</v>
      </c>
      <c r="DC497" t="s">
        <v>3</v>
      </c>
      <c r="DD497" t="s">
        <v>3</v>
      </c>
      <c r="DE497" t="s">
        <v>20</v>
      </c>
      <c r="DF497" t="s">
        <v>20</v>
      </c>
      <c r="DG497" t="s">
        <v>21</v>
      </c>
      <c r="DH497" t="s">
        <v>3</v>
      </c>
      <c r="DI497" t="s">
        <v>21</v>
      </c>
      <c r="DJ497" t="s">
        <v>20</v>
      </c>
      <c r="DK497" t="s">
        <v>3</v>
      </c>
      <c r="DL497" t="s">
        <v>3</v>
      </c>
      <c r="DM497" t="s">
        <v>3</v>
      </c>
      <c r="DN497">
        <v>84</v>
      </c>
      <c r="DO497">
        <v>114</v>
      </c>
      <c r="DP497">
        <v>1</v>
      </c>
      <c r="DQ497">
        <v>1</v>
      </c>
      <c r="DU497">
        <v>1013</v>
      </c>
      <c r="DV497" t="s">
        <v>358</v>
      </c>
      <c r="DW497" t="s">
        <v>358</v>
      </c>
      <c r="DX497">
        <v>1</v>
      </c>
      <c r="DZ497" t="s">
        <v>3</v>
      </c>
      <c r="EA497" t="s">
        <v>3</v>
      </c>
      <c r="EB497" t="s">
        <v>3</v>
      </c>
      <c r="EC497" t="s">
        <v>3</v>
      </c>
      <c r="EE497">
        <v>43088337</v>
      </c>
      <c r="EF497">
        <v>30</v>
      </c>
      <c r="EG497" t="s">
        <v>22</v>
      </c>
      <c r="EH497">
        <v>0</v>
      </c>
      <c r="EI497" t="s">
        <v>3</v>
      </c>
      <c r="EJ497">
        <v>1</v>
      </c>
      <c r="EK497">
        <v>259</v>
      </c>
      <c r="EL497" t="s">
        <v>673</v>
      </c>
      <c r="EM497" t="s">
        <v>674</v>
      </c>
      <c r="EO497" t="s">
        <v>59</v>
      </c>
      <c r="EQ497">
        <v>0</v>
      </c>
      <c r="ER497">
        <v>54.31</v>
      </c>
      <c r="ES497">
        <v>0</v>
      </c>
      <c r="ET497">
        <v>24.58</v>
      </c>
      <c r="EU497">
        <v>4.5999999999999996</v>
      </c>
      <c r="EV497">
        <v>29.73</v>
      </c>
      <c r="EW497">
        <v>3</v>
      </c>
      <c r="EX497">
        <v>0</v>
      </c>
      <c r="EY497">
        <v>0</v>
      </c>
      <c r="FQ497">
        <v>0</v>
      </c>
      <c r="FR497">
        <f t="shared" si="431"/>
        <v>0</v>
      </c>
      <c r="FS497">
        <v>0</v>
      </c>
      <c r="FX497">
        <v>84</v>
      </c>
      <c r="FY497">
        <v>114</v>
      </c>
      <c r="GA497" t="s">
        <v>3</v>
      </c>
      <c r="GD497">
        <v>0</v>
      </c>
      <c r="GF497">
        <v>785835369</v>
      </c>
      <c r="GG497">
        <v>2</v>
      </c>
      <c r="GH497">
        <v>1</v>
      </c>
      <c r="GI497">
        <v>2</v>
      </c>
      <c r="GJ497">
        <v>0</v>
      </c>
      <c r="GK497">
        <f>ROUND(R497*(R12)/100,2)</f>
        <v>12401.62</v>
      </c>
      <c r="GL497">
        <f t="shared" si="432"/>
        <v>0</v>
      </c>
      <c r="GM497">
        <f t="shared" si="433"/>
        <v>143163.88</v>
      </c>
      <c r="GN497">
        <f t="shared" si="434"/>
        <v>143163.88</v>
      </c>
      <c r="GO497">
        <f t="shared" si="435"/>
        <v>0</v>
      </c>
      <c r="GP497">
        <f t="shared" si="436"/>
        <v>0</v>
      </c>
      <c r="GR497">
        <v>0</v>
      </c>
      <c r="GS497">
        <v>3</v>
      </c>
      <c r="GT497">
        <v>0</v>
      </c>
      <c r="GU497" t="s">
        <v>3</v>
      </c>
      <c r="GV497">
        <f t="shared" si="437"/>
        <v>0</v>
      </c>
      <c r="GW497">
        <v>1</v>
      </c>
      <c r="GX497">
        <f t="shared" si="438"/>
        <v>0</v>
      </c>
      <c r="HA497">
        <v>0</v>
      </c>
      <c r="HB497">
        <v>0</v>
      </c>
      <c r="HC497">
        <f t="shared" si="439"/>
        <v>0</v>
      </c>
      <c r="HE497" t="s">
        <v>3</v>
      </c>
      <c r="HF497" t="s">
        <v>3</v>
      </c>
      <c r="HM497" t="s">
        <v>3</v>
      </c>
      <c r="IK497">
        <v>0</v>
      </c>
    </row>
    <row r="498" spans="1:245" x14ac:dyDescent="0.2">
      <c r="A498">
        <v>18</v>
      </c>
      <c r="B498">
        <v>1</v>
      </c>
      <c r="C498">
        <v>327</v>
      </c>
      <c r="E498" t="s">
        <v>675</v>
      </c>
      <c r="F498" t="s">
        <v>82</v>
      </c>
      <c r="G498" t="s">
        <v>83</v>
      </c>
      <c r="H498" t="s">
        <v>84</v>
      </c>
      <c r="I498">
        <f>I497*J498</f>
        <v>70.2</v>
      </c>
      <c r="J498">
        <v>1.3</v>
      </c>
      <c r="K498">
        <v>1.3</v>
      </c>
      <c r="O498">
        <f t="shared" si="405"/>
        <v>160941.01</v>
      </c>
      <c r="P498">
        <f t="shared" si="406"/>
        <v>160941.01</v>
      </c>
      <c r="Q498">
        <f>(ROUND((ROUND(((ET498)*AV498*I498),2)*BB498),2)+ROUND((ROUND(((AE498-(EU498))*AV498*I498),2)*BS498),2))</f>
        <v>0</v>
      </c>
      <c r="R498">
        <f t="shared" si="407"/>
        <v>0</v>
      </c>
      <c r="S498">
        <f t="shared" si="408"/>
        <v>0</v>
      </c>
      <c r="T498">
        <f t="shared" si="409"/>
        <v>0</v>
      </c>
      <c r="U498">
        <f t="shared" si="410"/>
        <v>0</v>
      </c>
      <c r="V498">
        <f t="shared" si="411"/>
        <v>0</v>
      </c>
      <c r="W498">
        <f t="shared" si="412"/>
        <v>0</v>
      </c>
      <c r="X498">
        <f t="shared" si="413"/>
        <v>0</v>
      </c>
      <c r="Y498">
        <f t="shared" si="414"/>
        <v>0</v>
      </c>
      <c r="AA498">
        <v>42938047</v>
      </c>
      <c r="AB498">
        <f t="shared" si="415"/>
        <v>158.22</v>
      </c>
      <c r="AC498">
        <f t="shared" si="416"/>
        <v>158.22</v>
      </c>
      <c r="AD498">
        <f>ROUND((((ET498)-(EU498))+AE498),6)</f>
        <v>0</v>
      </c>
      <c r="AE498">
        <f>ROUND((EU498),6)</f>
        <v>0</v>
      </c>
      <c r="AF498">
        <f>ROUND((EV498),6)</f>
        <v>0</v>
      </c>
      <c r="AG498">
        <f t="shared" si="418"/>
        <v>0</v>
      </c>
      <c r="AH498">
        <f>(EW498)</f>
        <v>0</v>
      </c>
      <c r="AI498">
        <f>(EX498)</f>
        <v>0</v>
      </c>
      <c r="AJ498">
        <f t="shared" si="420"/>
        <v>0</v>
      </c>
      <c r="AK498">
        <v>158.22</v>
      </c>
      <c r="AL498">
        <v>158.22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1</v>
      </c>
      <c r="AW498">
        <v>1</v>
      </c>
      <c r="AZ498">
        <v>1</v>
      </c>
      <c r="BA498">
        <v>1</v>
      </c>
      <c r="BB498">
        <v>1</v>
      </c>
      <c r="BC498">
        <v>14.49</v>
      </c>
      <c r="BD498" t="s">
        <v>3</v>
      </c>
      <c r="BE498" t="s">
        <v>3</v>
      </c>
      <c r="BF498" t="s">
        <v>3</v>
      </c>
      <c r="BG498" t="s">
        <v>3</v>
      </c>
      <c r="BH498">
        <v>3</v>
      </c>
      <c r="BI498">
        <v>1</v>
      </c>
      <c r="BJ498" t="s">
        <v>85</v>
      </c>
      <c r="BM498">
        <v>259</v>
      </c>
      <c r="BN498">
        <v>0</v>
      </c>
      <c r="BO498" t="s">
        <v>82</v>
      </c>
      <c r="BP498">
        <v>1</v>
      </c>
      <c r="BQ498">
        <v>30</v>
      </c>
      <c r="BR498">
        <v>0</v>
      </c>
      <c r="BS498">
        <v>1</v>
      </c>
      <c r="BT498">
        <v>1</v>
      </c>
      <c r="BU498">
        <v>1</v>
      </c>
      <c r="BV498">
        <v>1</v>
      </c>
      <c r="BW498">
        <v>1</v>
      </c>
      <c r="BX498">
        <v>1</v>
      </c>
      <c r="BY498" t="s">
        <v>3</v>
      </c>
      <c r="BZ498">
        <v>0</v>
      </c>
      <c r="CA498">
        <v>0</v>
      </c>
      <c r="CB498" t="s">
        <v>3</v>
      </c>
      <c r="CE498">
        <v>30</v>
      </c>
      <c r="CF498">
        <v>0</v>
      </c>
      <c r="CG498">
        <v>0</v>
      </c>
      <c r="CM498">
        <v>0</v>
      </c>
      <c r="CN498" t="s">
        <v>3</v>
      </c>
      <c r="CO498">
        <v>0</v>
      </c>
      <c r="CP498">
        <f t="shared" si="421"/>
        <v>160941.01</v>
      </c>
      <c r="CQ498">
        <f t="shared" si="422"/>
        <v>2292.61</v>
      </c>
      <c r="CR498">
        <f>(ROUND((ROUND(((ET498)*AV498*1),2)*BB498),2)+ROUND((ROUND(((AE498-(EU498))*AV498*1),2)*BS498),2))</f>
        <v>0</v>
      </c>
      <c r="CS498">
        <f t="shared" si="423"/>
        <v>0</v>
      </c>
      <c r="CT498">
        <f t="shared" si="424"/>
        <v>0</v>
      </c>
      <c r="CU498">
        <f t="shared" si="425"/>
        <v>0</v>
      </c>
      <c r="CV498">
        <f t="shared" si="426"/>
        <v>0</v>
      </c>
      <c r="CW498">
        <f t="shared" si="427"/>
        <v>0</v>
      </c>
      <c r="CX498">
        <f t="shared" si="428"/>
        <v>0</v>
      </c>
      <c r="CY498">
        <f t="shared" si="429"/>
        <v>0</v>
      </c>
      <c r="CZ498">
        <f t="shared" si="430"/>
        <v>0</v>
      </c>
      <c r="DC498" t="s">
        <v>3</v>
      </c>
      <c r="DD498" t="s">
        <v>3</v>
      </c>
      <c r="DE498" t="s">
        <v>3</v>
      </c>
      <c r="DF498" t="s">
        <v>3</v>
      </c>
      <c r="DG498" t="s">
        <v>3</v>
      </c>
      <c r="DH498" t="s">
        <v>3</v>
      </c>
      <c r="DI498" t="s">
        <v>3</v>
      </c>
      <c r="DJ498" t="s">
        <v>3</v>
      </c>
      <c r="DK498" t="s">
        <v>3</v>
      </c>
      <c r="DL498" t="s">
        <v>3</v>
      </c>
      <c r="DM498" t="s">
        <v>3</v>
      </c>
      <c r="DN498">
        <v>84</v>
      </c>
      <c r="DO498">
        <v>114</v>
      </c>
      <c r="DP498">
        <v>1</v>
      </c>
      <c r="DQ498">
        <v>1</v>
      </c>
      <c r="DU498">
        <v>1007</v>
      </c>
      <c r="DV498" t="s">
        <v>84</v>
      </c>
      <c r="DW498" t="s">
        <v>84</v>
      </c>
      <c r="DX498">
        <v>1</v>
      </c>
      <c r="DZ498" t="s">
        <v>3</v>
      </c>
      <c r="EA498" t="s">
        <v>3</v>
      </c>
      <c r="EB498" t="s">
        <v>3</v>
      </c>
      <c r="EC498" t="s">
        <v>3</v>
      </c>
      <c r="EE498">
        <v>43088337</v>
      </c>
      <c r="EF498">
        <v>30</v>
      </c>
      <c r="EG498" t="s">
        <v>22</v>
      </c>
      <c r="EH498">
        <v>0</v>
      </c>
      <c r="EI498" t="s">
        <v>3</v>
      </c>
      <c r="EJ498">
        <v>1</v>
      </c>
      <c r="EK498">
        <v>259</v>
      </c>
      <c r="EL498" t="s">
        <v>673</v>
      </c>
      <c r="EM498" t="s">
        <v>674</v>
      </c>
      <c r="EO498" t="s">
        <v>3</v>
      </c>
      <c r="EQ498">
        <v>0</v>
      </c>
      <c r="ER498">
        <v>158.22</v>
      </c>
      <c r="ES498">
        <v>158.22</v>
      </c>
      <c r="ET498">
        <v>0</v>
      </c>
      <c r="EU498">
        <v>0</v>
      </c>
      <c r="EV498">
        <v>0</v>
      </c>
      <c r="EW498">
        <v>0</v>
      </c>
      <c r="EX498">
        <v>0</v>
      </c>
      <c r="FQ498">
        <v>0</v>
      </c>
      <c r="FR498">
        <f t="shared" si="431"/>
        <v>0</v>
      </c>
      <c r="FS498">
        <v>0</v>
      </c>
      <c r="FX498">
        <v>84</v>
      </c>
      <c r="FY498">
        <v>114</v>
      </c>
      <c r="GA498" t="s">
        <v>3</v>
      </c>
      <c r="GD498">
        <v>0</v>
      </c>
      <c r="GF498">
        <v>2094184890</v>
      </c>
      <c r="GG498">
        <v>2</v>
      </c>
      <c r="GH498">
        <v>1</v>
      </c>
      <c r="GI498">
        <v>2</v>
      </c>
      <c r="GJ498">
        <v>0</v>
      </c>
      <c r="GK498">
        <f>ROUND(R498*(R12)/100,2)</f>
        <v>0</v>
      </c>
      <c r="GL498">
        <f t="shared" si="432"/>
        <v>0</v>
      </c>
      <c r="GM498">
        <f t="shared" si="433"/>
        <v>160941.01</v>
      </c>
      <c r="GN498">
        <f t="shared" si="434"/>
        <v>160941.01</v>
      </c>
      <c r="GO498">
        <f t="shared" si="435"/>
        <v>0</v>
      </c>
      <c r="GP498">
        <f t="shared" si="436"/>
        <v>0</v>
      </c>
      <c r="GR498">
        <v>0</v>
      </c>
      <c r="GS498">
        <v>3</v>
      </c>
      <c r="GT498">
        <v>0</v>
      </c>
      <c r="GU498" t="s">
        <v>3</v>
      </c>
      <c r="GV498">
        <f t="shared" si="437"/>
        <v>0</v>
      </c>
      <c r="GW498">
        <v>1</v>
      </c>
      <c r="GX498">
        <f t="shared" si="438"/>
        <v>0</v>
      </c>
      <c r="HA498">
        <v>0</v>
      </c>
      <c r="HB498">
        <v>0</v>
      </c>
      <c r="HC498">
        <f t="shared" si="439"/>
        <v>0</v>
      </c>
      <c r="HE498" t="s">
        <v>3</v>
      </c>
      <c r="HF498" t="s">
        <v>3</v>
      </c>
      <c r="HM498" t="s">
        <v>3</v>
      </c>
      <c r="IK498">
        <v>0</v>
      </c>
    </row>
    <row r="499" spans="1:245" x14ac:dyDescent="0.2">
      <c r="A499">
        <v>17</v>
      </c>
      <c r="B499">
        <v>1</v>
      </c>
      <c r="C499">
        <f>ROW(SmtRes!A330)</f>
        <v>330</v>
      </c>
      <c r="D499">
        <f>ROW(EtalonRes!A330)</f>
        <v>330</v>
      </c>
      <c r="E499" t="s">
        <v>676</v>
      </c>
      <c r="F499" t="s">
        <v>677</v>
      </c>
      <c r="G499" t="s">
        <v>678</v>
      </c>
      <c r="H499" t="s">
        <v>679</v>
      </c>
      <c r="I499">
        <f>ROUND(36/100,9)</f>
        <v>0.36</v>
      </c>
      <c r="J499">
        <v>0</v>
      </c>
      <c r="K499">
        <f>ROUND(36/100,9)</f>
        <v>0.36</v>
      </c>
      <c r="O499">
        <f t="shared" si="405"/>
        <v>32268.29</v>
      </c>
      <c r="P499">
        <f t="shared" si="406"/>
        <v>0</v>
      </c>
      <c r="Q499">
        <f>(ROUND((ROUND((((ET499*1.25))*AV499*I499),2)*BB499),2)+ROUND((ROUND(((AE499-((EU499*1.25)))*AV499*I499),2)*BS499),2))</f>
        <v>38.86</v>
      </c>
      <c r="R499">
        <f t="shared" si="407"/>
        <v>22.39</v>
      </c>
      <c r="S499">
        <f t="shared" si="408"/>
        <v>32229.43</v>
      </c>
      <c r="T499">
        <f t="shared" si="409"/>
        <v>0</v>
      </c>
      <c r="U499">
        <f t="shared" si="410"/>
        <v>116.33399999999999</v>
      </c>
      <c r="V499">
        <f t="shared" si="411"/>
        <v>0</v>
      </c>
      <c r="W499">
        <f t="shared" si="412"/>
        <v>0</v>
      </c>
      <c r="X499">
        <f t="shared" si="413"/>
        <v>29651.08</v>
      </c>
      <c r="Y499">
        <f t="shared" si="414"/>
        <v>16114.72</v>
      </c>
      <c r="AA499">
        <v>42938047</v>
      </c>
      <c r="AB499">
        <f t="shared" si="415"/>
        <v>3529.366</v>
      </c>
      <c r="AC499">
        <f t="shared" si="416"/>
        <v>0</v>
      </c>
      <c r="AD499">
        <f>ROUND(((((ET499*1.25))-((EU499*1.25)))+AE499),6)</f>
        <v>10.262499999999999</v>
      </c>
      <c r="AE499">
        <f>ROUND(((EU499*1.25)),6)</f>
        <v>2.4500000000000002</v>
      </c>
      <c r="AF499">
        <f>ROUND(((EV499*1.15)),6)</f>
        <v>3519.1035000000002</v>
      </c>
      <c r="AG499">
        <f t="shared" si="418"/>
        <v>0</v>
      </c>
      <c r="AH499">
        <f>((EW499*1.15))</f>
        <v>323.14999999999998</v>
      </c>
      <c r="AI499">
        <f>((EX499*1.25))</f>
        <v>0</v>
      </c>
      <c r="AJ499">
        <f t="shared" si="420"/>
        <v>0</v>
      </c>
      <c r="AK499">
        <v>3068.3</v>
      </c>
      <c r="AL499">
        <v>0</v>
      </c>
      <c r="AM499">
        <v>8.2100000000000009</v>
      </c>
      <c r="AN499">
        <v>1.96</v>
      </c>
      <c r="AO499">
        <v>3060.09</v>
      </c>
      <c r="AP499">
        <v>0</v>
      </c>
      <c r="AQ499">
        <v>281</v>
      </c>
      <c r="AR499">
        <v>0</v>
      </c>
      <c r="AS499">
        <v>0</v>
      </c>
      <c r="AT499">
        <v>92</v>
      </c>
      <c r="AU499">
        <v>50</v>
      </c>
      <c r="AV499">
        <v>1</v>
      </c>
      <c r="AW499">
        <v>1</v>
      </c>
      <c r="AZ499">
        <v>1</v>
      </c>
      <c r="BA499">
        <v>25.44</v>
      </c>
      <c r="BB499">
        <v>10.53</v>
      </c>
      <c r="BC499">
        <v>1</v>
      </c>
      <c r="BD499" t="s">
        <v>3</v>
      </c>
      <c r="BE499" t="s">
        <v>3</v>
      </c>
      <c r="BF499" t="s">
        <v>3</v>
      </c>
      <c r="BG499" t="s">
        <v>3</v>
      </c>
      <c r="BH499">
        <v>0</v>
      </c>
      <c r="BI499">
        <v>1</v>
      </c>
      <c r="BJ499" t="s">
        <v>680</v>
      </c>
      <c r="BM499">
        <v>15</v>
      </c>
      <c r="BN499">
        <v>0</v>
      </c>
      <c r="BO499" t="s">
        <v>677</v>
      </c>
      <c r="BP499">
        <v>1</v>
      </c>
      <c r="BQ499">
        <v>30</v>
      </c>
      <c r="BR499">
        <v>0</v>
      </c>
      <c r="BS499">
        <v>25.44</v>
      </c>
      <c r="BT499">
        <v>1</v>
      </c>
      <c r="BU499">
        <v>1</v>
      </c>
      <c r="BV499">
        <v>1</v>
      </c>
      <c r="BW499">
        <v>1</v>
      </c>
      <c r="BX499">
        <v>1</v>
      </c>
      <c r="BY499" t="s">
        <v>3</v>
      </c>
      <c r="BZ499">
        <v>92</v>
      </c>
      <c r="CA499">
        <v>50</v>
      </c>
      <c r="CB499" t="s">
        <v>3</v>
      </c>
      <c r="CE499">
        <v>30</v>
      </c>
      <c r="CF499">
        <v>0</v>
      </c>
      <c r="CG499">
        <v>0</v>
      </c>
      <c r="CM499">
        <v>0</v>
      </c>
      <c r="CN499" t="s">
        <v>1584</v>
      </c>
      <c r="CO499">
        <v>0</v>
      </c>
      <c r="CP499">
        <f t="shared" si="421"/>
        <v>32268.29</v>
      </c>
      <c r="CQ499">
        <f t="shared" si="422"/>
        <v>0</v>
      </c>
      <c r="CR499">
        <f>(ROUND((ROUND((((ET499*1.25))*AV499*1),2)*BB499),2)+ROUND((ROUND(((AE499-((EU499*1.25)))*AV499*1),2)*BS499),2))</f>
        <v>108.04</v>
      </c>
      <c r="CS499">
        <f t="shared" si="423"/>
        <v>62.33</v>
      </c>
      <c r="CT499">
        <f t="shared" si="424"/>
        <v>89525.9</v>
      </c>
      <c r="CU499">
        <f t="shared" si="425"/>
        <v>0</v>
      </c>
      <c r="CV499">
        <f t="shared" si="426"/>
        <v>323.14999999999998</v>
      </c>
      <c r="CW499">
        <f t="shared" si="427"/>
        <v>0</v>
      </c>
      <c r="CX499">
        <f t="shared" si="428"/>
        <v>0</v>
      </c>
      <c r="CY499">
        <f t="shared" si="429"/>
        <v>29651.0756</v>
      </c>
      <c r="CZ499">
        <f t="shared" si="430"/>
        <v>16114.715</v>
      </c>
      <c r="DC499" t="s">
        <v>3</v>
      </c>
      <c r="DD499" t="s">
        <v>3</v>
      </c>
      <c r="DE499" t="s">
        <v>20</v>
      </c>
      <c r="DF499" t="s">
        <v>20</v>
      </c>
      <c r="DG499" t="s">
        <v>21</v>
      </c>
      <c r="DH499" t="s">
        <v>3</v>
      </c>
      <c r="DI499" t="s">
        <v>21</v>
      </c>
      <c r="DJ499" t="s">
        <v>20</v>
      </c>
      <c r="DK499" t="s">
        <v>3</v>
      </c>
      <c r="DL499" t="s">
        <v>3</v>
      </c>
      <c r="DM499" t="s">
        <v>3</v>
      </c>
      <c r="DN499">
        <v>98</v>
      </c>
      <c r="DO499">
        <v>77</v>
      </c>
      <c r="DP499">
        <v>1</v>
      </c>
      <c r="DQ499">
        <v>1</v>
      </c>
      <c r="DU499">
        <v>1007</v>
      </c>
      <c r="DV499" t="s">
        <v>679</v>
      </c>
      <c r="DW499" t="s">
        <v>679</v>
      </c>
      <c r="DX499">
        <v>100</v>
      </c>
      <c r="DZ499" t="s">
        <v>3</v>
      </c>
      <c r="EA499" t="s">
        <v>3</v>
      </c>
      <c r="EB499" t="s">
        <v>3</v>
      </c>
      <c r="EC499" t="s">
        <v>3</v>
      </c>
      <c r="EE499">
        <v>43090094</v>
      </c>
      <c r="EF499">
        <v>30</v>
      </c>
      <c r="EG499" t="s">
        <v>22</v>
      </c>
      <c r="EH499">
        <v>0</v>
      </c>
      <c r="EI499" t="s">
        <v>3</v>
      </c>
      <c r="EJ499">
        <v>1</v>
      </c>
      <c r="EK499">
        <v>15</v>
      </c>
      <c r="EL499" t="s">
        <v>681</v>
      </c>
      <c r="EM499" t="s">
        <v>682</v>
      </c>
      <c r="EO499" t="s">
        <v>59</v>
      </c>
      <c r="EQ499">
        <v>0</v>
      </c>
      <c r="ER499">
        <v>3068.3</v>
      </c>
      <c r="ES499">
        <v>0</v>
      </c>
      <c r="ET499">
        <v>8.2100000000000009</v>
      </c>
      <c r="EU499">
        <v>1.96</v>
      </c>
      <c r="EV499">
        <v>3060.09</v>
      </c>
      <c r="EW499">
        <v>281</v>
      </c>
      <c r="EX499">
        <v>0</v>
      </c>
      <c r="EY499">
        <v>0</v>
      </c>
      <c r="FQ499">
        <v>0</v>
      </c>
      <c r="FR499">
        <f t="shared" si="431"/>
        <v>0</v>
      </c>
      <c r="FS499">
        <v>0</v>
      </c>
      <c r="FX499">
        <v>98</v>
      </c>
      <c r="FY499">
        <v>77</v>
      </c>
      <c r="GA499" t="s">
        <v>3</v>
      </c>
      <c r="GD499">
        <v>0</v>
      </c>
      <c r="GF499">
        <v>1502860273</v>
      </c>
      <c r="GG499">
        <v>2</v>
      </c>
      <c r="GH499">
        <v>1</v>
      </c>
      <c r="GI499">
        <v>2</v>
      </c>
      <c r="GJ499">
        <v>0</v>
      </c>
      <c r="GK499">
        <f>ROUND(R499*(R12)/100,2)</f>
        <v>35.15</v>
      </c>
      <c r="GL499">
        <f t="shared" si="432"/>
        <v>0</v>
      </c>
      <c r="GM499">
        <f t="shared" si="433"/>
        <v>78069.240000000005</v>
      </c>
      <c r="GN499">
        <f t="shared" si="434"/>
        <v>78069.240000000005</v>
      </c>
      <c r="GO499">
        <f t="shared" si="435"/>
        <v>0</v>
      </c>
      <c r="GP499">
        <f t="shared" si="436"/>
        <v>0</v>
      </c>
      <c r="GR499">
        <v>0</v>
      </c>
      <c r="GS499">
        <v>3</v>
      </c>
      <c r="GT499">
        <v>0</v>
      </c>
      <c r="GU499" t="s">
        <v>3</v>
      </c>
      <c r="GV499">
        <f t="shared" si="437"/>
        <v>0</v>
      </c>
      <c r="GW499">
        <v>1</v>
      </c>
      <c r="GX499">
        <f t="shared" si="438"/>
        <v>0</v>
      </c>
      <c r="HA499">
        <v>0</v>
      </c>
      <c r="HB499">
        <v>0</v>
      </c>
      <c r="HC499">
        <f t="shared" si="439"/>
        <v>0</v>
      </c>
      <c r="HE499" t="s">
        <v>3</v>
      </c>
      <c r="HF499" t="s">
        <v>3</v>
      </c>
      <c r="HM499" t="s">
        <v>3</v>
      </c>
      <c r="IK499">
        <v>0</v>
      </c>
    </row>
    <row r="500" spans="1:245" x14ac:dyDescent="0.2">
      <c r="A500">
        <v>18</v>
      </c>
      <c r="B500">
        <v>1</v>
      </c>
      <c r="C500">
        <v>330</v>
      </c>
      <c r="E500" t="s">
        <v>683</v>
      </c>
      <c r="F500" t="s">
        <v>118</v>
      </c>
      <c r="G500" t="s">
        <v>684</v>
      </c>
      <c r="H500" t="s">
        <v>104</v>
      </c>
      <c r="I500">
        <f>I499*J500</f>
        <v>15.000000000000002</v>
      </c>
      <c r="J500">
        <v>41.666666666666671</v>
      </c>
      <c r="K500">
        <v>41.666666999999997</v>
      </c>
      <c r="O500">
        <f t="shared" si="405"/>
        <v>140250.63</v>
      </c>
      <c r="P500">
        <f t="shared" si="406"/>
        <v>140250.63</v>
      </c>
      <c r="Q500">
        <f t="shared" ref="Q500:Q505" si="444">(ROUND((ROUND(((ET500)*AV500*I500),2)*BB500),2)+ROUND((ROUND(((AE500-(EU500))*AV500*I500),2)*BS500),2))</f>
        <v>0</v>
      </c>
      <c r="R500">
        <f t="shared" si="407"/>
        <v>0</v>
      </c>
      <c r="S500">
        <f t="shared" si="408"/>
        <v>0</v>
      </c>
      <c r="T500">
        <f t="shared" si="409"/>
        <v>0</v>
      </c>
      <c r="U500">
        <f t="shared" si="410"/>
        <v>0</v>
      </c>
      <c r="V500">
        <f t="shared" si="411"/>
        <v>0</v>
      </c>
      <c r="W500">
        <f t="shared" si="412"/>
        <v>0</v>
      </c>
      <c r="X500">
        <f t="shared" si="413"/>
        <v>0</v>
      </c>
      <c r="Y500">
        <f t="shared" si="414"/>
        <v>0</v>
      </c>
      <c r="AA500">
        <v>42938047</v>
      </c>
      <c r="AB500">
        <f t="shared" si="415"/>
        <v>1474.77</v>
      </c>
      <c r="AC500">
        <f t="shared" si="416"/>
        <v>1474.77</v>
      </c>
      <c r="AD500">
        <f t="shared" ref="AD500:AD505" si="445">ROUND((((ET500)-(EU500))+AE500),6)</f>
        <v>0</v>
      </c>
      <c r="AE500">
        <f t="shared" ref="AE500:AF505" si="446">ROUND((EU500),6)</f>
        <v>0</v>
      </c>
      <c r="AF500">
        <f t="shared" si="446"/>
        <v>0</v>
      </c>
      <c r="AG500">
        <f t="shared" si="418"/>
        <v>0</v>
      </c>
      <c r="AH500">
        <f t="shared" ref="AH500:AI505" si="447">(EW500)</f>
        <v>0</v>
      </c>
      <c r="AI500">
        <f t="shared" si="447"/>
        <v>0</v>
      </c>
      <c r="AJ500">
        <f t="shared" si="420"/>
        <v>0</v>
      </c>
      <c r="AK500">
        <v>1474.77</v>
      </c>
      <c r="AL500">
        <v>1474.77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1</v>
      </c>
      <c r="AW500">
        <v>1</v>
      </c>
      <c r="AZ500">
        <v>1</v>
      </c>
      <c r="BA500">
        <v>1</v>
      </c>
      <c r="BB500">
        <v>1</v>
      </c>
      <c r="BC500">
        <v>6.34</v>
      </c>
      <c r="BD500" t="s">
        <v>3</v>
      </c>
      <c r="BE500" t="s">
        <v>3</v>
      </c>
      <c r="BF500" t="s">
        <v>3</v>
      </c>
      <c r="BG500" t="s">
        <v>3</v>
      </c>
      <c r="BH500">
        <v>3</v>
      </c>
      <c r="BI500">
        <v>1</v>
      </c>
      <c r="BJ500" t="s">
        <v>3</v>
      </c>
      <c r="BM500">
        <v>15</v>
      </c>
      <c r="BN500">
        <v>0</v>
      </c>
      <c r="BO500" t="s">
        <v>3</v>
      </c>
      <c r="BP500">
        <v>0</v>
      </c>
      <c r="BQ500">
        <v>30</v>
      </c>
      <c r="BR500">
        <v>0</v>
      </c>
      <c r="BS500">
        <v>1</v>
      </c>
      <c r="BT500">
        <v>1</v>
      </c>
      <c r="BU500">
        <v>1</v>
      </c>
      <c r="BV500">
        <v>1</v>
      </c>
      <c r="BW500">
        <v>1</v>
      </c>
      <c r="BX500">
        <v>1</v>
      </c>
      <c r="BY500" t="s">
        <v>3</v>
      </c>
      <c r="BZ500">
        <v>0</v>
      </c>
      <c r="CA500">
        <v>0</v>
      </c>
      <c r="CB500" t="s">
        <v>3</v>
      </c>
      <c r="CE500">
        <v>30</v>
      </c>
      <c r="CF500">
        <v>0</v>
      </c>
      <c r="CG500">
        <v>0</v>
      </c>
      <c r="CM500">
        <v>0</v>
      </c>
      <c r="CN500" t="s">
        <v>3</v>
      </c>
      <c r="CO500">
        <v>0</v>
      </c>
      <c r="CP500">
        <f t="shared" si="421"/>
        <v>140250.63</v>
      </c>
      <c r="CQ500">
        <f t="shared" si="422"/>
        <v>9350.0400000000009</v>
      </c>
      <c r="CR500">
        <f t="shared" ref="CR500:CR505" si="448">(ROUND((ROUND(((ET500)*AV500*1),2)*BB500),2)+ROUND((ROUND(((AE500-(EU500))*AV500*1),2)*BS500),2))</f>
        <v>0</v>
      </c>
      <c r="CS500">
        <f t="shared" si="423"/>
        <v>0</v>
      </c>
      <c r="CT500">
        <f t="shared" si="424"/>
        <v>0</v>
      </c>
      <c r="CU500">
        <f t="shared" si="425"/>
        <v>0</v>
      </c>
      <c r="CV500">
        <f t="shared" si="426"/>
        <v>0</v>
      </c>
      <c r="CW500">
        <f t="shared" si="427"/>
        <v>0</v>
      </c>
      <c r="CX500">
        <f t="shared" si="428"/>
        <v>0</v>
      </c>
      <c r="CY500">
        <f t="shared" si="429"/>
        <v>0</v>
      </c>
      <c r="CZ500">
        <f t="shared" si="430"/>
        <v>0</v>
      </c>
      <c r="DC500" t="s">
        <v>3</v>
      </c>
      <c r="DD500" t="s">
        <v>3</v>
      </c>
      <c r="DE500" t="s">
        <v>3</v>
      </c>
      <c r="DF500" t="s">
        <v>3</v>
      </c>
      <c r="DG500" t="s">
        <v>3</v>
      </c>
      <c r="DH500" t="s">
        <v>3</v>
      </c>
      <c r="DI500" t="s">
        <v>3</v>
      </c>
      <c r="DJ500" t="s">
        <v>3</v>
      </c>
      <c r="DK500" t="s">
        <v>3</v>
      </c>
      <c r="DL500" t="s">
        <v>3</v>
      </c>
      <c r="DM500" t="s">
        <v>3</v>
      </c>
      <c r="DN500">
        <v>98</v>
      </c>
      <c r="DO500">
        <v>77</v>
      </c>
      <c r="DP500">
        <v>1</v>
      </c>
      <c r="DQ500">
        <v>1</v>
      </c>
      <c r="DU500">
        <v>1009</v>
      </c>
      <c r="DV500" t="s">
        <v>104</v>
      </c>
      <c r="DW500" t="s">
        <v>104</v>
      </c>
      <c r="DX500">
        <v>1000</v>
      </c>
      <c r="DZ500" t="s">
        <v>3</v>
      </c>
      <c r="EA500" t="s">
        <v>3</v>
      </c>
      <c r="EB500" t="s">
        <v>3</v>
      </c>
      <c r="EC500" t="s">
        <v>3</v>
      </c>
      <c r="EE500">
        <v>43090094</v>
      </c>
      <c r="EF500">
        <v>30</v>
      </c>
      <c r="EG500" t="s">
        <v>22</v>
      </c>
      <c r="EH500">
        <v>0</v>
      </c>
      <c r="EI500" t="s">
        <v>3</v>
      </c>
      <c r="EJ500">
        <v>1</v>
      </c>
      <c r="EK500">
        <v>15</v>
      </c>
      <c r="EL500" t="s">
        <v>681</v>
      </c>
      <c r="EM500" t="s">
        <v>682</v>
      </c>
      <c r="EO500" t="s">
        <v>3</v>
      </c>
      <c r="EQ500">
        <v>0</v>
      </c>
      <c r="ER500">
        <v>1474.77</v>
      </c>
      <c r="ES500">
        <v>1474.77</v>
      </c>
      <c r="ET500">
        <v>0</v>
      </c>
      <c r="EU500">
        <v>0</v>
      </c>
      <c r="EV500">
        <v>0</v>
      </c>
      <c r="EW500">
        <v>0</v>
      </c>
      <c r="EX500">
        <v>0</v>
      </c>
      <c r="EZ500">
        <v>5</v>
      </c>
      <c r="FC500">
        <v>1</v>
      </c>
      <c r="FD500">
        <v>18</v>
      </c>
      <c r="FF500">
        <v>11000</v>
      </c>
      <c r="FQ500">
        <v>0</v>
      </c>
      <c r="FR500">
        <f t="shared" si="431"/>
        <v>0</v>
      </c>
      <c r="FS500">
        <v>0</v>
      </c>
      <c r="FX500">
        <v>98</v>
      </c>
      <c r="FY500">
        <v>77</v>
      </c>
      <c r="GA500" t="s">
        <v>685</v>
      </c>
      <c r="GD500">
        <v>0</v>
      </c>
      <c r="GF500">
        <v>147350784</v>
      </c>
      <c r="GG500">
        <v>2</v>
      </c>
      <c r="GH500">
        <v>3</v>
      </c>
      <c r="GI500">
        <v>3</v>
      </c>
      <c r="GJ500">
        <v>0</v>
      </c>
      <c r="GK500">
        <f>ROUND(R500*(R12)/100,2)</f>
        <v>0</v>
      </c>
      <c r="GL500">
        <f t="shared" si="432"/>
        <v>0</v>
      </c>
      <c r="GM500">
        <f t="shared" si="433"/>
        <v>140250.63</v>
      </c>
      <c r="GN500">
        <f t="shared" si="434"/>
        <v>140250.63</v>
      </c>
      <c r="GO500">
        <f t="shared" si="435"/>
        <v>0</v>
      </c>
      <c r="GP500">
        <f t="shared" si="436"/>
        <v>0</v>
      </c>
      <c r="GR500">
        <v>1</v>
      </c>
      <c r="GS500">
        <v>1</v>
      </c>
      <c r="GT500">
        <v>0</v>
      </c>
      <c r="GU500" t="s">
        <v>3</v>
      </c>
      <c r="GV500">
        <f t="shared" si="437"/>
        <v>0</v>
      </c>
      <c r="GW500">
        <v>1</v>
      </c>
      <c r="GX500">
        <f t="shared" si="438"/>
        <v>0</v>
      </c>
      <c r="HA500">
        <v>0</v>
      </c>
      <c r="HB500">
        <v>0</v>
      </c>
      <c r="HC500">
        <f t="shared" si="439"/>
        <v>0</v>
      </c>
      <c r="HE500" t="s">
        <v>26</v>
      </c>
      <c r="HF500" t="s">
        <v>122</v>
      </c>
      <c r="HM500" t="s">
        <v>3</v>
      </c>
      <c r="IK500">
        <v>0</v>
      </c>
    </row>
    <row r="501" spans="1:245" x14ac:dyDescent="0.2">
      <c r="A501">
        <v>17</v>
      </c>
      <c r="B501">
        <v>1</v>
      </c>
      <c r="C501">
        <f>ROW(SmtRes!A331)</f>
        <v>331</v>
      </c>
      <c r="D501">
        <f>ROW(EtalonRes!A331)</f>
        <v>331</v>
      </c>
      <c r="E501" t="s">
        <v>686</v>
      </c>
      <c r="F501" t="s">
        <v>180</v>
      </c>
      <c r="G501" t="s">
        <v>316</v>
      </c>
      <c r="H501" t="s">
        <v>182</v>
      </c>
      <c r="I501">
        <v>959</v>
      </c>
      <c r="J501">
        <v>0</v>
      </c>
      <c r="K501">
        <v>959</v>
      </c>
      <c r="O501">
        <f t="shared" si="405"/>
        <v>77490.27</v>
      </c>
      <c r="P501">
        <f t="shared" si="406"/>
        <v>0</v>
      </c>
      <c r="Q501">
        <f t="shared" si="444"/>
        <v>77490.27</v>
      </c>
      <c r="R501">
        <f t="shared" si="407"/>
        <v>36107.5</v>
      </c>
      <c r="S501">
        <f t="shared" si="408"/>
        <v>0</v>
      </c>
      <c r="T501">
        <f t="shared" si="409"/>
        <v>0</v>
      </c>
      <c r="U501">
        <f t="shared" si="410"/>
        <v>0</v>
      </c>
      <c r="V501">
        <f t="shared" si="411"/>
        <v>0</v>
      </c>
      <c r="W501">
        <f t="shared" si="412"/>
        <v>0</v>
      </c>
      <c r="X501">
        <f t="shared" si="413"/>
        <v>0</v>
      </c>
      <c r="Y501">
        <f t="shared" si="414"/>
        <v>0</v>
      </c>
      <c r="AA501">
        <v>42938047</v>
      </c>
      <c r="AB501">
        <f t="shared" si="415"/>
        <v>8.86</v>
      </c>
      <c r="AC501">
        <f t="shared" si="416"/>
        <v>0</v>
      </c>
      <c r="AD501">
        <f t="shared" si="445"/>
        <v>8.86</v>
      </c>
      <c r="AE501">
        <f t="shared" si="446"/>
        <v>1.48</v>
      </c>
      <c r="AF501">
        <f t="shared" si="446"/>
        <v>0</v>
      </c>
      <c r="AG501">
        <f t="shared" si="418"/>
        <v>0</v>
      </c>
      <c r="AH501">
        <f t="shared" si="447"/>
        <v>0</v>
      </c>
      <c r="AI501">
        <f t="shared" si="447"/>
        <v>0</v>
      </c>
      <c r="AJ501">
        <f t="shared" si="420"/>
        <v>0</v>
      </c>
      <c r="AK501">
        <v>8.86</v>
      </c>
      <c r="AL501">
        <v>0</v>
      </c>
      <c r="AM501">
        <v>8.86</v>
      </c>
      <c r="AN501">
        <v>1.48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73</v>
      </c>
      <c r="AU501">
        <v>41</v>
      </c>
      <c r="AV501">
        <v>1</v>
      </c>
      <c r="AW501">
        <v>1</v>
      </c>
      <c r="AZ501">
        <v>1</v>
      </c>
      <c r="BA501">
        <v>25.44</v>
      </c>
      <c r="BB501">
        <v>9.1199999999999992</v>
      </c>
      <c r="BC501">
        <v>1</v>
      </c>
      <c r="BD501" t="s">
        <v>3</v>
      </c>
      <c r="BE501" t="s">
        <v>3</v>
      </c>
      <c r="BF501" t="s">
        <v>3</v>
      </c>
      <c r="BG501" t="s">
        <v>3</v>
      </c>
      <c r="BH501">
        <v>0</v>
      </c>
      <c r="BI501">
        <v>1</v>
      </c>
      <c r="BJ501" t="s">
        <v>183</v>
      </c>
      <c r="BM501">
        <v>658</v>
      </c>
      <c r="BN501">
        <v>0</v>
      </c>
      <c r="BO501" t="s">
        <v>180</v>
      </c>
      <c r="BP501">
        <v>1</v>
      </c>
      <c r="BQ501">
        <v>60</v>
      </c>
      <c r="BR501">
        <v>0</v>
      </c>
      <c r="BS501">
        <v>25.44</v>
      </c>
      <c r="BT501">
        <v>1</v>
      </c>
      <c r="BU501">
        <v>1</v>
      </c>
      <c r="BV501">
        <v>1</v>
      </c>
      <c r="BW501">
        <v>1</v>
      </c>
      <c r="BX501">
        <v>1</v>
      </c>
      <c r="BY501" t="s">
        <v>3</v>
      </c>
      <c r="BZ501">
        <v>73</v>
      </c>
      <c r="CA501">
        <v>41</v>
      </c>
      <c r="CB501" t="s">
        <v>3</v>
      </c>
      <c r="CE501">
        <v>30</v>
      </c>
      <c r="CF501">
        <v>0</v>
      </c>
      <c r="CG501">
        <v>0</v>
      </c>
      <c r="CM501">
        <v>0</v>
      </c>
      <c r="CN501" t="s">
        <v>3</v>
      </c>
      <c r="CO501">
        <v>0</v>
      </c>
      <c r="CP501">
        <f t="shared" si="421"/>
        <v>77490.27</v>
      </c>
      <c r="CQ501">
        <f t="shared" si="422"/>
        <v>0</v>
      </c>
      <c r="CR501">
        <f t="shared" si="448"/>
        <v>80.8</v>
      </c>
      <c r="CS501">
        <f t="shared" si="423"/>
        <v>37.65</v>
      </c>
      <c r="CT501">
        <f t="shared" si="424"/>
        <v>0</v>
      </c>
      <c r="CU501">
        <f t="shared" si="425"/>
        <v>0</v>
      </c>
      <c r="CV501">
        <f t="shared" si="426"/>
        <v>0</v>
      </c>
      <c r="CW501">
        <f t="shared" si="427"/>
        <v>0</v>
      </c>
      <c r="CX501">
        <f t="shared" si="428"/>
        <v>0</v>
      </c>
      <c r="CY501">
        <f t="shared" si="429"/>
        <v>0</v>
      </c>
      <c r="CZ501">
        <f t="shared" si="430"/>
        <v>0</v>
      </c>
      <c r="DC501" t="s">
        <v>3</v>
      </c>
      <c r="DD501" t="s">
        <v>3</v>
      </c>
      <c r="DE501" t="s">
        <v>3</v>
      </c>
      <c r="DF501" t="s">
        <v>3</v>
      </c>
      <c r="DG501" t="s">
        <v>3</v>
      </c>
      <c r="DH501" t="s">
        <v>3</v>
      </c>
      <c r="DI501" t="s">
        <v>3</v>
      </c>
      <c r="DJ501" t="s">
        <v>3</v>
      </c>
      <c r="DK501" t="s">
        <v>3</v>
      </c>
      <c r="DL501" t="s">
        <v>3</v>
      </c>
      <c r="DM501" t="s">
        <v>3</v>
      </c>
      <c r="DN501">
        <v>91</v>
      </c>
      <c r="DO501">
        <v>70</v>
      </c>
      <c r="DP501">
        <v>1</v>
      </c>
      <c r="DQ501">
        <v>1</v>
      </c>
      <c r="DU501">
        <v>1013</v>
      </c>
      <c r="DV501" t="s">
        <v>182</v>
      </c>
      <c r="DW501" t="s">
        <v>182</v>
      </c>
      <c r="DX501">
        <v>1</v>
      </c>
      <c r="DZ501" t="s">
        <v>3</v>
      </c>
      <c r="EA501" t="s">
        <v>3</v>
      </c>
      <c r="EB501" t="s">
        <v>3</v>
      </c>
      <c r="EC501" t="s">
        <v>3</v>
      </c>
      <c r="EE501">
        <v>43088736</v>
      </c>
      <c r="EF501">
        <v>60</v>
      </c>
      <c r="EG501" t="s">
        <v>40</v>
      </c>
      <c r="EH501">
        <v>0</v>
      </c>
      <c r="EI501" t="s">
        <v>3</v>
      </c>
      <c r="EJ501">
        <v>1</v>
      </c>
      <c r="EK501">
        <v>658</v>
      </c>
      <c r="EL501" t="s">
        <v>184</v>
      </c>
      <c r="EM501" t="s">
        <v>185</v>
      </c>
      <c r="EO501" t="s">
        <v>3</v>
      </c>
      <c r="EQ501">
        <v>0</v>
      </c>
      <c r="ER501">
        <v>8.86</v>
      </c>
      <c r="ES501">
        <v>0</v>
      </c>
      <c r="ET501">
        <v>8.86</v>
      </c>
      <c r="EU501">
        <v>1.48</v>
      </c>
      <c r="EV501">
        <v>0</v>
      </c>
      <c r="EW501">
        <v>0</v>
      </c>
      <c r="EX501">
        <v>0</v>
      </c>
      <c r="EY501">
        <v>0</v>
      </c>
      <c r="FQ501">
        <v>0</v>
      </c>
      <c r="FR501">
        <f t="shared" si="431"/>
        <v>0</v>
      </c>
      <c r="FS501">
        <v>0</v>
      </c>
      <c r="FX501">
        <v>91</v>
      </c>
      <c r="FY501">
        <v>70</v>
      </c>
      <c r="GA501" t="s">
        <v>3</v>
      </c>
      <c r="GD501">
        <v>0</v>
      </c>
      <c r="GF501">
        <v>-1983005167</v>
      </c>
      <c r="GG501">
        <v>2</v>
      </c>
      <c r="GH501">
        <v>1</v>
      </c>
      <c r="GI501">
        <v>2</v>
      </c>
      <c r="GJ501">
        <v>0</v>
      </c>
      <c r="GK501">
        <f>ROUND(R501*(R12)/100,2)</f>
        <v>56688.78</v>
      </c>
      <c r="GL501">
        <f t="shared" si="432"/>
        <v>0</v>
      </c>
      <c r="GM501">
        <f t="shared" si="433"/>
        <v>134179.04999999999</v>
      </c>
      <c r="GN501">
        <f t="shared" si="434"/>
        <v>134179.04999999999</v>
      </c>
      <c r="GO501">
        <f t="shared" si="435"/>
        <v>0</v>
      </c>
      <c r="GP501">
        <f t="shared" si="436"/>
        <v>0</v>
      </c>
      <c r="GR501">
        <v>0</v>
      </c>
      <c r="GS501">
        <v>3</v>
      </c>
      <c r="GT501">
        <v>0</v>
      </c>
      <c r="GU501" t="s">
        <v>3</v>
      </c>
      <c r="GV501">
        <f t="shared" si="437"/>
        <v>0</v>
      </c>
      <c r="GW501">
        <v>1</v>
      </c>
      <c r="GX501">
        <f t="shared" si="438"/>
        <v>0</v>
      </c>
      <c r="HA501">
        <v>0</v>
      </c>
      <c r="HB501">
        <v>0</v>
      </c>
      <c r="HC501">
        <f t="shared" si="439"/>
        <v>0</v>
      </c>
      <c r="HE501" t="s">
        <v>3</v>
      </c>
      <c r="HF501" t="s">
        <v>3</v>
      </c>
      <c r="HM501" t="s">
        <v>3</v>
      </c>
      <c r="IK501">
        <v>0</v>
      </c>
    </row>
    <row r="502" spans="1:245" x14ac:dyDescent="0.2">
      <c r="A502">
        <v>17</v>
      </c>
      <c r="B502">
        <v>1</v>
      </c>
      <c r="C502">
        <f>ROW(SmtRes!A332)</f>
        <v>332</v>
      </c>
      <c r="D502">
        <f>ROW(EtalonRes!A332)</f>
        <v>332</v>
      </c>
      <c r="E502" t="s">
        <v>687</v>
      </c>
      <c r="F502" t="s">
        <v>187</v>
      </c>
      <c r="G502" t="s">
        <v>688</v>
      </c>
      <c r="H502" t="s">
        <v>104</v>
      </c>
      <c r="I502">
        <v>959</v>
      </c>
      <c r="J502">
        <v>0</v>
      </c>
      <c r="K502">
        <v>959</v>
      </c>
      <c r="O502">
        <f t="shared" si="405"/>
        <v>434454.62</v>
      </c>
      <c r="P502">
        <f t="shared" si="406"/>
        <v>0</v>
      </c>
      <c r="Q502">
        <f t="shared" si="444"/>
        <v>434454.62</v>
      </c>
      <c r="R502">
        <f t="shared" si="407"/>
        <v>0</v>
      </c>
      <c r="S502">
        <f t="shared" si="408"/>
        <v>0</v>
      </c>
      <c r="T502">
        <f t="shared" si="409"/>
        <v>0</v>
      </c>
      <c r="U502">
        <f t="shared" si="410"/>
        <v>0</v>
      </c>
      <c r="V502">
        <f t="shared" si="411"/>
        <v>0</v>
      </c>
      <c r="W502">
        <f t="shared" si="412"/>
        <v>0</v>
      </c>
      <c r="X502">
        <f t="shared" si="413"/>
        <v>0</v>
      </c>
      <c r="Y502">
        <f t="shared" si="414"/>
        <v>0</v>
      </c>
      <c r="AA502">
        <v>42938047</v>
      </c>
      <c r="AB502">
        <f t="shared" si="415"/>
        <v>38.92</v>
      </c>
      <c r="AC502">
        <f t="shared" si="416"/>
        <v>0</v>
      </c>
      <c r="AD502">
        <f t="shared" si="445"/>
        <v>38.92</v>
      </c>
      <c r="AE502">
        <f t="shared" si="446"/>
        <v>0</v>
      </c>
      <c r="AF502">
        <f t="shared" si="446"/>
        <v>0</v>
      </c>
      <c r="AG502">
        <f t="shared" si="418"/>
        <v>0</v>
      </c>
      <c r="AH502">
        <f t="shared" si="447"/>
        <v>0</v>
      </c>
      <c r="AI502">
        <f t="shared" si="447"/>
        <v>0</v>
      </c>
      <c r="AJ502">
        <f t="shared" si="420"/>
        <v>0</v>
      </c>
      <c r="AK502">
        <v>38.92</v>
      </c>
      <c r="AL502">
        <v>0</v>
      </c>
      <c r="AM502">
        <v>38.92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93</v>
      </c>
      <c r="AU502">
        <v>64</v>
      </c>
      <c r="AV502">
        <v>1</v>
      </c>
      <c r="AW502">
        <v>1</v>
      </c>
      <c r="AZ502">
        <v>1</v>
      </c>
      <c r="BA502">
        <v>1</v>
      </c>
      <c r="BB502">
        <v>11.64</v>
      </c>
      <c r="BC502">
        <v>1</v>
      </c>
      <c r="BD502" t="s">
        <v>3</v>
      </c>
      <c r="BE502" t="s">
        <v>3</v>
      </c>
      <c r="BF502" t="s">
        <v>3</v>
      </c>
      <c r="BG502" t="s">
        <v>3</v>
      </c>
      <c r="BH502">
        <v>0</v>
      </c>
      <c r="BI502">
        <v>4</v>
      </c>
      <c r="BJ502" t="s">
        <v>189</v>
      </c>
      <c r="BM502">
        <v>1113</v>
      </c>
      <c r="BN502">
        <v>0</v>
      </c>
      <c r="BO502" t="s">
        <v>187</v>
      </c>
      <c r="BP502">
        <v>1</v>
      </c>
      <c r="BQ502">
        <v>150</v>
      </c>
      <c r="BR502">
        <v>0</v>
      </c>
      <c r="BS502">
        <v>1</v>
      </c>
      <c r="BT502">
        <v>1</v>
      </c>
      <c r="BU502">
        <v>1</v>
      </c>
      <c r="BV502">
        <v>1</v>
      </c>
      <c r="BW502">
        <v>1</v>
      </c>
      <c r="BX502">
        <v>1</v>
      </c>
      <c r="BY502" t="s">
        <v>3</v>
      </c>
      <c r="BZ502">
        <v>93</v>
      </c>
      <c r="CA502">
        <v>64</v>
      </c>
      <c r="CB502" t="s">
        <v>3</v>
      </c>
      <c r="CE502">
        <v>30</v>
      </c>
      <c r="CF502">
        <v>0</v>
      </c>
      <c r="CG502">
        <v>0</v>
      </c>
      <c r="CM502">
        <v>0</v>
      </c>
      <c r="CN502" t="s">
        <v>3</v>
      </c>
      <c r="CO502">
        <v>0</v>
      </c>
      <c r="CP502">
        <f t="shared" si="421"/>
        <v>434454.62</v>
      </c>
      <c r="CQ502">
        <f t="shared" si="422"/>
        <v>0</v>
      </c>
      <c r="CR502">
        <f t="shared" si="448"/>
        <v>453.03</v>
      </c>
      <c r="CS502">
        <f t="shared" si="423"/>
        <v>0</v>
      </c>
      <c r="CT502">
        <f t="shared" si="424"/>
        <v>0</v>
      </c>
      <c r="CU502">
        <f t="shared" si="425"/>
        <v>0</v>
      </c>
      <c r="CV502">
        <f t="shared" si="426"/>
        <v>0</v>
      </c>
      <c r="CW502">
        <f t="shared" si="427"/>
        <v>0</v>
      </c>
      <c r="CX502">
        <f t="shared" si="428"/>
        <v>0</v>
      </c>
      <c r="CY502">
        <f t="shared" si="429"/>
        <v>0</v>
      </c>
      <c r="CZ502">
        <f t="shared" si="430"/>
        <v>0</v>
      </c>
      <c r="DC502" t="s">
        <v>3</v>
      </c>
      <c r="DD502" t="s">
        <v>3</v>
      </c>
      <c r="DE502" t="s">
        <v>3</v>
      </c>
      <c r="DF502" t="s">
        <v>3</v>
      </c>
      <c r="DG502" t="s">
        <v>3</v>
      </c>
      <c r="DH502" t="s">
        <v>3</v>
      </c>
      <c r="DI502" t="s">
        <v>3</v>
      </c>
      <c r="DJ502" t="s">
        <v>3</v>
      </c>
      <c r="DK502" t="s">
        <v>3</v>
      </c>
      <c r="DL502" t="s">
        <v>3</v>
      </c>
      <c r="DM502" t="s">
        <v>3</v>
      </c>
      <c r="DN502">
        <v>0</v>
      </c>
      <c r="DO502">
        <v>0</v>
      </c>
      <c r="DP502">
        <v>1</v>
      </c>
      <c r="DQ502">
        <v>1</v>
      </c>
      <c r="DU502">
        <v>1009</v>
      </c>
      <c r="DV502" t="s">
        <v>104</v>
      </c>
      <c r="DW502" t="s">
        <v>104</v>
      </c>
      <c r="DX502">
        <v>1000</v>
      </c>
      <c r="DZ502" t="s">
        <v>3</v>
      </c>
      <c r="EA502" t="s">
        <v>3</v>
      </c>
      <c r="EB502" t="s">
        <v>3</v>
      </c>
      <c r="EC502" t="s">
        <v>3</v>
      </c>
      <c r="EE502">
        <v>43089191</v>
      </c>
      <c r="EF502">
        <v>150</v>
      </c>
      <c r="EG502" t="s">
        <v>190</v>
      </c>
      <c r="EH502">
        <v>0</v>
      </c>
      <c r="EI502" t="s">
        <v>3</v>
      </c>
      <c r="EJ502">
        <v>4</v>
      </c>
      <c r="EK502">
        <v>1113</v>
      </c>
      <c r="EL502" t="s">
        <v>191</v>
      </c>
      <c r="EM502" t="s">
        <v>192</v>
      </c>
      <c r="EO502" t="s">
        <v>3</v>
      </c>
      <c r="EQ502">
        <v>0</v>
      </c>
      <c r="ER502">
        <v>38.92</v>
      </c>
      <c r="ES502">
        <v>0</v>
      </c>
      <c r="ET502">
        <v>38.92</v>
      </c>
      <c r="EU502">
        <v>0</v>
      </c>
      <c r="EV502">
        <v>0</v>
      </c>
      <c r="EW502">
        <v>0</v>
      </c>
      <c r="EX502">
        <v>0</v>
      </c>
      <c r="EY502">
        <v>0</v>
      </c>
      <c r="FQ502">
        <v>0</v>
      </c>
      <c r="FR502">
        <f t="shared" si="431"/>
        <v>0</v>
      </c>
      <c r="FS502">
        <v>0</v>
      </c>
      <c r="FX502">
        <v>0</v>
      </c>
      <c r="FY502">
        <v>0</v>
      </c>
      <c r="GA502" t="s">
        <v>3</v>
      </c>
      <c r="GD502">
        <v>0</v>
      </c>
      <c r="GF502">
        <v>205576738</v>
      </c>
      <c r="GG502">
        <v>2</v>
      </c>
      <c r="GH502">
        <v>1</v>
      </c>
      <c r="GI502">
        <v>2</v>
      </c>
      <c r="GJ502">
        <v>0</v>
      </c>
      <c r="GK502">
        <f>ROUND(R502*(R12)/100,2)</f>
        <v>0</v>
      </c>
      <c r="GL502">
        <f t="shared" si="432"/>
        <v>0</v>
      </c>
      <c r="GM502">
        <f t="shared" si="433"/>
        <v>434454.62</v>
      </c>
      <c r="GN502">
        <f t="shared" si="434"/>
        <v>0</v>
      </c>
      <c r="GO502">
        <f t="shared" si="435"/>
        <v>0</v>
      </c>
      <c r="GP502">
        <f t="shared" si="436"/>
        <v>434454.62</v>
      </c>
      <c r="GR502">
        <v>0</v>
      </c>
      <c r="GS502">
        <v>3</v>
      </c>
      <c r="GT502">
        <v>0</v>
      </c>
      <c r="GU502" t="s">
        <v>3</v>
      </c>
      <c r="GV502">
        <f t="shared" si="437"/>
        <v>0</v>
      </c>
      <c r="GW502">
        <v>1</v>
      </c>
      <c r="GX502">
        <f t="shared" si="438"/>
        <v>0</v>
      </c>
      <c r="HA502">
        <v>0</v>
      </c>
      <c r="HB502">
        <v>0</v>
      </c>
      <c r="HC502">
        <f t="shared" si="439"/>
        <v>0</v>
      </c>
      <c r="HE502" t="s">
        <v>3</v>
      </c>
      <c r="HF502" t="s">
        <v>3</v>
      </c>
      <c r="HM502" t="s">
        <v>3</v>
      </c>
      <c r="IK502">
        <v>0</v>
      </c>
    </row>
    <row r="503" spans="1:245" x14ac:dyDescent="0.2">
      <c r="A503">
        <v>17</v>
      </c>
      <c r="B503">
        <v>1</v>
      </c>
      <c r="C503">
        <f>ROW(SmtRes!A333)</f>
        <v>333</v>
      </c>
      <c r="D503">
        <f>ROW(EtalonRes!A333)</f>
        <v>333</v>
      </c>
      <c r="E503" t="s">
        <v>689</v>
      </c>
      <c r="F503" t="s">
        <v>204</v>
      </c>
      <c r="G503" t="s">
        <v>690</v>
      </c>
      <c r="H503" t="s">
        <v>104</v>
      </c>
      <c r="I503">
        <v>274</v>
      </c>
      <c r="J503">
        <v>0</v>
      </c>
      <c r="K503">
        <v>274</v>
      </c>
      <c r="O503">
        <f t="shared" si="405"/>
        <v>153894.84</v>
      </c>
      <c r="P503">
        <f t="shared" si="406"/>
        <v>0</v>
      </c>
      <c r="Q503">
        <f t="shared" si="444"/>
        <v>153894.84</v>
      </c>
      <c r="R503">
        <f t="shared" si="407"/>
        <v>0</v>
      </c>
      <c r="S503">
        <f t="shared" si="408"/>
        <v>0</v>
      </c>
      <c r="T503">
        <f t="shared" si="409"/>
        <v>0</v>
      </c>
      <c r="U503">
        <f t="shared" si="410"/>
        <v>0</v>
      </c>
      <c r="V503">
        <f t="shared" si="411"/>
        <v>0</v>
      </c>
      <c r="W503">
        <f t="shared" si="412"/>
        <v>0</v>
      </c>
      <c r="X503">
        <f t="shared" si="413"/>
        <v>0</v>
      </c>
      <c r="Y503">
        <f t="shared" si="414"/>
        <v>0</v>
      </c>
      <c r="AA503">
        <v>42938047</v>
      </c>
      <c r="AB503">
        <f t="shared" si="415"/>
        <v>46</v>
      </c>
      <c r="AC503">
        <f t="shared" si="416"/>
        <v>0</v>
      </c>
      <c r="AD503">
        <f t="shared" si="445"/>
        <v>46</v>
      </c>
      <c r="AE503">
        <f t="shared" si="446"/>
        <v>0</v>
      </c>
      <c r="AF503">
        <f t="shared" si="446"/>
        <v>0</v>
      </c>
      <c r="AG503">
        <f t="shared" si="418"/>
        <v>0</v>
      </c>
      <c r="AH503">
        <f t="shared" si="447"/>
        <v>0</v>
      </c>
      <c r="AI503">
        <f t="shared" si="447"/>
        <v>0</v>
      </c>
      <c r="AJ503">
        <f t="shared" si="420"/>
        <v>0</v>
      </c>
      <c r="AK503">
        <v>46</v>
      </c>
      <c r="AL503">
        <v>0</v>
      </c>
      <c r="AM503">
        <v>46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93</v>
      </c>
      <c r="AU503">
        <v>64</v>
      </c>
      <c r="AV503">
        <v>1</v>
      </c>
      <c r="AW503">
        <v>1</v>
      </c>
      <c r="AZ503">
        <v>1</v>
      </c>
      <c r="BA503">
        <v>1</v>
      </c>
      <c r="BB503">
        <v>12.21</v>
      </c>
      <c r="BC503">
        <v>1</v>
      </c>
      <c r="BD503" t="s">
        <v>3</v>
      </c>
      <c r="BE503" t="s">
        <v>3</v>
      </c>
      <c r="BF503" t="s">
        <v>3</v>
      </c>
      <c r="BG503" t="s">
        <v>3</v>
      </c>
      <c r="BH503">
        <v>0</v>
      </c>
      <c r="BI503">
        <v>4</v>
      </c>
      <c r="BJ503" t="s">
        <v>206</v>
      </c>
      <c r="BM503">
        <v>1111</v>
      </c>
      <c r="BN503">
        <v>0</v>
      </c>
      <c r="BO503" t="s">
        <v>204</v>
      </c>
      <c r="BP503">
        <v>1</v>
      </c>
      <c r="BQ503">
        <v>150</v>
      </c>
      <c r="BR503">
        <v>0</v>
      </c>
      <c r="BS503">
        <v>1</v>
      </c>
      <c r="BT503">
        <v>1</v>
      </c>
      <c r="BU503">
        <v>1</v>
      </c>
      <c r="BV503">
        <v>1</v>
      </c>
      <c r="BW503">
        <v>1</v>
      </c>
      <c r="BX503">
        <v>1</v>
      </c>
      <c r="BY503" t="s">
        <v>3</v>
      </c>
      <c r="BZ503">
        <v>93</v>
      </c>
      <c r="CA503">
        <v>64</v>
      </c>
      <c r="CB503" t="s">
        <v>3</v>
      </c>
      <c r="CE503">
        <v>30</v>
      </c>
      <c r="CF503">
        <v>0</v>
      </c>
      <c r="CG503">
        <v>0</v>
      </c>
      <c r="CM503">
        <v>0</v>
      </c>
      <c r="CN503" t="s">
        <v>3</v>
      </c>
      <c r="CO503">
        <v>0</v>
      </c>
      <c r="CP503">
        <f t="shared" si="421"/>
        <v>153894.84</v>
      </c>
      <c r="CQ503">
        <f t="shared" si="422"/>
        <v>0</v>
      </c>
      <c r="CR503">
        <f t="shared" si="448"/>
        <v>561.66</v>
      </c>
      <c r="CS503">
        <f t="shared" si="423"/>
        <v>0</v>
      </c>
      <c r="CT503">
        <f t="shared" si="424"/>
        <v>0</v>
      </c>
      <c r="CU503">
        <f t="shared" si="425"/>
        <v>0</v>
      </c>
      <c r="CV503">
        <f t="shared" si="426"/>
        <v>0</v>
      </c>
      <c r="CW503">
        <f t="shared" si="427"/>
        <v>0</v>
      </c>
      <c r="CX503">
        <f t="shared" si="428"/>
        <v>0</v>
      </c>
      <c r="CY503">
        <f t="shared" si="429"/>
        <v>0</v>
      </c>
      <c r="CZ503">
        <f t="shared" si="430"/>
        <v>0</v>
      </c>
      <c r="DC503" t="s">
        <v>3</v>
      </c>
      <c r="DD503" t="s">
        <v>3</v>
      </c>
      <c r="DE503" t="s">
        <v>3</v>
      </c>
      <c r="DF503" t="s">
        <v>3</v>
      </c>
      <c r="DG503" t="s">
        <v>3</v>
      </c>
      <c r="DH503" t="s">
        <v>3</v>
      </c>
      <c r="DI503" t="s">
        <v>3</v>
      </c>
      <c r="DJ503" t="s">
        <v>3</v>
      </c>
      <c r="DK503" t="s">
        <v>3</v>
      </c>
      <c r="DL503" t="s">
        <v>3</v>
      </c>
      <c r="DM503" t="s">
        <v>3</v>
      </c>
      <c r="DN503">
        <v>0</v>
      </c>
      <c r="DO503">
        <v>0</v>
      </c>
      <c r="DP503">
        <v>1</v>
      </c>
      <c r="DQ503">
        <v>1</v>
      </c>
      <c r="DU503">
        <v>1009</v>
      </c>
      <c r="DV503" t="s">
        <v>104</v>
      </c>
      <c r="DW503" t="s">
        <v>104</v>
      </c>
      <c r="DX503">
        <v>1000</v>
      </c>
      <c r="DZ503" t="s">
        <v>3</v>
      </c>
      <c r="EA503" t="s">
        <v>3</v>
      </c>
      <c r="EB503" t="s">
        <v>3</v>
      </c>
      <c r="EC503" t="s">
        <v>3</v>
      </c>
      <c r="EE503">
        <v>43089189</v>
      </c>
      <c r="EF503">
        <v>150</v>
      </c>
      <c r="EG503" t="s">
        <v>190</v>
      </c>
      <c r="EH503">
        <v>0</v>
      </c>
      <c r="EI503" t="s">
        <v>3</v>
      </c>
      <c r="EJ503">
        <v>4</v>
      </c>
      <c r="EK503">
        <v>1111</v>
      </c>
      <c r="EL503" t="s">
        <v>207</v>
      </c>
      <c r="EM503" t="s">
        <v>208</v>
      </c>
      <c r="EO503" t="s">
        <v>3</v>
      </c>
      <c r="EQ503">
        <v>0</v>
      </c>
      <c r="ER503">
        <v>46</v>
      </c>
      <c r="ES503">
        <v>0</v>
      </c>
      <c r="ET503">
        <v>46</v>
      </c>
      <c r="EU503">
        <v>0</v>
      </c>
      <c r="EV503">
        <v>0</v>
      </c>
      <c r="EW503">
        <v>0</v>
      </c>
      <c r="EX503">
        <v>0</v>
      </c>
      <c r="EY503">
        <v>0</v>
      </c>
      <c r="FQ503">
        <v>0</v>
      </c>
      <c r="FR503">
        <f t="shared" si="431"/>
        <v>0</v>
      </c>
      <c r="FS503">
        <v>0</v>
      </c>
      <c r="FX503">
        <v>0</v>
      </c>
      <c r="FY503">
        <v>0</v>
      </c>
      <c r="GA503" t="s">
        <v>3</v>
      </c>
      <c r="GD503">
        <v>0</v>
      </c>
      <c r="GF503">
        <v>1829332857</v>
      </c>
      <c r="GG503">
        <v>2</v>
      </c>
      <c r="GH503">
        <v>1</v>
      </c>
      <c r="GI503">
        <v>2</v>
      </c>
      <c r="GJ503">
        <v>0</v>
      </c>
      <c r="GK503">
        <f>ROUND(R503*(R12)/100,2)</f>
        <v>0</v>
      </c>
      <c r="GL503">
        <f t="shared" si="432"/>
        <v>0</v>
      </c>
      <c r="GM503">
        <f t="shared" si="433"/>
        <v>153894.84</v>
      </c>
      <c r="GN503">
        <f t="shared" si="434"/>
        <v>0</v>
      </c>
      <c r="GO503">
        <f t="shared" si="435"/>
        <v>0</v>
      </c>
      <c r="GP503">
        <f t="shared" si="436"/>
        <v>153894.84</v>
      </c>
      <c r="GR503">
        <v>0</v>
      </c>
      <c r="GS503">
        <v>3</v>
      </c>
      <c r="GT503">
        <v>0</v>
      </c>
      <c r="GU503" t="s">
        <v>3</v>
      </c>
      <c r="GV503">
        <f t="shared" si="437"/>
        <v>0</v>
      </c>
      <c r="GW503">
        <v>1</v>
      </c>
      <c r="GX503">
        <f t="shared" si="438"/>
        <v>0</v>
      </c>
      <c r="HA503">
        <v>0</v>
      </c>
      <c r="HB503">
        <v>0</v>
      </c>
      <c r="HC503">
        <f t="shared" si="439"/>
        <v>0</v>
      </c>
      <c r="HE503" t="s">
        <v>3</v>
      </c>
      <c r="HF503" t="s">
        <v>3</v>
      </c>
      <c r="HM503" t="s">
        <v>3</v>
      </c>
      <c r="IK503">
        <v>0</v>
      </c>
    </row>
    <row r="504" spans="1:245" x14ac:dyDescent="0.2">
      <c r="A504">
        <v>17</v>
      </c>
      <c r="B504">
        <v>1</v>
      </c>
      <c r="C504">
        <f>ROW(SmtRes!A334)</f>
        <v>334</v>
      </c>
      <c r="D504">
        <f>ROW(EtalonRes!A334)</f>
        <v>334</v>
      </c>
      <c r="E504" t="s">
        <v>691</v>
      </c>
      <c r="F504" t="s">
        <v>210</v>
      </c>
      <c r="G504" t="s">
        <v>211</v>
      </c>
      <c r="H504" t="s">
        <v>182</v>
      </c>
      <c r="I504">
        <v>274</v>
      </c>
      <c r="J504">
        <v>0</v>
      </c>
      <c r="K504">
        <v>274</v>
      </c>
      <c r="O504">
        <f t="shared" si="405"/>
        <v>26362.720000000001</v>
      </c>
      <c r="P504">
        <f t="shared" si="406"/>
        <v>0</v>
      </c>
      <c r="Q504">
        <f t="shared" si="444"/>
        <v>26362.720000000001</v>
      </c>
      <c r="R504">
        <f t="shared" si="407"/>
        <v>0</v>
      </c>
      <c r="S504">
        <f t="shared" si="408"/>
        <v>0</v>
      </c>
      <c r="T504">
        <f t="shared" si="409"/>
        <v>0</v>
      </c>
      <c r="U504">
        <f t="shared" si="410"/>
        <v>0</v>
      </c>
      <c r="V504">
        <f t="shared" si="411"/>
        <v>0</v>
      </c>
      <c r="W504">
        <f t="shared" si="412"/>
        <v>0</v>
      </c>
      <c r="X504">
        <f t="shared" si="413"/>
        <v>0</v>
      </c>
      <c r="Y504">
        <f t="shared" si="414"/>
        <v>0</v>
      </c>
      <c r="AA504">
        <v>42938047</v>
      </c>
      <c r="AB504">
        <f t="shared" si="415"/>
        <v>12.61</v>
      </c>
      <c r="AC504">
        <f t="shared" si="416"/>
        <v>0</v>
      </c>
      <c r="AD504">
        <f t="shared" si="445"/>
        <v>12.61</v>
      </c>
      <c r="AE504">
        <f t="shared" si="446"/>
        <v>0</v>
      </c>
      <c r="AF504">
        <f t="shared" si="446"/>
        <v>0</v>
      </c>
      <c r="AG504">
        <f t="shared" si="418"/>
        <v>0</v>
      </c>
      <c r="AH504">
        <f t="shared" si="447"/>
        <v>0</v>
      </c>
      <c r="AI504">
        <f t="shared" si="447"/>
        <v>0</v>
      </c>
      <c r="AJ504">
        <f t="shared" si="420"/>
        <v>0</v>
      </c>
      <c r="AK504">
        <v>12.61</v>
      </c>
      <c r="AL504">
        <v>0</v>
      </c>
      <c r="AM504">
        <v>12.61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93</v>
      </c>
      <c r="AU504">
        <v>64</v>
      </c>
      <c r="AV504">
        <v>1</v>
      </c>
      <c r="AW504">
        <v>1</v>
      </c>
      <c r="AZ504">
        <v>1</v>
      </c>
      <c r="BA504">
        <v>1</v>
      </c>
      <c r="BB504">
        <v>7.63</v>
      </c>
      <c r="BC504">
        <v>1</v>
      </c>
      <c r="BD504" t="s">
        <v>3</v>
      </c>
      <c r="BE504" t="s">
        <v>3</v>
      </c>
      <c r="BF504" t="s">
        <v>3</v>
      </c>
      <c r="BG504" t="s">
        <v>3</v>
      </c>
      <c r="BH504">
        <v>0</v>
      </c>
      <c r="BI504">
        <v>4</v>
      </c>
      <c r="BJ504" t="s">
        <v>212</v>
      </c>
      <c r="BM504">
        <v>1113</v>
      </c>
      <c r="BN504">
        <v>0</v>
      </c>
      <c r="BO504" t="s">
        <v>210</v>
      </c>
      <c r="BP504">
        <v>1</v>
      </c>
      <c r="BQ504">
        <v>150</v>
      </c>
      <c r="BR504">
        <v>0</v>
      </c>
      <c r="BS504">
        <v>1</v>
      </c>
      <c r="BT504">
        <v>1</v>
      </c>
      <c r="BU504">
        <v>1</v>
      </c>
      <c r="BV504">
        <v>1</v>
      </c>
      <c r="BW504">
        <v>1</v>
      </c>
      <c r="BX504">
        <v>1</v>
      </c>
      <c r="BY504" t="s">
        <v>3</v>
      </c>
      <c r="BZ504">
        <v>93</v>
      </c>
      <c r="CA504">
        <v>64</v>
      </c>
      <c r="CB504" t="s">
        <v>3</v>
      </c>
      <c r="CE504">
        <v>30</v>
      </c>
      <c r="CF504">
        <v>0</v>
      </c>
      <c r="CG504">
        <v>0</v>
      </c>
      <c r="CM504">
        <v>0</v>
      </c>
      <c r="CN504" t="s">
        <v>3</v>
      </c>
      <c r="CO504">
        <v>0</v>
      </c>
      <c r="CP504">
        <f t="shared" si="421"/>
        <v>26362.720000000001</v>
      </c>
      <c r="CQ504">
        <f t="shared" si="422"/>
        <v>0</v>
      </c>
      <c r="CR504">
        <f t="shared" si="448"/>
        <v>96.21</v>
      </c>
      <c r="CS504">
        <f t="shared" si="423"/>
        <v>0</v>
      </c>
      <c r="CT504">
        <f t="shared" si="424"/>
        <v>0</v>
      </c>
      <c r="CU504">
        <f t="shared" si="425"/>
        <v>0</v>
      </c>
      <c r="CV504">
        <f t="shared" si="426"/>
        <v>0</v>
      </c>
      <c r="CW504">
        <f t="shared" si="427"/>
        <v>0</v>
      </c>
      <c r="CX504">
        <f t="shared" si="428"/>
        <v>0</v>
      </c>
      <c r="CY504">
        <f t="shared" si="429"/>
        <v>0</v>
      </c>
      <c r="CZ504">
        <f t="shared" si="430"/>
        <v>0</v>
      </c>
      <c r="DC504" t="s">
        <v>3</v>
      </c>
      <c r="DD504" t="s">
        <v>3</v>
      </c>
      <c r="DE504" t="s">
        <v>3</v>
      </c>
      <c r="DF504" t="s">
        <v>3</v>
      </c>
      <c r="DG504" t="s">
        <v>3</v>
      </c>
      <c r="DH504" t="s">
        <v>3</v>
      </c>
      <c r="DI504" t="s">
        <v>3</v>
      </c>
      <c r="DJ504" t="s">
        <v>3</v>
      </c>
      <c r="DK504" t="s">
        <v>3</v>
      </c>
      <c r="DL504" t="s">
        <v>3</v>
      </c>
      <c r="DM504" t="s">
        <v>3</v>
      </c>
      <c r="DN504">
        <v>0</v>
      </c>
      <c r="DO504">
        <v>0</v>
      </c>
      <c r="DP504">
        <v>1</v>
      </c>
      <c r="DQ504">
        <v>1</v>
      </c>
      <c r="DU504">
        <v>1013</v>
      </c>
      <c r="DV504" t="s">
        <v>182</v>
      </c>
      <c r="DW504" t="s">
        <v>182</v>
      </c>
      <c r="DX504">
        <v>1</v>
      </c>
      <c r="DZ504" t="s">
        <v>3</v>
      </c>
      <c r="EA504" t="s">
        <v>3</v>
      </c>
      <c r="EB504" t="s">
        <v>3</v>
      </c>
      <c r="EC504" t="s">
        <v>3</v>
      </c>
      <c r="EE504">
        <v>43089191</v>
      </c>
      <c r="EF504">
        <v>150</v>
      </c>
      <c r="EG504" t="s">
        <v>190</v>
      </c>
      <c r="EH504">
        <v>0</v>
      </c>
      <c r="EI504" t="s">
        <v>3</v>
      </c>
      <c r="EJ504">
        <v>4</v>
      </c>
      <c r="EK504">
        <v>1113</v>
      </c>
      <c r="EL504" t="s">
        <v>191</v>
      </c>
      <c r="EM504" t="s">
        <v>192</v>
      </c>
      <c r="EO504" t="s">
        <v>3</v>
      </c>
      <c r="EQ504">
        <v>0</v>
      </c>
      <c r="ER504">
        <v>12.61</v>
      </c>
      <c r="ES504">
        <v>0</v>
      </c>
      <c r="ET504">
        <v>12.61</v>
      </c>
      <c r="EU504">
        <v>0</v>
      </c>
      <c r="EV504">
        <v>0</v>
      </c>
      <c r="EW504">
        <v>0</v>
      </c>
      <c r="EX504">
        <v>0</v>
      </c>
      <c r="EY504">
        <v>0</v>
      </c>
      <c r="FQ504">
        <v>0</v>
      </c>
      <c r="FR504">
        <f t="shared" si="431"/>
        <v>0</v>
      </c>
      <c r="FS504">
        <v>0</v>
      </c>
      <c r="FX504">
        <v>0</v>
      </c>
      <c r="FY504">
        <v>0</v>
      </c>
      <c r="GA504" t="s">
        <v>3</v>
      </c>
      <c r="GD504">
        <v>0</v>
      </c>
      <c r="GF504">
        <v>-1630031867</v>
      </c>
      <c r="GG504">
        <v>2</v>
      </c>
      <c r="GH504">
        <v>1</v>
      </c>
      <c r="GI504">
        <v>2</v>
      </c>
      <c r="GJ504">
        <v>0</v>
      </c>
      <c r="GK504">
        <f>ROUND(R504*(R12)/100,2)</f>
        <v>0</v>
      </c>
      <c r="GL504">
        <f t="shared" si="432"/>
        <v>0</v>
      </c>
      <c r="GM504">
        <f t="shared" si="433"/>
        <v>26362.720000000001</v>
      </c>
      <c r="GN504">
        <f t="shared" si="434"/>
        <v>0</v>
      </c>
      <c r="GO504">
        <f t="shared" si="435"/>
        <v>0</v>
      </c>
      <c r="GP504">
        <f t="shared" si="436"/>
        <v>26362.720000000001</v>
      </c>
      <c r="GR504">
        <v>0</v>
      </c>
      <c r="GS504">
        <v>3</v>
      </c>
      <c r="GT504">
        <v>0</v>
      </c>
      <c r="GU504" t="s">
        <v>3</v>
      </c>
      <c r="GV504">
        <f t="shared" si="437"/>
        <v>0</v>
      </c>
      <c r="GW504">
        <v>1</v>
      </c>
      <c r="GX504">
        <f t="shared" si="438"/>
        <v>0</v>
      </c>
      <c r="HA504">
        <v>0</v>
      </c>
      <c r="HB504">
        <v>0</v>
      </c>
      <c r="HC504">
        <f t="shared" si="439"/>
        <v>0</v>
      </c>
      <c r="HE504" t="s">
        <v>3</v>
      </c>
      <c r="HF504" t="s">
        <v>3</v>
      </c>
      <c r="HM504" t="s">
        <v>3</v>
      </c>
      <c r="IK504">
        <v>0</v>
      </c>
    </row>
    <row r="505" spans="1:245" x14ac:dyDescent="0.2">
      <c r="A505">
        <v>17</v>
      </c>
      <c r="B505">
        <v>1</v>
      </c>
      <c r="C505">
        <f>ROW(SmtRes!A335)</f>
        <v>335</v>
      </c>
      <c r="D505">
        <f>ROW(EtalonRes!A335)</f>
        <v>335</v>
      </c>
      <c r="E505" t="s">
        <v>692</v>
      </c>
      <c r="F505" t="s">
        <v>194</v>
      </c>
      <c r="G505" t="s">
        <v>693</v>
      </c>
      <c r="H505" t="s">
        <v>182</v>
      </c>
      <c r="I505">
        <v>959.44</v>
      </c>
      <c r="J505">
        <v>0</v>
      </c>
      <c r="K505">
        <v>959.44</v>
      </c>
      <c r="O505">
        <f t="shared" si="405"/>
        <v>130598.21</v>
      </c>
      <c r="P505">
        <f t="shared" si="406"/>
        <v>0</v>
      </c>
      <c r="Q505">
        <f t="shared" si="444"/>
        <v>130598.21</v>
      </c>
      <c r="R505">
        <f t="shared" si="407"/>
        <v>0</v>
      </c>
      <c r="S505">
        <f t="shared" si="408"/>
        <v>0</v>
      </c>
      <c r="T505">
        <f t="shared" si="409"/>
        <v>0</v>
      </c>
      <c r="U505">
        <f t="shared" si="410"/>
        <v>0</v>
      </c>
      <c r="V505">
        <f t="shared" si="411"/>
        <v>0</v>
      </c>
      <c r="W505">
        <f t="shared" si="412"/>
        <v>0</v>
      </c>
      <c r="X505">
        <f t="shared" si="413"/>
        <v>0</v>
      </c>
      <c r="Y505">
        <f t="shared" si="414"/>
        <v>0</v>
      </c>
      <c r="AA505">
        <v>42938047</v>
      </c>
      <c r="AB505">
        <f t="shared" si="415"/>
        <v>17.84</v>
      </c>
      <c r="AC505">
        <f t="shared" si="416"/>
        <v>0</v>
      </c>
      <c r="AD505">
        <f t="shared" si="445"/>
        <v>17.84</v>
      </c>
      <c r="AE505">
        <f t="shared" si="446"/>
        <v>0</v>
      </c>
      <c r="AF505">
        <f t="shared" si="446"/>
        <v>0</v>
      </c>
      <c r="AG505">
        <f t="shared" si="418"/>
        <v>0</v>
      </c>
      <c r="AH505">
        <f t="shared" si="447"/>
        <v>0</v>
      </c>
      <c r="AI505">
        <f t="shared" si="447"/>
        <v>0</v>
      </c>
      <c r="AJ505">
        <f t="shared" si="420"/>
        <v>0</v>
      </c>
      <c r="AK505">
        <v>17.84</v>
      </c>
      <c r="AL505">
        <v>0</v>
      </c>
      <c r="AM505">
        <v>17.84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93</v>
      </c>
      <c r="AU505">
        <v>64</v>
      </c>
      <c r="AV505">
        <v>1</v>
      </c>
      <c r="AW505">
        <v>1</v>
      </c>
      <c r="AZ505">
        <v>1</v>
      </c>
      <c r="BA505">
        <v>1</v>
      </c>
      <c r="BB505">
        <v>7.63</v>
      </c>
      <c r="BC505">
        <v>1</v>
      </c>
      <c r="BD505" t="s">
        <v>3</v>
      </c>
      <c r="BE505" t="s">
        <v>3</v>
      </c>
      <c r="BF505" t="s">
        <v>3</v>
      </c>
      <c r="BG505" t="s">
        <v>3</v>
      </c>
      <c r="BH505">
        <v>0</v>
      </c>
      <c r="BI505">
        <v>4</v>
      </c>
      <c r="BJ505" t="s">
        <v>196</v>
      </c>
      <c r="BM505">
        <v>1113</v>
      </c>
      <c r="BN505">
        <v>0</v>
      </c>
      <c r="BO505" t="s">
        <v>194</v>
      </c>
      <c r="BP505">
        <v>1</v>
      </c>
      <c r="BQ505">
        <v>150</v>
      </c>
      <c r="BR505">
        <v>0</v>
      </c>
      <c r="BS505">
        <v>1</v>
      </c>
      <c r="BT505">
        <v>1</v>
      </c>
      <c r="BU505">
        <v>1</v>
      </c>
      <c r="BV505">
        <v>1</v>
      </c>
      <c r="BW505">
        <v>1</v>
      </c>
      <c r="BX505">
        <v>1</v>
      </c>
      <c r="BY505" t="s">
        <v>3</v>
      </c>
      <c r="BZ505">
        <v>93</v>
      </c>
      <c r="CA505">
        <v>64</v>
      </c>
      <c r="CB505" t="s">
        <v>3</v>
      </c>
      <c r="CE505">
        <v>30</v>
      </c>
      <c r="CF505">
        <v>0</v>
      </c>
      <c r="CG505">
        <v>0</v>
      </c>
      <c r="CM505">
        <v>0</v>
      </c>
      <c r="CN505" t="s">
        <v>3</v>
      </c>
      <c r="CO505">
        <v>0</v>
      </c>
      <c r="CP505">
        <f t="shared" si="421"/>
        <v>130598.21</v>
      </c>
      <c r="CQ505">
        <f t="shared" si="422"/>
        <v>0</v>
      </c>
      <c r="CR505">
        <f t="shared" si="448"/>
        <v>136.12</v>
      </c>
      <c r="CS505">
        <f t="shared" si="423"/>
        <v>0</v>
      </c>
      <c r="CT505">
        <f t="shared" si="424"/>
        <v>0</v>
      </c>
      <c r="CU505">
        <f t="shared" si="425"/>
        <v>0</v>
      </c>
      <c r="CV505">
        <f t="shared" si="426"/>
        <v>0</v>
      </c>
      <c r="CW505">
        <f t="shared" si="427"/>
        <v>0</v>
      </c>
      <c r="CX505">
        <f t="shared" si="428"/>
        <v>0</v>
      </c>
      <c r="CY505">
        <f t="shared" si="429"/>
        <v>0</v>
      </c>
      <c r="CZ505">
        <f t="shared" si="430"/>
        <v>0</v>
      </c>
      <c r="DC505" t="s">
        <v>3</v>
      </c>
      <c r="DD505" t="s">
        <v>3</v>
      </c>
      <c r="DE505" t="s">
        <v>3</v>
      </c>
      <c r="DF505" t="s">
        <v>3</v>
      </c>
      <c r="DG505" t="s">
        <v>3</v>
      </c>
      <c r="DH505" t="s">
        <v>3</v>
      </c>
      <c r="DI505" t="s">
        <v>3</v>
      </c>
      <c r="DJ505" t="s">
        <v>3</v>
      </c>
      <c r="DK505" t="s">
        <v>3</v>
      </c>
      <c r="DL505" t="s">
        <v>3</v>
      </c>
      <c r="DM505" t="s">
        <v>3</v>
      </c>
      <c r="DN505">
        <v>0</v>
      </c>
      <c r="DO505">
        <v>0</v>
      </c>
      <c r="DP505">
        <v>1</v>
      </c>
      <c r="DQ505">
        <v>1</v>
      </c>
      <c r="DU505">
        <v>1013</v>
      </c>
      <c r="DV505" t="s">
        <v>182</v>
      </c>
      <c r="DW505" t="s">
        <v>182</v>
      </c>
      <c r="DX505">
        <v>1</v>
      </c>
      <c r="DZ505" t="s">
        <v>3</v>
      </c>
      <c r="EA505" t="s">
        <v>3</v>
      </c>
      <c r="EB505" t="s">
        <v>3</v>
      </c>
      <c r="EC505" t="s">
        <v>3</v>
      </c>
      <c r="EE505">
        <v>43089191</v>
      </c>
      <c r="EF505">
        <v>150</v>
      </c>
      <c r="EG505" t="s">
        <v>190</v>
      </c>
      <c r="EH505">
        <v>0</v>
      </c>
      <c r="EI505" t="s">
        <v>3</v>
      </c>
      <c r="EJ505">
        <v>4</v>
      </c>
      <c r="EK505">
        <v>1113</v>
      </c>
      <c r="EL505" t="s">
        <v>191</v>
      </c>
      <c r="EM505" t="s">
        <v>192</v>
      </c>
      <c r="EO505" t="s">
        <v>3</v>
      </c>
      <c r="EQ505">
        <v>0</v>
      </c>
      <c r="ER505">
        <v>17.84</v>
      </c>
      <c r="ES505">
        <v>0</v>
      </c>
      <c r="ET505">
        <v>17.84</v>
      </c>
      <c r="EU505">
        <v>0</v>
      </c>
      <c r="EV505">
        <v>0</v>
      </c>
      <c r="EW505">
        <v>0</v>
      </c>
      <c r="EX505">
        <v>0</v>
      </c>
      <c r="EY505">
        <v>0</v>
      </c>
      <c r="FQ505">
        <v>0</v>
      </c>
      <c r="FR505">
        <f t="shared" si="431"/>
        <v>0</v>
      </c>
      <c r="FS505">
        <v>0</v>
      </c>
      <c r="FX505">
        <v>0</v>
      </c>
      <c r="FY505">
        <v>0</v>
      </c>
      <c r="GA505" t="s">
        <v>3</v>
      </c>
      <c r="GD505">
        <v>0</v>
      </c>
      <c r="GF505">
        <v>-917957637</v>
      </c>
      <c r="GG505">
        <v>2</v>
      </c>
      <c r="GH505">
        <v>1</v>
      </c>
      <c r="GI505">
        <v>2</v>
      </c>
      <c r="GJ505">
        <v>0</v>
      </c>
      <c r="GK505">
        <f>ROUND(R505*(R12)/100,2)</f>
        <v>0</v>
      </c>
      <c r="GL505">
        <f t="shared" si="432"/>
        <v>0</v>
      </c>
      <c r="GM505">
        <f t="shared" si="433"/>
        <v>130598.21</v>
      </c>
      <c r="GN505">
        <f t="shared" si="434"/>
        <v>0</v>
      </c>
      <c r="GO505">
        <f t="shared" si="435"/>
        <v>0</v>
      </c>
      <c r="GP505">
        <f t="shared" si="436"/>
        <v>130598.21</v>
      </c>
      <c r="GR505">
        <v>0</v>
      </c>
      <c r="GS505">
        <v>3</v>
      </c>
      <c r="GT505">
        <v>0</v>
      </c>
      <c r="GU505" t="s">
        <v>3</v>
      </c>
      <c r="GV505">
        <f t="shared" si="437"/>
        <v>0</v>
      </c>
      <c r="GW505">
        <v>1</v>
      </c>
      <c r="GX505">
        <f t="shared" si="438"/>
        <v>0</v>
      </c>
      <c r="HA505">
        <v>0</v>
      </c>
      <c r="HB505">
        <v>0</v>
      </c>
      <c r="HC505">
        <f t="shared" si="439"/>
        <v>0</v>
      </c>
      <c r="HE505" t="s">
        <v>3</v>
      </c>
      <c r="HF505" t="s">
        <v>3</v>
      </c>
      <c r="HM505" t="s">
        <v>3</v>
      </c>
      <c r="IK505">
        <v>0</v>
      </c>
    </row>
    <row r="507" spans="1:245" x14ac:dyDescent="0.2">
      <c r="A507" s="2">
        <v>51</v>
      </c>
      <c r="B507" s="2">
        <f>B473</f>
        <v>1</v>
      </c>
      <c r="C507" s="2">
        <f>A473</f>
        <v>4</v>
      </c>
      <c r="D507" s="2">
        <f>ROW(A473)</f>
        <v>473</v>
      </c>
      <c r="E507" s="2"/>
      <c r="F507" s="2" t="str">
        <f>IF(F473&lt;&gt;"",F473,"")</f>
        <v>Новый раздел</v>
      </c>
      <c r="G507" s="2" t="str">
        <f>IF(G473&lt;&gt;"",G473,"")</f>
        <v>Ремонт водоема с обустройством и корректировкой береговой полосы</v>
      </c>
      <c r="H507" s="2">
        <v>0</v>
      </c>
      <c r="I507" s="2"/>
      <c r="J507" s="2"/>
      <c r="K507" s="2"/>
      <c r="L507" s="2"/>
      <c r="M507" s="2"/>
      <c r="N507" s="2"/>
      <c r="O507" s="2">
        <f t="shared" ref="O507:T507" si="449">ROUND(AB507,2)</f>
        <v>3464189.33</v>
      </c>
      <c r="P507" s="2">
        <f t="shared" si="449"/>
        <v>1439091.8</v>
      </c>
      <c r="Q507" s="2">
        <f t="shared" si="449"/>
        <v>1123018.53</v>
      </c>
      <c r="R507" s="2">
        <f t="shared" si="449"/>
        <v>219490.73</v>
      </c>
      <c r="S507" s="2">
        <f t="shared" si="449"/>
        <v>902079</v>
      </c>
      <c r="T507" s="2">
        <f t="shared" si="449"/>
        <v>0</v>
      </c>
      <c r="U507" s="2">
        <f>AH507</f>
        <v>3310.68772205</v>
      </c>
      <c r="V507" s="2">
        <f>AI507</f>
        <v>0</v>
      </c>
      <c r="W507" s="2">
        <f>ROUND(AJ507,2)</f>
        <v>0</v>
      </c>
      <c r="X507" s="2">
        <f>ROUND(AK507,2)</f>
        <v>647567.32999999996</v>
      </c>
      <c r="Y507" s="2">
        <f>ROUND(AL507,2)</f>
        <v>380538.28</v>
      </c>
      <c r="Z507" s="2"/>
      <c r="AA507" s="2"/>
      <c r="AB507" s="2">
        <f>ROUND(SUMIF(AA477:AA505,"=42938047",O477:O505),2)</f>
        <v>3464189.33</v>
      </c>
      <c r="AC507" s="2">
        <f>ROUND(SUMIF(AA477:AA505,"=42938047",P477:P505),2)</f>
        <v>1439091.8</v>
      </c>
      <c r="AD507" s="2">
        <f>ROUND(SUMIF(AA477:AA505,"=42938047",Q477:Q505),2)</f>
        <v>1123018.53</v>
      </c>
      <c r="AE507" s="2">
        <f>ROUND(SUMIF(AA477:AA505,"=42938047",R477:R505),2)</f>
        <v>219490.73</v>
      </c>
      <c r="AF507" s="2">
        <f>ROUND(SUMIF(AA477:AA505,"=42938047",S477:S505),2)</f>
        <v>902079</v>
      </c>
      <c r="AG507" s="2">
        <f>ROUND(SUMIF(AA477:AA505,"=42938047",T477:T505),2)</f>
        <v>0</v>
      </c>
      <c r="AH507" s="2">
        <f>SUMIF(AA477:AA505,"=42938047",U477:U505)</f>
        <v>3310.68772205</v>
      </c>
      <c r="AI507" s="2">
        <f>SUMIF(AA477:AA505,"=42938047",V477:V505)</f>
        <v>0</v>
      </c>
      <c r="AJ507" s="2">
        <f>ROUND(SUMIF(AA477:AA505,"=42938047",W477:W505),2)</f>
        <v>0</v>
      </c>
      <c r="AK507" s="2">
        <f>ROUND(SUMIF(AA477:AA505,"=42938047",X477:X505),2)</f>
        <v>647567.32999999996</v>
      </c>
      <c r="AL507" s="2">
        <f>ROUND(SUMIF(AA477:AA505,"=42938047",Y477:Y505),2)</f>
        <v>380538.28</v>
      </c>
      <c r="AM507" s="2"/>
      <c r="AN507" s="2"/>
      <c r="AO507" s="2">
        <f t="shared" ref="AO507:BD507" si="450">ROUND(BX507,2)</f>
        <v>0</v>
      </c>
      <c r="AP507" s="2">
        <f t="shared" si="450"/>
        <v>0</v>
      </c>
      <c r="AQ507" s="2">
        <f t="shared" si="450"/>
        <v>0</v>
      </c>
      <c r="AR507" s="2">
        <f t="shared" si="450"/>
        <v>4836895.4000000004</v>
      </c>
      <c r="AS507" s="2">
        <f t="shared" si="450"/>
        <v>3999476.62</v>
      </c>
      <c r="AT507" s="2">
        <f t="shared" si="450"/>
        <v>0</v>
      </c>
      <c r="AU507" s="2">
        <f t="shared" si="450"/>
        <v>837418.78</v>
      </c>
      <c r="AV507" s="2">
        <f t="shared" si="450"/>
        <v>1439091.8</v>
      </c>
      <c r="AW507" s="2">
        <f t="shared" si="450"/>
        <v>1439091.8</v>
      </c>
      <c r="AX507" s="2">
        <f t="shared" si="450"/>
        <v>0</v>
      </c>
      <c r="AY507" s="2">
        <f t="shared" si="450"/>
        <v>1439091.8</v>
      </c>
      <c r="AZ507" s="2">
        <f t="shared" si="450"/>
        <v>0</v>
      </c>
      <c r="BA507" s="2">
        <f t="shared" si="450"/>
        <v>0</v>
      </c>
      <c r="BB507" s="2">
        <f t="shared" si="450"/>
        <v>0</v>
      </c>
      <c r="BC507" s="2">
        <f t="shared" si="450"/>
        <v>0</v>
      </c>
      <c r="BD507" s="2">
        <f t="shared" si="450"/>
        <v>0</v>
      </c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>
        <f>ROUND(SUMIF(AA477:AA505,"=42938047",FQ477:FQ505),2)</f>
        <v>0</v>
      </c>
      <c r="BY507" s="2">
        <f>ROUND(SUMIF(AA477:AA505,"=42938047",FR477:FR505),2)</f>
        <v>0</v>
      </c>
      <c r="BZ507" s="2">
        <f>ROUND(SUMIF(AA477:AA505,"=42938047",GL477:GL505),2)</f>
        <v>0</v>
      </c>
      <c r="CA507" s="2">
        <f>ROUND(SUMIF(AA477:AA505,"=42938047",GM477:GM505),2)</f>
        <v>4836895.4000000004</v>
      </c>
      <c r="CB507" s="2">
        <f>ROUND(SUMIF(AA477:AA505,"=42938047",GN477:GN505),2)</f>
        <v>3999476.62</v>
      </c>
      <c r="CC507" s="2">
        <f>ROUND(SUMIF(AA477:AA505,"=42938047",GO477:GO505),2)</f>
        <v>0</v>
      </c>
      <c r="CD507" s="2">
        <f>ROUND(SUMIF(AA477:AA505,"=42938047",GP477:GP505),2)</f>
        <v>837418.78</v>
      </c>
      <c r="CE507" s="2">
        <f>AC507-BX507</f>
        <v>1439091.8</v>
      </c>
      <c r="CF507" s="2">
        <f>AC507-BY507</f>
        <v>1439091.8</v>
      </c>
      <c r="CG507" s="2">
        <f>BX507-BZ507</f>
        <v>0</v>
      </c>
      <c r="CH507" s="2">
        <f>AC507-BX507-BY507+BZ507</f>
        <v>1439091.8</v>
      </c>
      <c r="CI507" s="2">
        <f>BY507-BZ507</f>
        <v>0</v>
      </c>
      <c r="CJ507" s="2">
        <f>ROUND(SUMIF(AA477:AA505,"=42938047",GX477:GX505),2)</f>
        <v>0</v>
      </c>
      <c r="CK507" s="2">
        <f>ROUND(SUMIF(AA477:AA505,"=42938047",GY477:GY505),2)</f>
        <v>0</v>
      </c>
      <c r="CL507" s="2">
        <f>ROUND(SUMIF(AA477:AA505,"=42938047",GZ477:GZ505),2)</f>
        <v>0</v>
      </c>
      <c r="CM507" s="2">
        <f>ROUND(SUMIF(AA477:AA505,"=42938047",HD477:HD505),2)</f>
        <v>0</v>
      </c>
      <c r="CN507" s="2"/>
      <c r="CO507" s="2"/>
      <c r="CP507" s="2"/>
      <c r="CQ507" s="2"/>
      <c r="CR507" s="2"/>
      <c r="CS507" s="2"/>
      <c r="CT507" s="2"/>
      <c r="CU507" s="2"/>
      <c r="CV507" s="2"/>
      <c r="CW507" s="2"/>
      <c r="CX507" s="2"/>
      <c r="CY507" s="2"/>
      <c r="CZ507" s="2"/>
      <c r="DA507" s="2"/>
      <c r="DB507" s="2"/>
      <c r="DC507" s="2"/>
      <c r="DD507" s="2"/>
      <c r="DE507" s="2"/>
      <c r="DF507" s="2"/>
      <c r="DG507" s="3"/>
      <c r="DH507" s="3"/>
      <c r="DI507" s="3"/>
      <c r="DJ507" s="3"/>
      <c r="DK507" s="3"/>
      <c r="DL507" s="3"/>
      <c r="DM507" s="3"/>
      <c r="DN507" s="3"/>
      <c r="DO507" s="3"/>
      <c r="DP507" s="3"/>
      <c r="DQ507" s="3"/>
      <c r="DR507" s="3"/>
      <c r="DS507" s="3"/>
      <c r="DT507" s="3"/>
      <c r="DU507" s="3"/>
      <c r="DV507" s="3"/>
      <c r="DW507" s="3"/>
      <c r="DX507" s="3"/>
      <c r="DY507" s="3"/>
      <c r="DZ507" s="3"/>
      <c r="EA507" s="3"/>
      <c r="EB507" s="3"/>
      <c r="EC507" s="3"/>
      <c r="ED507" s="3"/>
      <c r="EE507" s="3"/>
      <c r="EF507" s="3"/>
      <c r="EG507" s="3"/>
      <c r="EH507" s="3"/>
      <c r="EI507" s="3"/>
      <c r="EJ507" s="3"/>
      <c r="EK507" s="3"/>
      <c r="EL507" s="3"/>
      <c r="EM507" s="3"/>
      <c r="EN507" s="3"/>
      <c r="EO507" s="3"/>
      <c r="EP507" s="3"/>
      <c r="EQ507" s="3"/>
      <c r="ER507" s="3"/>
      <c r="ES507" s="3"/>
      <c r="ET507" s="3"/>
      <c r="EU507" s="3"/>
      <c r="EV507" s="3"/>
      <c r="EW507" s="3"/>
      <c r="EX507" s="3"/>
      <c r="EY507" s="3"/>
      <c r="EZ507" s="3"/>
      <c r="FA507" s="3"/>
      <c r="FB507" s="3"/>
      <c r="FC507" s="3"/>
      <c r="FD507" s="3"/>
      <c r="FE507" s="3"/>
      <c r="FF507" s="3"/>
      <c r="FG507" s="3"/>
      <c r="FH507" s="3"/>
      <c r="FI507" s="3"/>
      <c r="FJ507" s="3"/>
      <c r="FK507" s="3"/>
      <c r="FL507" s="3"/>
      <c r="FM507" s="3"/>
      <c r="FN507" s="3"/>
      <c r="FO507" s="3"/>
      <c r="FP507" s="3"/>
      <c r="FQ507" s="3"/>
      <c r="FR507" s="3"/>
      <c r="FS507" s="3"/>
      <c r="FT507" s="3"/>
      <c r="FU507" s="3"/>
      <c r="FV507" s="3"/>
      <c r="FW507" s="3"/>
      <c r="FX507" s="3"/>
      <c r="FY507" s="3"/>
      <c r="FZ507" s="3"/>
      <c r="GA507" s="3"/>
      <c r="GB507" s="3"/>
      <c r="GC507" s="3"/>
      <c r="GD507" s="3"/>
      <c r="GE507" s="3"/>
      <c r="GF507" s="3"/>
      <c r="GG507" s="3"/>
      <c r="GH507" s="3"/>
      <c r="GI507" s="3"/>
      <c r="GJ507" s="3"/>
      <c r="GK507" s="3"/>
      <c r="GL507" s="3"/>
      <c r="GM507" s="3"/>
      <c r="GN507" s="3"/>
      <c r="GO507" s="3"/>
      <c r="GP507" s="3"/>
      <c r="GQ507" s="3"/>
      <c r="GR507" s="3"/>
      <c r="GS507" s="3"/>
      <c r="GT507" s="3"/>
      <c r="GU507" s="3"/>
      <c r="GV507" s="3"/>
      <c r="GW507" s="3"/>
      <c r="GX507" s="3">
        <v>0</v>
      </c>
    </row>
    <row r="509" spans="1:245" x14ac:dyDescent="0.2">
      <c r="A509" s="4">
        <v>50</v>
      </c>
      <c r="B509" s="4">
        <v>0</v>
      </c>
      <c r="C509" s="4">
        <v>0</v>
      </c>
      <c r="D509" s="4">
        <v>1</v>
      </c>
      <c r="E509" s="4">
        <v>201</v>
      </c>
      <c r="F509" s="4">
        <f>ROUND(Source!O507,O509)</f>
        <v>3464189.33</v>
      </c>
      <c r="G509" s="4" t="s">
        <v>213</v>
      </c>
      <c r="H509" s="4" t="s">
        <v>214</v>
      </c>
      <c r="I509" s="4"/>
      <c r="J509" s="4"/>
      <c r="K509" s="4">
        <v>201</v>
      </c>
      <c r="L509" s="4">
        <v>1</v>
      </c>
      <c r="M509" s="4">
        <v>3</v>
      </c>
      <c r="N509" s="4" t="s">
        <v>3</v>
      </c>
      <c r="O509" s="4">
        <v>2</v>
      </c>
      <c r="P509" s="4"/>
      <c r="Q509" s="4"/>
      <c r="R509" s="4"/>
      <c r="S509" s="4"/>
      <c r="T509" s="4"/>
      <c r="U509" s="4"/>
      <c r="V509" s="4"/>
      <c r="W509" s="4"/>
    </row>
    <row r="510" spans="1:245" x14ac:dyDescent="0.2">
      <c r="A510" s="4">
        <v>50</v>
      </c>
      <c r="B510" s="4">
        <v>0</v>
      </c>
      <c r="C510" s="4">
        <v>0</v>
      </c>
      <c r="D510" s="4">
        <v>1</v>
      </c>
      <c r="E510" s="4">
        <v>202</v>
      </c>
      <c r="F510" s="4">
        <f>ROUND(Source!P507,O510)</f>
        <v>1439091.8</v>
      </c>
      <c r="G510" s="4" t="s">
        <v>215</v>
      </c>
      <c r="H510" s="4" t="s">
        <v>216</v>
      </c>
      <c r="I510" s="4"/>
      <c r="J510" s="4"/>
      <c r="K510" s="4">
        <v>202</v>
      </c>
      <c r="L510" s="4">
        <v>2</v>
      </c>
      <c r="M510" s="4">
        <v>3</v>
      </c>
      <c r="N510" s="4" t="s">
        <v>3</v>
      </c>
      <c r="O510" s="4">
        <v>2</v>
      </c>
      <c r="P510" s="4"/>
      <c r="Q510" s="4"/>
      <c r="R510" s="4"/>
      <c r="S510" s="4"/>
      <c r="T510" s="4"/>
      <c r="U510" s="4"/>
      <c r="V510" s="4"/>
      <c r="W510" s="4"/>
    </row>
    <row r="511" spans="1:245" x14ac:dyDescent="0.2">
      <c r="A511" s="4">
        <v>50</v>
      </c>
      <c r="B511" s="4">
        <v>0</v>
      </c>
      <c r="C511" s="4">
        <v>0</v>
      </c>
      <c r="D511" s="4">
        <v>1</v>
      </c>
      <c r="E511" s="4">
        <v>222</v>
      </c>
      <c r="F511" s="4">
        <f>ROUND(Source!AO507,O511)</f>
        <v>0</v>
      </c>
      <c r="G511" s="4" t="s">
        <v>217</v>
      </c>
      <c r="H511" s="4" t="s">
        <v>218</v>
      </c>
      <c r="I511" s="4"/>
      <c r="J511" s="4"/>
      <c r="K511" s="4">
        <v>222</v>
      </c>
      <c r="L511" s="4">
        <v>3</v>
      </c>
      <c r="M511" s="4">
        <v>3</v>
      </c>
      <c r="N511" s="4" t="s">
        <v>3</v>
      </c>
      <c r="O511" s="4">
        <v>2</v>
      </c>
      <c r="P511" s="4"/>
      <c r="Q511" s="4"/>
      <c r="R511" s="4"/>
      <c r="S511" s="4"/>
      <c r="T511" s="4"/>
      <c r="U511" s="4"/>
      <c r="V511" s="4"/>
      <c r="W511" s="4"/>
    </row>
    <row r="512" spans="1:245" x14ac:dyDescent="0.2">
      <c r="A512" s="4">
        <v>50</v>
      </c>
      <c r="B512" s="4">
        <v>0</v>
      </c>
      <c r="C512" s="4">
        <v>0</v>
      </c>
      <c r="D512" s="4">
        <v>1</v>
      </c>
      <c r="E512" s="4">
        <v>225</v>
      </c>
      <c r="F512" s="4">
        <f>ROUND(Source!AV507,O512)</f>
        <v>1439091.8</v>
      </c>
      <c r="G512" s="4" t="s">
        <v>219</v>
      </c>
      <c r="H512" s="4" t="s">
        <v>220</v>
      </c>
      <c r="I512" s="4"/>
      <c r="J512" s="4"/>
      <c r="K512" s="4">
        <v>225</v>
      </c>
      <c r="L512" s="4">
        <v>4</v>
      </c>
      <c r="M512" s="4">
        <v>3</v>
      </c>
      <c r="N512" s="4" t="s">
        <v>3</v>
      </c>
      <c r="O512" s="4">
        <v>2</v>
      </c>
      <c r="P512" s="4"/>
      <c r="Q512" s="4"/>
      <c r="R512" s="4"/>
      <c r="S512" s="4"/>
      <c r="T512" s="4"/>
      <c r="U512" s="4"/>
      <c r="V512" s="4"/>
      <c r="W512" s="4"/>
    </row>
    <row r="513" spans="1:23" x14ac:dyDescent="0.2">
      <c r="A513" s="4">
        <v>50</v>
      </c>
      <c r="B513" s="4">
        <v>0</v>
      </c>
      <c r="C513" s="4">
        <v>0</v>
      </c>
      <c r="D513" s="4">
        <v>1</v>
      </c>
      <c r="E513" s="4">
        <v>226</v>
      </c>
      <c r="F513" s="4">
        <f>ROUND(Source!AW507,O513)</f>
        <v>1439091.8</v>
      </c>
      <c r="G513" s="4" t="s">
        <v>221</v>
      </c>
      <c r="H513" s="4" t="s">
        <v>222</v>
      </c>
      <c r="I513" s="4"/>
      <c r="J513" s="4"/>
      <c r="K513" s="4">
        <v>226</v>
      </c>
      <c r="L513" s="4">
        <v>5</v>
      </c>
      <c r="M513" s="4">
        <v>3</v>
      </c>
      <c r="N513" s="4" t="s">
        <v>3</v>
      </c>
      <c r="O513" s="4">
        <v>2</v>
      </c>
      <c r="P513" s="4"/>
      <c r="Q513" s="4"/>
      <c r="R513" s="4"/>
      <c r="S513" s="4"/>
      <c r="T513" s="4"/>
      <c r="U513" s="4"/>
      <c r="V513" s="4"/>
      <c r="W513" s="4"/>
    </row>
    <row r="514" spans="1:23" x14ac:dyDescent="0.2">
      <c r="A514" s="4">
        <v>50</v>
      </c>
      <c r="B514" s="4">
        <v>0</v>
      </c>
      <c r="C514" s="4">
        <v>0</v>
      </c>
      <c r="D514" s="4">
        <v>1</v>
      </c>
      <c r="E514" s="4">
        <v>227</v>
      </c>
      <c r="F514" s="4">
        <f>ROUND(Source!AX507,O514)</f>
        <v>0</v>
      </c>
      <c r="G514" s="4" t="s">
        <v>223</v>
      </c>
      <c r="H514" s="4" t="s">
        <v>224</v>
      </c>
      <c r="I514" s="4"/>
      <c r="J514" s="4"/>
      <c r="K514" s="4">
        <v>227</v>
      </c>
      <c r="L514" s="4">
        <v>6</v>
      </c>
      <c r="M514" s="4">
        <v>3</v>
      </c>
      <c r="N514" s="4" t="s">
        <v>3</v>
      </c>
      <c r="O514" s="4">
        <v>2</v>
      </c>
      <c r="P514" s="4"/>
      <c r="Q514" s="4"/>
      <c r="R514" s="4"/>
      <c r="S514" s="4"/>
      <c r="T514" s="4"/>
      <c r="U514" s="4"/>
      <c r="V514" s="4"/>
      <c r="W514" s="4"/>
    </row>
    <row r="515" spans="1:23" x14ac:dyDescent="0.2">
      <c r="A515" s="4">
        <v>50</v>
      </c>
      <c r="B515" s="4">
        <v>0</v>
      </c>
      <c r="C515" s="4">
        <v>0</v>
      </c>
      <c r="D515" s="4">
        <v>1</v>
      </c>
      <c r="E515" s="4">
        <v>228</v>
      </c>
      <c r="F515" s="4">
        <f>ROUND(Source!AY507,O515)</f>
        <v>1439091.8</v>
      </c>
      <c r="G515" s="4" t="s">
        <v>225</v>
      </c>
      <c r="H515" s="4" t="s">
        <v>226</v>
      </c>
      <c r="I515" s="4"/>
      <c r="J515" s="4"/>
      <c r="K515" s="4">
        <v>228</v>
      </c>
      <c r="L515" s="4">
        <v>7</v>
      </c>
      <c r="M515" s="4">
        <v>3</v>
      </c>
      <c r="N515" s="4" t="s">
        <v>3</v>
      </c>
      <c r="O515" s="4">
        <v>2</v>
      </c>
      <c r="P515" s="4"/>
      <c r="Q515" s="4"/>
      <c r="R515" s="4"/>
      <c r="S515" s="4"/>
      <c r="T515" s="4"/>
      <c r="U515" s="4"/>
      <c r="V515" s="4"/>
      <c r="W515" s="4"/>
    </row>
    <row r="516" spans="1:23" x14ac:dyDescent="0.2">
      <c r="A516" s="4">
        <v>50</v>
      </c>
      <c r="B516" s="4">
        <v>0</v>
      </c>
      <c r="C516" s="4">
        <v>0</v>
      </c>
      <c r="D516" s="4">
        <v>1</v>
      </c>
      <c r="E516" s="4">
        <v>216</v>
      </c>
      <c r="F516" s="4">
        <f>ROUND(Source!AP507,O516)</f>
        <v>0</v>
      </c>
      <c r="G516" s="4" t="s">
        <v>227</v>
      </c>
      <c r="H516" s="4" t="s">
        <v>228</v>
      </c>
      <c r="I516" s="4"/>
      <c r="J516" s="4"/>
      <c r="K516" s="4">
        <v>216</v>
      </c>
      <c r="L516" s="4">
        <v>8</v>
      </c>
      <c r="M516" s="4">
        <v>3</v>
      </c>
      <c r="N516" s="4" t="s">
        <v>3</v>
      </c>
      <c r="O516" s="4">
        <v>2</v>
      </c>
      <c r="P516" s="4"/>
      <c r="Q516" s="4"/>
      <c r="R516" s="4"/>
      <c r="S516" s="4"/>
      <c r="T516" s="4"/>
      <c r="U516" s="4"/>
      <c r="V516" s="4"/>
      <c r="W516" s="4"/>
    </row>
    <row r="517" spans="1:23" x14ac:dyDescent="0.2">
      <c r="A517" s="4">
        <v>50</v>
      </c>
      <c r="B517" s="4">
        <v>0</v>
      </c>
      <c r="C517" s="4">
        <v>0</v>
      </c>
      <c r="D517" s="4">
        <v>1</v>
      </c>
      <c r="E517" s="4">
        <v>223</v>
      </c>
      <c r="F517" s="4">
        <f>ROUND(Source!AQ507,O517)</f>
        <v>0</v>
      </c>
      <c r="G517" s="4" t="s">
        <v>229</v>
      </c>
      <c r="H517" s="4" t="s">
        <v>230</v>
      </c>
      <c r="I517" s="4"/>
      <c r="J517" s="4"/>
      <c r="K517" s="4">
        <v>223</v>
      </c>
      <c r="L517" s="4">
        <v>9</v>
      </c>
      <c r="M517" s="4">
        <v>3</v>
      </c>
      <c r="N517" s="4" t="s">
        <v>3</v>
      </c>
      <c r="O517" s="4">
        <v>2</v>
      </c>
      <c r="P517" s="4"/>
      <c r="Q517" s="4"/>
      <c r="R517" s="4"/>
      <c r="S517" s="4"/>
      <c r="T517" s="4"/>
      <c r="U517" s="4"/>
      <c r="V517" s="4"/>
      <c r="W517" s="4"/>
    </row>
    <row r="518" spans="1:23" x14ac:dyDescent="0.2">
      <c r="A518" s="4">
        <v>50</v>
      </c>
      <c r="B518" s="4">
        <v>0</v>
      </c>
      <c r="C518" s="4">
        <v>0</v>
      </c>
      <c r="D518" s="4">
        <v>1</v>
      </c>
      <c r="E518" s="4">
        <v>229</v>
      </c>
      <c r="F518" s="4">
        <f>ROUND(Source!AZ507,O518)</f>
        <v>0</v>
      </c>
      <c r="G518" s="4" t="s">
        <v>231</v>
      </c>
      <c r="H518" s="4" t="s">
        <v>232</v>
      </c>
      <c r="I518" s="4"/>
      <c r="J518" s="4"/>
      <c r="K518" s="4">
        <v>229</v>
      </c>
      <c r="L518" s="4">
        <v>10</v>
      </c>
      <c r="M518" s="4">
        <v>3</v>
      </c>
      <c r="N518" s="4" t="s">
        <v>3</v>
      </c>
      <c r="O518" s="4">
        <v>2</v>
      </c>
      <c r="P518" s="4"/>
      <c r="Q518" s="4"/>
      <c r="R518" s="4"/>
      <c r="S518" s="4"/>
      <c r="T518" s="4"/>
      <c r="U518" s="4"/>
      <c r="V518" s="4"/>
      <c r="W518" s="4"/>
    </row>
    <row r="519" spans="1:23" x14ac:dyDescent="0.2">
      <c r="A519" s="4">
        <v>50</v>
      </c>
      <c r="B519" s="4">
        <v>0</v>
      </c>
      <c r="C519" s="4">
        <v>0</v>
      </c>
      <c r="D519" s="4">
        <v>1</v>
      </c>
      <c r="E519" s="4">
        <v>203</v>
      </c>
      <c r="F519" s="4">
        <f>ROUND(Source!Q507,O519)</f>
        <v>1123018.53</v>
      </c>
      <c r="G519" s="4" t="s">
        <v>233</v>
      </c>
      <c r="H519" s="4" t="s">
        <v>234</v>
      </c>
      <c r="I519" s="4"/>
      <c r="J519" s="4"/>
      <c r="K519" s="4">
        <v>203</v>
      </c>
      <c r="L519" s="4">
        <v>11</v>
      </c>
      <c r="M519" s="4">
        <v>3</v>
      </c>
      <c r="N519" s="4" t="s">
        <v>3</v>
      </c>
      <c r="O519" s="4">
        <v>2</v>
      </c>
      <c r="P519" s="4"/>
      <c r="Q519" s="4"/>
      <c r="R519" s="4"/>
      <c r="S519" s="4"/>
      <c r="T519" s="4"/>
      <c r="U519" s="4"/>
      <c r="V519" s="4"/>
      <c r="W519" s="4"/>
    </row>
    <row r="520" spans="1:23" x14ac:dyDescent="0.2">
      <c r="A520" s="4">
        <v>50</v>
      </c>
      <c r="B520" s="4">
        <v>0</v>
      </c>
      <c r="C520" s="4">
        <v>0</v>
      </c>
      <c r="D520" s="4">
        <v>1</v>
      </c>
      <c r="E520" s="4">
        <v>231</v>
      </c>
      <c r="F520" s="4">
        <f>ROUND(Source!BB507,O520)</f>
        <v>0</v>
      </c>
      <c r="G520" s="4" t="s">
        <v>235</v>
      </c>
      <c r="H520" s="4" t="s">
        <v>236</v>
      </c>
      <c r="I520" s="4"/>
      <c r="J520" s="4"/>
      <c r="K520" s="4">
        <v>231</v>
      </c>
      <c r="L520" s="4">
        <v>12</v>
      </c>
      <c r="M520" s="4">
        <v>3</v>
      </c>
      <c r="N520" s="4" t="s">
        <v>3</v>
      </c>
      <c r="O520" s="4">
        <v>2</v>
      </c>
      <c r="P520" s="4"/>
      <c r="Q520" s="4"/>
      <c r="R520" s="4"/>
      <c r="S520" s="4"/>
      <c r="T520" s="4"/>
      <c r="U520" s="4"/>
      <c r="V520" s="4"/>
      <c r="W520" s="4"/>
    </row>
    <row r="521" spans="1:23" x14ac:dyDescent="0.2">
      <c r="A521" s="4">
        <v>50</v>
      </c>
      <c r="B521" s="4">
        <v>0</v>
      </c>
      <c r="C521" s="4">
        <v>0</v>
      </c>
      <c r="D521" s="4">
        <v>1</v>
      </c>
      <c r="E521" s="4">
        <v>204</v>
      </c>
      <c r="F521" s="4">
        <f>ROUND(Source!R507,O521)</f>
        <v>219490.73</v>
      </c>
      <c r="G521" s="4" t="s">
        <v>237</v>
      </c>
      <c r="H521" s="4" t="s">
        <v>238</v>
      </c>
      <c r="I521" s="4"/>
      <c r="J521" s="4"/>
      <c r="K521" s="4">
        <v>204</v>
      </c>
      <c r="L521" s="4">
        <v>13</v>
      </c>
      <c r="M521" s="4">
        <v>3</v>
      </c>
      <c r="N521" s="4" t="s">
        <v>3</v>
      </c>
      <c r="O521" s="4">
        <v>2</v>
      </c>
      <c r="P521" s="4"/>
      <c r="Q521" s="4"/>
      <c r="R521" s="4"/>
      <c r="S521" s="4"/>
      <c r="T521" s="4"/>
      <c r="U521" s="4"/>
      <c r="V521" s="4"/>
      <c r="W521" s="4"/>
    </row>
    <row r="522" spans="1:23" x14ac:dyDescent="0.2">
      <c r="A522" s="4">
        <v>50</v>
      </c>
      <c r="B522" s="4">
        <v>0</v>
      </c>
      <c r="C522" s="4">
        <v>0</v>
      </c>
      <c r="D522" s="4">
        <v>1</v>
      </c>
      <c r="E522" s="4">
        <v>205</v>
      </c>
      <c r="F522" s="4">
        <f>ROUND(Source!S507,O522)</f>
        <v>902079</v>
      </c>
      <c r="G522" s="4" t="s">
        <v>239</v>
      </c>
      <c r="H522" s="4" t="s">
        <v>240</v>
      </c>
      <c r="I522" s="4"/>
      <c r="J522" s="4"/>
      <c r="K522" s="4">
        <v>205</v>
      </c>
      <c r="L522" s="4">
        <v>14</v>
      </c>
      <c r="M522" s="4">
        <v>3</v>
      </c>
      <c r="N522" s="4" t="s">
        <v>3</v>
      </c>
      <c r="O522" s="4">
        <v>2</v>
      </c>
      <c r="P522" s="4"/>
      <c r="Q522" s="4"/>
      <c r="R522" s="4"/>
      <c r="S522" s="4"/>
      <c r="T522" s="4"/>
      <c r="U522" s="4"/>
      <c r="V522" s="4"/>
      <c r="W522" s="4"/>
    </row>
    <row r="523" spans="1:23" x14ac:dyDescent="0.2">
      <c r="A523" s="4">
        <v>50</v>
      </c>
      <c r="B523" s="4">
        <v>0</v>
      </c>
      <c r="C523" s="4">
        <v>0</v>
      </c>
      <c r="D523" s="4">
        <v>1</v>
      </c>
      <c r="E523" s="4">
        <v>232</v>
      </c>
      <c r="F523" s="4">
        <f>ROUND(Source!BC507,O523)</f>
        <v>0</v>
      </c>
      <c r="G523" s="4" t="s">
        <v>241</v>
      </c>
      <c r="H523" s="4" t="s">
        <v>242</v>
      </c>
      <c r="I523" s="4"/>
      <c r="J523" s="4"/>
      <c r="K523" s="4">
        <v>232</v>
      </c>
      <c r="L523" s="4">
        <v>15</v>
      </c>
      <c r="M523" s="4">
        <v>3</v>
      </c>
      <c r="N523" s="4" t="s">
        <v>3</v>
      </c>
      <c r="O523" s="4">
        <v>2</v>
      </c>
      <c r="P523" s="4"/>
      <c r="Q523" s="4"/>
      <c r="R523" s="4"/>
      <c r="S523" s="4"/>
      <c r="T523" s="4"/>
      <c r="U523" s="4"/>
      <c r="V523" s="4"/>
      <c r="W523" s="4"/>
    </row>
    <row r="524" spans="1:23" x14ac:dyDescent="0.2">
      <c r="A524" s="4">
        <v>50</v>
      </c>
      <c r="B524" s="4">
        <v>0</v>
      </c>
      <c r="C524" s="4">
        <v>0</v>
      </c>
      <c r="D524" s="4">
        <v>1</v>
      </c>
      <c r="E524" s="4">
        <v>214</v>
      </c>
      <c r="F524" s="4">
        <f>ROUND(Source!AS507,O524)</f>
        <v>3999476.62</v>
      </c>
      <c r="G524" s="4" t="s">
        <v>243</v>
      </c>
      <c r="H524" s="4" t="s">
        <v>244</v>
      </c>
      <c r="I524" s="4"/>
      <c r="J524" s="4"/>
      <c r="K524" s="4">
        <v>214</v>
      </c>
      <c r="L524" s="4">
        <v>16</v>
      </c>
      <c r="M524" s="4">
        <v>3</v>
      </c>
      <c r="N524" s="4" t="s">
        <v>3</v>
      </c>
      <c r="O524" s="4">
        <v>2</v>
      </c>
      <c r="P524" s="4"/>
      <c r="Q524" s="4"/>
      <c r="R524" s="4"/>
      <c r="S524" s="4"/>
      <c r="T524" s="4"/>
      <c r="U524" s="4"/>
      <c r="V524" s="4"/>
      <c r="W524" s="4"/>
    </row>
    <row r="525" spans="1:23" x14ac:dyDescent="0.2">
      <c r="A525" s="4">
        <v>50</v>
      </c>
      <c r="B525" s="4">
        <v>0</v>
      </c>
      <c r="C525" s="4">
        <v>0</v>
      </c>
      <c r="D525" s="4">
        <v>1</v>
      </c>
      <c r="E525" s="4">
        <v>215</v>
      </c>
      <c r="F525" s="4">
        <f>ROUND(Source!AT507,O525)</f>
        <v>0</v>
      </c>
      <c r="G525" s="4" t="s">
        <v>245</v>
      </c>
      <c r="H525" s="4" t="s">
        <v>246</v>
      </c>
      <c r="I525" s="4"/>
      <c r="J525" s="4"/>
      <c r="K525" s="4">
        <v>215</v>
      </c>
      <c r="L525" s="4">
        <v>17</v>
      </c>
      <c r="M525" s="4">
        <v>3</v>
      </c>
      <c r="N525" s="4" t="s">
        <v>3</v>
      </c>
      <c r="O525" s="4">
        <v>2</v>
      </c>
      <c r="P525" s="4"/>
      <c r="Q525" s="4"/>
      <c r="R525" s="4"/>
      <c r="S525" s="4"/>
      <c r="T525" s="4"/>
      <c r="U525" s="4"/>
      <c r="V525" s="4"/>
      <c r="W525" s="4"/>
    </row>
    <row r="526" spans="1:23" x14ac:dyDescent="0.2">
      <c r="A526" s="4">
        <v>50</v>
      </c>
      <c r="B526" s="4">
        <v>0</v>
      </c>
      <c r="C526" s="4">
        <v>0</v>
      </c>
      <c r="D526" s="4">
        <v>1</v>
      </c>
      <c r="E526" s="4">
        <v>217</v>
      </c>
      <c r="F526" s="4">
        <f>ROUND(Source!AU507,O526)</f>
        <v>837418.78</v>
      </c>
      <c r="G526" s="4" t="s">
        <v>247</v>
      </c>
      <c r="H526" s="4" t="s">
        <v>248</v>
      </c>
      <c r="I526" s="4"/>
      <c r="J526" s="4"/>
      <c r="K526" s="4">
        <v>217</v>
      </c>
      <c r="L526" s="4">
        <v>18</v>
      </c>
      <c r="M526" s="4">
        <v>3</v>
      </c>
      <c r="N526" s="4" t="s">
        <v>3</v>
      </c>
      <c r="O526" s="4">
        <v>2</v>
      </c>
      <c r="P526" s="4"/>
      <c r="Q526" s="4"/>
      <c r="R526" s="4"/>
      <c r="S526" s="4"/>
      <c r="T526" s="4"/>
      <c r="U526" s="4"/>
      <c r="V526" s="4"/>
      <c r="W526" s="4"/>
    </row>
    <row r="527" spans="1:23" x14ac:dyDescent="0.2">
      <c r="A527" s="4">
        <v>50</v>
      </c>
      <c r="B527" s="4">
        <v>0</v>
      </c>
      <c r="C527" s="4">
        <v>0</v>
      </c>
      <c r="D527" s="4">
        <v>1</v>
      </c>
      <c r="E527" s="4">
        <v>230</v>
      </c>
      <c r="F527" s="4">
        <f>ROUND(Source!BA507,O527)</f>
        <v>0</v>
      </c>
      <c r="G527" s="4" t="s">
        <v>249</v>
      </c>
      <c r="H527" s="4" t="s">
        <v>250</v>
      </c>
      <c r="I527" s="4"/>
      <c r="J527" s="4"/>
      <c r="K527" s="4">
        <v>230</v>
      </c>
      <c r="L527" s="4">
        <v>19</v>
      </c>
      <c r="M527" s="4">
        <v>3</v>
      </c>
      <c r="N527" s="4" t="s">
        <v>3</v>
      </c>
      <c r="O527" s="4">
        <v>2</v>
      </c>
      <c r="P527" s="4"/>
      <c r="Q527" s="4"/>
      <c r="R527" s="4"/>
      <c r="S527" s="4"/>
      <c r="T527" s="4"/>
      <c r="U527" s="4"/>
      <c r="V527" s="4"/>
      <c r="W527" s="4"/>
    </row>
    <row r="528" spans="1:23" x14ac:dyDescent="0.2">
      <c r="A528" s="4">
        <v>50</v>
      </c>
      <c r="B528" s="4">
        <v>0</v>
      </c>
      <c r="C528" s="4">
        <v>0</v>
      </c>
      <c r="D528" s="4">
        <v>1</v>
      </c>
      <c r="E528" s="4">
        <v>206</v>
      </c>
      <c r="F528" s="4">
        <f>ROUND(Source!T507,O528)</f>
        <v>0</v>
      </c>
      <c r="G528" s="4" t="s">
        <v>251</v>
      </c>
      <c r="H528" s="4" t="s">
        <v>252</v>
      </c>
      <c r="I528" s="4"/>
      <c r="J528" s="4"/>
      <c r="K528" s="4">
        <v>206</v>
      </c>
      <c r="L528" s="4">
        <v>20</v>
      </c>
      <c r="M528" s="4">
        <v>3</v>
      </c>
      <c r="N528" s="4" t="s">
        <v>3</v>
      </c>
      <c r="O528" s="4">
        <v>2</v>
      </c>
      <c r="P528" s="4"/>
      <c r="Q528" s="4"/>
      <c r="R528" s="4"/>
      <c r="S528" s="4"/>
      <c r="T528" s="4"/>
      <c r="U528" s="4"/>
      <c r="V528" s="4"/>
      <c r="W528" s="4"/>
    </row>
    <row r="529" spans="1:245" x14ac:dyDescent="0.2">
      <c r="A529" s="4">
        <v>50</v>
      </c>
      <c r="B529" s="4">
        <v>0</v>
      </c>
      <c r="C529" s="4">
        <v>0</v>
      </c>
      <c r="D529" s="4">
        <v>1</v>
      </c>
      <c r="E529" s="4">
        <v>207</v>
      </c>
      <c r="F529" s="4">
        <f>Source!U507</f>
        <v>3310.68772205</v>
      </c>
      <c r="G529" s="4" t="s">
        <v>253</v>
      </c>
      <c r="H529" s="4" t="s">
        <v>254</v>
      </c>
      <c r="I529" s="4"/>
      <c r="J529" s="4"/>
      <c r="K529" s="4">
        <v>207</v>
      </c>
      <c r="L529" s="4">
        <v>21</v>
      </c>
      <c r="M529" s="4">
        <v>3</v>
      </c>
      <c r="N529" s="4" t="s">
        <v>3</v>
      </c>
      <c r="O529" s="4">
        <v>-1</v>
      </c>
      <c r="P529" s="4"/>
      <c r="Q529" s="4"/>
      <c r="R529" s="4"/>
      <c r="S529" s="4"/>
      <c r="T529" s="4"/>
      <c r="U529" s="4"/>
      <c r="V529" s="4"/>
      <c r="W529" s="4"/>
    </row>
    <row r="530" spans="1:245" x14ac:dyDescent="0.2">
      <c r="A530" s="4">
        <v>50</v>
      </c>
      <c r="B530" s="4">
        <v>0</v>
      </c>
      <c r="C530" s="4">
        <v>0</v>
      </c>
      <c r="D530" s="4">
        <v>1</v>
      </c>
      <c r="E530" s="4">
        <v>208</v>
      </c>
      <c r="F530" s="4">
        <f>Source!V507</f>
        <v>0</v>
      </c>
      <c r="G530" s="4" t="s">
        <v>255</v>
      </c>
      <c r="H530" s="4" t="s">
        <v>256</v>
      </c>
      <c r="I530" s="4"/>
      <c r="J530" s="4"/>
      <c r="K530" s="4">
        <v>208</v>
      </c>
      <c r="L530" s="4">
        <v>22</v>
      </c>
      <c r="M530" s="4">
        <v>3</v>
      </c>
      <c r="N530" s="4" t="s">
        <v>3</v>
      </c>
      <c r="O530" s="4">
        <v>-1</v>
      </c>
      <c r="P530" s="4"/>
      <c r="Q530" s="4"/>
      <c r="R530" s="4"/>
      <c r="S530" s="4"/>
      <c r="T530" s="4"/>
      <c r="U530" s="4"/>
      <c r="V530" s="4"/>
      <c r="W530" s="4"/>
    </row>
    <row r="531" spans="1:245" x14ac:dyDescent="0.2">
      <c r="A531" s="4">
        <v>50</v>
      </c>
      <c r="B531" s="4">
        <v>0</v>
      </c>
      <c r="C531" s="4">
        <v>0</v>
      </c>
      <c r="D531" s="4">
        <v>1</v>
      </c>
      <c r="E531" s="4">
        <v>209</v>
      </c>
      <c r="F531" s="4">
        <f>ROUND(Source!W507,O531)</f>
        <v>0</v>
      </c>
      <c r="G531" s="4" t="s">
        <v>257</v>
      </c>
      <c r="H531" s="4" t="s">
        <v>258</v>
      </c>
      <c r="I531" s="4"/>
      <c r="J531" s="4"/>
      <c r="K531" s="4">
        <v>209</v>
      </c>
      <c r="L531" s="4">
        <v>23</v>
      </c>
      <c r="M531" s="4">
        <v>3</v>
      </c>
      <c r="N531" s="4" t="s">
        <v>3</v>
      </c>
      <c r="O531" s="4">
        <v>2</v>
      </c>
      <c r="P531" s="4"/>
      <c r="Q531" s="4"/>
      <c r="R531" s="4"/>
      <c r="S531" s="4"/>
      <c r="T531" s="4"/>
      <c r="U531" s="4"/>
      <c r="V531" s="4"/>
      <c r="W531" s="4"/>
    </row>
    <row r="532" spans="1:245" x14ac:dyDescent="0.2">
      <c r="A532" s="4">
        <v>50</v>
      </c>
      <c r="B532" s="4">
        <v>0</v>
      </c>
      <c r="C532" s="4">
        <v>0</v>
      </c>
      <c r="D532" s="4">
        <v>1</v>
      </c>
      <c r="E532" s="4">
        <v>233</v>
      </c>
      <c r="F532" s="4">
        <f>ROUND(Source!BD507,O532)</f>
        <v>0</v>
      </c>
      <c r="G532" s="4" t="s">
        <v>259</v>
      </c>
      <c r="H532" s="4" t="s">
        <v>260</v>
      </c>
      <c r="I532" s="4"/>
      <c r="J532" s="4"/>
      <c r="K532" s="4">
        <v>233</v>
      </c>
      <c r="L532" s="4">
        <v>24</v>
      </c>
      <c r="M532" s="4">
        <v>3</v>
      </c>
      <c r="N532" s="4" t="s">
        <v>3</v>
      </c>
      <c r="O532" s="4">
        <v>2</v>
      </c>
      <c r="P532" s="4"/>
      <c r="Q532" s="4"/>
      <c r="R532" s="4"/>
      <c r="S532" s="4"/>
      <c r="T532" s="4"/>
      <c r="U532" s="4"/>
      <c r="V532" s="4"/>
      <c r="W532" s="4"/>
    </row>
    <row r="533" spans="1:245" x14ac:dyDescent="0.2">
      <c r="A533" s="4">
        <v>50</v>
      </c>
      <c r="B533" s="4">
        <v>0</v>
      </c>
      <c r="C533" s="4">
        <v>0</v>
      </c>
      <c r="D533" s="4">
        <v>1</v>
      </c>
      <c r="E533" s="4">
        <v>210</v>
      </c>
      <c r="F533" s="4">
        <f>ROUND(Source!X507,O533)</f>
        <v>647567.32999999996</v>
      </c>
      <c r="G533" s="4" t="s">
        <v>261</v>
      </c>
      <c r="H533" s="4" t="s">
        <v>262</v>
      </c>
      <c r="I533" s="4"/>
      <c r="J533" s="4"/>
      <c r="K533" s="4">
        <v>210</v>
      </c>
      <c r="L533" s="4">
        <v>25</v>
      </c>
      <c r="M533" s="4">
        <v>3</v>
      </c>
      <c r="N533" s="4" t="s">
        <v>3</v>
      </c>
      <c r="O533" s="4">
        <v>2</v>
      </c>
      <c r="P533" s="4"/>
      <c r="Q533" s="4"/>
      <c r="R533" s="4"/>
      <c r="S533" s="4"/>
      <c r="T533" s="4"/>
      <c r="U533" s="4"/>
      <c r="V533" s="4"/>
      <c r="W533" s="4"/>
    </row>
    <row r="534" spans="1:245" x14ac:dyDescent="0.2">
      <c r="A534" s="4">
        <v>50</v>
      </c>
      <c r="B534" s="4">
        <v>0</v>
      </c>
      <c r="C534" s="4">
        <v>0</v>
      </c>
      <c r="D534" s="4">
        <v>1</v>
      </c>
      <c r="E534" s="4">
        <v>211</v>
      </c>
      <c r="F534" s="4">
        <f>ROUND(Source!Y507,O534)</f>
        <v>380538.28</v>
      </c>
      <c r="G534" s="4" t="s">
        <v>263</v>
      </c>
      <c r="H534" s="4" t="s">
        <v>264</v>
      </c>
      <c r="I534" s="4"/>
      <c r="J534" s="4"/>
      <c r="K534" s="4">
        <v>211</v>
      </c>
      <c r="L534" s="4">
        <v>26</v>
      </c>
      <c r="M534" s="4">
        <v>3</v>
      </c>
      <c r="N534" s="4" t="s">
        <v>3</v>
      </c>
      <c r="O534" s="4">
        <v>2</v>
      </c>
      <c r="P534" s="4"/>
      <c r="Q534" s="4"/>
      <c r="R534" s="4"/>
      <c r="S534" s="4"/>
      <c r="T534" s="4"/>
      <c r="U534" s="4"/>
      <c r="V534" s="4"/>
      <c r="W534" s="4"/>
    </row>
    <row r="535" spans="1:245" x14ac:dyDescent="0.2">
      <c r="A535" s="4">
        <v>50</v>
      </c>
      <c r="B535" s="4">
        <v>0</v>
      </c>
      <c r="C535" s="4">
        <v>0</v>
      </c>
      <c r="D535" s="4">
        <v>1</v>
      </c>
      <c r="E535" s="4">
        <v>224</v>
      </c>
      <c r="F535" s="4">
        <f>ROUND(Source!AR507,O535)</f>
        <v>4836895.4000000004</v>
      </c>
      <c r="G535" s="4" t="s">
        <v>265</v>
      </c>
      <c r="H535" s="4" t="s">
        <v>266</v>
      </c>
      <c r="I535" s="4"/>
      <c r="J535" s="4"/>
      <c r="K535" s="4">
        <v>224</v>
      </c>
      <c r="L535" s="4">
        <v>27</v>
      </c>
      <c r="M535" s="4">
        <v>3</v>
      </c>
      <c r="N535" s="4" t="s">
        <v>3</v>
      </c>
      <c r="O535" s="4">
        <v>2</v>
      </c>
      <c r="P535" s="4"/>
      <c r="Q535" s="4"/>
      <c r="R535" s="4"/>
      <c r="S535" s="4"/>
      <c r="T535" s="4"/>
      <c r="U535" s="4"/>
      <c r="V535" s="4"/>
      <c r="W535" s="4"/>
    </row>
    <row r="537" spans="1:245" x14ac:dyDescent="0.2">
      <c r="A537" s="1">
        <v>4</v>
      </c>
      <c r="B537" s="1">
        <v>1</v>
      </c>
      <c r="C537" s="1"/>
      <c r="D537" s="1">
        <f>ROW(A552)</f>
        <v>552</v>
      </c>
      <c r="E537" s="1"/>
      <c r="F537" s="1" t="s">
        <v>13</v>
      </c>
      <c r="G537" s="1" t="s">
        <v>694</v>
      </c>
      <c r="H537" s="1" t="s">
        <v>3</v>
      </c>
      <c r="I537" s="1">
        <v>0</v>
      </c>
      <c r="J537" s="1"/>
      <c r="K537" s="1">
        <v>-1</v>
      </c>
      <c r="L537" s="1"/>
      <c r="M537" s="1" t="s">
        <v>3</v>
      </c>
      <c r="N537" s="1"/>
      <c r="O537" s="1"/>
      <c r="P537" s="1"/>
      <c r="Q537" s="1"/>
      <c r="R537" s="1"/>
      <c r="S537" s="1">
        <v>0</v>
      </c>
      <c r="T537" s="1"/>
      <c r="U537" s="1" t="s">
        <v>3</v>
      </c>
      <c r="V537" s="1">
        <v>0</v>
      </c>
      <c r="W537" s="1"/>
      <c r="X537" s="1"/>
      <c r="Y537" s="1"/>
      <c r="Z537" s="1"/>
      <c r="AA537" s="1"/>
      <c r="AB537" s="1" t="s">
        <v>3</v>
      </c>
      <c r="AC537" s="1" t="s">
        <v>3</v>
      </c>
      <c r="AD537" s="1" t="s">
        <v>3</v>
      </c>
      <c r="AE537" s="1" t="s">
        <v>3</v>
      </c>
      <c r="AF537" s="1" t="s">
        <v>3</v>
      </c>
      <c r="AG537" s="1" t="s">
        <v>3</v>
      </c>
      <c r="AH537" s="1"/>
      <c r="AI537" s="1"/>
      <c r="AJ537" s="1"/>
      <c r="AK537" s="1"/>
      <c r="AL537" s="1"/>
      <c r="AM537" s="1"/>
      <c r="AN537" s="1"/>
      <c r="AO537" s="1"/>
      <c r="AP537" s="1" t="s">
        <v>3</v>
      </c>
      <c r="AQ537" s="1" t="s">
        <v>3</v>
      </c>
      <c r="AR537" s="1" t="s">
        <v>3</v>
      </c>
      <c r="AS537" s="1"/>
      <c r="AT537" s="1"/>
      <c r="AU537" s="1"/>
      <c r="AV537" s="1"/>
      <c r="AW537" s="1"/>
      <c r="AX537" s="1"/>
      <c r="AY537" s="1"/>
      <c r="AZ537" s="1" t="s">
        <v>3</v>
      </c>
      <c r="BA537" s="1"/>
      <c r="BB537" s="1" t="s">
        <v>3</v>
      </c>
      <c r="BC537" s="1" t="s">
        <v>3</v>
      </c>
      <c r="BD537" s="1" t="s">
        <v>3</v>
      </c>
      <c r="BE537" s="1" t="s">
        <v>3</v>
      </c>
      <c r="BF537" s="1" t="s">
        <v>3</v>
      </c>
      <c r="BG537" s="1" t="s">
        <v>3</v>
      </c>
      <c r="BH537" s="1" t="s">
        <v>3</v>
      </c>
      <c r="BI537" s="1" t="s">
        <v>3</v>
      </c>
      <c r="BJ537" s="1" t="s">
        <v>3</v>
      </c>
      <c r="BK537" s="1" t="s">
        <v>3</v>
      </c>
      <c r="BL537" s="1" t="s">
        <v>3</v>
      </c>
      <c r="BM537" s="1" t="s">
        <v>3</v>
      </c>
      <c r="BN537" s="1" t="s">
        <v>3</v>
      </c>
      <c r="BO537" s="1" t="s">
        <v>3</v>
      </c>
      <c r="BP537" s="1" t="s">
        <v>3</v>
      </c>
      <c r="BQ537" s="1"/>
      <c r="BR537" s="1"/>
      <c r="BS537" s="1"/>
      <c r="BT537" s="1"/>
      <c r="BU537" s="1"/>
      <c r="BV537" s="1"/>
      <c r="BW537" s="1"/>
      <c r="BX537" s="1">
        <v>0</v>
      </c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>
        <v>0</v>
      </c>
    </row>
    <row r="539" spans="1:245" x14ac:dyDescent="0.2">
      <c r="A539" s="2">
        <v>52</v>
      </c>
      <c r="B539" s="2">
        <f t="shared" ref="B539:G539" si="451">B552</f>
        <v>1</v>
      </c>
      <c r="C539" s="2">
        <f t="shared" si="451"/>
        <v>4</v>
      </c>
      <c r="D539" s="2">
        <f t="shared" si="451"/>
        <v>537</v>
      </c>
      <c r="E539" s="2">
        <f t="shared" si="451"/>
        <v>0</v>
      </c>
      <c r="F539" s="2" t="str">
        <f t="shared" si="451"/>
        <v>Новый раздел</v>
      </c>
      <c r="G539" s="2" t="str">
        <f t="shared" si="451"/>
        <v>Водный каскад (с ремонтом свода)</v>
      </c>
      <c r="H539" s="2"/>
      <c r="I539" s="2"/>
      <c r="J539" s="2"/>
      <c r="K539" s="2"/>
      <c r="L539" s="2"/>
      <c r="M539" s="2"/>
      <c r="N539" s="2"/>
      <c r="O539" s="2">
        <f t="shared" ref="O539:AT539" si="452">O552</f>
        <v>558718.59</v>
      </c>
      <c r="P539" s="2">
        <f t="shared" si="452"/>
        <v>373812.93</v>
      </c>
      <c r="Q539" s="2">
        <f t="shared" si="452"/>
        <v>73970.720000000001</v>
      </c>
      <c r="R539" s="2">
        <f t="shared" si="452"/>
        <v>15775.09</v>
      </c>
      <c r="S539" s="2">
        <f t="shared" si="452"/>
        <v>110934.94</v>
      </c>
      <c r="T539" s="2">
        <f t="shared" si="452"/>
        <v>0</v>
      </c>
      <c r="U539" s="2">
        <f t="shared" si="452"/>
        <v>407.69788749999998</v>
      </c>
      <c r="V539" s="2">
        <f t="shared" si="452"/>
        <v>0</v>
      </c>
      <c r="W539" s="2">
        <f t="shared" si="452"/>
        <v>0</v>
      </c>
      <c r="X539" s="2">
        <f t="shared" si="452"/>
        <v>78332.850000000006</v>
      </c>
      <c r="Y539" s="2">
        <f t="shared" si="452"/>
        <v>45483.32</v>
      </c>
      <c r="Z539" s="2">
        <f t="shared" si="452"/>
        <v>0</v>
      </c>
      <c r="AA539" s="2">
        <f t="shared" si="452"/>
        <v>0</v>
      </c>
      <c r="AB539" s="2">
        <f t="shared" si="452"/>
        <v>558718.59</v>
      </c>
      <c r="AC539" s="2">
        <f t="shared" si="452"/>
        <v>373812.93</v>
      </c>
      <c r="AD539" s="2">
        <f t="shared" si="452"/>
        <v>73970.720000000001</v>
      </c>
      <c r="AE539" s="2">
        <f t="shared" si="452"/>
        <v>15775.09</v>
      </c>
      <c r="AF539" s="2">
        <f t="shared" si="452"/>
        <v>110934.94</v>
      </c>
      <c r="AG539" s="2">
        <f t="shared" si="452"/>
        <v>0</v>
      </c>
      <c r="AH539" s="2">
        <f t="shared" si="452"/>
        <v>407.69788749999998</v>
      </c>
      <c r="AI539" s="2">
        <f t="shared" si="452"/>
        <v>0</v>
      </c>
      <c r="AJ539" s="2">
        <f t="shared" si="452"/>
        <v>0</v>
      </c>
      <c r="AK539" s="2">
        <f t="shared" si="452"/>
        <v>78332.850000000006</v>
      </c>
      <c r="AL539" s="2">
        <f t="shared" si="452"/>
        <v>45483.32</v>
      </c>
      <c r="AM539" s="2">
        <f t="shared" si="452"/>
        <v>0</v>
      </c>
      <c r="AN539" s="2">
        <f t="shared" si="452"/>
        <v>0</v>
      </c>
      <c r="AO539" s="2">
        <f t="shared" si="452"/>
        <v>0</v>
      </c>
      <c r="AP539" s="2">
        <f t="shared" si="452"/>
        <v>0</v>
      </c>
      <c r="AQ539" s="2">
        <f t="shared" si="452"/>
        <v>0</v>
      </c>
      <c r="AR539" s="2">
        <f t="shared" si="452"/>
        <v>707301.66</v>
      </c>
      <c r="AS539" s="2">
        <f t="shared" si="452"/>
        <v>659580.67000000004</v>
      </c>
      <c r="AT539" s="2">
        <f t="shared" si="452"/>
        <v>0</v>
      </c>
      <c r="AU539" s="2">
        <f t="shared" ref="AU539:BZ539" si="453">AU552</f>
        <v>47720.99</v>
      </c>
      <c r="AV539" s="2">
        <f t="shared" si="453"/>
        <v>373812.93</v>
      </c>
      <c r="AW539" s="2">
        <f t="shared" si="453"/>
        <v>373812.93</v>
      </c>
      <c r="AX539" s="2">
        <f t="shared" si="453"/>
        <v>0</v>
      </c>
      <c r="AY539" s="2">
        <f t="shared" si="453"/>
        <v>373812.93</v>
      </c>
      <c r="AZ539" s="2">
        <f t="shared" si="453"/>
        <v>0</v>
      </c>
      <c r="BA539" s="2">
        <f t="shared" si="453"/>
        <v>0</v>
      </c>
      <c r="BB539" s="2">
        <f t="shared" si="453"/>
        <v>0</v>
      </c>
      <c r="BC539" s="2">
        <f t="shared" si="453"/>
        <v>0</v>
      </c>
      <c r="BD539" s="2">
        <f t="shared" si="453"/>
        <v>0</v>
      </c>
      <c r="BE539" s="2">
        <f t="shared" si="453"/>
        <v>0</v>
      </c>
      <c r="BF539" s="2">
        <f t="shared" si="453"/>
        <v>0</v>
      </c>
      <c r="BG539" s="2">
        <f t="shared" si="453"/>
        <v>0</v>
      </c>
      <c r="BH539" s="2">
        <f t="shared" si="453"/>
        <v>0</v>
      </c>
      <c r="BI539" s="2">
        <f t="shared" si="453"/>
        <v>0</v>
      </c>
      <c r="BJ539" s="2">
        <f t="shared" si="453"/>
        <v>0</v>
      </c>
      <c r="BK539" s="2">
        <f t="shared" si="453"/>
        <v>0</v>
      </c>
      <c r="BL539" s="2">
        <f t="shared" si="453"/>
        <v>0</v>
      </c>
      <c r="BM539" s="2">
        <f t="shared" si="453"/>
        <v>0</v>
      </c>
      <c r="BN539" s="2">
        <f t="shared" si="453"/>
        <v>0</v>
      </c>
      <c r="BO539" s="2">
        <f t="shared" si="453"/>
        <v>0</v>
      </c>
      <c r="BP539" s="2">
        <f t="shared" si="453"/>
        <v>0</v>
      </c>
      <c r="BQ539" s="2">
        <f t="shared" si="453"/>
        <v>0</v>
      </c>
      <c r="BR539" s="2">
        <f t="shared" si="453"/>
        <v>0</v>
      </c>
      <c r="BS539" s="2">
        <f t="shared" si="453"/>
        <v>0</v>
      </c>
      <c r="BT539" s="2">
        <f t="shared" si="453"/>
        <v>0</v>
      </c>
      <c r="BU539" s="2">
        <f t="shared" si="453"/>
        <v>0</v>
      </c>
      <c r="BV539" s="2">
        <f t="shared" si="453"/>
        <v>0</v>
      </c>
      <c r="BW539" s="2">
        <f t="shared" si="453"/>
        <v>0</v>
      </c>
      <c r="BX539" s="2">
        <f t="shared" si="453"/>
        <v>0</v>
      </c>
      <c r="BY539" s="2">
        <f t="shared" si="453"/>
        <v>0</v>
      </c>
      <c r="BZ539" s="2">
        <f t="shared" si="453"/>
        <v>0</v>
      </c>
      <c r="CA539" s="2">
        <f t="shared" ref="CA539:DF539" si="454">CA552</f>
        <v>707301.66</v>
      </c>
      <c r="CB539" s="2">
        <f t="shared" si="454"/>
        <v>659580.67000000004</v>
      </c>
      <c r="CC539" s="2">
        <f t="shared" si="454"/>
        <v>0</v>
      </c>
      <c r="CD539" s="2">
        <f t="shared" si="454"/>
        <v>47720.99</v>
      </c>
      <c r="CE539" s="2">
        <f t="shared" si="454"/>
        <v>373812.93</v>
      </c>
      <c r="CF539" s="2">
        <f t="shared" si="454"/>
        <v>373812.93</v>
      </c>
      <c r="CG539" s="2">
        <f t="shared" si="454"/>
        <v>0</v>
      </c>
      <c r="CH539" s="2">
        <f t="shared" si="454"/>
        <v>373812.93</v>
      </c>
      <c r="CI539" s="2">
        <f t="shared" si="454"/>
        <v>0</v>
      </c>
      <c r="CJ539" s="2">
        <f t="shared" si="454"/>
        <v>0</v>
      </c>
      <c r="CK539" s="2">
        <f t="shared" si="454"/>
        <v>0</v>
      </c>
      <c r="CL539" s="2">
        <f t="shared" si="454"/>
        <v>0</v>
      </c>
      <c r="CM539" s="2">
        <f t="shared" si="454"/>
        <v>0</v>
      </c>
      <c r="CN539" s="2">
        <f t="shared" si="454"/>
        <v>0</v>
      </c>
      <c r="CO539" s="2">
        <f t="shared" si="454"/>
        <v>0</v>
      </c>
      <c r="CP539" s="2">
        <f t="shared" si="454"/>
        <v>0</v>
      </c>
      <c r="CQ539" s="2">
        <f t="shared" si="454"/>
        <v>0</v>
      </c>
      <c r="CR539" s="2">
        <f t="shared" si="454"/>
        <v>0</v>
      </c>
      <c r="CS539" s="2">
        <f t="shared" si="454"/>
        <v>0</v>
      </c>
      <c r="CT539" s="2">
        <f t="shared" si="454"/>
        <v>0</v>
      </c>
      <c r="CU539" s="2">
        <f t="shared" si="454"/>
        <v>0</v>
      </c>
      <c r="CV539" s="2">
        <f t="shared" si="454"/>
        <v>0</v>
      </c>
      <c r="CW539" s="2">
        <f t="shared" si="454"/>
        <v>0</v>
      </c>
      <c r="CX539" s="2">
        <f t="shared" si="454"/>
        <v>0</v>
      </c>
      <c r="CY539" s="2">
        <f t="shared" si="454"/>
        <v>0</v>
      </c>
      <c r="CZ539" s="2">
        <f t="shared" si="454"/>
        <v>0</v>
      </c>
      <c r="DA539" s="2">
        <f t="shared" si="454"/>
        <v>0</v>
      </c>
      <c r="DB539" s="2">
        <f t="shared" si="454"/>
        <v>0</v>
      </c>
      <c r="DC539" s="2">
        <f t="shared" si="454"/>
        <v>0</v>
      </c>
      <c r="DD539" s="2">
        <f t="shared" si="454"/>
        <v>0</v>
      </c>
      <c r="DE539" s="2">
        <f t="shared" si="454"/>
        <v>0</v>
      </c>
      <c r="DF539" s="2">
        <f t="shared" si="454"/>
        <v>0</v>
      </c>
      <c r="DG539" s="3">
        <f t="shared" ref="DG539:EL539" si="455">DG552</f>
        <v>0</v>
      </c>
      <c r="DH539" s="3">
        <f t="shared" si="455"/>
        <v>0</v>
      </c>
      <c r="DI539" s="3">
        <f t="shared" si="455"/>
        <v>0</v>
      </c>
      <c r="DJ539" s="3">
        <f t="shared" si="455"/>
        <v>0</v>
      </c>
      <c r="DK539" s="3">
        <f t="shared" si="455"/>
        <v>0</v>
      </c>
      <c r="DL539" s="3">
        <f t="shared" si="455"/>
        <v>0</v>
      </c>
      <c r="DM539" s="3">
        <f t="shared" si="455"/>
        <v>0</v>
      </c>
      <c r="DN539" s="3">
        <f t="shared" si="455"/>
        <v>0</v>
      </c>
      <c r="DO539" s="3">
        <f t="shared" si="455"/>
        <v>0</v>
      </c>
      <c r="DP539" s="3">
        <f t="shared" si="455"/>
        <v>0</v>
      </c>
      <c r="DQ539" s="3">
        <f t="shared" si="455"/>
        <v>0</v>
      </c>
      <c r="DR539" s="3">
        <f t="shared" si="455"/>
        <v>0</v>
      </c>
      <c r="DS539" s="3">
        <f t="shared" si="455"/>
        <v>0</v>
      </c>
      <c r="DT539" s="3">
        <f t="shared" si="455"/>
        <v>0</v>
      </c>
      <c r="DU539" s="3">
        <f t="shared" si="455"/>
        <v>0</v>
      </c>
      <c r="DV539" s="3">
        <f t="shared" si="455"/>
        <v>0</v>
      </c>
      <c r="DW539" s="3">
        <f t="shared" si="455"/>
        <v>0</v>
      </c>
      <c r="DX539" s="3">
        <f t="shared" si="455"/>
        <v>0</v>
      </c>
      <c r="DY539" s="3">
        <f t="shared" si="455"/>
        <v>0</v>
      </c>
      <c r="DZ539" s="3">
        <f t="shared" si="455"/>
        <v>0</v>
      </c>
      <c r="EA539" s="3">
        <f t="shared" si="455"/>
        <v>0</v>
      </c>
      <c r="EB539" s="3">
        <f t="shared" si="455"/>
        <v>0</v>
      </c>
      <c r="EC539" s="3">
        <f t="shared" si="455"/>
        <v>0</v>
      </c>
      <c r="ED539" s="3">
        <f t="shared" si="455"/>
        <v>0</v>
      </c>
      <c r="EE539" s="3">
        <f t="shared" si="455"/>
        <v>0</v>
      </c>
      <c r="EF539" s="3">
        <f t="shared" si="455"/>
        <v>0</v>
      </c>
      <c r="EG539" s="3">
        <f t="shared" si="455"/>
        <v>0</v>
      </c>
      <c r="EH539" s="3">
        <f t="shared" si="455"/>
        <v>0</v>
      </c>
      <c r="EI539" s="3">
        <f t="shared" si="455"/>
        <v>0</v>
      </c>
      <c r="EJ539" s="3">
        <f t="shared" si="455"/>
        <v>0</v>
      </c>
      <c r="EK539" s="3">
        <f t="shared" si="455"/>
        <v>0</v>
      </c>
      <c r="EL539" s="3">
        <f t="shared" si="455"/>
        <v>0</v>
      </c>
      <c r="EM539" s="3">
        <f t="shared" ref="EM539:FR539" si="456">EM552</f>
        <v>0</v>
      </c>
      <c r="EN539" s="3">
        <f t="shared" si="456"/>
        <v>0</v>
      </c>
      <c r="EO539" s="3">
        <f t="shared" si="456"/>
        <v>0</v>
      </c>
      <c r="EP539" s="3">
        <f t="shared" si="456"/>
        <v>0</v>
      </c>
      <c r="EQ539" s="3">
        <f t="shared" si="456"/>
        <v>0</v>
      </c>
      <c r="ER539" s="3">
        <f t="shared" si="456"/>
        <v>0</v>
      </c>
      <c r="ES539" s="3">
        <f t="shared" si="456"/>
        <v>0</v>
      </c>
      <c r="ET539" s="3">
        <f t="shared" si="456"/>
        <v>0</v>
      </c>
      <c r="EU539" s="3">
        <f t="shared" si="456"/>
        <v>0</v>
      </c>
      <c r="EV539" s="3">
        <f t="shared" si="456"/>
        <v>0</v>
      </c>
      <c r="EW539" s="3">
        <f t="shared" si="456"/>
        <v>0</v>
      </c>
      <c r="EX539" s="3">
        <f t="shared" si="456"/>
        <v>0</v>
      </c>
      <c r="EY539" s="3">
        <f t="shared" si="456"/>
        <v>0</v>
      </c>
      <c r="EZ539" s="3">
        <f t="shared" si="456"/>
        <v>0</v>
      </c>
      <c r="FA539" s="3">
        <f t="shared" si="456"/>
        <v>0</v>
      </c>
      <c r="FB539" s="3">
        <f t="shared" si="456"/>
        <v>0</v>
      </c>
      <c r="FC539" s="3">
        <f t="shared" si="456"/>
        <v>0</v>
      </c>
      <c r="FD539" s="3">
        <f t="shared" si="456"/>
        <v>0</v>
      </c>
      <c r="FE539" s="3">
        <f t="shared" si="456"/>
        <v>0</v>
      </c>
      <c r="FF539" s="3">
        <f t="shared" si="456"/>
        <v>0</v>
      </c>
      <c r="FG539" s="3">
        <f t="shared" si="456"/>
        <v>0</v>
      </c>
      <c r="FH539" s="3">
        <f t="shared" si="456"/>
        <v>0</v>
      </c>
      <c r="FI539" s="3">
        <f t="shared" si="456"/>
        <v>0</v>
      </c>
      <c r="FJ539" s="3">
        <f t="shared" si="456"/>
        <v>0</v>
      </c>
      <c r="FK539" s="3">
        <f t="shared" si="456"/>
        <v>0</v>
      </c>
      <c r="FL539" s="3">
        <f t="shared" si="456"/>
        <v>0</v>
      </c>
      <c r="FM539" s="3">
        <f t="shared" si="456"/>
        <v>0</v>
      </c>
      <c r="FN539" s="3">
        <f t="shared" si="456"/>
        <v>0</v>
      </c>
      <c r="FO539" s="3">
        <f t="shared" si="456"/>
        <v>0</v>
      </c>
      <c r="FP539" s="3">
        <f t="shared" si="456"/>
        <v>0</v>
      </c>
      <c r="FQ539" s="3">
        <f t="shared" si="456"/>
        <v>0</v>
      </c>
      <c r="FR539" s="3">
        <f t="shared" si="456"/>
        <v>0</v>
      </c>
      <c r="FS539" s="3">
        <f t="shared" ref="FS539:GX539" si="457">FS552</f>
        <v>0</v>
      </c>
      <c r="FT539" s="3">
        <f t="shared" si="457"/>
        <v>0</v>
      </c>
      <c r="FU539" s="3">
        <f t="shared" si="457"/>
        <v>0</v>
      </c>
      <c r="FV539" s="3">
        <f t="shared" si="457"/>
        <v>0</v>
      </c>
      <c r="FW539" s="3">
        <f t="shared" si="457"/>
        <v>0</v>
      </c>
      <c r="FX539" s="3">
        <f t="shared" si="457"/>
        <v>0</v>
      </c>
      <c r="FY539" s="3">
        <f t="shared" si="457"/>
        <v>0</v>
      </c>
      <c r="FZ539" s="3">
        <f t="shared" si="457"/>
        <v>0</v>
      </c>
      <c r="GA539" s="3">
        <f t="shared" si="457"/>
        <v>0</v>
      </c>
      <c r="GB539" s="3">
        <f t="shared" si="457"/>
        <v>0</v>
      </c>
      <c r="GC539" s="3">
        <f t="shared" si="457"/>
        <v>0</v>
      </c>
      <c r="GD539" s="3">
        <f t="shared" si="457"/>
        <v>0</v>
      </c>
      <c r="GE539" s="3">
        <f t="shared" si="457"/>
        <v>0</v>
      </c>
      <c r="GF539" s="3">
        <f t="shared" si="457"/>
        <v>0</v>
      </c>
      <c r="GG539" s="3">
        <f t="shared" si="457"/>
        <v>0</v>
      </c>
      <c r="GH539" s="3">
        <f t="shared" si="457"/>
        <v>0</v>
      </c>
      <c r="GI539" s="3">
        <f t="shared" si="457"/>
        <v>0</v>
      </c>
      <c r="GJ539" s="3">
        <f t="shared" si="457"/>
        <v>0</v>
      </c>
      <c r="GK539" s="3">
        <f t="shared" si="457"/>
        <v>0</v>
      </c>
      <c r="GL539" s="3">
        <f t="shared" si="457"/>
        <v>0</v>
      </c>
      <c r="GM539" s="3">
        <f t="shared" si="457"/>
        <v>0</v>
      </c>
      <c r="GN539" s="3">
        <f t="shared" si="457"/>
        <v>0</v>
      </c>
      <c r="GO539" s="3">
        <f t="shared" si="457"/>
        <v>0</v>
      </c>
      <c r="GP539" s="3">
        <f t="shared" si="457"/>
        <v>0</v>
      </c>
      <c r="GQ539" s="3">
        <f t="shared" si="457"/>
        <v>0</v>
      </c>
      <c r="GR539" s="3">
        <f t="shared" si="457"/>
        <v>0</v>
      </c>
      <c r="GS539" s="3">
        <f t="shared" si="457"/>
        <v>0</v>
      </c>
      <c r="GT539" s="3">
        <f t="shared" si="457"/>
        <v>0</v>
      </c>
      <c r="GU539" s="3">
        <f t="shared" si="457"/>
        <v>0</v>
      </c>
      <c r="GV539" s="3">
        <f t="shared" si="457"/>
        <v>0</v>
      </c>
      <c r="GW539" s="3">
        <f t="shared" si="457"/>
        <v>0</v>
      </c>
      <c r="GX539" s="3">
        <f t="shared" si="457"/>
        <v>0</v>
      </c>
    </row>
    <row r="541" spans="1:245" x14ac:dyDescent="0.2">
      <c r="A541">
        <v>17</v>
      </c>
      <c r="B541">
        <v>1</v>
      </c>
      <c r="C541">
        <f>ROW(SmtRes!A340)</f>
        <v>340</v>
      </c>
      <c r="D541">
        <f>ROW(EtalonRes!A340)</f>
        <v>340</v>
      </c>
      <c r="E541" t="s">
        <v>695</v>
      </c>
      <c r="F541" t="s">
        <v>439</v>
      </c>
      <c r="G541" t="s">
        <v>696</v>
      </c>
      <c r="H541" t="s">
        <v>441</v>
      </c>
      <c r="I541">
        <f>ROUND(33.75/10,9)</f>
        <v>3.375</v>
      </c>
      <c r="J541">
        <v>0</v>
      </c>
      <c r="K541">
        <f>ROUND(33.75/10,9)</f>
        <v>3.375</v>
      </c>
      <c r="O541">
        <f t="shared" ref="O541:O550" si="458">ROUND(CP541,2)</f>
        <v>71953.2</v>
      </c>
      <c r="P541">
        <f t="shared" ref="P541:P550" si="459">ROUND((ROUND((AC541*AW541*I541),2)*BC541),2)</f>
        <v>0</v>
      </c>
      <c r="Q541">
        <f>(ROUND((ROUND(((ET541)*AV541*I541),2)*BB541),2)+ROUND((ROUND(((AE541-(EU541))*AV541*I541),2)*BS541),2))</f>
        <v>18960.150000000001</v>
      </c>
      <c r="R541">
        <f t="shared" ref="R541:R550" si="460">ROUND((ROUND((AE541*AV541*I541),2)*BS541),2)</f>
        <v>12484.17</v>
      </c>
      <c r="S541">
        <f t="shared" ref="S541:S550" si="461">ROUND((ROUND((AF541*AV541*I541),2)*BA541),2)</f>
        <v>52993.05</v>
      </c>
      <c r="T541">
        <f t="shared" ref="T541:T550" si="462">ROUND(CU541*I541,2)</f>
        <v>0</v>
      </c>
      <c r="U541">
        <f t="shared" ref="U541:U550" si="463">CV541*I541</f>
        <v>210.1980375</v>
      </c>
      <c r="V541">
        <f t="shared" ref="V541:V550" si="464">CW541*I541</f>
        <v>0</v>
      </c>
      <c r="W541">
        <f t="shared" ref="W541:W550" si="465">ROUND(CX541*I541,2)</f>
        <v>0</v>
      </c>
      <c r="X541">
        <f t="shared" ref="X541:X550" si="466">ROUND(CY541,2)</f>
        <v>36035.269999999997</v>
      </c>
      <c r="Y541">
        <f t="shared" ref="Y541:Y550" si="467">ROUND(CZ541,2)</f>
        <v>21727.15</v>
      </c>
      <c r="AA541">
        <v>42938047</v>
      </c>
      <c r="AB541">
        <f t="shared" ref="AB541:AB550" si="468">ROUND((AC541+AD541+AF541),6)</f>
        <v>1128.8423</v>
      </c>
      <c r="AC541">
        <f t="shared" ref="AC541:AC550" si="469">ROUND((ES541),6)</f>
        <v>0</v>
      </c>
      <c r="AD541">
        <f>ROUND((((ET541)-(EU541))+AE541),6)</f>
        <v>511.64</v>
      </c>
      <c r="AE541">
        <f>ROUND((EU541),6)</f>
        <v>145.4</v>
      </c>
      <c r="AF541">
        <f>ROUND(((EV541*0.33)),6)</f>
        <v>617.20230000000004</v>
      </c>
      <c r="AG541">
        <f t="shared" ref="AG541:AG550" si="470">ROUND((AP541),6)</f>
        <v>0</v>
      </c>
      <c r="AH541">
        <f>((EW541*0.33))</f>
        <v>62.280900000000003</v>
      </c>
      <c r="AI541">
        <f>(EX541)</f>
        <v>0</v>
      </c>
      <c r="AJ541">
        <f t="shared" ref="AJ541:AJ550" si="471">(AS541)</f>
        <v>0</v>
      </c>
      <c r="AK541">
        <v>2381.9499999999998</v>
      </c>
      <c r="AL541">
        <v>0</v>
      </c>
      <c r="AM541">
        <v>511.64</v>
      </c>
      <c r="AN541">
        <v>145.4</v>
      </c>
      <c r="AO541">
        <v>1870.31</v>
      </c>
      <c r="AP541">
        <v>0</v>
      </c>
      <c r="AQ541">
        <v>188.73</v>
      </c>
      <c r="AR541">
        <v>0</v>
      </c>
      <c r="AS541">
        <v>0</v>
      </c>
      <c r="AT541">
        <v>68</v>
      </c>
      <c r="AU541">
        <v>41</v>
      </c>
      <c r="AV541">
        <v>1</v>
      </c>
      <c r="AW541">
        <v>1</v>
      </c>
      <c r="AZ541">
        <v>1</v>
      </c>
      <c r="BA541">
        <v>25.44</v>
      </c>
      <c r="BB541">
        <v>10.98</v>
      </c>
      <c r="BC541">
        <v>1</v>
      </c>
      <c r="BD541" t="s">
        <v>3</v>
      </c>
      <c r="BE541" t="s">
        <v>3</v>
      </c>
      <c r="BF541" t="s">
        <v>3</v>
      </c>
      <c r="BG541" t="s">
        <v>3</v>
      </c>
      <c r="BH541">
        <v>0</v>
      </c>
      <c r="BI541">
        <v>1</v>
      </c>
      <c r="BJ541" t="s">
        <v>442</v>
      </c>
      <c r="BM541">
        <v>406</v>
      </c>
      <c r="BN541">
        <v>0</v>
      </c>
      <c r="BO541" t="s">
        <v>439</v>
      </c>
      <c r="BP541">
        <v>1</v>
      </c>
      <c r="BQ541">
        <v>60</v>
      </c>
      <c r="BR541">
        <v>0</v>
      </c>
      <c r="BS541">
        <v>25.44</v>
      </c>
      <c r="BT541">
        <v>1</v>
      </c>
      <c r="BU541">
        <v>1</v>
      </c>
      <c r="BV541">
        <v>1</v>
      </c>
      <c r="BW541">
        <v>1</v>
      </c>
      <c r="BX541">
        <v>1</v>
      </c>
      <c r="BY541" t="s">
        <v>3</v>
      </c>
      <c r="BZ541">
        <v>68</v>
      </c>
      <c r="CA541">
        <v>41</v>
      </c>
      <c r="CB541" t="s">
        <v>3</v>
      </c>
      <c r="CE541">
        <v>30</v>
      </c>
      <c r="CF541">
        <v>0</v>
      </c>
      <c r="CG541">
        <v>0</v>
      </c>
      <c r="CM541">
        <v>0</v>
      </c>
      <c r="CN541" t="s">
        <v>3</v>
      </c>
      <c r="CO541">
        <v>0</v>
      </c>
      <c r="CP541">
        <f t="shared" ref="CP541:CP550" si="472">(P541+Q541+S541)</f>
        <v>71953.200000000012</v>
      </c>
      <c r="CQ541">
        <f t="shared" ref="CQ541:CQ550" si="473">ROUND((ROUND((AC541*AW541*1),2)*BC541),2)</f>
        <v>0</v>
      </c>
      <c r="CR541">
        <f>(ROUND((ROUND(((ET541)*AV541*1),2)*BB541),2)+ROUND((ROUND(((AE541-(EU541))*AV541*1),2)*BS541),2))</f>
        <v>5617.81</v>
      </c>
      <c r="CS541">
        <f t="shared" ref="CS541:CS550" si="474">ROUND((ROUND((AE541*AV541*1),2)*BS541),2)</f>
        <v>3698.98</v>
      </c>
      <c r="CT541">
        <f t="shared" ref="CT541:CT550" si="475">ROUND((ROUND((AF541*AV541*1),2)*BA541),2)</f>
        <v>15701.57</v>
      </c>
      <c r="CU541">
        <f t="shared" ref="CU541:CU550" si="476">AG541</f>
        <v>0</v>
      </c>
      <c r="CV541">
        <f t="shared" ref="CV541:CV550" si="477">(AH541*AV541)</f>
        <v>62.280900000000003</v>
      </c>
      <c r="CW541">
        <f t="shared" ref="CW541:CW550" si="478">AI541</f>
        <v>0</v>
      </c>
      <c r="CX541">
        <f t="shared" ref="CX541:CX550" si="479">AJ541</f>
        <v>0</v>
      </c>
      <c r="CY541">
        <f t="shared" ref="CY541:CY550" si="480">S541*(BZ541/100)</f>
        <v>36035.274000000005</v>
      </c>
      <c r="CZ541">
        <f t="shared" ref="CZ541:CZ550" si="481">S541*(CA541/100)</f>
        <v>21727.1505</v>
      </c>
      <c r="DC541" t="s">
        <v>3</v>
      </c>
      <c r="DD541" t="s">
        <v>3</v>
      </c>
      <c r="DE541" t="s">
        <v>3</v>
      </c>
      <c r="DF541" t="s">
        <v>3</v>
      </c>
      <c r="DG541" t="s">
        <v>443</v>
      </c>
      <c r="DH541" t="s">
        <v>3</v>
      </c>
      <c r="DI541" t="s">
        <v>443</v>
      </c>
      <c r="DJ541" t="s">
        <v>3</v>
      </c>
      <c r="DK541" t="s">
        <v>3</v>
      </c>
      <c r="DL541" t="s">
        <v>3</v>
      </c>
      <c r="DM541" t="s">
        <v>3</v>
      </c>
      <c r="DN541">
        <v>80</v>
      </c>
      <c r="DO541">
        <v>55</v>
      </c>
      <c r="DP541">
        <v>1</v>
      </c>
      <c r="DQ541">
        <v>1</v>
      </c>
      <c r="DU541">
        <v>1013</v>
      </c>
      <c r="DV541" t="s">
        <v>441</v>
      </c>
      <c r="DW541" t="s">
        <v>441</v>
      </c>
      <c r="DX541">
        <v>1</v>
      </c>
      <c r="DZ541" t="s">
        <v>3</v>
      </c>
      <c r="EA541" t="s">
        <v>3</v>
      </c>
      <c r="EB541" t="s">
        <v>3</v>
      </c>
      <c r="EC541" t="s">
        <v>3</v>
      </c>
      <c r="EE541">
        <v>43088484</v>
      </c>
      <c r="EF541">
        <v>60</v>
      </c>
      <c r="EG541" t="s">
        <v>40</v>
      </c>
      <c r="EH541">
        <v>0</v>
      </c>
      <c r="EI541" t="s">
        <v>3</v>
      </c>
      <c r="EJ541">
        <v>1</v>
      </c>
      <c r="EK541">
        <v>406</v>
      </c>
      <c r="EL541" t="s">
        <v>444</v>
      </c>
      <c r="EM541" t="s">
        <v>445</v>
      </c>
      <c r="EO541" t="s">
        <v>3</v>
      </c>
      <c r="EQ541">
        <v>0</v>
      </c>
      <c r="ER541">
        <v>2381.9499999999998</v>
      </c>
      <c r="ES541">
        <v>0</v>
      </c>
      <c r="ET541">
        <v>511.64</v>
      </c>
      <c r="EU541">
        <v>145.4</v>
      </c>
      <c r="EV541">
        <v>1870.31</v>
      </c>
      <c r="EW541">
        <v>188.73</v>
      </c>
      <c r="EX541">
        <v>0</v>
      </c>
      <c r="EY541">
        <v>0</v>
      </c>
      <c r="FQ541">
        <v>0</v>
      </c>
      <c r="FR541">
        <f t="shared" ref="FR541:FR550" si="482">ROUND(IF(AND(BH541=3,BI541=3),P541,0),2)</f>
        <v>0</v>
      </c>
      <c r="FS541">
        <v>0</v>
      </c>
      <c r="FX541">
        <v>80</v>
      </c>
      <c r="FY541">
        <v>55</v>
      </c>
      <c r="GA541" t="s">
        <v>3</v>
      </c>
      <c r="GD541">
        <v>0</v>
      </c>
      <c r="GF541">
        <v>-501239066</v>
      </c>
      <c r="GG541">
        <v>2</v>
      </c>
      <c r="GH541">
        <v>1</v>
      </c>
      <c r="GI541">
        <v>2</v>
      </c>
      <c r="GJ541">
        <v>0</v>
      </c>
      <c r="GK541">
        <f>ROUND(R541*(R12)/100,2)</f>
        <v>19600.150000000001</v>
      </c>
      <c r="GL541">
        <f t="shared" ref="GL541:GL550" si="483">ROUND(IF(AND(BH541=3,BI541=3,FS541&lt;&gt;0),P541,0),2)</f>
        <v>0</v>
      </c>
      <c r="GM541">
        <f t="shared" ref="GM541:GM550" si="484">ROUND(O541+X541+Y541+GK541,2)+GX541</f>
        <v>149315.76999999999</v>
      </c>
      <c r="GN541">
        <f t="shared" ref="GN541:GN550" si="485">IF(OR(BI541=0,BI541=1),ROUND(O541+X541+Y541+GK541,2),0)</f>
        <v>149315.76999999999</v>
      </c>
      <c r="GO541">
        <f t="shared" ref="GO541:GO550" si="486">IF(BI541=2,ROUND(O541+X541+Y541+GK541,2),0)</f>
        <v>0</v>
      </c>
      <c r="GP541">
        <f t="shared" ref="GP541:GP550" si="487">IF(BI541=4,ROUND(O541+X541+Y541+GK541,2)+GX541,0)</f>
        <v>0</v>
      </c>
      <c r="GR541">
        <v>0</v>
      </c>
      <c r="GS541">
        <v>3</v>
      </c>
      <c r="GT541">
        <v>0</v>
      </c>
      <c r="GU541" t="s">
        <v>3</v>
      </c>
      <c r="GV541">
        <f t="shared" ref="GV541:GV550" si="488">ROUND((GT541),6)</f>
        <v>0</v>
      </c>
      <c r="GW541">
        <v>1</v>
      </c>
      <c r="GX541">
        <f t="shared" ref="GX541:GX550" si="489">ROUND(HC541*I541,2)</f>
        <v>0</v>
      </c>
      <c r="HA541">
        <v>0</v>
      </c>
      <c r="HB541">
        <v>0</v>
      </c>
      <c r="HC541">
        <f t="shared" ref="HC541:HC550" si="490">GV541*GW541</f>
        <v>0</v>
      </c>
      <c r="HE541" t="s">
        <v>3</v>
      </c>
      <c r="HF541" t="s">
        <v>3</v>
      </c>
      <c r="HM541" t="s">
        <v>3</v>
      </c>
      <c r="IK541">
        <v>0</v>
      </c>
    </row>
    <row r="542" spans="1:245" x14ac:dyDescent="0.2">
      <c r="A542">
        <v>17</v>
      </c>
      <c r="B542">
        <v>1</v>
      </c>
      <c r="C542">
        <f>ROW(SmtRes!A346)</f>
        <v>346</v>
      </c>
      <c r="D542">
        <f>ROW(EtalonRes!A346)</f>
        <v>346</v>
      </c>
      <c r="E542" t="s">
        <v>697</v>
      </c>
      <c r="F542" t="s">
        <v>698</v>
      </c>
      <c r="G542" t="s">
        <v>699</v>
      </c>
      <c r="H542" t="s">
        <v>700</v>
      </c>
      <c r="I542">
        <v>33.75</v>
      </c>
      <c r="J542">
        <v>0</v>
      </c>
      <c r="K542">
        <v>33.75</v>
      </c>
      <c r="O542">
        <f t="shared" si="458"/>
        <v>46747.17</v>
      </c>
      <c r="P542">
        <f t="shared" si="459"/>
        <v>1810.97</v>
      </c>
      <c r="Q542">
        <f>(ROUND((ROUND((((ET542*1.25))*AV542*I542),2)*BB542),2)+ROUND((ROUND(((AE542-((EU542*1.25)))*AV542*I542),2)*BS542),2))</f>
        <v>0</v>
      </c>
      <c r="R542">
        <f t="shared" si="460"/>
        <v>0</v>
      </c>
      <c r="S542">
        <f t="shared" si="461"/>
        <v>44936.2</v>
      </c>
      <c r="T542">
        <f t="shared" si="462"/>
        <v>0</v>
      </c>
      <c r="U542">
        <f t="shared" si="463"/>
        <v>156.02624999999998</v>
      </c>
      <c r="V542">
        <f t="shared" si="464"/>
        <v>0</v>
      </c>
      <c r="W542">
        <f t="shared" si="465"/>
        <v>0</v>
      </c>
      <c r="X542">
        <f t="shared" si="466"/>
        <v>32803.43</v>
      </c>
      <c r="Y542">
        <f t="shared" si="467"/>
        <v>18423.84</v>
      </c>
      <c r="AA542">
        <v>42938047</v>
      </c>
      <c r="AB542">
        <f t="shared" si="468"/>
        <v>60.466500000000003</v>
      </c>
      <c r="AC542">
        <f t="shared" si="469"/>
        <v>8.1300000000000008</v>
      </c>
      <c r="AD542">
        <f>ROUND(((((ET542*1.25))-((EU542*1.25)))+AE542),6)</f>
        <v>0</v>
      </c>
      <c r="AE542">
        <f>ROUND(((EU542*1.25)),6)</f>
        <v>0</v>
      </c>
      <c r="AF542">
        <f>ROUND(((EV542*1.15)),6)</f>
        <v>52.336500000000001</v>
      </c>
      <c r="AG542">
        <f t="shared" si="470"/>
        <v>0</v>
      </c>
      <c r="AH542">
        <f>((EW542*1.15))</f>
        <v>4.6229999999999993</v>
      </c>
      <c r="AI542">
        <f>((EX542*1.25))</f>
        <v>0</v>
      </c>
      <c r="AJ542">
        <f t="shared" si="471"/>
        <v>0</v>
      </c>
      <c r="AK542">
        <v>53.64</v>
      </c>
      <c r="AL542">
        <v>8.1300000000000008</v>
      </c>
      <c r="AM542">
        <v>0</v>
      </c>
      <c r="AN542">
        <v>0</v>
      </c>
      <c r="AO542">
        <v>45.51</v>
      </c>
      <c r="AP542">
        <v>0</v>
      </c>
      <c r="AQ542">
        <v>4.0199999999999996</v>
      </c>
      <c r="AR542">
        <v>0</v>
      </c>
      <c r="AS542">
        <v>0</v>
      </c>
      <c r="AT542">
        <v>73</v>
      </c>
      <c r="AU542">
        <v>41</v>
      </c>
      <c r="AV542">
        <v>1</v>
      </c>
      <c r="AW542">
        <v>1</v>
      </c>
      <c r="AZ542">
        <v>1</v>
      </c>
      <c r="BA542">
        <v>25.44</v>
      </c>
      <c r="BB542">
        <v>1</v>
      </c>
      <c r="BC542">
        <v>6.6</v>
      </c>
      <c r="BD542" t="s">
        <v>3</v>
      </c>
      <c r="BE542" t="s">
        <v>3</v>
      </c>
      <c r="BF542" t="s">
        <v>3</v>
      </c>
      <c r="BG542" t="s">
        <v>3</v>
      </c>
      <c r="BH542">
        <v>0</v>
      </c>
      <c r="BI542">
        <v>1</v>
      </c>
      <c r="BJ542" t="s">
        <v>701</v>
      </c>
      <c r="BM542">
        <v>66</v>
      </c>
      <c r="BN542">
        <v>0</v>
      </c>
      <c r="BO542" t="s">
        <v>698</v>
      </c>
      <c r="BP542">
        <v>1</v>
      </c>
      <c r="BQ542">
        <v>30</v>
      </c>
      <c r="BR542">
        <v>0</v>
      </c>
      <c r="BS542">
        <v>25.44</v>
      </c>
      <c r="BT542">
        <v>1</v>
      </c>
      <c r="BU542">
        <v>1</v>
      </c>
      <c r="BV542">
        <v>1</v>
      </c>
      <c r="BW542">
        <v>1</v>
      </c>
      <c r="BX542">
        <v>1</v>
      </c>
      <c r="BY542" t="s">
        <v>3</v>
      </c>
      <c r="BZ542">
        <v>73</v>
      </c>
      <c r="CA542">
        <v>41</v>
      </c>
      <c r="CB542" t="s">
        <v>3</v>
      </c>
      <c r="CE542">
        <v>30</v>
      </c>
      <c r="CF542">
        <v>0</v>
      </c>
      <c r="CG542">
        <v>0</v>
      </c>
      <c r="CM542">
        <v>0</v>
      </c>
      <c r="CN542" t="s">
        <v>1584</v>
      </c>
      <c r="CO542">
        <v>0</v>
      </c>
      <c r="CP542">
        <f t="shared" si="472"/>
        <v>46747.17</v>
      </c>
      <c r="CQ542">
        <f t="shared" si="473"/>
        <v>53.66</v>
      </c>
      <c r="CR542">
        <f>(ROUND((ROUND((((ET542*1.25))*AV542*1),2)*BB542),2)+ROUND((ROUND(((AE542-((EU542*1.25)))*AV542*1),2)*BS542),2))</f>
        <v>0</v>
      </c>
      <c r="CS542">
        <f t="shared" si="474"/>
        <v>0</v>
      </c>
      <c r="CT542">
        <f t="shared" si="475"/>
        <v>1331.53</v>
      </c>
      <c r="CU542">
        <f t="shared" si="476"/>
        <v>0</v>
      </c>
      <c r="CV542">
        <f t="shared" si="477"/>
        <v>4.6229999999999993</v>
      </c>
      <c r="CW542">
        <f t="shared" si="478"/>
        <v>0</v>
      </c>
      <c r="CX542">
        <f t="shared" si="479"/>
        <v>0</v>
      </c>
      <c r="CY542">
        <f t="shared" si="480"/>
        <v>32803.425999999999</v>
      </c>
      <c r="CZ542">
        <f t="shared" si="481"/>
        <v>18423.841999999997</v>
      </c>
      <c r="DC542" t="s">
        <v>3</v>
      </c>
      <c r="DD542" t="s">
        <v>3</v>
      </c>
      <c r="DE542" t="s">
        <v>20</v>
      </c>
      <c r="DF542" t="s">
        <v>20</v>
      </c>
      <c r="DG542" t="s">
        <v>21</v>
      </c>
      <c r="DH542" t="s">
        <v>3</v>
      </c>
      <c r="DI542" t="s">
        <v>21</v>
      </c>
      <c r="DJ542" t="s">
        <v>20</v>
      </c>
      <c r="DK542" t="s">
        <v>3</v>
      </c>
      <c r="DL542" t="s">
        <v>3</v>
      </c>
      <c r="DM542" t="s">
        <v>3</v>
      </c>
      <c r="DN542">
        <v>91</v>
      </c>
      <c r="DO542">
        <v>70</v>
      </c>
      <c r="DP542">
        <v>1</v>
      </c>
      <c r="DQ542">
        <v>1</v>
      </c>
      <c r="DU542">
        <v>1013</v>
      </c>
      <c r="DV542" t="s">
        <v>700</v>
      </c>
      <c r="DW542" t="s">
        <v>700</v>
      </c>
      <c r="DX542">
        <v>1</v>
      </c>
      <c r="DZ542" t="s">
        <v>3</v>
      </c>
      <c r="EA542" t="s">
        <v>3</v>
      </c>
      <c r="EB542" t="s">
        <v>3</v>
      </c>
      <c r="EC542" t="s">
        <v>3</v>
      </c>
      <c r="EE542">
        <v>43088144</v>
      </c>
      <c r="EF542">
        <v>30</v>
      </c>
      <c r="EG542" t="s">
        <v>22</v>
      </c>
      <c r="EH542">
        <v>0</v>
      </c>
      <c r="EI542" t="s">
        <v>3</v>
      </c>
      <c r="EJ542">
        <v>1</v>
      </c>
      <c r="EK542">
        <v>66</v>
      </c>
      <c r="EL542" t="s">
        <v>429</v>
      </c>
      <c r="EM542" t="s">
        <v>430</v>
      </c>
      <c r="EO542" t="s">
        <v>59</v>
      </c>
      <c r="EQ542">
        <v>0</v>
      </c>
      <c r="ER542">
        <v>53.64</v>
      </c>
      <c r="ES542">
        <v>8.1300000000000008</v>
      </c>
      <c r="ET542">
        <v>0</v>
      </c>
      <c r="EU542">
        <v>0</v>
      </c>
      <c r="EV542">
        <v>45.51</v>
      </c>
      <c r="EW542">
        <v>4.0199999999999996</v>
      </c>
      <c r="EX542">
        <v>0</v>
      </c>
      <c r="EY542">
        <v>0</v>
      </c>
      <c r="FQ542">
        <v>0</v>
      </c>
      <c r="FR542">
        <f t="shared" si="482"/>
        <v>0</v>
      </c>
      <c r="FS542">
        <v>0</v>
      </c>
      <c r="FX542">
        <v>91</v>
      </c>
      <c r="FY542">
        <v>70</v>
      </c>
      <c r="GA542" t="s">
        <v>3</v>
      </c>
      <c r="GD542">
        <v>0</v>
      </c>
      <c r="GF542">
        <v>-1572510326</v>
      </c>
      <c r="GG542">
        <v>2</v>
      </c>
      <c r="GH542">
        <v>1</v>
      </c>
      <c r="GI542">
        <v>2</v>
      </c>
      <c r="GJ542">
        <v>0</v>
      </c>
      <c r="GK542">
        <f>ROUND(R542*(R12)/100,2)</f>
        <v>0</v>
      </c>
      <c r="GL542">
        <f t="shared" si="483"/>
        <v>0</v>
      </c>
      <c r="GM542">
        <f t="shared" si="484"/>
        <v>97974.44</v>
      </c>
      <c r="GN542">
        <f t="shared" si="485"/>
        <v>97974.44</v>
      </c>
      <c r="GO542">
        <f t="shared" si="486"/>
        <v>0</v>
      </c>
      <c r="GP542">
        <f t="shared" si="487"/>
        <v>0</v>
      </c>
      <c r="GR542">
        <v>0</v>
      </c>
      <c r="GS542">
        <v>3</v>
      </c>
      <c r="GT542">
        <v>0</v>
      </c>
      <c r="GU542" t="s">
        <v>3</v>
      </c>
      <c r="GV542">
        <f t="shared" si="488"/>
        <v>0</v>
      </c>
      <c r="GW542">
        <v>1</v>
      </c>
      <c r="GX542">
        <f t="shared" si="489"/>
        <v>0</v>
      </c>
      <c r="HA542">
        <v>0</v>
      </c>
      <c r="HB542">
        <v>0</v>
      </c>
      <c r="HC542">
        <f t="shared" si="490"/>
        <v>0</v>
      </c>
      <c r="HE542" t="s">
        <v>3</v>
      </c>
      <c r="HF542" t="s">
        <v>3</v>
      </c>
      <c r="HM542" t="s">
        <v>3</v>
      </c>
      <c r="IK542">
        <v>0</v>
      </c>
    </row>
    <row r="543" spans="1:245" x14ac:dyDescent="0.2">
      <c r="A543">
        <v>18</v>
      </c>
      <c r="B543">
        <v>1</v>
      </c>
      <c r="C543">
        <v>346</v>
      </c>
      <c r="E543" t="s">
        <v>702</v>
      </c>
      <c r="F543" t="s">
        <v>118</v>
      </c>
      <c r="G543" t="s">
        <v>703</v>
      </c>
      <c r="H543" t="s">
        <v>84</v>
      </c>
      <c r="I543">
        <f>I542*J543</f>
        <v>33.75</v>
      </c>
      <c r="J543">
        <v>1</v>
      </c>
      <c r="K543">
        <v>1</v>
      </c>
      <c r="O543">
        <f t="shared" si="458"/>
        <v>286876.31</v>
      </c>
      <c r="P543">
        <f t="shared" si="459"/>
        <v>286876.31</v>
      </c>
      <c r="Q543">
        <f t="shared" ref="Q543:Q550" si="491">(ROUND((ROUND(((ET543)*AV543*I543),2)*BB543),2)+ROUND((ROUND(((AE543-(EU543))*AV543*I543),2)*BS543),2))</f>
        <v>0</v>
      </c>
      <c r="R543">
        <f t="shared" si="460"/>
        <v>0</v>
      </c>
      <c r="S543">
        <f t="shared" si="461"/>
        <v>0</v>
      </c>
      <c r="T543">
        <f t="shared" si="462"/>
        <v>0</v>
      </c>
      <c r="U543">
        <f t="shared" si="463"/>
        <v>0</v>
      </c>
      <c r="V543">
        <f t="shared" si="464"/>
        <v>0</v>
      </c>
      <c r="W543">
        <f t="shared" si="465"/>
        <v>0</v>
      </c>
      <c r="X543">
        <f t="shared" si="466"/>
        <v>0</v>
      </c>
      <c r="Y543">
        <f t="shared" si="467"/>
        <v>0</v>
      </c>
      <c r="AA543">
        <v>42938047</v>
      </c>
      <c r="AB543">
        <f t="shared" si="468"/>
        <v>1340.7</v>
      </c>
      <c r="AC543">
        <f t="shared" si="469"/>
        <v>1340.7</v>
      </c>
      <c r="AD543">
        <f t="shared" ref="AD543:AD550" si="492">ROUND((((ET543)-(EU543))+AE543),6)</f>
        <v>0</v>
      </c>
      <c r="AE543">
        <f t="shared" ref="AE543:AF550" si="493">ROUND((EU543),6)</f>
        <v>0</v>
      </c>
      <c r="AF543">
        <f t="shared" si="493"/>
        <v>0</v>
      </c>
      <c r="AG543">
        <f t="shared" si="470"/>
        <v>0</v>
      </c>
      <c r="AH543">
        <f t="shared" ref="AH543:AI550" si="494">(EW543)</f>
        <v>0</v>
      </c>
      <c r="AI543">
        <f t="shared" si="494"/>
        <v>0</v>
      </c>
      <c r="AJ543">
        <f t="shared" si="471"/>
        <v>0</v>
      </c>
      <c r="AK543">
        <v>1340.7</v>
      </c>
      <c r="AL543">
        <v>1340.7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1</v>
      </c>
      <c r="AW543">
        <v>1</v>
      </c>
      <c r="AZ543">
        <v>1</v>
      </c>
      <c r="BA543">
        <v>1</v>
      </c>
      <c r="BB543">
        <v>1</v>
      </c>
      <c r="BC543">
        <v>6.34</v>
      </c>
      <c r="BD543" t="s">
        <v>3</v>
      </c>
      <c r="BE543" t="s">
        <v>3</v>
      </c>
      <c r="BF543" t="s">
        <v>3</v>
      </c>
      <c r="BG543" t="s">
        <v>3</v>
      </c>
      <c r="BH543">
        <v>3</v>
      </c>
      <c r="BI543">
        <v>1</v>
      </c>
      <c r="BJ543" t="s">
        <v>3</v>
      </c>
      <c r="BM543">
        <v>66</v>
      </c>
      <c r="BN543">
        <v>0</v>
      </c>
      <c r="BO543" t="s">
        <v>3</v>
      </c>
      <c r="BP543">
        <v>0</v>
      </c>
      <c r="BQ543">
        <v>30</v>
      </c>
      <c r="BR543">
        <v>0</v>
      </c>
      <c r="BS543">
        <v>1</v>
      </c>
      <c r="BT543">
        <v>1</v>
      </c>
      <c r="BU543">
        <v>1</v>
      </c>
      <c r="BV543">
        <v>1</v>
      </c>
      <c r="BW543">
        <v>1</v>
      </c>
      <c r="BX543">
        <v>1</v>
      </c>
      <c r="BY543" t="s">
        <v>3</v>
      </c>
      <c r="BZ543">
        <v>0</v>
      </c>
      <c r="CA543">
        <v>0</v>
      </c>
      <c r="CB543" t="s">
        <v>3</v>
      </c>
      <c r="CE543">
        <v>30</v>
      </c>
      <c r="CF543">
        <v>0</v>
      </c>
      <c r="CG543">
        <v>0</v>
      </c>
      <c r="CM543">
        <v>0</v>
      </c>
      <c r="CN543" t="s">
        <v>3</v>
      </c>
      <c r="CO543">
        <v>0</v>
      </c>
      <c r="CP543">
        <f t="shared" si="472"/>
        <v>286876.31</v>
      </c>
      <c r="CQ543">
        <f t="shared" si="473"/>
        <v>8500.0400000000009</v>
      </c>
      <c r="CR543">
        <f t="shared" ref="CR543:CR550" si="495">(ROUND((ROUND(((ET543)*AV543*1),2)*BB543),2)+ROUND((ROUND(((AE543-(EU543))*AV543*1),2)*BS543),2))</f>
        <v>0</v>
      </c>
      <c r="CS543">
        <f t="shared" si="474"/>
        <v>0</v>
      </c>
      <c r="CT543">
        <f t="shared" si="475"/>
        <v>0</v>
      </c>
      <c r="CU543">
        <f t="shared" si="476"/>
        <v>0</v>
      </c>
      <c r="CV543">
        <f t="shared" si="477"/>
        <v>0</v>
      </c>
      <c r="CW543">
        <f t="shared" si="478"/>
        <v>0</v>
      </c>
      <c r="CX543">
        <f t="shared" si="479"/>
        <v>0</v>
      </c>
      <c r="CY543">
        <f t="shared" si="480"/>
        <v>0</v>
      </c>
      <c r="CZ543">
        <f t="shared" si="481"/>
        <v>0</v>
      </c>
      <c r="DC543" t="s">
        <v>3</v>
      </c>
      <c r="DD543" t="s">
        <v>3</v>
      </c>
      <c r="DE543" t="s">
        <v>3</v>
      </c>
      <c r="DF543" t="s">
        <v>3</v>
      </c>
      <c r="DG543" t="s">
        <v>3</v>
      </c>
      <c r="DH543" t="s">
        <v>3</v>
      </c>
      <c r="DI543" t="s">
        <v>3</v>
      </c>
      <c r="DJ543" t="s">
        <v>3</v>
      </c>
      <c r="DK543" t="s">
        <v>3</v>
      </c>
      <c r="DL543" t="s">
        <v>3</v>
      </c>
      <c r="DM543" t="s">
        <v>3</v>
      </c>
      <c r="DN543">
        <v>91</v>
      </c>
      <c r="DO543">
        <v>70</v>
      </c>
      <c r="DP543">
        <v>1</v>
      </c>
      <c r="DQ543">
        <v>1</v>
      </c>
      <c r="DU543">
        <v>1007</v>
      </c>
      <c r="DV543" t="s">
        <v>84</v>
      </c>
      <c r="DW543" t="s">
        <v>84</v>
      </c>
      <c r="DX543">
        <v>1</v>
      </c>
      <c r="DZ543" t="s">
        <v>3</v>
      </c>
      <c r="EA543" t="s">
        <v>3</v>
      </c>
      <c r="EB543" t="s">
        <v>3</v>
      </c>
      <c r="EC543" t="s">
        <v>3</v>
      </c>
      <c r="EE543">
        <v>43088144</v>
      </c>
      <c r="EF543">
        <v>30</v>
      </c>
      <c r="EG543" t="s">
        <v>22</v>
      </c>
      <c r="EH543">
        <v>0</v>
      </c>
      <c r="EI543" t="s">
        <v>3</v>
      </c>
      <c r="EJ543">
        <v>1</v>
      </c>
      <c r="EK543">
        <v>66</v>
      </c>
      <c r="EL543" t="s">
        <v>429</v>
      </c>
      <c r="EM543" t="s">
        <v>430</v>
      </c>
      <c r="EO543" t="s">
        <v>3</v>
      </c>
      <c r="EQ543">
        <v>0</v>
      </c>
      <c r="ER543">
        <v>1340.7</v>
      </c>
      <c r="ES543">
        <v>1340.7</v>
      </c>
      <c r="ET543">
        <v>0</v>
      </c>
      <c r="EU543">
        <v>0</v>
      </c>
      <c r="EV543">
        <v>0</v>
      </c>
      <c r="EW543">
        <v>0</v>
      </c>
      <c r="EX543">
        <v>0</v>
      </c>
      <c r="EZ543">
        <v>5</v>
      </c>
      <c r="FC543">
        <v>1</v>
      </c>
      <c r="FD543">
        <v>18</v>
      </c>
      <c r="FF543">
        <v>10000</v>
      </c>
      <c r="FQ543">
        <v>0</v>
      </c>
      <c r="FR543">
        <f t="shared" si="482"/>
        <v>0</v>
      </c>
      <c r="FS543">
        <v>0</v>
      </c>
      <c r="FX543">
        <v>91</v>
      </c>
      <c r="FY543">
        <v>70</v>
      </c>
      <c r="GA543" t="s">
        <v>668</v>
      </c>
      <c r="GD543">
        <v>0</v>
      </c>
      <c r="GF543">
        <v>-608548090</v>
      </c>
      <c r="GG543">
        <v>2</v>
      </c>
      <c r="GH543">
        <v>3</v>
      </c>
      <c r="GI543">
        <v>3</v>
      </c>
      <c r="GJ543">
        <v>0</v>
      </c>
      <c r="GK543">
        <f>ROUND(R543*(R12)/100,2)</f>
        <v>0</v>
      </c>
      <c r="GL543">
        <f t="shared" si="483"/>
        <v>0</v>
      </c>
      <c r="GM543">
        <f t="shared" si="484"/>
        <v>286876.31</v>
      </c>
      <c r="GN543">
        <f t="shared" si="485"/>
        <v>286876.31</v>
      </c>
      <c r="GO543">
        <f t="shared" si="486"/>
        <v>0</v>
      </c>
      <c r="GP543">
        <f t="shared" si="487"/>
        <v>0</v>
      </c>
      <c r="GR543">
        <v>1</v>
      </c>
      <c r="GS543">
        <v>1</v>
      </c>
      <c r="GT543">
        <v>0</v>
      </c>
      <c r="GU543" t="s">
        <v>3</v>
      </c>
      <c r="GV543">
        <f t="shared" si="488"/>
        <v>0</v>
      </c>
      <c r="GW543">
        <v>1</v>
      </c>
      <c r="GX543">
        <f t="shared" si="489"/>
        <v>0</v>
      </c>
      <c r="HA543">
        <v>0</v>
      </c>
      <c r="HB543">
        <v>0</v>
      </c>
      <c r="HC543">
        <f t="shared" si="490"/>
        <v>0</v>
      </c>
      <c r="HE543" t="s">
        <v>26</v>
      </c>
      <c r="HF543" t="s">
        <v>122</v>
      </c>
      <c r="HM543" t="s">
        <v>3</v>
      </c>
      <c r="IK543">
        <v>0</v>
      </c>
    </row>
    <row r="544" spans="1:245" x14ac:dyDescent="0.2">
      <c r="A544">
        <v>18</v>
      </c>
      <c r="B544">
        <v>1</v>
      </c>
      <c r="C544">
        <v>345</v>
      </c>
      <c r="E544" t="s">
        <v>704</v>
      </c>
      <c r="F544" t="s">
        <v>705</v>
      </c>
      <c r="G544" t="s">
        <v>706</v>
      </c>
      <c r="H544" t="s">
        <v>84</v>
      </c>
      <c r="I544">
        <f>I542*J544</f>
        <v>2.3624999999999998</v>
      </c>
      <c r="J544">
        <v>6.9999999999999993E-2</v>
      </c>
      <c r="K544">
        <v>7.0000000000000007E-2</v>
      </c>
      <c r="O544">
        <f t="shared" si="458"/>
        <v>7670.05</v>
      </c>
      <c r="P544">
        <f t="shared" si="459"/>
        <v>7670.05</v>
      </c>
      <c r="Q544">
        <f t="shared" si="491"/>
        <v>0</v>
      </c>
      <c r="R544">
        <f t="shared" si="460"/>
        <v>0</v>
      </c>
      <c r="S544">
        <f t="shared" si="461"/>
        <v>0</v>
      </c>
      <c r="T544">
        <f t="shared" si="462"/>
        <v>0</v>
      </c>
      <c r="U544">
        <f t="shared" si="463"/>
        <v>0</v>
      </c>
      <c r="V544">
        <f t="shared" si="464"/>
        <v>0</v>
      </c>
      <c r="W544">
        <f t="shared" si="465"/>
        <v>0</v>
      </c>
      <c r="X544">
        <f t="shared" si="466"/>
        <v>0</v>
      </c>
      <c r="Y544">
        <f t="shared" si="467"/>
        <v>0</v>
      </c>
      <c r="AA544">
        <v>42938047</v>
      </c>
      <c r="AB544">
        <f t="shared" si="468"/>
        <v>481.69</v>
      </c>
      <c r="AC544">
        <f t="shared" si="469"/>
        <v>481.69</v>
      </c>
      <c r="AD544">
        <f t="shared" si="492"/>
        <v>0</v>
      </c>
      <c r="AE544">
        <f t="shared" si="493"/>
        <v>0</v>
      </c>
      <c r="AF544">
        <f t="shared" si="493"/>
        <v>0</v>
      </c>
      <c r="AG544">
        <f t="shared" si="470"/>
        <v>0</v>
      </c>
      <c r="AH544">
        <f t="shared" si="494"/>
        <v>0</v>
      </c>
      <c r="AI544">
        <f t="shared" si="494"/>
        <v>0</v>
      </c>
      <c r="AJ544">
        <f t="shared" si="471"/>
        <v>0</v>
      </c>
      <c r="AK544">
        <v>481.69</v>
      </c>
      <c r="AL544">
        <v>481.69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1</v>
      </c>
      <c r="AW544">
        <v>1</v>
      </c>
      <c r="AZ544">
        <v>1</v>
      </c>
      <c r="BA544">
        <v>1</v>
      </c>
      <c r="BB544">
        <v>1</v>
      </c>
      <c r="BC544">
        <v>6.74</v>
      </c>
      <c r="BD544" t="s">
        <v>3</v>
      </c>
      <c r="BE544" t="s">
        <v>3</v>
      </c>
      <c r="BF544" t="s">
        <v>3</v>
      </c>
      <c r="BG544" t="s">
        <v>3</v>
      </c>
      <c r="BH544">
        <v>3</v>
      </c>
      <c r="BI544">
        <v>1</v>
      </c>
      <c r="BJ544" t="s">
        <v>707</v>
      </c>
      <c r="BM544">
        <v>66</v>
      </c>
      <c r="BN544">
        <v>0</v>
      </c>
      <c r="BO544" t="s">
        <v>705</v>
      </c>
      <c r="BP544">
        <v>1</v>
      </c>
      <c r="BQ544">
        <v>30</v>
      </c>
      <c r="BR544">
        <v>0</v>
      </c>
      <c r="BS544">
        <v>1</v>
      </c>
      <c r="BT544">
        <v>1</v>
      </c>
      <c r="BU544">
        <v>1</v>
      </c>
      <c r="BV544">
        <v>1</v>
      </c>
      <c r="BW544">
        <v>1</v>
      </c>
      <c r="BX544">
        <v>1</v>
      </c>
      <c r="BY544" t="s">
        <v>3</v>
      </c>
      <c r="BZ544">
        <v>0</v>
      </c>
      <c r="CA544">
        <v>0</v>
      </c>
      <c r="CB544" t="s">
        <v>3</v>
      </c>
      <c r="CE544">
        <v>30</v>
      </c>
      <c r="CF544">
        <v>0</v>
      </c>
      <c r="CG544">
        <v>0</v>
      </c>
      <c r="CM544">
        <v>0</v>
      </c>
      <c r="CN544" t="s">
        <v>3</v>
      </c>
      <c r="CO544">
        <v>0</v>
      </c>
      <c r="CP544">
        <f t="shared" si="472"/>
        <v>7670.05</v>
      </c>
      <c r="CQ544">
        <f t="shared" si="473"/>
        <v>3246.59</v>
      </c>
      <c r="CR544">
        <f t="shared" si="495"/>
        <v>0</v>
      </c>
      <c r="CS544">
        <f t="shared" si="474"/>
        <v>0</v>
      </c>
      <c r="CT544">
        <f t="shared" si="475"/>
        <v>0</v>
      </c>
      <c r="CU544">
        <f t="shared" si="476"/>
        <v>0</v>
      </c>
      <c r="CV544">
        <f t="shared" si="477"/>
        <v>0</v>
      </c>
      <c r="CW544">
        <f t="shared" si="478"/>
        <v>0</v>
      </c>
      <c r="CX544">
        <f t="shared" si="479"/>
        <v>0</v>
      </c>
      <c r="CY544">
        <f t="shared" si="480"/>
        <v>0</v>
      </c>
      <c r="CZ544">
        <f t="shared" si="481"/>
        <v>0</v>
      </c>
      <c r="DC544" t="s">
        <v>3</v>
      </c>
      <c r="DD544" t="s">
        <v>3</v>
      </c>
      <c r="DE544" t="s">
        <v>3</v>
      </c>
      <c r="DF544" t="s">
        <v>3</v>
      </c>
      <c r="DG544" t="s">
        <v>3</v>
      </c>
      <c r="DH544" t="s">
        <v>3</v>
      </c>
      <c r="DI544" t="s">
        <v>3</v>
      </c>
      <c r="DJ544" t="s">
        <v>3</v>
      </c>
      <c r="DK544" t="s">
        <v>3</v>
      </c>
      <c r="DL544" t="s">
        <v>3</v>
      </c>
      <c r="DM544" t="s">
        <v>3</v>
      </c>
      <c r="DN544">
        <v>91</v>
      </c>
      <c r="DO544">
        <v>70</v>
      </c>
      <c r="DP544">
        <v>1</v>
      </c>
      <c r="DQ544">
        <v>1</v>
      </c>
      <c r="DU544">
        <v>1007</v>
      </c>
      <c r="DV544" t="s">
        <v>84</v>
      </c>
      <c r="DW544" t="s">
        <v>84</v>
      </c>
      <c r="DX544">
        <v>1</v>
      </c>
      <c r="DZ544" t="s">
        <v>3</v>
      </c>
      <c r="EA544" t="s">
        <v>3</v>
      </c>
      <c r="EB544" t="s">
        <v>3</v>
      </c>
      <c r="EC544" t="s">
        <v>3</v>
      </c>
      <c r="EE544">
        <v>43088144</v>
      </c>
      <c r="EF544">
        <v>30</v>
      </c>
      <c r="EG544" t="s">
        <v>22</v>
      </c>
      <c r="EH544">
        <v>0</v>
      </c>
      <c r="EI544" t="s">
        <v>3</v>
      </c>
      <c r="EJ544">
        <v>1</v>
      </c>
      <c r="EK544">
        <v>66</v>
      </c>
      <c r="EL544" t="s">
        <v>429</v>
      </c>
      <c r="EM544" t="s">
        <v>430</v>
      </c>
      <c r="EO544" t="s">
        <v>3</v>
      </c>
      <c r="EQ544">
        <v>0</v>
      </c>
      <c r="ER544">
        <v>481.69</v>
      </c>
      <c r="ES544">
        <v>481.69</v>
      </c>
      <c r="ET544">
        <v>0</v>
      </c>
      <c r="EU544">
        <v>0</v>
      </c>
      <c r="EV544">
        <v>0</v>
      </c>
      <c r="EW544">
        <v>0</v>
      </c>
      <c r="EX544">
        <v>0</v>
      </c>
      <c r="FQ544">
        <v>0</v>
      </c>
      <c r="FR544">
        <f t="shared" si="482"/>
        <v>0</v>
      </c>
      <c r="FS544">
        <v>0</v>
      </c>
      <c r="FX544">
        <v>91</v>
      </c>
      <c r="FY544">
        <v>70</v>
      </c>
      <c r="GA544" t="s">
        <v>3</v>
      </c>
      <c r="GD544">
        <v>0</v>
      </c>
      <c r="GF544">
        <v>202608499</v>
      </c>
      <c r="GG544">
        <v>2</v>
      </c>
      <c r="GH544">
        <v>1</v>
      </c>
      <c r="GI544">
        <v>2</v>
      </c>
      <c r="GJ544">
        <v>0</v>
      </c>
      <c r="GK544">
        <f>ROUND(R544*(R12)/100,2)</f>
        <v>0</v>
      </c>
      <c r="GL544">
        <f t="shared" si="483"/>
        <v>0</v>
      </c>
      <c r="GM544">
        <f t="shared" si="484"/>
        <v>7670.05</v>
      </c>
      <c r="GN544">
        <f t="shared" si="485"/>
        <v>7670.05</v>
      </c>
      <c r="GO544">
        <f t="shared" si="486"/>
        <v>0</v>
      </c>
      <c r="GP544">
        <f t="shared" si="487"/>
        <v>0</v>
      </c>
      <c r="GR544">
        <v>0</v>
      </c>
      <c r="GS544">
        <v>3</v>
      </c>
      <c r="GT544">
        <v>0</v>
      </c>
      <c r="GU544" t="s">
        <v>3</v>
      </c>
      <c r="GV544">
        <f t="shared" si="488"/>
        <v>0</v>
      </c>
      <c r="GW544">
        <v>1</v>
      </c>
      <c r="GX544">
        <f t="shared" si="489"/>
        <v>0</v>
      </c>
      <c r="HA544">
        <v>0</v>
      </c>
      <c r="HB544">
        <v>0</v>
      </c>
      <c r="HC544">
        <f t="shared" si="490"/>
        <v>0</v>
      </c>
      <c r="HE544" t="s">
        <v>3</v>
      </c>
      <c r="HF544" t="s">
        <v>3</v>
      </c>
      <c r="HM544" t="s">
        <v>3</v>
      </c>
      <c r="IK544">
        <v>0</v>
      </c>
    </row>
    <row r="545" spans="1:245" x14ac:dyDescent="0.2">
      <c r="A545">
        <v>17</v>
      </c>
      <c r="B545">
        <v>1</v>
      </c>
      <c r="C545">
        <f>ROW(SmtRes!A355)</f>
        <v>355</v>
      </c>
      <c r="D545">
        <f>ROW(EtalonRes!A355)</f>
        <v>355</v>
      </c>
      <c r="E545" t="s">
        <v>708</v>
      </c>
      <c r="F545" t="s">
        <v>709</v>
      </c>
      <c r="G545" t="s">
        <v>1592</v>
      </c>
      <c r="H545" t="s">
        <v>152</v>
      </c>
      <c r="I545">
        <f>ROUND(28/100,9)</f>
        <v>0.28000000000000003</v>
      </c>
      <c r="J545">
        <v>0</v>
      </c>
      <c r="K545">
        <f>ROUND(28/100,9)</f>
        <v>0.28000000000000003</v>
      </c>
      <c r="O545">
        <f t="shared" si="458"/>
        <v>13750.73</v>
      </c>
      <c r="P545">
        <f t="shared" si="459"/>
        <v>0.52</v>
      </c>
      <c r="Q545">
        <f t="shared" si="491"/>
        <v>744.52</v>
      </c>
      <c r="R545">
        <f t="shared" si="460"/>
        <v>241.17</v>
      </c>
      <c r="S545">
        <f t="shared" si="461"/>
        <v>13005.69</v>
      </c>
      <c r="T545">
        <f t="shared" si="462"/>
        <v>0</v>
      </c>
      <c r="U545">
        <f t="shared" si="463"/>
        <v>41.473600000000005</v>
      </c>
      <c r="V545">
        <f t="shared" si="464"/>
        <v>0</v>
      </c>
      <c r="W545">
        <f t="shared" si="465"/>
        <v>0</v>
      </c>
      <c r="X545">
        <f t="shared" si="466"/>
        <v>9494.15</v>
      </c>
      <c r="Y545">
        <f t="shared" si="467"/>
        <v>5332.33</v>
      </c>
      <c r="AA545">
        <v>42938047</v>
      </c>
      <c r="AB545">
        <f t="shared" si="468"/>
        <v>2268.59</v>
      </c>
      <c r="AC545">
        <f t="shared" si="469"/>
        <v>0.35</v>
      </c>
      <c r="AD545">
        <f t="shared" si="492"/>
        <v>442.43</v>
      </c>
      <c r="AE545">
        <f t="shared" si="493"/>
        <v>33.869999999999997</v>
      </c>
      <c r="AF545">
        <f t="shared" si="493"/>
        <v>1825.81</v>
      </c>
      <c r="AG545">
        <f t="shared" si="470"/>
        <v>0</v>
      </c>
      <c r="AH545">
        <f t="shared" si="494"/>
        <v>148.12</v>
      </c>
      <c r="AI545">
        <f t="shared" si="494"/>
        <v>0</v>
      </c>
      <c r="AJ545">
        <f t="shared" si="471"/>
        <v>0</v>
      </c>
      <c r="AK545">
        <v>2268.59</v>
      </c>
      <c r="AL545">
        <v>0.35</v>
      </c>
      <c r="AM545">
        <v>442.43</v>
      </c>
      <c r="AN545">
        <v>33.869999999999997</v>
      </c>
      <c r="AO545">
        <v>1825.81</v>
      </c>
      <c r="AP545">
        <v>0</v>
      </c>
      <c r="AQ545">
        <v>148.12</v>
      </c>
      <c r="AR545">
        <v>0</v>
      </c>
      <c r="AS545">
        <v>0</v>
      </c>
      <c r="AT545">
        <v>73</v>
      </c>
      <c r="AU545">
        <v>41</v>
      </c>
      <c r="AV545">
        <v>1</v>
      </c>
      <c r="AW545">
        <v>1</v>
      </c>
      <c r="AZ545">
        <v>1</v>
      </c>
      <c r="BA545">
        <v>25.44</v>
      </c>
      <c r="BB545">
        <v>6.01</v>
      </c>
      <c r="BC545">
        <v>5.2</v>
      </c>
      <c r="BD545" t="s">
        <v>3</v>
      </c>
      <c r="BE545" t="s">
        <v>3</v>
      </c>
      <c r="BF545" t="s">
        <v>3</v>
      </c>
      <c r="BG545" t="s">
        <v>3</v>
      </c>
      <c r="BH545">
        <v>0</v>
      </c>
      <c r="BI545">
        <v>1</v>
      </c>
      <c r="BJ545" t="s">
        <v>710</v>
      </c>
      <c r="BM545">
        <v>1812</v>
      </c>
      <c r="BN545">
        <v>0</v>
      </c>
      <c r="BO545" t="s">
        <v>709</v>
      </c>
      <c r="BP545">
        <v>1</v>
      </c>
      <c r="BQ545">
        <v>60</v>
      </c>
      <c r="BR545">
        <v>0</v>
      </c>
      <c r="BS545">
        <v>25.44</v>
      </c>
      <c r="BT545">
        <v>1</v>
      </c>
      <c r="BU545">
        <v>1</v>
      </c>
      <c r="BV545">
        <v>1</v>
      </c>
      <c r="BW545">
        <v>1</v>
      </c>
      <c r="BX545">
        <v>1</v>
      </c>
      <c r="BY545" t="s">
        <v>3</v>
      </c>
      <c r="BZ545">
        <v>73</v>
      </c>
      <c r="CA545">
        <v>41</v>
      </c>
      <c r="CB545" t="s">
        <v>3</v>
      </c>
      <c r="CE545">
        <v>30</v>
      </c>
      <c r="CF545">
        <v>0</v>
      </c>
      <c r="CG545">
        <v>0</v>
      </c>
      <c r="CM545">
        <v>0</v>
      </c>
      <c r="CN545" t="s">
        <v>3</v>
      </c>
      <c r="CO545">
        <v>0</v>
      </c>
      <c r="CP545">
        <f t="shared" si="472"/>
        <v>13750.73</v>
      </c>
      <c r="CQ545">
        <f t="shared" si="473"/>
        <v>1.82</v>
      </c>
      <c r="CR545">
        <f t="shared" si="495"/>
        <v>2659</v>
      </c>
      <c r="CS545">
        <f t="shared" si="474"/>
        <v>861.65</v>
      </c>
      <c r="CT545">
        <f t="shared" si="475"/>
        <v>46448.61</v>
      </c>
      <c r="CU545">
        <f t="shared" si="476"/>
        <v>0</v>
      </c>
      <c r="CV545">
        <f t="shared" si="477"/>
        <v>148.12</v>
      </c>
      <c r="CW545">
        <f t="shared" si="478"/>
        <v>0</v>
      </c>
      <c r="CX545">
        <f t="shared" si="479"/>
        <v>0</v>
      </c>
      <c r="CY545">
        <f t="shared" si="480"/>
        <v>9494.1537000000008</v>
      </c>
      <c r="CZ545">
        <f t="shared" si="481"/>
        <v>5332.3329000000003</v>
      </c>
      <c r="DC545" t="s">
        <v>3</v>
      </c>
      <c r="DD545" t="s">
        <v>3</v>
      </c>
      <c r="DE545" t="s">
        <v>3</v>
      </c>
      <c r="DF545" t="s">
        <v>3</v>
      </c>
      <c r="DG545" t="s">
        <v>3</v>
      </c>
      <c r="DH545" t="s">
        <v>3</v>
      </c>
      <c r="DI545" t="s">
        <v>3</v>
      </c>
      <c r="DJ545" t="s">
        <v>3</v>
      </c>
      <c r="DK545" t="s">
        <v>3</v>
      </c>
      <c r="DL545" t="s">
        <v>3</v>
      </c>
      <c r="DM545" t="s">
        <v>3</v>
      </c>
      <c r="DN545">
        <v>91</v>
      </c>
      <c r="DO545">
        <v>70</v>
      </c>
      <c r="DP545">
        <v>1</v>
      </c>
      <c r="DQ545">
        <v>1</v>
      </c>
      <c r="DU545">
        <v>1003</v>
      </c>
      <c r="DV545" t="s">
        <v>152</v>
      </c>
      <c r="DW545" t="s">
        <v>152</v>
      </c>
      <c r="DX545">
        <v>100</v>
      </c>
      <c r="DZ545" t="s">
        <v>3</v>
      </c>
      <c r="EA545" t="s">
        <v>3</v>
      </c>
      <c r="EB545" t="s">
        <v>3</v>
      </c>
      <c r="EC545" t="s">
        <v>3</v>
      </c>
      <c r="EE545">
        <v>43089890</v>
      </c>
      <c r="EF545">
        <v>60</v>
      </c>
      <c r="EG545" t="s">
        <v>40</v>
      </c>
      <c r="EH545">
        <v>0</v>
      </c>
      <c r="EI545" t="s">
        <v>3</v>
      </c>
      <c r="EJ545">
        <v>1</v>
      </c>
      <c r="EK545">
        <v>1812</v>
      </c>
      <c r="EL545" t="s">
        <v>711</v>
      </c>
      <c r="EM545" t="s">
        <v>712</v>
      </c>
      <c r="EO545" t="s">
        <v>3</v>
      </c>
      <c r="EQ545">
        <v>0</v>
      </c>
      <c r="ER545">
        <v>2268.59</v>
      </c>
      <c r="ES545">
        <v>0.35</v>
      </c>
      <c r="ET545">
        <v>442.43</v>
      </c>
      <c r="EU545">
        <v>33.869999999999997</v>
      </c>
      <c r="EV545">
        <v>1825.81</v>
      </c>
      <c r="EW545">
        <v>148.12</v>
      </c>
      <c r="EX545">
        <v>0</v>
      </c>
      <c r="EY545">
        <v>0</v>
      </c>
      <c r="FQ545">
        <v>0</v>
      </c>
      <c r="FR545">
        <f t="shared" si="482"/>
        <v>0</v>
      </c>
      <c r="FS545">
        <v>0</v>
      </c>
      <c r="FX545">
        <v>91</v>
      </c>
      <c r="FY545">
        <v>70</v>
      </c>
      <c r="GA545" t="s">
        <v>3</v>
      </c>
      <c r="GD545">
        <v>0</v>
      </c>
      <c r="GF545">
        <v>1794019203</v>
      </c>
      <c r="GG545">
        <v>2</v>
      </c>
      <c r="GH545">
        <v>1</v>
      </c>
      <c r="GI545">
        <v>2</v>
      </c>
      <c r="GJ545">
        <v>0</v>
      </c>
      <c r="GK545">
        <f>ROUND(R545*(R12)/100,2)</f>
        <v>378.64</v>
      </c>
      <c r="GL545">
        <f t="shared" si="483"/>
        <v>0</v>
      </c>
      <c r="GM545">
        <f t="shared" si="484"/>
        <v>28955.85</v>
      </c>
      <c r="GN545">
        <f t="shared" si="485"/>
        <v>28955.85</v>
      </c>
      <c r="GO545">
        <f t="shared" si="486"/>
        <v>0</v>
      </c>
      <c r="GP545">
        <f t="shared" si="487"/>
        <v>0</v>
      </c>
      <c r="GR545">
        <v>0</v>
      </c>
      <c r="GS545">
        <v>3</v>
      </c>
      <c r="GT545">
        <v>0</v>
      </c>
      <c r="GU545" t="s">
        <v>3</v>
      </c>
      <c r="GV545">
        <f t="shared" si="488"/>
        <v>0</v>
      </c>
      <c r="GW545">
        <v>1</v>
      </c>
      <c r="GX545">
        <f t="shared" si="489"/>
        <v>0</v>
      </c>
      <c r="HA545">
        <v>0</v>
      </c>
      <c r="HB545">
        <v>0</v>
      </c>
      <c r="HC545">
        <f t="shared" si="490"/>
        <v>0</v>
      </c>
      <c r="HE545" t="s">
        <v>3</v>
      </c>
      <c r="HF545" t="s">
        <v>3</v>
      </c>
      <c r="HM545" t="s">
        <v>3</v>
      </c>
      <c r="IK545">
        <v>0</v>
      </c>
    </row>
    <row r="546" spans="1:245" x14ac:dyDescent="0.2">
      <c r="A546">
        <v>18</v>
      </c>
      <c r="B546">
        <v>1</v>
      </c>
      <c r="C546">
        <v>355</v>
      </c>
      <c r="E546" t="s">
        <v>713</v>
      </c>
      <c r="F546" t="s">
        <v>714</v>
      </c>
      <c r="G546" t="s">
        <v>715</v>
      </c>
      <c r="H546" t="s">
        <v>136</v>
      </c>
      <c r="I546">
        <f>I545*J546</f>
        <v>186.67599999999999</v>
      </c>
      <c r="J546">
        <v>666.69999999999993</v>
      </c>
      <c r="K546">
        <v>666.7</v>
      </c>
      <c r="O546">
        <f t="shared" si="458"/>
        <v>37631.19</v>
      </c>
      <c r="P546">
        <f t="shared" si="459"/>
        <v>37631.19</v>
      </c>
      <c r="Q546">
        <f t="shared" si="491"/>
        <v>0</v>
      </c>
      <c r="R546">
        <f t="shared" si="460"/>
        <v>0</v>
      </c>
      <c r="S546">
        <f t="shared" si="461"/>
        <v>0</v>
      </c>
      <c r="T546">
        <f t="shared" si="462"/>
        <v>0</v>
      </c>
      <c r="U546">
        <f t="shared" si="463"/>
        <v>0</v>
      </c>
      <c r="V546">
        <f t="shared" si="464"/>
        <v>0</v>
      </c>
      <c r="W546">
        <f t="shared" si="465"/>
        <v>0</v>
      </c>
      <c r="X546">
        <f t="shared" si="466"/>
        <v>0</v>
      </c>
      <c r="Y546">
        <f t="shared" si="467"/>
        <v>0</v>
      </c>
      <c r="AA546">
        <v>42938047</v>
      </c>
      <c r="AB546">
        <f t="shared" si="468"/>
        <v>139.99</v>
      </c>
      <c r="AC546">
        <f t="shared" si="469"/>
        <v>139.99</v>
      </c>
      <c r="AD546">
        <f t="shared" si="492"/>
        <v>0</v>
      </c>
      <c r="AE546">
        <f t="shared" si="493"/>
        <v>0</v>
      </c>
      <c r="AF546">
        <f t="shared" si="493"/>
        <v>0</v>
      </c>
      <c r="AG546">
        <f t="shared" si="470"/>
        <v>0</v>
      </c>
      <c r="AH546">
        <f t="shared" si="494"/>
        <v>0</v>
      </c>
      <c r="AI546">
        <f t="shared" si="494"/>
        <v>0</v>
      </c>
      <c r="AJ546">
        <f t="shared" si="471"/>
        <v>0</v>
      </c>
      <c r="AK546">
        <v>139.99</v>
      </c>
      <c r="AL546">
        <v>139.99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1</v>
      </c>
      <c r="AW546">
        <v>1</v>
      </c>
      <c r="AZ546">
        <v>1</v>
      </c>
      <c r="BA546">
        <v>1</v>
      </c>
      <c r="BB546">
        <v>1</v>
      </c>
      <c r="BC546">
        <v>1.44</v>
      </c>
      <c r="BD546" t="s">
        <v>3</v>
      </c>
      <c r="BE546" t="s">
        <v>3</v>
      </c>
      <c r="BF546" t="s">
        <v>3</v>
      </c>
      <c r="BG546" t="s">
        <v>3</v>
      </c>
      <c r="BH546">
        <v>3</v>
      </c>
      <c r="BI546">
        <v>1</v>
      </c>
      <c r="BJ546" t="s">
        <v>716</v>
      </c>
      <c r="BM546">
        <v>1812</v>
      </c>
      <c r="BN546">
        <v>0</v>
      </c>
      <c r="BO546" t="s">
        <v>714</v>
      </c>
      <c r="BP546">
        <v>1</v>
      </c>
      <c r="BQ546">
        <v>60</v>
      </c>
      <c r="BR546">
        <v>0</v>
      </c>
      <c r="BS546">
        <v>1</v>
      </c>
      <c r="BT546">
        <v>1</v>
      </c>
      <c r="BU546">
        <v>1</v>
      </c>
      <c r="BV546">
        <v>1</v>
      </c>
      <c r="BW546">
        <v>1</v>
      </c>
      <c r="BX546">
        <v>1</v>
      </c>
      <c r="BY546" t="s">
        <v>3</v>
      </c>
      <c r="BZ546">
        <v>0</v>
      </c>
      <c r="CA546">
        <v>0</v>
      </c>
      <c r="CB546" t="s">
        <v>3</v>
      </c>
      <c r="CE546">
        <v>30</v>
      </c>
      <c r="CF546">
        <v>0</v>
      </c>
      <c r="CG546">
        <v>0</v>
      </c>
      <c r="CM546">
        <v>0</v>
      </c>
      <c r="CN546" t="s">
        <v>3</v>
      </c>
      <c r="CO546">
        <v>0</v>
      </c>
      <c r="CP546">
        <f t="shared" si="472"/>
        <v>37631.19</v>
      </c>
      <c r="CQ546">
        <f t="shared" si="473"/>
        <v>201.59</v>
      </c>
      <c r="CR546">
        <f t="shared" si="495"/>
        <v>0</v>
      </c>
      <c r="CS546">
        <f t="shared" si="474"/>
        <v>0</v>
      </c>
      <c r="CT546">
        <f t="shared" si="475"/>
        <v>0</v>
      </c>
      <c r="CU546">
        <f t="shared" si="476"/>
        <v>0</v>
      </c>
      <c r="CV546">
        <f t="shared" si="477"/>
        <v>0</v>
      </c>
      <c r="CW546">
        <f t="shared" si="478"/>
        <v>0</v>
      </c>
      <c r="CX546">
        <f t="shared" si="479"/>
        <v>0</v>
      </c>
      <c r="CY546">
        <f t="shared" si="480"/>
        <v>0</v>
      </c>
      <c r="CZ546">
        <f t="shared" si="481"/>
        <v>0</v>
      </c>
      <c r="DC546" t="s">
        <v>3</v>
      </c>
      <c r="DD546" t="s">
        <v>3</v>
      </c>
      <c r="DE546" t="s">
        <v>3</v>
      </c>
      <c r="DF546" t="s">
        <v>3</v>
      </c>
      <c r="DG546" t="s">
        <v>3</v>
      </c>
      <c r="DH546" t="s">
        <v>3</v>
      </c>
      <c r="DI546" t="s">
        <v>3</v>
      </c>
      <c r="DJ546" t="s">
        <v>3</v>
      </c>
      <c r="DK546" t="s">
        <v>3</v>
      </c>
      <c r="DL546" t="s">
        <v>3</v>
      </c>
      <c r="DM546" t="s">
        <v>3</v>
      </c>
      <c r="DN546">
        <v>91</v>
      </c>
      <c r="DO546">
        <v>70</v>
      </c>
      <c r="DP546">
        <v>1</v>
      </c>
      <c r="DQ546">
        <v>1</v>
      </c>
      <c r="DU546">
        <v>1003</v>
      </c>
      <c r="DV546" t="s">
        <v>136</v>
      </c>
      <c r="DW546" t="s">
        <v>136</v>
      </c>
      <c r="DX546">
        <v>1</v>
      </c>
      <c r="DZ546" t="s">
        <v>3</v>
      </c>
      <c r="EA546" t="s">
        <v>3</v>
      </c>
      <c r="EB546" t="s">
        <v>3</v>
      </c>
      <c r="EC546" t="s">
        <v>3</v>
      </c>
      <c r="EE546">
        <v>43089890</v>
      </c>
      <c r="EF546">
        <v>60</v>
      </c>
      <c r="EG546" t="s">
        <v>40</v>
      </c>
      <c r="EH546">
        <v>0</v>
      </c>
      <c r="EI546" t="s">
        <v>3</v>
      </c>
      <c r="EJ546">
        <v>1</v>
      </c>
      <c r="EK546">
        <v>1812</v>
      </c>
      <c r="EL546" t="s">
        <v>711</v>
      </c>
      <c r="EM546" t="s">
        <v>712</v>
      </c>
      <c r="EO546" t="s">
        <v>3</v>
      </c>
      <c r="EQ546">
        <v>0</v>
      </c>
      <c r="ER546">
        <v>139.99</v>
      </c>
      <c r="ES546">
        <v>139.99</v>
      </c>
      <c r="ET546">
        <v>0</v>
      </c>
      <c r="EU546">
        <v>0</v>
      </c>
      <c r="EV546">
        <v>0</v>
      </c>
      <c r="EW546">
        <v>0</v>
      </c>
      <c r="EX546">
        <v>0</v>
      </c>
      <c r="FQ546">
        <v>0</v>
      </c>
      <c r="FR546">
        <f t="shared" si="482"/>
        <v>0</v>
      </c>
      <c r="FS546">
        <v>0</v>
      </c>
      <c r="FX546">
        <v>91</v>
      </c>
      <c r="FY546">
        <v>70</v>
      </c>
      <c r="GA546" t="s">
        <v>3</v>
      </c>
      <c r="GD546">
        <v>0</v>
      </c>
      <c r="GF546">
        <v>456889814</v>
      </c>
      <c r="GG546">
        <v>2</v>
      </c>
      <c r="GH546">
        <v>1</v>
      </c>
      <c r="GI546">
        <v>2</v>
      </c>
      <c r="GJ546">
        <v>0</v>
      </c>
      <c r="GK546">
        <f>ROUND(R546*(R12)/100,2)</f>
        <v>0</v>
      </c>
      <c r="GL546">
        <f t="shared" si="483"/>
        <v>0</v>
      </c>
      <c r="GM546">
        <f t="shared" si="484"/>
        <v>37631.19</v>
      </c>
      <c r="GN546">
        <f t="shared" si="485"/>
        <v>37631.19</v>
      </c>
      <c r="GO546">
        <f t="shared" si="486"/>
        <v>0</v>
      </c>
      <c r="GP546">
        <f t="shared" si="487"/>
        <v>0</v>
      </c>
      <c r="GR546">
        <v>0</v>
      </c>
      <c r="GS546">
        <v>3</v>
      </c>
      <c r="GT546">
        <v>0</v>
      </c>
      <c r="GU546" t="s">
        <v>3</v>
      </c>
      <c r="GV546">
        <f t="shared" si="488"/>
        <v>0</v>
      </c>
      <c r="GW546">
        <v>1</v>
      </c>
      <c r="GX546">
        <f t="shared" si="489"/>
        <v>0</v>
      </c>
      <c r="HA546">
        <v>0</v>
      </c>
      <c r="HB546">
        <v>0</v>
      </c>
      <c r="HC546">
        <f t="shared" si="490"/>
        <v>0</v>
      </c>
      <c r="HE546" t="s">
        <v>3</v>
      </c>
      <c r="HF546" t="s">
        <v>3</v>
      </c>
      <c r="HM546" t="s">
        <v>3</v>
      </c>
      <c r="IK546">
        <v>0</v>
      </c>
    </row>
    <row r="547" spans="1:245" x14ac:dyDescent="0.2">
      <c r="A547">
        <v>18</v>
      </c>
      <c r="B547">
        <v>1</v>
      </c>
      <c r="C547">
        <v>354</v>
      </c>
      <c r="E547" t="s">
        <v>717</v>
      </c>
      <c r="F547" t="s">
        <v>718</v>
      </c>
      <c r="G547" t="s">
        <v>1593</v>
      </c>
      <c r="H547" t="s">
        <v>131</v>
      </c>
      <c r="I547">
        <f>I545*J547</f>
        <v>95.76</v>
      </c>
      <c r="J547">
        <v>342</v>
      </c>
      <c r="K547">
        <v>342</v>
      </c>
      <c r="O547">
        <f t="shared" si="458"/>
        <v>39823.89</v>
      </c>
      <c r="P547">
        <f t="shared" si="459"/>
        <v>39823.89</v>
      </c>
      <c r="Q547">
        <f t="shared" si="491"/>
        <v>0</v>
      </c>
      <c r="R547">
        <f t="shared" si="460"/>
        <v>0</v>
      </c>
      <c r="S547">
        <f t="shared" si="461"/>
        <v>0</v>
      </c>
      <c r="T547">
        <f t="shared" si="462"/>
        <v>0</v>
      </c>
      <c r="U547">
        <f t="shared" si="463"/>
        <v>0</v>
      </c>
      <c r="V547">
        <f t="shared" si="464"/>
        <v>0</v>
      </c>
      <c r="W547">
        <f t="shared" si="465"/>
        <v>0</v>
      </c>
      <c r="X547">
        <f t="shared" si="466"/>
        <v>0</v>
      </c>
      <c r="Y547">
        <f t="shared" si="467"/>
        <v>0</v>
      </c>
      <c r="AA547">
        <v>42938047</v>
      </c>
      <c r="AB547">
        <f t="shared" si="468"/>
        <v>144.4</v>
      </c>
      <c r="AC547">
        <f t="shared" si="469"/>
        <v>144.4</v>
      </c>
      <c r="AD547">
        <f t="shared" si="492"/>
        <v>0</v>
      </c>
      <c r="AE547">
        <f t="shared" si="493"/>
        <v>0</v>
      </c>
      <c r="AF547">
        <f t="shared" si="493"/>
        <v>0</v>
      </c>
      <c r="AG547">
        <f t="shared" si="470"/>
        <v>0</v>
      </c>
      <c r="AH547">
        <f t="shared" si="494"/>
        <v>0</v>
      </c>
      <c r="AI547">
        <f t="shared" si="494"/>
        <v>0</v>
      </c>
      <c r="AJ547">
        <f t="shared" si="471"/>
        <v>0</v>
      </c>
      <c r="AK547">
        <v>144.4</v>
      </c>
      <c r="AL547">
        <v>144.4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1</v>
      </c>
      <c r="AW547">
        <v>1</v>
      </c>
      <c r="AZ547">
        <v>1</v>
      </c>
      <c r="BA547">
        <v>1</v>
      </c>
      <c r="BB547">
        <v>1</v>
      </c>
      <c r="BC547">
        <v>2.88</v>
      </c>
      <c r="BD547" t="s">
        <v>3</v>
      </c>
      <c r="BE547" t="s">
        <v>3</v>
      </c>
      <c r="BF547" t="s">
        <v>3</v>
      </c>
      <c r="BG547" t="s">
        <v>3</v>
      </c>
      <c r="BH547">
        <v>3</v>
      </c>
      <c r="BI547">
        <v>1</v>
      </c>
      <c r="BJ547" t="s">
        <v>719</v>
      </c>
      <c r="BM547">
        <v>1812</v>
      </c>
      <c r="BN547">
        <v>0</v>
      </c>
      <c r="BO547" t="s">
        <v>718</v>
      </c>
      <c r="BP547">
        <v>1</v>
      </c>
      <c r="BQ547">
        <v>60</v>
      </c>
      <c r="BR547">
        <v>0</v>
      </c>
      <c r="BS547">
        <v>1</v>
      </c>
      <c r="BT547">
        <v>1</v>
      </c>
      <c r="BU547">
        <v>1</v>
      </c>
      <c r="BV547">
        <v>1</v>
      </c>
      <c r="BW547">
        <v>1</v>
      </c>
      <c r="BX547">
        <v>1</v>
      </c>
      <c r="BY547" t="s">
        <v>3</v>
      </c>
      <c r="BZ547">
        <v>0</v>
      </c>
      <c r="CA547">
        <v>0</v>
      </c>
      <c r="CB547" t="s">
        <v>3</v>
      </c>
      <c r="CE547">
        <v>30</v>
      </c>
      <c r="CF547">
        <v>0</v>
      </c>
      <c r="CG547">
        <v>0</v>
      </c>
      <c r="CM547">
        <v>0</v>
      </c>
      <c r="CN547" t="s">
        <v>3</v>
      </c>
      <c r="CO547">
        <v>0</v>
      </c>
      <c r="CP547">
        <f t="shared" si="472"/>
        <v>39823.89</v>
      </c>
      <c r="CQ547">
        <f t="shared" si="473"/>
        <v>415.87</v>
      </c>
      <c r="CR547">
        <f t="shared" si="495"/>
        <v>0</v>
      </c>
      <c r="CS547">
        <f t="shared" si="474"/>
        <v>0</v>
      </c>
      <c r="CT547">
        <f t="shared" si="475"/>
        <v>0</v>
      </c>
      <c r="CU547">
        <f t="shared" si="476"/>
        <v>0</v>
      </c>
      <c r="CV547">
        <f t="shared" si="477"/>
        <v>0</v>
      </c>
      <c r="CW547">
        <f t="shared" si="478"/>
        <v>0</v>
      </c>
      <c r="CX547">
        <f t="shared" si="479"/>
        <v>0</v>
      </c>
      <c r="CY547">
        <f t="shared" si="480"/>
        <v>0</v>
      </c>
      <c r="CZ547">
        <f t="shared" si="481"/>
        <v>0</v>
      </c>
      <c r="DC547" t="s">
        <v>3</v>
      </c>
      <c r="DD547" t="s">
        <v>3</v>
      </c>
      <c r="DE547" t="s">
        <v>3</v>
      </c>
      <c r="DF547" t="s">
        <v>3</v>
      </c>
      <c r="DG547" t="s">
        <v>3</v>
      </c>
      <c r="DH547" t="s">
        <v>3</v>
      </c>
      <c r="DI547" t="s">
        <v>3</v>
      </c>
      <c r="DJ547" t="s">
        <v>3</v>
      </c>
      <c r="DK547" t="s">
        <v>3</v>
      </c>
      <c r="DL547" t="s">
        <v>3</v>
      </c>
      <c r="DM547" t="s">
        <v>3</v>
      </c>
      <c r="DN547">
        <v>91</v>
      </c>
      <c r="DO547">
        <v>70</v>
      </c>
      <c r="DP547">
        <v>1</v>
      </c>
      <c r="DQ547">
        <v>1</v>
      </c>
      <c r="DU547">
        <v>1009</v>
      </c>
      <c r="DV547" t="s">
        <v>131</v>
      </c>
      <c r="DW547" t="s">
        <v>131</v>
      </c>
      <c r="DX547">
        <v>1</v>
      </c>
      <c r="DZ547" t="s">
        <v>3</v>
      </c>
      <c r="EA547" t="s">
        <v>3</v>
      </c>
      <c r="EB547" t="s">
        <v>3</v>
      </c>
      <c r="EC547" t="s">
        <v>3</v>
      </c>
      <c r="EE547">
        <v>43089890</v>
      </c>
      <c r="EF547">
        <v>60</v>
      </c>
      <c r="EG547" t="s">
        <v>40</v>
      </c>
      <c r="EH547">
        <v>0</v>
      </c>
      <c r="EI547" t="s">
        <v>3</v>
      </c>
      <c r="EJ547">
        <v>1</v>
      </c>
      <c r="EK547">
        <v>1812</v>
      </c>
      <c r="EL547" t="s">
        <v>711</v>
      </c>
      <c r="EM547" t="s">
        <v>712</v>
      </c>
      <c r="EO547" t="s">
        <v>3</v>
      </c>
      <c r="EQ547">
        <v>0</v>
      </c>
      <c r="ER547">
        <v>144.4</v>
      </c>
      <c r="ES547">
        <v>144.4</v>
      </c>
      <c r="ET547">
        <v>0</v>
      </c>
      <c r="EU547">
        <v>0</v>
      </c>
      <c r="EV547">
        <v>0</v>
      </c>
      <c r="EW547">
        <v>0</v>
      </c>
      <c r="EX547">
        <v>0</v>
      </c>
      <c r="FQ547">
        <v>0</v>
      </c>
      <c r="FR547">
        <f t="shared" si="482"/>
        <v>0</v>
      </c>
      <c r="FS547">
        <v>0</v>
      </c>
      <c r="FX547">
        <v>91</v>
      </c>
      <c r="FY547">
        <v>70</v>
      </c>
      <c r="GA547" t="s">
        <v>3</v>
      </c>
      <c r="GD547">
        <v>0</v>
      </c>
      <c r="GF547">
        <v>281873734</v>
      </c>
      <c r="GG547">
        <v>2</v>
      </c>
      <c r="GH547">
        <v>1</v>
      </c>
      <c r="GI547">
        <v>2</v>
      </c>
      <c r="GJ547">
        <v>0</v>
      </c>
      <c r="GK547">
        <f>ROUND(R547*(R12)/100,2)</f>
        <v>0</v>
      </c>
      <c r="GL547">
        <f t="shared" si="483"/>
        <v>0</v>
      </c>
      <c r="GM547">
        <f t="shared" si="484"/>
        <v>39823.89</v>
      </c>
      <c r="GN547">
        <f t="shared" si="485"/>
        <v>39823.89</v>
      </c>
      <c r="GO547">
        <f t="shared" si="486"/>
        <v>0</v>
      </c>
      <c r="GP547">
        <f t="shared" si="487"/>
        <v>0</v>
      </c>
      <c r="GR547">
        <v>0</v>
      </c>
      <c r="GS547">
        <v>3</v>
      </c>
      <c r="GT547">
        <v>0</v>
      </c>
      <c r="GU547" t="s">
        <v>3</v>
      </c>
      <c r="GV547">
        <f t="shared" si="488"/>
        <v>0</v>
      </c>
      <c r="GW547">
        <v>1</v>
      </c>
      <c r="GX547">
        <f t="shared" si="489"/>
        <v>0</v>
      </c>
      <c r="HA547">
        <v>0</v>
      </c>
      <c r="HB547">
        <v>0</v>
      </c>
      <c r="HC547">
        <f t="shared" si="490"/>
        <v>0</v>
      </c>
      <c r="HE547" t="s">
        <v>3</v>
      </c>
      <c r="HF547" t="s">
        <v>3</v>
      </c>
      <c r="HM547" t="s">
        <v>3</v>
      </c>
      <c r="IK547">
        <v>0</v>
      </c>
    </row>
    <row r="548" spans="1:245" x14ac:dyDescent="0.2">
      <c r="A548">
        <v>17</v>
      </c>
      <c r="B548">
        <v>1</v>
      </c>
      <c r="C548">
        <f>ROW(SmtRes!A356)</f>
        <v>356</v>
      </c>
      <c r="D548">
        <f>ROW(EtalonRes!A356)</f>
        <v>356</v>
      </c>
      <c r="E548" t="s">
        <v>720</v>
      </c>
      <c r="F548" t="s">
        <v>180</v>
      </c>
      <c r="G548" t="s">
        <v>721</v>
      </c>
      <c r="H548" t="s">
        <v>182</v>
      </c>
      <c r="I548">
        <v>81</v>
      </c>
      <c r="J548">
        <v>0</v>
      </c>
      <c r="K548">
        <v>81</v>
      </c>
      <c r="O548">
        <f t="shared" si="458"/>
        <v>6545.06</v>
      </c>
      <c r="P548">
        <f t="shared" si="459"/>
        <v>0</v>
      </c>
      <c r="Q548">
        <f t="shared" si="491"/>
        <v>6545.06</v>
      </c>
      <c r="R548">
        <f t="shared" si="460"/>
        <v>3049.75</v>
      </c>
      <c r="S548">
        <f t="shared" si="461"/>
        <v>0</v>
      </c>
      <c r="T548">
        <f t="shared" si="462"/>
        <v>0</v>
      </c>
      <c r="U548">
        <f t="shared" si="463"/>
        <v>0</v>
      </c>
      <c r="V548">
        <f t="shared" si="464"/>
        <v>0</v>
      </c>
      <c r="W548">
        <f t="shared" si="465"/>
        <v>0</v>
      </c>
      <c r="X548">
        <f t="shared" si="466"/>
        <v>0</v>
      </c>
      <c r="Y548">
        <f t="shared" si="467"/>
        <v>0</v>
      </c>
      <c r="AA548">
        <v>42938047</v>
      </c>
      <c r="AB548">
        <f t="shared" si="468"/>
        <v>8.86</v>
      </c>
      <c r="AC548">
        <f t="shared" si="469"/>
        <v>0</v>
      </c>
      <c r="AD548">
        <f t="shared" si="492"/>
        <v>8.86</v>
      </c>
      <c r="AE548">
        <f t="shared" si="493"/>
        <v>1.48</v>
      </c>
      <c r="AF548">
        <f t="shared" si="493"/>
        <v>0</v>
      </c>
      <c r="AG548">
        <f t="shared" si="470"/>
        <v>0</v>
      </c>
      <c r="AH548">
        <f t="shared" si="494"/>
        <v>0</v>
      </c>
      <c r="AI548">
        <f t="shared" si="494"/>
        <v>0</v>
      </c>
      <c r="AJ548">
        <f t="shared" si="471"/>
        <v>0</v>
      </c>
      <c r="AK548">
        <v>8.86</v>
      </c>
      <c r="AL548">
        <v>0</v>
      </c>
      <c r="AM548">
        <v>8.86</v>
      </c>
      <c r="AN548">
        <v>1.48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73</v>
      </c>
      <c r="AU548">
        <v>41</v>
      </c>
      <c r="AV548">
        <v>1</v>
      </c>
      <c r="AW548">
        <v>1</v>
      </c>
      <c r="AZ548">
        <v>1</v>
      </c>
      <c r="BA548">
        <v>25.44</v>
      </c>
      <c r="BB548">
        <v>9.1199999999999992</v>
      </c>
      <c r="BC548">
        <v>1</v>
      </c>
      <c r="BD548" t="s">
        <v>3</v>
      </c>
      <c r="BE548" t="s">
        <v>3</v>
      </c>
      <c r="BF548" t="s">
        <v>3</v>
      </c>
      <c r="BG548" t="s">
        <v>3</v>
      </c>
      <c r="BH548">
        <v>0</v>
      </c>
      <c r="BI548">
        <v>1</v>
      </c>
      <c r="BJ548" t="s">
        <v>183</v>
      </c>
      <c r="BM548">
        <v>658</v>
      </c>
      <c r="BN548">
        <v>0</v>
      </c>
      <c r="BO548" t="s">
        <v>180</v>
      </c>
      <c r="BP548">
        <v>1</v>
      </c>
      <c r="BQ548">
        <v>60</v>
      </c>
      <c r="BR548">
        <v>0</v>
      </c>
      <c r="BS548">
        <v>25.44</v>
      </c>
      <c r="BT548">
        <v>1</v>
      </c>
      <c r="BU548">
        <v>1</v>
      </c>
      <c r="BV548">
        <v>1</v>
      </c>
      <c r="BW548">
        <v>1</v>
      </c>
      <c r="BX548">
        <v>1</v>
      </c>
      <c r="BY548" t="s">
        <v>3</v>
      </c>
      <c r="BZ548">
        <v>73</v>
      </c>
      <c r="CA548">
        <v>41</v>
      </c>
      <c r="CB548" t="s">
        <v>3</v>
      </c>
      <c r="CE548">
        <v>30</v>
      </c>
      <c r="CF548">
        <v>0</v>
      </c>
      <c r="CG548">
        <v>0</v>
      </c>
      <c r="CM548">
        <v>0</v>
      </c>
      <c r="CN548" t="s">
        <v>3</v>
      </c>
      <c r="CO548">
        <v>0</v>
      </c>
      <c r="CP548">
        <f t="shared" si="472"/>
        <v>6545.06</v>
      </c>
      <c r="CQ548">
        <f t="shared" si="473"/>
        <v>0</v>
      </c>
      <c r="CR548">
        <f t="shared" si="495"/>
        <v>80.8</v>
      </c>
      <c r="CS548">
        <f t="shared" si="474"/>
        <v>37.65</v>
      </c>
      <c r="CT548">
        <f t="shared" si="475"/>
        <v>0</v>
      </c>
      <c r="CU548">
        <f t="shared" si="476"/>
        <v>0</v>
      </c>
      <c r="CV548">
        <f t="shared" si="477"/>
        <v>0</v>
      </c>
      <c r="CW548">
        <f t="shared" si="478"/>
        <v>0</v>
      </c>
      <c r="CX548">
        <f t="shared" si="479"/>
        <v>0</v>
      </c>
      <c r="CY548">
        <f t="shared" si="480"/>
        <v>0</v>
      </c>
      <c r="CZ548">
        <f t="shared" si="481"/>
        <v>0</v>
      </c>
      <c r="DC548" t="s">
        <v>3</v>
      </c>
      <c r="DD548" t="s">
        <v>3</v>
      </c>
      <c r="DE548" t="s">
        <v>3</v>
      </c>
      <c r="DF548" t="s">
        <v>3</v>
      </c>
      <c r="DG548" t="s">
        <v>3</v>
      </c>
      <c r="DH548" t="s">
        <v>3</v>
      </c>
      <c r="DI548" t="s">
        <v>3</v>
      </c>
      <c r="DJ548" t="s">
        <v>3</v>
      </c>
      <c r="DK548" t="s">
        <v>3</v>
      </c>
      <c r="DL548" t="s">
        <v>3</v>
      </c>
      <c r="DM548" t="s">
        <v>3</v>
      </c>
      <c r="DN548">
        <v>91</v>
      </c>
      <c r="DO548">
        <v>70</v>
      </c>
      <c r="DP548">
        <v>1</v>
      </c>
      <c r="DQ548">
        <v>1</v>
      </c>
      <c r="DU548">
        <v>1013</v>
      </c>
      <c r="DV548" t="s">
        <v>182</v>
      </c>
      <c r="DW548" t="s">
        <v>182</v>
      </c>
      <c r="DX548">
        <v>1</v>
      </c>
      <c r="DZ548" t="s">
        <v>3</v>
      </c>
      <c r="EA548" t="s">
        <v>3</v>
      </c>
      <c r="EB548" t="s">
        <v>3</v>
      </c>
      <c r="EC548" t="s">
        <v>3</v>
      </c>
      <c r="EE548">
        <v>43088736</v>
      </c>
      <c r="EF548">
        <v>60</v>
      </c>
      <c r="EG548" t="s">
        <v>40</v>
      </c>
      <c r="EH548">
        <v>0</v>
      </c>
      <c r="EI548" t="s">
        <v>3</v>
      </c>
      <c r="EJ548">
        <v>1</v>
      </c>
      <c r="EK548">
        <v>658</v>
      </c>
      <c r="EL548" t="s">
        <v>184</v>
      </c>
      <c r="EM548" t="s">
        <v>185</v>
      </c>
      <c r="EO548" t="s">
        <v>3</v>
      </c>
      <c r="EQ548">
        <v>0</v>
      </c>
      <c r="ER548">
        <v>8.86</v>
      </c>
      <c r="ES548">
        <v>0</v>
      </c>
      <c r="ET548">
        <v>8.86</v>
      </c>
      <c r="EU548">
        <v>1.48</v>
      </c>
      <c r="EV548">
        <v>0</v>
      </c>
      <c r="EW548">
        <v>0</v>
      </c>
      <c r="EX548">
        <v>0</v>
      </c>
      <c r="EY548">
        <v>0</v>
      </c>
      <c r="FQ548">
        <v>0</v>
      </c>
      <c r="FR548">
        <f t="shared" si="482"/>
        <v>0</v>
      </c>
      <c r="FS548">
        <v>0</v>
      </c>
      <c r="FX548">
        <v>91</v>
      </c>
      <c r="FY548">
        <v>70</v>
      </c>
      <c r="GA548" t="s">
        <v>3</v>
      </c>
      <c r="GD548">
        <v>0</v>
      </c>
      <c r="GF548">
        <v>-28951730</v>
      </c>
      <c r="GG548">
        <v>2</v>
      </c>
      <c r="GH548">
        <v>1</v>
      </c>
      <c r="GI548">
        <v>2</v>
      </c>
      <c r="GJ548">
        <v>0</v>
      </c>
      <c r="GK548">
        <f>ROUND(R548*(R12)/100,2)</f>
        <v>4788.1099999999997</v>
      </c>
      <c r="GL548">
        <f t="shared" si="483"/>
        <v>0</v>
      </c>
      <c r="GM548">
        <f t="shared" si="484"/>
        <v>11333.17</v>
      </c>
      <c r="GN548">
        <f t="shared" si="485"/>
        <v>11333.17</v>
      </c>
      <c r="GO548">
        <f t="shared" si="486"/>
        <v>0</v>
      </c>
      <c r="GP548">
        <f t="shared" si="487"/>
        <v>0</v>
      </c>
      <c r="GR548">
        <v>0</v>
      </c>
      <c r="GS548">
        <v>3</v>
      </c>
      <c r="GT548">
        <v>0</v>
      </c>
      <c r="GU548" t="s">
        <v>3</v>
      </c>
      <c r="GV548">
        <f t="shared" si="488"/>
        <v>0</v>
      </c>
      <c r="GW548">
        <v>1</v>
      </c>
      <c r="GX548">
        <f t="shared" si="489"/>
        <v>0</v>
      </c>
      <c r="HA548">
        <v>0</v>
      </c>
      <c r="HB548">
        <v>0</v>
      </c>
      <c r="HC548">
        <f t="shared" si="490"/>
        <v>0</v>
      </c>
      <c r="HE548" t="s">
        <v>3</v>
      </c>
      <c r="HF548" t="s">
        <v>3</v>
      </c>
      <c r="HM548" t="s">
        <v>3</v>
      </c>
      <c r="IK548">
        <v>0</v>
      </c>
    </row>
    <row r="549" spans="1:245" x14ac:dyDescent="0.2">
      <c r="A549">
        <v>17</v>
      </c>
      <c r="B549">
        <v>1</v>
      </c>
      <c r="C549">
        <f>ROW(SmtRes!A357)</f>
        <v>357</v>
      </c>
      <c r="D549">
        <f>ROW(EtalonRes!A357)</f>
        <v>357</v>
      </c>
      <c r="E549" t="s">
        <v>722</v>
      </c>
      <c r="F549" t="s">
        <v>187</v>
      </c>
      <c r="G549" t="s">
        <v>188</v>
      </c>
      <c r="H549" t="s">
        <v>104</v>
      </c>
      <c r="I549">
        <v>81</v>
      </c>
      <c r="J549">
        <v>0</v>
      </c>
      <c r="K549">
        <v>81</v>
      </c>
      <c r="O549">
        <f t="shared" si="458"/>
        <v>36695.33</v>
      </c>
      <c r="P549">
        <f t="shared" si="459"/>
        <v>0</v>
      </c>
      <c r="Q549">
        <f t="shared" si="491"/>
        <v>36695.33</v>
      </c>
      <c r="R549">
        <f t="shared" si="460"/>
        <v>0</v>
      </c>
      <c r="S549">
        <f t="shared" si="461"/>
        <v>0</v>
      </c>
      <c r="T549">
        <f t="shared" si="462"/>
        <v>0</v>
      </c>
      <c r="U549">
        <f t="shared" si="463"/>
        <v>0</v>
      </c>
      <c r="V549">
        <f t="shared" si="464"/>
        <v>0</v>
      </c>
      <c r="W549">
        <f t="shared" si="465"/>
        <v>0</v>
      </c>
      <c r="X549">
        <f t="shared" si="466"/>
        <v>0</v>
      </c>
      <c r="Y549">
        <f t="shared" si="467"/>
        <v>0</v>
      </c>
      <c r="AA549">
        <v>42938047</v>
      </c>
      <c r="AB549">
        <f t="shared" si="468"/>
        <v>38.92</v>
      </c>
      <c r="AC549">
        <f t="shared" si="469"/>
        <v>0</v>
      </c>
      <c r="AD549">
        <f t="shared" si="492"/>
        <v>38.92</v>
      </c>
      <c r="AE549">
        <f t="shared" si="493"/>
        <v>0</v>
      </c>
      <c r="AF549">
        <f t="shared" si="493"/>
        <v>0</v>
      </c>
      <c r="AG549">
        <f t="shared" si="470"/>
        <v>0</v>
      </c>
      <c r="AH549">
        <f t="shared" si="494"/>
        <v>0</v>
      </c>
      <c r="AI549">
        <f t="shared" si="494"/>
        <v>0</v>
      </c>
      <c r="AJ549">
        <f t="shared" si="471"/>
        <v>0</v>
      </c>
      <c r="AK549">
        <v>38.92</v>
      </c>
      <c r="AL549">
        <v>0</v>
      </c>
      <c r="AM549">
        <v>38.92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93</v>
      </c>
      <c r="AU549">
        <v>64</v>
      </c>
      <c r="AV549">
        <v>1</v>
      </c>
      <c r="AW549">
        <v>1</v>
      </c>
      <c r="AZ549">
        <v>1</v>
      </c>
      <c r="BA549">
        <v>1</v>
      </c>
      <c r="BB549">
        <v>11.64</v>
      </c>
      <c r="BC549">
        <v>1</v>
      </c>
      <c r="BD549" t="s">
        <v>3</v>
      </c>
      <c r="BE549" t="s">
        <v>3</v>
      </c>
      <c r="BF549" t="s">
        <v>3</v>
      </c>
      <c r="BG549" t="s">
        <v>3</v>
      </c>
      <c r="BH549">
        <v>0</v>
      </c>
      <c r="BI549">
        <v>4</v>
      </c>
      <c r="BJ549" t="s">
        <v>189</v>
      </c>
      <c r="BM549">
        <v>1113</v>
      </c>
      <c r="BN549">
        <v>0</v>
      </c>
      <c r="BO549" t="s">
        <v>187</v>
      </c>
      <c r="BP549">
        <v>1</v>
      </c>
      <c r="BQ549">
        <v>150</v>
      </c>
      <c r="BR549">
        <v>0</v>
      </c>
      <c r="BS549">
        <v>1</v>
      </c>
      <c r="BT549">
        <v>1</v>
      </c>
      <c r="BU549">
        <v>1</v>
      </c>
      <c r="BV549">
        <v>1</v>
      </c>
      <c r="BW549">
        <v>1</v>
      </c>
      <c r="BX549">
        <v>1</v>
      </c>
      <c r="BY549" t="s">
        <v>3</v>
      </c>
      <c r="BZ549">
        <v>93</v>
      </c>
      <c r="CA549">
        <v>64</v>
      </c>
      <c r="CB549" t="s">
        <v>3</v>
      </c>
      <c r="CE549">
        <v>30</v>
      </c>
      <c r="CF549">
        <v>0</v>
      </c>
      <c r="CG549">
        <v>0</v>
      </c>
      <c r="CM549">
        <v>0</v>
      </c>
      <c r="CN549" t="s">
        <v>3</v>
      </c>
      <c r="CO549">
        <v>0</v>
      </c>
      <c r="CP549">
        <f t="shared" si="472"/>
        <v>36695.33</v>
      </c>
      <c r="CQ549">
        <f t="shared" si="473"/>
        <v>0</v>
      </c>
      <c r="CR549">
        <f t="shared" si="495"/>
        <v>453.03</v>
      </c>
      <c r="CS549">
        <f t="shared" si="474"/>
        <v>0</v>
      </c>
      <c r="CT549">
        <f t="shared" si="475"/>
        <v>0</v>
      </c>
      <c r="CU549">
        <f t="shared" si="476"/>
        <v>0</v>
      </c>
      <c r="CV549">
        <f t="shared" si="477"/>
        <v>0</v>
      </c>
      <c r="CW549">
        <f t="shared" si="478"/>
        <v>0</v>
      </c>
      <c r="CX549">
        <f t="shared" si="479"/>
        <v>0</v>
      </c>
      <c r="CY549">
        <f t="shared" si="480"/>
        <v>0</v>
      </c>
      <c r="CZ549">
        <f t="shared" si="481"/>
        <v>0</v>
      </c>
      <c r="DC549" t="s">
        <v>3</v>
      </c>
      <c r="DD549" t="s">
        <v>3</v>
      </c>
      <c r="DE549" t="s">
        <v>3</v>
      </c>
      <c r="DF549" t="s">
        <v>3</v>
      </c>
      <c r="DG549" t="s">
        <v>3</v>
      </c>
      <c r="DH549" t="s">
        <v>3</v>
      </c>
      <c r="DI549" t="s">
        <v>3</v>
      </c>
      <c r="DJ549" t="s">
        <v>3</v>
      </c>
      <c r="DK549" t="s">
        <v>3</v>
      </c>
      <c r="DL549" t="s">
        <v>3</v>
      </c>
      <c r="DM549" t="s">
        <v>3</v>
      </c>
      <c r="DN549">
        <v>0</v>
      </c>
      <c r="DO549">
        <v>0</v>
      </c>
      <c r="DP549">
        <v>1</v>
      </c>
      <c r="DQ549">
        <v>1</v>
      </c>
      <c r="DU549">
        <v>1009</v>
      </c>
      <c r="DV549" t="s">
        <v>104</v>
      </c>
      <c r="DW549" t="s">
        <v>104</v>
      </c>
      <c r="DX549">
        <v>1000</v>
      </c>
      <c r="DZ549" t="s">
        <v>3</v>
      </c>
      <c r="EA549" t="s">
        <v>3</v>
      </c>
      <c r="EB549" t="s">
        <v>3</v>
      </c>
      <c r="EC549" t="s">
        <v>3</v>
      </c>
      <c r="EE549">
        <v>43089191</v>
      </c>
      <c r="EF549">
        <v>150</v>
      </c>
      <c r="EG549" t="s">
        <v>190</v>
      </c>
      <c r="EH549">
        <v>0</v>
      </c>
      <c r="EI549" t="s">
        <v>3</v>
      </c>
      <c r="EJ549">
        <v>4</v>
      </c>
      <c r="EK549">
        <v>1113</v>
      </c>
      <c r="EL549" t="s">
        <v>191</v>
      </c>
      <c r="EM549" t="s">
        <v>192</v>
      </c>
      <c r="EO549" t="s">
        <v>3</v>
      </c>
      <c r="EQ549">
        <v>0</v>
      </c>
      <c r="ER549">
        <v>38.92</v>
      </c>
      <c r="ES549">
        <v>0</v>
      </c>
      <c r="ET549">
        <v>38.92</v>
      </c>
      <c r="EU549">
        <v>0</v>
      </c>
      <c r="EV549">
        <v>0</v>
      </c>
      <c r="EW549">
        <v>0</v>
      </c>
      <c r="EX549">
        <v>0</v>
      </c>
      <c r="EY549">
        <v>0</v>
      </c>
      <c r="FQ549">
        <v>0</v>
      </c>
      <c r="FR549">
        <f t="shared" si="482"/>
        <v>0</v>
      </c>
      <c r="FS549">
        <v>0</v>
      </c>
      <c r="FX549">
        <v>0</v>
      </c>
      <c r="FY549">
        <v>0</v>
      </c>
      <c r="GA549" t="s">
        <v>3</v>
      </c>
      <c r="GD549">
        <v>0</v>
      </c>
      <c r="GF549">
        <v>733232356</v>
      </c>
      <c r="GG549">
        <v>2</v>
      </c>
      <c r="GH549">
        <v>1</v>
      </c>
      <c r="GI549">
        <v>2</v>
      </c>
      <c r="GJ549">
        <v>0</v>
      </c>
      <c r="GK549">
        <f>ROUND(R549*(R12)/100,2)</f>
        <v>0</v>
      </c>
      <c r="GL549">
        <f t="shared" si="483"/>
        <v>0</v>
      </c>
      <c r="GM549">
        <f t="shared" si="484"/>
        <v>36695.33</v>
      </c>
      <c r="GN549">
        <f t="shared" si="485"/>
        <v>0</v>
      </c>
      <c r="GO549">
        <f t="shared" si="486"/>
        <v>0</v>
      </c>
      <c r="GP549">
        <f t="shared" si="487"/>
        <v>36695.33</v>
      </c>
      <c r="GR549">
        <v>0</v>
      </c>
      <c r="GS549">
        <v>3</v>
      </c>
      <c r="GT549">
        <v>0</v>
      </c>
      <c r="GU549" t="s">
        <v>3</v>
      </c>
      <c r="GV549">
        <f t="shared" si="488"/>
        <v>0</v>
      </c>
      <c r="GW549">
        <v>1</v>
      </c>
      <c r="GX549">
        <f t="shared" si="489"/>
        <v>0</v>
      </c>
      <c r="HA549">
        <v>0</v>
      </c>
      <c r="HB549">
        <v>0</v>
      </c>
      <c r="HC549">
        <f t="shared" si="490"/>
        <v>0</v>
      </c>
      <c r="HE549" t="s">
        <v>3</v>
      </c>
      <c r="HF549" t="s">
        <v>3</v>
      </c>
      <c r="HM549" t="s">
        <v>3</v>
      </c>
      <c r="IK549">
        <v>0</v>
      </c>
    </row>
    <row r="550" spans="1:245" x14ac:dyDescent="0.2">
      <c r="A550">
        <v>17</v>
      </c>
      <c r="B550">
        <v>1</v>
      </c>
      <c r="C550">
        <f>ROW(SmtRes!A358)</f>
        <v>358</v>
      </c>
      <c r="D550">
        <f>ROW(EtalonRes!A358)</f>
        <v>358</v>
      </c>
      <c r="E550" t="s">
        <v>723</v>
      </c>
      <c r="F550" t="s">
        <v>194</v>
      </c>
      <c r="G550" t="s">
        <v>724</v>
      </c>
      <c r="H550" t="s">
        <v>182</v>
      </c>
      <c r="I550">
        <v>81</v>
      </c>
      <c r="J550">
        <v>0</v>
      </c>
      <c r="K550">
        <v>81</v>
      </c>
      <c r="O550">
        <f t="shared" si="458"/>
        <v>11025.66</v>
      </c>
      <c r="P550">
        <f t="shared" si="459"/>
        <v>0</v>
      </c>
      <c r="Q550">
        <f t="shared" si="491"/>
        <v>11025.66</v>
      </c>
      <c r="R550">
        <f t="shared" si="460"/>
        <v>0</v>
      </c>
      <c r="S550">
        <f t="shared" si="461"/>
        <v>0</v>
      </c>
      <c r="T550">
        <f t="shared" si="462"/>
        <v>0</v>
      </c>
      <c r="U550">
        <f t="shared" si="463"/>
        <v>0</v>
      </c>
      <c r="V550">
        <f t="shared" si="464"/>
        <v>0</v>
      </c>
      <c r="W550">
        <f t="shared" si="465"/>
        <v>0</v>
      </c>
      <c r="X550">
        <f t="shared" si="466"/>
        <v>0</v>
      </c>
      <c r="Y550">
        <f t="shared" si="467"/>
        <v>0</v>
      </c>
      <c r="AA550">
        <v>42938047</v>
      </c>
      <c r="AB550">
        <f t="shared" si="468"/>
        <v>17.84</v>
      </c>
      <c r="AC550">
        <f t="shared" si="469"/>
        <v>0</v>
      </c>
      <c r="AD550">
        <f t="shared" si="492"/>
        <v>17.84</v>
      </c>
      <c r="AE550">
        <f t="shared" si="493"/>
        <v>0</v>
      </c>
      <c r="AF550">
        <f t="shared" si="493"/>
        <v>0</v>
      </c>
      <c r="AG550">
        <f t="shared" si="470"/>
        <v>0</v>
      </c>
      <c r="AH550">
        <f t="shared" si="494"/>
        <v>0</v>
      </c>
      <c r="AI550">
        <f t="shared" si="494"/>
        <v>0</v>
      </c>
      <c r="AJ550">
        <f t="shared" si="471"/>
        <v>0</v>
      </c>
      <c r="AK550">
        <v>17.84</v>
      </c>
      <c r="AL550">
        <v>0</v>
      </c>
      <c r="AM550">
        <v>17.84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93</v>
      </c>
      <c r="AU550">
        <v>64</v>
      </c>
      <c r="AV550">
        <v>1</v>
      </c>
      <c r="AW550">
        <v>1</v>
      </c>
      <c r="AZ550">
        <v>1</v>
      </c>
      <c r="BA550">
        <v>1</v>
      </c>
      <c r="BB550">
        <v>7.63</v>
      </c>
      <c r="BC550">
        <v>1</v>
      </c>
      <c r="BD550" t="s">
        <v>3</v>
      </c>
      <c r="BE550" t="s">
        <v>3</v>
      </c>
      <c r="BF550" t="s">
        <v>3</v>
      </c>
      <c r="BG550" t="s">
        <v>3</v>
      </c>
      <c r="BH550">
        <v>0</v>
      </c>
      <c r="BI550">
        <v>4</v>
      </c>
      <c r="BJ550" t="s">
        <v>196</v>
      </c>
      <c r="BM550">
        <v>1113</v>
      </c>
      <c r="BN550">
        <v>0</v>
      </c>
      <c r="BO550" t="s">
        <v>194</v>
      </c>
      <c r="BP550">
        <v>1</v>
      </c>
      <c r="BQ550">
        <v>150</v>
      </c>
      <c r="BR550">
        <v>0</v>
      </c>
      <c r="BS550">
        <v>1</v>
      </c>
      <c r="BT550">
        <v>1</v>
      </c>
      <c r="BU550">
        <v>1</v>
      </c>
      <c r="BV550">
        <v>1</v>
      </c>
      <c r="BW550">
        <v>1</v>
      </c>
      <c r="BX550">
        <v>1</v>
      </c>
      <c r="BY550" t="s">
        <v>3</v>
      </c>
      <c r="BZ550">
        <v>93</v>
      </c>
      <c r="CA550">
        <v>64</v>
      </c>
      <c r="CB550" t="s">
        <v>3</v>
      </c>
      <c r="CE550">
        <v>30</v>
      </c>
      <c r="CF550">
        <v>0</v>
      </c>
      <c r="CG550">
        <v>0</v>
      </c>
      <c r="CM550">
        <v>0</v>
      </c>
      <c r="CN550" t="s">
        <v>3</v>
      </c>
      <c r="CO550">
        <v>0</v>
      </c>
      <c r="CP550">
        <f t="shared" si="472"/>
        <v>11025.66</v>
      </c>
      <c r="CQ550">
        <f t="shared" si="473"/>
        <v>0</v>
      </c>
      <c r="CR550">
        <f t="shared" si="495"/>
        <v>136.12</v>
      </c>
      <c r="CS550">
        <f t="shared" si="474"/>
        <v>0</v>
      </c>
      <c r="CT550">
        <f t="shared" si="475"/>
        <v>0</v>
      </c>
      <c r="CU550">
        <f t="shared" si="476"/>
        <v>0</v>
      </c>
      <c r="CV550">
        <f t="shared" si="477"/>
        <v>0</v>
      </c>
      <c r="CW550">
        <f t="shared" si="478"/>
        <v>0</v>
      </c>
      <c r="CX550">
        <f t="shared" si="479"/>
        <v>0</v>
      </c>
      <c r="CY550">
        <f t="shared" si="480"/>
        <v>0</v>
      </c>
      <c r="CZ550">
        <f t="shared" si="481"/>
        <v>0</v>
      </c>
      <c r="DC550" t="s">
        <v>3</v>
      </c>
      <c r="DD550" t="s">
        <v>3</v>
      </c>
      <c r="DE550" t="s">
        <v>3</v>
      </c>
      <c r="DF550" t="s">
        <v>3</v>
      </c>
      <c r="DG550" t="s">
        <v>3</v>
      </c>
      <c r="DH550" t="s">
        <v>3</v>
      </c>
      <c r="DI550" t="s">
        <v>3</v>
      </c>
      <c r="DJ550" t="s">
        <v>3</v>
      </c>
      <c r="DK550" t="s">
        <v>3</v>
      </c>
      <c r="DL550" t="s">
        <v>3</v>
      </c>
      <c r="DM550" t="s">
        <v>3</v>
      </c>
      <c r="DN550">
        <v>0</v>
      </c>
      <c r="DO550">
        <v>0</v>
      </c>
      <c r="DP550">
        <v>1</v>
      </c>
      <c r="DQ550">
        <v>1</v>
      </c>
      <c r="DU550">
        <v>1013</v>
      </c>
      <c r="DV550" t="s">
        <v>182</v>
      </c>
      <c r="DW550" t="s">
        <v>182</v>
      </c>
      <c r="DX550">
        <v>1</v>
      </c>
      <c r="DZ550" t="s">
        <v>3</v>
      </c>
      <c r="EA550" t="s">
        <v>3</v>
      </c>
      <c r="EB550" t="s">
        <v>3</v>
      </c>
      <c r="EC550" t="s">
        <v>3</v>
      </c>
      <c r="EE550">
        <v>43089191</v>
      </c>
      <c r="EF550">
        <v>150</v>
      </c>
      <c r="EG550" t="s">
        <v>190</v>
      </c>
      <c r="EH550">
        <v>0</v>
      </c>
      <c r="EI550" t="s">
        <v>3</v>
      </c>
      <c r="EJ550">
        <v>4</v>
      </c>
      <c r="EK550">
        <v>1113</v>
      </c>
      <c r="EL550" t="s">
        <v>191</v>
      </c>
      <c r="EM550" t="s">
        <v>192</v>
      </c>
      <c r="EO550" t="s">
        <v>3</v>
      </c>
      <c r="EQ550">
        <v>0</v>
      </c>
      <c r="ER550">
        <v>17.84</v>
      </c>
      <c r="ES550">
        <v>0</v>
      </c>
      <c r="ET550">
        <v>17.84</v>
      </c>
      <c r="EU550">
        <v>0</v>
      </c>
      <c r="EV550">
        <v>0</v>
      </c>
      <c r="EW550">
        <v>0</v>
      </c>
      <c r="EX550">
        <v>0</v>
      </c>
      <c r="EY550">
        <v>0</v>
      </c>
      <c r="FQ550">
        <v>0</v>
      </c>
      <c r="FR550">
        <f t="shared" si="482"/>
        <v>0</v>
      </c>
      <c r="FS550">
        <v>0</v>
      </c>
      <c r="FX550">
        <v>0</v>
      </c>
      <c r="FY550">
        <v>0</v>
      </c>
      <c r="GA550" t="s">
        <v>3</v>
      </c>
      <c r="GD550">
        <v>0</v>
      </c>
      <c r="GF550">
        <v>2101021867</v>
      </c>
      <c r="GG550">
        <v>2</v>
      </c>
      <c r="GH550">
        <v>1</v>
      </c>
      <c r="GI550">
        <v>2</v>
      </c>
      <c r="GJ550">
        <v>0</v>
      </c>
      <c r="GK550">
        <f>ROUND(R550*(R12)/100,2)</f>
        <v>0</v>
      </c>
      <c r="GL550">
        <f t="shared" si="483"/>
        <v>0</v>
      </c>
      <c r="GM550">
        <f t="shared" si="484"/>
        <v>11025.66</v>
      </c>
      <c r="GN550">
        <f t="shared" si="485"/>
        <v>0</v>
      </c>
      <c r="GO550">
        <f t="shared" si="486"/>
        <v>0</v>
      </c>
      <c r="GP550">
        <f t="shared" si="487"/>
        <v>11025.66</v>
      </c>
      <c r="GR550">
        <v>0</v>
      </c>
      <c r="GS550">
        <v>3</v>
      </c>
      <c r="GT550">
        <v>0</v>
      </c>
      <c r="GU550" t="s">
        <v>3</v>
      </c>
      <c r="GV550">
        <f t="shared" si="488"/>
        <v>0</v>
      </c>
      <c r="GW550">
        <v>1</v>
      </c>
      <c r="GX550">
        <f t="shared" si="489"/>
        <v>0</v>
      </c>
      <c r="HA550">
        <v>0</v>
      </c>
      <c r="HB550">
        <v>0</v>
      </c>
      <c r="HC550">
        <f t="shared" si="490"/>
        <v>0</v>
      </c>
      <c r="HE550" t="s">
        <v>3</v>
      </c>
      <c r="HF550" t="s">
        <v>3</v>
      </c>
      <c r="HM550" t="s">
        <v>3</v>
      </c>
      <c r="IK550">
        <v>0</v>
      </c>
    </row>
    <row r="552" spans="1:245" x14ac:dyDescent="0.2">
      <c r="A552" s="2">
        <v>51</v>
      </c>
      <c r="B552" s="2">
        <f>B537</f>
        <v>1</v>
      </c>
      <c r="C552" s="2">
        <f>A537</f>
        <v>4</v>
      </c>
      <c r="D552" s="2">
        <f>ROW(A537)</f>
        <v>537</v>
      </c>
      <c r="E552" s="2"/>
      <c r="F552" s="2" t="str">
        <f>IF(F537&lt;&gt;"",F537,"")</f>
        <v>Новый раздел</v>
      </c>
      <c r="G552" s="2" t="str">
        <f>IF(G537&lt;&gt;"",G537,"")</f>
        <v>Водный каскад (с ремонтом свода)</v>
      </c>
      <c r="H552" s="2">
        <v>0</v>
      </c>
      <c r="I552" s="2"/>
      <c r="J552" s="2"/>
      <c r="K552" s="2"/>
      <c r="L552" s="2"/>
      <c r="M552" s="2"/>
      <c r="N552" s="2"/>
      <c r="O552" s="2">
        <f t="shared" ref="O552:T552" si="496">ROUND(AB552,2)</f>
        <v>558718.59</v>
      </c>
      <c r="P552" s="2">
        <f t="shared" si="496"/>
        <v>373812.93</v>
      </c>
      <c r="Q552" s="2">
        <f t="shared" si="496"/>
        <v>73970.720000000001</v>
      </c>
      <c r="R552" s="2">
        <f t="shared" si="496"/>
        <v>15775.09</v>
      </c>
      <c r="S552" s="2">
        <f t="shared" si="496"/>
        <v>110934.94</v>
      </c>
      <c r="T552" s="2">
        <f t="shared" si="496"/>
        <v>0</v>
      </c>
      <c r="U552" s="2">
        <f>AH552</f>
        <v>407.69788749999998</v>
      </c>
      <c r="V552" s="2">
        <f>AI552</f>
        <v>0</v>
      </c>
      <c r="W552" s="2">
        <f>ROUND(AJ552,2)</f>
        <v>0</v>
      </c>
      <c r="X552" s="2">
        <f>ROUND(AK552,2)</f>
        <v>78332.850000000006</v>
      </c>
      <c r="Y552" s="2">
        <f>ROUND(AL552,2)</f>
        <v>45483.32</v>
      </c>
      <c r="Z552" s="2"/>
      <c r="AA552" s="2"/>
      <c r="AB552" s="2">
        <f>ROUND(SUMIF(AA541:AA550,"=42938047",O541:O550),2)</f>
        <v>558718.59</v>
      </c>
      <c r="AC552" s="2">
        <f>ROUND(SUMIF(AA541:AA550,"=42938047",P541:P550),2)</f>
        <v>373812.93</v>
      </c>
      <c r="AD552" s="2">
        <f>ROUND(SUMIF(AA541:AA550,"=42938047",Q541:Q550),2)</f>
        <v>73970.720000000001</v>
      </c>
      <c r="AE552" s="2">
        <f>ROUND(SUMIF(AA541:AA550,"=42938047",R541:R550),2)</f>
        <v>15775.09</v>
      </c>
      <c r="AF552" s="2">
        <f>ROUND(SUMIF(AA541:AA550,"=42938047",S541:S550),2)</f>
        <v>110934.94</v>
      </c>
      <c r="AG552" s="2">
        <f>ROUND(SUMIF(AA541:AA550,"=42938047",T541:T550),2)</f>
        <v>0</v>
      </c>
      <c r="AH552" s="2">
        <f>SUMIF(AA541:AA550,"=42938047",U541:U550)</f>
        <v>407.69788749999998</v>
      </c>
      <c r="AI552" s="2">
        <f>SUMIF(AA541:AA550,"=42938047",V541:V550)</f>
        <v>0</v>
      </c>
      <c r="AJ552" s="2">
        <f>ROUND(SUMIF(AA541:AA550,"=42938047",W541:W550),2)</f>
        <v>0</v>
      </c>
      <c r="AK552" s="2">
        <f>ROUND(SUMIF(AA541:AA550,"=42938047",X541:X550),2)</f>
        <v>78332.850000000006</v>
      </c>
      <c r="AL552" s="2">
        <f>ROUND(SUMIF(AA541:AA550,"=42938047",Y541:Y550),2)</f>
        <v>45483.32</v>
      </c>
      <c r="AM552" s="2"/>
      <c r="AN552" s="2"/>
      <c r="AO552" s="2">
        <f t="shared" ref="AO552:BD552" si="497">ROUND(BX552,2)</f>
        <v>0</v>
      </c>
      <c r="AP552" s="2">
        <f t="shared" si="497"/>
        <v>0</v>
      </c>
      <c r="AQ552" s="2">
        <f t="shared" si="497"/>
        <v>0</v>
      </c>
      <c r="AR552" s="2">
        <f t="shared" si="497"/>
        <v>707301.66</v>
      </c>
      <c r="AS552" s="2">
        <f t="shared" si="497"/>
        <v>659580.67000000004</v>
      </c>
      <c r="AT552" s="2">
        <f t="shared" si="497"/>
        <v>0</v>
      </c>
      <c r="AU552" s="2">
        <f t="shared" si="497"/>
        <v>47720.99</v>
      </c>
      <c r="AV552" s="2">
        <f t="shared" si="497"/>
        <v>373812.93</v>
      </c>
      <c r="AW552" s="2">
        <f t="shared" si="497"/>
        <v>373812.93</v>
      </c>
      <c r="AX552" s="2">
        <f t="shared" si="497"/>
        <v>0</v>
      </c>
      <c r="AY552" s="2">
        <f t="shared" si="497"/>
        <v>373812.93</v>
      </c>
      <c r="AZ552" s="2">
        <f t="shared" si="497"/>
        <v>0</v>
      </c>
      <c r="BA552" s="2">
        <f t="shared" si="497"/>
        <v>0</v>
      </c>
      <c r="BB552" s="2">
        <f t="shared" si="497"/>
        <v>0</v>
      </c>
      <c r="BC552" s="2">
        <f t="shared" si="497"/>
        <v>0</v>
      </c>
      <c r="BD552" s="2">
        <f t="shared" si="497"/>
        <v>0</v>
      </c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>
        <f>ROUND(SUMIF(AA541:AA550,"=42938047",FQ541:FQ550),2)</f>
        <v>0</v>
      </c>
      <c r="BY552" s="2">
        <f>ROUND(SUMIF(AA541:AA550,"=42938047",FR541:FR550),2)</f>
        <v>0</v>
      </c>
      <c r="BZ552" s="2">
        <f>ROUND(SUMIF(AA541:AA550,"=42938047",GL541:GL550),2)</f>
        <v>0</v>
      </c>
      <c r="CA552" s="2">
        <f>ROUND(SUMIF(AA541:AA550,"=42938047",GM541:GM550),2)</f>
        <v>707301.66</v>
      </c>
      <c r="CB552" s="2">
        <f>ROUND(SUMIF(AA541:AA550,"=42938047",GN541:GN550),2)</f>
        <v>659580.67000000004</v>
      </c>
      <c r="CC552" s="2">
        <f>ROUND(SUMIF(AA541:AA550,"=42938047",GO541:GO550),2)</f>
        <v>0</v>
      </c>
      <c r="CD552" s="2">
        <f>ROUND(SUMIF(AA541:AA550,"=42938047",GP541:GP550),2)</f>
        <v>47720.99</v>
      </c>
      <c r="CE552" s="2">
        <f>AC552-BX552</f>
        <v>373812.93</v>
      </c>
      <c r="CF552" s="2">
        <f>AC552-BY552</f>
        <v>373812.93</v>
      </c>
      <c r="CG552" s="2">
        <f>BX552-BZ552</f>
        <v>0</v>
      </c>
      <c r="CH552" s="2">
        <f>AC552-BX552-BY552+BZ552</f>
        <v>373812.93</v>
      </c>
      <c r="CI552" s="2">
        <f>BY552-BZ552</f>
        <v>0</v>
      </c>
      <c r="CJ552" s="2">
        <f>ROUND(SUMIF(AA541:AA550,"=42938047",GX541:GX550),2)</f>
        <v>0</v>
      </c>
      <c r="CK552" s="2">
        <f>ROUND(SUMIF(AA541:AA550,"=42938047",GY541:GY550),2)</f>
        <v>0</v>
      </c>
      <c r="CL552" s="2">
        <f>ROUND(SUMIF(AA541:AA550,"=42938047",GZ541:GZ550),2)</f>
        <v>0</v>
      </c>
      <c r="CM552" s="2">
        <f>ROUND(SUMIF(AA541:AA550,"=42938047",HD541:HD550),2)</f>
        <v>0</v>
      </c>
      <c r="CN552" s="2"/>
      <c r="CO552" s="2"/>
      <c r="CP552" s="2"/>
      <c r="CQ552" s="2"/>
      <c r="CR552" s="2"/>
      <c r="CS552" s="2"/>
      <c r="CT552" s="2"/>
      <c r="CU552" s="2"/>
      <c r="CV552" s="2"/>
      <c r="CW552" s="2"/>
      <c r="CX552" s="2"/>
      <c r="CY552" s="2"/>
      <c r="CZ552" s="2"/>
      <c r="DA552" s="2"/>
      <c r="DB552" s="2"/>
      <c r="DC552" s="2"/>
      <c r="DD552" s="2"/>
      <c r="DE552" s="2"/>
      <c r="DF552" s="2"/>
      <c r="DG552" s="3"/>
      <c r="DH552" s="3"/>
      <c r="DI552" s="3"/>
      <c r="DJ552" s="3"/>
      <c r="DK552" s="3"/>
      <c r="DL552" s="3"/>
      <c r="DM552" s="3"/>
      <c r="DN552" s="3"/>
      <c r="DO552" s="3"/>
      <c r="DP552" s="3"/>
      <c r="DQ552" s="3"/>
      <c r="DR552" s="3"/>
      <c r="DS552" s="3"/>
      <c r="DT552" s="3"/>
      <c r="DU552" s="3"/>
      <c r="DV552" s="3"/>
      <c r="DW552" s="3"/>
      <c r="DX552" s="3"/>
      <c r="DY552" s="3"/>
      <c r="DZ552" s="3"/>
      <c r="EA552" s="3"/>
      <c r="EB552" s="3"/>
      <c r="EC552" s="3"/>
      <c r="ED552" s="3"/>
      <c r="EE552" s="3"/>
      <c r="EF552" s="3"/>
      <c r="EG552" s="3"/>
      <c r="EH552" s="3"/>
      <c r="EI552" s="3"/>
      <c r="EJ552" s="3"/>
      <c r="EK552" s="3"/>
      <c r="EL552" s="3"/>
      <c r="EM552" s="3"/>
      <c r="EN552" s="3"/>
      <c r="EO552" s="3"/>
      <c r="EP552" s="3"/>
      <c r="EQ552" s="3"/>
      <c r="ER552" s="3"/>
      <c r="ES552" s="3"/>
      <c r="ET552" s="3"/>
      <c r="EU552" s="3"/>
      <c r="EV552" s="3"/>
      <c r="EW552" s="3"/>
      <c r="EX552" s="3"/>
      <c r="EY552" s="3"/>
      <c r="EZ552" s="3"/>
      <c r="FA552" s="3"/>
      <c r="FB552" s="3"/>
      <c r="FC552" s="3"/>
      <c r="FD552" s="3"/>
      <c r="FE552" s="3"/>
      <c r="FF552" s="3"/>
      <c r="FG552" s="3"/>
      <c r="FH552" s="3"/>
      <c r="FI552" s="3"/>
      <c r="FJ552" s="3"/>
      <c r="FK552" s="3"/>
      <c r="FL552" s="3"/>
      <c r="FM552" s="3"/>
      <c r="FN552" s="3"/>
      <c r="FO552" s="3"/>
      <c r="FP552" s="3"/>
      <c r="FQ552" s="3"/>
      <c r="FR552" s="3"/>
      <c r="FS552" s="3"/>
      <c r="FT552" s="3"/>
      <c r="FU552" s="3"/>
      <c r="FV552" s="3"/>
      <c r="FW552" s="3"/>
      <c r="FX552" s="3"/>
      <c r="FY552" s="3"/>
      <c r="FZ552" s="3"/>
      <c r="GA552" s="3"/>
      <c r="GB552" s="3"/>
      <c r="GC552" s="3"/>
      <c r="GD552" s="3"/>
      <c r="GE552" s="3"/>
      <c r="GF552" s="3"/>
      <c r="GG552" s="3"/>
      <c r="GH552" s="3"/>
      <c r="GI552" s="3"/>
      <c r="GJ552" s="3"/>
      <c r="GK552" s="3"/>
      <c r="GL552" s="3"/>
      <c r="GM552" s="3"/>
      <c r="GN552" s="3"/>
      <c r="GO552" s="3"/>
      <c r="GP552" s="3"/>
      <c r="GQ552" s="3"/>
      <c r="GR552" s="3"/>
      <c r="GS552" s="3"/>
      <c r="GT552" s="3"/>
      <c r="GU552" s="3"/>
      <c r="GV552" s="3"/>
      <c r="GW552" s="3"/>
      <c r="GX552" s="3">
        <v>0</v>
      </c>
    </row>
    <row r="554" spans="1:245" x14ac:dyDescent="0.2">
      <c r="A554" s="4">
        <v>50</v>
      </c>
      <c r="B554" s="4">
        <v>0</v>
      </c>
      <c r="C554" s="4">
        <v>0</v>
      </c>
      <c r="D554" s="4">
        <v>1</v>
      </c>
      <c r="E554" s="4">
        <v>201</v>
      </c>
      <c r="F554" s="4">
        <f>ROUND(Source!O552,O554)</f>
        <v>558718.59</v>
      </c>
      <c r="G554" s="4" t="s">
        <v>213</v>
      </c>
      <c r="H554" s="4" t="s">
        <v>214</v>
      </c>
      <c r="I554" s="4"/>
      <c r="J554" s="4"/>
      <c r="K554" s="4">
        <v>201</v>
      </c>
      <c r="L554" s="4">
        <v>1</v>
      </c>
      <c r="M554" s="4">
        <v>3</v>
      </c>
      <c r="N554" s="4" t="s">
        <v>3</v>
      </c>
      <c r="O554" s="4">
        <v>2</v>
      </c>
      <c r="P554" s="4"/>
      <c r="Q554" s="4"/>
      <c r="R554" s="4"/>
      <c r="S554" s="4"/>
      <c r="T554" s="4"/>
      <c r="U554" s="4"/>
      <c r="V554" s="4"/>
      <c r="W554" s="4"/>
    </row>
    <row r="555" spans="1:245" x14ac:dyDescent="0.2">
      <c r="A555" s="4">
        <v>50</v>
      </c>
      <c r="B555" s="4">
        <v>0</v>
      </c>
      <c r="C555" s="4">
        <v>0</v>
      </c>
      <c r="D555" s="4">
        <v>1</v>
      </c>
      <c r="E555" s="4">
        <v>202</v>
      </c>
      <c r="F555" s="4">
        <f>ROUND(Source!P552,O555)</f>
        <v>373812.93</v>
      </c>
      <c r="G555" s="4" t="s">
        <v>215</v>
      </c>
      <c r="H555" s="4" t="s">
        <v>216</v>
      </c>
      <c r="I555" s="4"/>
      <c r="J555" s="4"/>
      <c r="K555" s="4">
        <v>202</v>
      </c>
      <c r="L555" s="4">
        <v>2</v>
      </c>
      <c r="M555" s="4">
        <v>3</v>
      </c>
      <c r="N555" s="4" t="s">
        <v>3</v>
      </c>
      <c r="O555" s="4">
        <v>2</v>
      </c>
      <c r="P555" s="4"/>
      <c r="Q555" s="4"/>
      <c r="R555" s="4"/>
      <c r="S555" s="4"/>
      <c r="T555" s="4"/>
      <c r="U555" s="4"/>
      <c r="V555" s="4"/>
      <c r="W555" s="4"/>
    </row>
    <row r="556" spans="1:245" x14ac:dyDescent="0.2">
      <c r="A556" s="4">
        <v>50</v>
      </c>
      <c r="B556" s="4">
        <v>0</v>
      </c>
      <c r="C556" s="4">
        <v>0</v>
      </c>
      <c r="D556" s="4">
        <v>1</v>
      </c>
      <c r="E556" s="4">
        <v>222</v>
      </c>
      <c r="F556" s="4">
        <f>ROUND(Source!AO552,O556)</f>
        <v>0</v>
      </c>
      <c r="G556" s="4" t="s">
        <v>217</v>
      </c>
      <c r="H556" s="4" t="s">
        <v>218</v>
      </c>
      <c r="I556" s="4"/>
      <c r="J556" s="4"/>
      <c r="K556" s="4">
        <v>222</v>
      </c>
      <c r="L556" s="4">
        <v>3</v>
      </c>
      <c r="M556" s="4">
        <v>3</v>
      </c>
      <c r="N556" s="4" t="s">
        <v>3</v>
      </c>
      <c r="O556" s="4">
        <v>2</v>
      </c>
      <c r="P556" s="4"/>
      <c r="Q556" s="4"/>
      <c r="R556" s="4"/>
      <c r="S556" s="4"/>
      <c r="T556" s="4"/>
      <c r="U556" s="4"/>
      <c r="V556" s="4"/>
      <c r="W556" s="4"/>
    </row>
    <row r="557" spans="1:245" x14ac:dyDescent="0.2">
      <c r="A557" s="4">
        <v>50</v>
      </c>
      <c r="B557" s="4">
        <v>0</v>
      </c>
      <c r="C557" s="4">
        <v>0</v>
      </c>
      <c r="D557" s="4">
        <v>1</v>
      </c>
      <c r="E557" s="4">
        <v>225</v>
      </c>
      <c r="F557" s="4">
        <f>ROUND(Source!AV552,O557)</f>
        <v>373812.93</v>
      </c>
      <c r="G557" s="4" t="s">
        <v>219</v>
      </c>
      <c r="H557" s="4" t="s">
        <v>220</v>
      </c>
      <c r="I557" s="4"/>
      <c r="J557" s="4"/>
      <c r="K557" s="4">
        <v>225</v>
      </c>
      <c r="L557" s="4">
        <v>4</v>
      </c>
      <c r="M557" s="4">
        <v>3</v>
      </c>
      <c r="N557" s="4" t="s">
        <v>3</v>
      </c>
      <c r="O557" s="4">
        <v>2</v>
      </c>
      <c r="P557" s="4"/>
      <c r="Q557" s="4"/>
      <c r="R557" s="4"/>
      <c r="S557" s="4"/>
      <c r="T557" s="4"/>
      <c r="U557" s="4"/>
      <c r="V557" s="4"/>
      <c r="W557" s="4"/>
    </row>
    <row r="558" spans="1:245" x14ac:dyDescent="0.2">
      <c r="A558" s="4">
        <v>50</v>
      </c>
      <c r="B558" s="4">
        <v>0</v>
      </c>
      <c r="C558" s="4">
        <v>0</v>
      </c>
      <c r="D558" s="4">
        <v>1</v>
      </c>
      <c r="E558" s="4">
        <v>226</v>
      </c>
      <c r="F558" s="4">
        <f>ROUND(Source!AW552,O558)</f>
        <v>373812.93</v>
      </c>
      <c r="G558" s="4" t="s">
        <v>221</v>
      </c>
      <c r="H558" s="4" t="s">
        <v>222</v>
      </c>
      <c r="I558" s="4"/>
      <c r="J558" s="4"/>
      <c r="K558" s="4">
        <v>226</v>
      </c>
      <c r="L558" s="4">
        <v>5</v>
      </c>
      <c r="M558" s="4">
        <v>3</v>
      </c>
      <c r="N558" s="4" t="s">
        <v>3</v>
      </c>
      <c r="O558" s="4">
        <v>2</v>
      </c>
      <c r="P558" s="4"/>
      <c r="Q558" s="4"/>
      <c r="R558" s="4"/>
      <c r="S558" s="4"/>
      <c r="T558" s="4"/>
      <c r="U558" s="4"/>
      <c r="V558" s="4"/>
      <c r="W558" s="4"/>
    </row>
    <row r="559" spans="1:245" x14ac:dyDescent="0.2">
      <c r="A559" s="4">
        <v>50</v>
      </c>
      <c r="B559" s="4">
        <v>0</v>
      </c>
      <c r="C559" s="4">
        <v>0</v>
      </c>
      <c r="D559" s="4">
        <v>1</v>
      </c>
      <c r="E559" s="4">
        <v>227</v>
      </c>
      <c r="F559" s="4">
        <f>ROUND(Source!AX552,O559)</f>
        <v>0</v>
      </c>
      <c r="G559" s="4" t="s">
        <v>223</v>
      </c>
      <c r="H559" s="4" t="s">
        <v>224</v>
      </c>
      <c r="I559" s="4"/>
      <c r="J559" s="4"/>
      <c r="K559" s="4">
        <v>227</v>
      </c>
      <c r="L559" s="4">
        <v>6</v>
      </c>
      <c r="M559" s="4">
        <v>3</v>
      </c>
      <c r="N559" s="4" t="s">
        <v>3</v>
      </c>
      <c r="O559" s="4">
        <v>2</v>
      </c>
      <c r="P559" s="4"/>
      <c r="Q559" s="4"/>
      <c r="R559" s="4"/>
      <c r="S559" s="4"/>
      <c r="T559" s="4"/>
      <c r="U559" s="4"/>
      <c r="V559" s="4"/>
      <c r="W559" s="4"/>
    </row>
    <row r="560" spans="1:245" x14ac:dyDescent="0.2">
      <c r="A560" s="4">
        <v>50</v>
      </c>
      <c r="B560" s="4">
        <v>0</v>
      </c>
      <c r="C560" s="4">
        <v>0</v>
      </c>
      <c r="D560" s="4">
        <v>1</v>
      </c>
      <c r="E560" s="4">
        <v>228</v>
      </c>
      <c r="F560" s="4">
        <f>ROUND(Source!AY552,O560)</f>
        <v>373812.93</v>
      </c>
      <c r="G560" s="4" t="s">
        <v>225</v>
      </c>
      <c r="H560" s="4" t="s">
        <v>226</v>
      </c>
      <c r="I560" s="4"/>
      <c r="J560" s="4"/>
      <c r="K560" s="4">
        <v>228</v>
      </c>
      <c r="L560" s="4">
        <v>7</v>
      </c>
      <c r="M560" s="4">
        <v>3</v>
      </c>
      <c r="N560" s="4" t="s">
        <v>3</v>
      </c>
      <c r="O560" s="4">
        <v>2</v>
      </c>
      <c r="P560" s="4"/>
      <c r="Q560" s="4"/>
      <c r="R560" s="4"/>
      <c r="S560" s="4"/>
      <c r="T560" s="4"/>
      <c r="U560" s="4"/>
      <c r="V560" s="4"/>
      <c r="W560" s="4"/>
    </row>
    <row r="561" spans="1:23" x14ac:dyDescent="0.2">
      <c r="A561" s="4">
        <v>50</v>
      </c>
      <c r="B561" s="4">
        <v>0</v>
      </c>
      <c r="C561" s="4">
        <v>0</v>
      </c>
      <c r="D561" s="4">
        <v>1</v>
      </c>
      <c r="E561" s="4">
        <v>216</v>
      </c>
      <c r="F561" s="4">
        <f>ROUND(Source!AP552,O561)</f>
        <v>0</v>
      </c>
      <c r="G561" s="4" t="s">
        <v>227</v>
      </c>
      <c r="H561" s="4" t="s">
        <v>228</v>
      </c>
      <c r="I561" s="4"/>
      <c r="J561" s="4"/>
      <c r="K561" s="4">
        <v>216</v>
      </c>
      <c r="L561" s="4">
        <v>8</v>
      </c>
      <c r="M561" s="4">
        <v>3</v>
      </c>
      <c r="N561" s="4" t="s">
        <v>3</v>
      </c>
      <c r="O561" s="4">
        <v>2</v>
      </c>
      <c r="P561" s="4"/>
      <c r="Q561" s="4"/>
      <c r="R561" s="4"/>
      <c r="S561" s="4"/>
      <c r="T561" s="4"/>
      <c r="U561" s="4"/>
      <c r="V561" s="4"/>
      <c r="W561" s="4"/>
    </row>
    <row r="562" spans="1:23" x14ac:dyDescent="0.2">
      <c r="A562" s="4">
        <v>50</v>
      </c>
      <c r="B562" s="4">
        <v>0</v>
      </c>
      <c r="C562" s="4">
        <v>0</v>
      </c>
      <c r="D562" s="4">
        <v>1</v>
      </c>
      <c r="E562" s="4">
        <v>223</v>
      </c>
      <c r="F562" s="4">
        <f>ROUND(Source!AQ552,O562)</f>
        <v>0</v>
      </c>
      <c r="G562" s="4" t="s">
        <v>229</v>
      </c>
      <c r="H562" s="4" t="s">
        <v>230</v>
      </c>
      <c r="I562" s="4"/>
      <c r="J562" s="4"/>
      <c r="K562" s="4">
        <v>223</v>
      </c>
      <c r="L562" s="4">
        <v>9</v>
      </c>
      <c r="M562" s="4">
        <v>3</v>
      </c>
      <c r="N562" s="4" t="s">
        <v>3</v>
      </c>
      <c r="O562" s="4">
        <v>2</v>
      </c>
      <c r="P562" s="4"/>
      <c r="Q562" s="4"/>
      <c r="R562" s="4"/>
      <c r="S562" s="4"/>
      <c r="T562" s="4"/>
      <c r="U562" s="4"/>
      <c r="V562" s="4"/>
      <c r="W562" s="4"/>
    </row>
    <row r="563" spans="1:23" x14ac:dyDescent="0.2">
      <c r="A563" s="4">
        <v>50</v>
      </c>
      <c r="B563" s="4">
        <v>0</v>
      </c>
      <c r="C563" s="4">
        <v>0</v>
      </c>
      <c r="D563" s="4">
        <v>1</v>
      </c>
      <c r="E563" s="4">
        <v>229</v>
      </c>
      <c r="F563" s="4">
        <f>ROUND(Source!AZ552,O563)</f>
        <v>0</v>
      </c>
      <c r="G563" s="4" t="s">
        <v>231</v>
      </c>
      <c r="H563" s="4" t="s">
        <v>232</v>
      </c>
      <c r="I563" s="4"/>
      <c r="J563" s="4"/>
      <c r="K563" s="4">
        <v>229</v>
      </c>
      <c r="L563" s="4">
        <v>10</v>
      </c>
      <c r="M563" s="4">
        <v>3</v>
      </c>
      <c r="N563" s="4" t="s">
        <v>3</v>
      </c>
      <c r="O563" s="4">
        <v>2</v>
      </c>
      <c r="P563" s="4"/>
      <c r="Q563" s="4"/>
      <c r="R563" s="4"/>
      <c r="S563" s="4"/>
      <c r="T563" s="4"/>
      <c r="U563" s="4"/>
      <c r="V563" s="4"/>
      <c r="W563" s="4"/>
    </row>
    <row r="564" spans="1:23" x14ac:dyDescent="0.2">
      <c r="A564" s="4">
        <v>50</v>
      </c>
      <c r="B564" s="4">
        <v>0</v>
      </c>
      <c r="C564" s="4">
        <v>0</v>
      </c>
      <c r="D564" s="4">
        <v>1</v>
      </c>
      <c r="E564" s="4">
        <v>203</v>
      </c>
      <c r="F564" s="4">
        <f>ROUND(Source!Q552,O564)</f>
        <v>73970.720000000001</v>
      </c>
      <c r="G564" s="4" t="s">
        <v>233</v>
      </c>
      <c r="H564" s="4" t="s">
        <v>234</v>
      </c>
      <c r="I564" s="4"/>
      <c r="J564" s="4"/>
      <c r="K564" s="4">
        <v>203</v>
      </c>
      <c r="L564" s="4">
        <v>11</v>
      </c>
      <c r="M564" s="4">
        <v>3</v>
      </c>
      <c r="N564" s="4" t="s">
        <v>3</v>
      </c>
      <c r="O564" s="4">
        <v>2</v>
      </c>
      <c r="P564" s="4"/>
      <c r="Q564" s="4"/>
      <c r="R564" s="4"/>
      <c r="S564" s="4"/>
      <c r="T564" s="4"/>
      <c r="U564" s="4"/>
      <c r="V564" s="4"/>
      <c r="W564" s="4"/>
    </row>
    <row r="565" spans="1:23" x14ac:dyDescent="0.2">
      <c r="A565" s="4">
        <v>50</v>
      </c>
      <c r="B565" s="4">
        <v>0</v>
      </c>
      <c r="C565" s="4">
        <v>0</v>
      </c>
      <c r="D565" s="4">
        <v>1</v>
      </c>
      <c r="E565" s="4">
        <v>231</v>
      </c>
      <c r="F565" s="4">
        <f>ROUND(Source!BB552,O565)</f>
        <v>0</v>
      </c>
      <c r="G565" s="4" t="s">
        <v>235</v>
      </c>
      <c r="H565" s="4" t="s">
        <v>236</v>
      </c>
      <c r="I565" s="4"/>
      <c r="J565" s="4"/>
      <c r="K565" s="4">
        <v>231</v>
      </c>
      <c r="L565" s="4">
        <v>12</v>
      </c>
      <c r="M565" s="4">
        <v>3</v>
      </c>
      <c r="N565" s="4" t="s">
        <v>3</v>
      </c>
      <c r="O565" s="4">
        <v>2</v>
      </c>
      <c r="P565" s="4"/>
      <c r="Q565" s="4"/>
      <c r="R565" s="4"/>
      <c r="S565" s="4"/>
      <c r="T565" s="4"/>
      <c r="U565" s="4"/>
      <c r="V565" s="4"/>
      <c r="W565" s="4"/>
    </row>
    <row r="566" spans="1:23" x14ac:dyDescent="0.2">
      <c r="A566" s="4">
        <v>50</v>
      </c>
      <c r="B566" s="4">
        <v>0</v>
      </c>
      <c r="C566" s="4">
        <v>0</v>
      </c>
      <c r="D566" s="4">
        <v>1</v>
      </c>
      <c r="E566" s="4">
        <v>204</v>
      </c>
      <c r="F566" s="4">
        <f>ROUND(Source!R552,O566)</f>
        <v>15775.09</v>
      </c>
      <c r="G566" s="4" t="s">
        <v>237</v>
      </c>
      <c r="H566" s="4" t="s">
        <v>238</v>
      </c>
      <c r="I566" s="4"/>
      <c r="J566" s="4"/>
      <c r="K566" s="4">
        <v>204</v>
      </c>
      <c r="L566" s="4">
        <v>13</v>
      </c>
      <c r="M566" s="4">
        <v>3</v>
      </c>
      <c r="N566" s="4" t="s">
        <v>3</v>
      </c>
      <c r="O566" s="4">
        <v>2</v>
      </c>
      <c r="P566" s="4"/>
      <c r="Q566" s="4"/>
      <c r="R566" s="4"/>
      <c r="S566" s="4"/>
      <c r="T566" s="4"/>
      <c r="U566" s="4"/>
      <c r="V566" s="4"/>
      <c r="W566" s="4"/>
    </row>
    <row r="567" spans="1:23" x14ac:dyDescent="0.2">
      <c r="A567" s="4">
        <v>50</v>
      </c>
      <c r="B567" s="4">
        <v>0</v>
      </c>
      <c r="C567" s="4">
        <v>0</v>
      </c>
      <c r="D567" s="4">
        <v>1</v>
      </c>
      <c r="E567" s="4">
        <v>205</v>
      </c>
      <c r="F567" s="4">
        <f>ROUND(Source!S552,O567)</f>
        <v>110934.94</v>
      </c>
      <c r="G567" s="4" t="s">
        <v>239</v>
      </c>
      <c r="H567" s="4" t="s">
        <v>240</v>
      </c>
      <c r="I567" s="4"/>
      <c r="J567" s="4"/>
      <c r="K567" s="4">
        <v>205</v>
      </c>
      <c r="L567" s="4">
        <v>14</v>
      </c>
      <c r="M567" s="4">
        <v>3</v>
      </c>
      <c r="N567" s="4" t="s">
        <v>3</v>
      </c>
      <c r="O567" s="4">
        <v>2</v>
      </c>
      <c r="P567" s="4"/>
      <c r="Q567" s="4"/>
      <c r="R567" s="4"/>
      <c r="S567" s="4"/>
      <c r="T567" s="4"/>
      <c r="U567" s="4"/>
      <c r="V567" s="4"/>
      <c r="W567" s="4"/>
    </row>
    <row r="568" spans="1:23" x14ac:dyDescent="0.2">
      <c r="A568" s="4">
        <v>50</v>
      </c>
      <c r="B568" s="4">
        <v>0</v>
      </c>
      <c r="C568" s="4">
        <v>0</v>
      </c>
      <c r="D568" s="4">
        <v>1</v>
      </c>
      <c r="E568" s="4">
        <v>232</v>
      </c>
      <c r="F568" s="4">
        <f>ROUND(Source!BC552,O568)</f>
        <v>0</v>
      </c>
      <c r="G568" s="4" t="s">
        <v>241</v>
      </c>
      <c r="H568" s="4" t="s">
        <v>242</v>
      </c>
      <c r="I568" s="4"/>
      <c r="J568" s="4"/>
      <c r="K568" s="4">
        <v>232</v>
      </c>
      <c r="L568" s="4">
        <v>15</v>
      </c>
      <c r="M568" s="4">
        <v>3</v>
      </c>
      <c r="N568" s="4" t="s">
        <v>3</v>
      </c>
      <c r="O568" s="4">
        <v>2</v>
      </c>
      <c r="P568" s="4"/>
      <c r="Q568" s="4"/>
      <c r="R568" s="4"/>
      <c r="S568" s="4"/>
      <c r="T568" s="4"/>
      <c r="U568" s="4"/>
      <c r="V568" s="4"/>
      <c r="W568" s="4"/>
    </row>
    <row r="569" spans="1:23" x14ac:dyDescent="0.2">
      <c r="A569" s="4">
        <v>50</v>
      </c>
      <c r="B569" s="4">
        <v>0</v>
      </c>
      <c r="C569" s="4">
        <v>0</v>
      </c>
      <c r="D569" s="4">
        <v>1</v>
      </c>
      <c r="E569" s="4">
        <v>214</v>
      </c>
      <c r="F569" s="4">
        <f>ROUND(Source!AS552,O569)</f>
        <v>659580.67000000004</v>
      </c>
      <c r="G569" s="4" t="s">
        <v>243</v>
      </c>
      <c r="H569" s="4" t="s">
        <v>244</v>
      </c>
      <c r="I569" s="4"/>
      <c r="J569" s="4"/>
      <c r="K569" s="4">
        <v>214</v>
      </c>
      <c r="L569" s="4">
        <v>16</v>
      </c>
      <c r="M569" s="4">
        <v>3</v>
      </c>
      <c r="N569" s="4" t="s">
        <v>3</v>
      </c>
      <c r="O569" s="4">
        <v>2</v>
      </c>
      <c r="P569" s="4"/>
      <c r="Q569" s="4"/>
      <c r="R569" s="4"/>
      <c r="S569" s="4"/>
      <c r="T569" s="4"/>
      <c r="U569" s="4"/>
      <c r="V569" s="4"/>
      <c r="W569" s="4"/>
    </row>
    <row r="570" spans="1:23" x14ac:dyDescent="0.2">
      <c r="A570" s="4">
        <v>50</v>
      </c>
      <c r="B570" s="4">
        <v>0</v>
      </c>
      <c r="C570" s="4">
        <v>0</v>
      </c>
      <c r="D570" s="4">
        <v>1</v>
      </c>
      <c r="E570" s="4">
        <v>215</v>
      </c>
      <c r="F570" s="4">
        <f>ROUND(Source!AT552,O570)</f>
        <v>0</v>
      </c>
      <c r="G570" s="4" t="s">
        <v>245</v>
      </c>
      <c r="H570" s="4" t="s">
        <v>246</v>
      </c>
      <c r="I570" s="4"/>
      <c r="J570" s="4"/>
      <c r="K570" s="4">
        <v>215</v>
      </c>
      <c r="L570" s="4">
        <v>17</v>
      </c>
      <c r="M570" s="4">
        <v>3</v>
      </c>
      <c r="N570" s="4" t="s">
        <v>3</v>
      </c>
      <c r="O570" s="4">
        <v>2</v>
      </c>
      <c r="P570" s="4"/>
      <c r="Q570" s="4"/>
      <c r="R570" s="4"/>
      <c r="S570" s="4"/>
      <c r="T570" s="4"/>
      <c r="U570" s="4"/>
      <c r="V570" s="4"/>
      <c r="W570" s="4"/>
    </row>
    <row r="571" spans="1:23" x14ac:dyDescent="0.2">
      <c r="A571" s="4">
        <v>50</v>
      </c>
      <c r="B571" s="4">
        <v>0</v>
      </c>
      <c r="C571" s="4">
        <v>0</v>
      </c>
      <c r="D571" s="4">
        <v>1</v>
      </c>
      <c r="E571" s="4">
        <v>217</v>
      </c>
      <c r="F571" s="4">
        <f>ROUND(Source!AU552,O571)</f>
        <v>47720.99</v>
      </c>
      <c r="G571" s="4" t="s">
        <v>247</v>
      </c>
      <c r="H571" s="4" t="s">
        <v>248</v>
      </c>
      <c r="I571" s="4"/>
      <c r="J571" s="4"/>
      <c r="K571" s="4">
        <v>217</v>
      </c>
      <c r="L571" s="4">
        <v>18</v>
      </c>
      <c r="M571" s="4">
        <v>3</v>
      </c>
      <c r="N571" s="4" t="s">
        <v>3</v>
      </c>
      <c r="O571" s="4">
        <v>2</v>
      </c>
      <c r="P571" s="4"/>
      <c r="Q571" s="4"/>
      <c r="R571" s="4"/>
      <c r="S571" s="4"/>
      <c r="T571" s="4"/>
      <c r="U571" s="4"/>
      <c r="V571" s="4"/>
      <c r="W571" s="4"/>
    </row>
    <row r="572" spans="1:23" x14ac:dyDescent="0.2">
      <c r="A572" s="4">
        <v>50</v>
      </c>
      <c r="B572" s="4">
        <v>0</v>
      </c>
      <c r="C572" s="4">
        <v>0</v>
      </c>
      <c r="D572" s="4">
        <v>1</v>
      </c>
      <c r="E572" s="4">
        <v>230</v>
      </c>
      <c r="F572" s="4">
        <f>ROUND(Source!BA552,O572)</f>
        <v>0</v>
      </c>
      <c r="G572" s="4" t="s">
        <v>249</v>
      </c>
      <c r="H572" s="4" t="s">
        <v>250</v>
      </c>
      <c r="I572" s="4"/>
      <c r="J572" s="4"/>
      <c r="K572" s="4">
        <v>230</v>
      </c>
      <c r="L572" s="4">
        <v>19</v>
      </c>
      <c r="M572" s="4">
        <v>3</v>
      </c>
      <c r="N572" s="4" t="s">
        <v>3</v>
      </c>
      <c r="O572" s="4">
        <v>2</v>
      </c>
      <c r="P572" s="4"/>
      <c r="Q572" s="4"/>
      <c r="R572" s="4"/>
      <c r="S572" s="4"/>
      <c r="T572" s="4"/>
      <c r="U572" s="4"/>
      <c r="V572" s="4"/>
      <c r="W572" s="4"/>
    </row>
    <row r="573" spans="1:23" x14ac:dyDescent="0.2">
      <c r="A573" s="4">
        <v>50</v>
      </c>
      <c r="B573" s="4">
        <v>0</v>
      </c>
      <c r="C573" s="4">
        <v>0</v>
      </c>
      <c r="D573" s="4">
        <v>1</v>
      </c>
      <c r="E573" s="4">
        <v>206</v>
      </c>
      <c r="F573" s="4">
        <f>ROUND(Source!T552,O573)</f>
        <v>0</v>
      </c>
      <c r="G573" s="4" t="s">
        <v>251</v>
      </c>
      <c r="H573" s="4" t="s">
        <v>252</v>
      </c>
      <c r="I573" s="4"/>
      <c r="J573" s="4"/>
      <c r="K573" s="4">
        <v>206</v>
      </c>
      <c r="L573" s="4">
        <v>20</v>
      </c>
      <c r="M573" s="4">
        <v>3</v>
      </c>
      <c r="N573" s="4" t="s">
        <v>3</v>
      </c>
      <c r="O573" s="4">
        <v>2</v>
      </c>
      <c r="P573" s="4"/>
      <c r="Q573" s="4"/>
      <c r="R573" s="4"/>
      <c r="S573" s="4"/>
      <c r="T573" s="4"/>
      <c r="U573" s="4"/>
      <c r="V573" s="4"/>
      <c r="W573" s="4"/>
    </row>
    <row r="574" spans="1:23" x14ac:dyDescent="0.2">
      <c r="A574" s="4">
        <v>50</v>
      </c>
      <c r="B574" s="4">
        <v>0</v>
      </c>
      <c r="C574" s="4">
        <v>0</v>
      </c>
      <c r="D574" s="4">
        <v>1</v>
      </c>
      <c r="E574" s="4">
        <v>207</v>
      </c>
      <c r="F574" s="4">
        <f>Source!U552</f>
        <v>407.69788749999998</v>
      </c>
      <c r="G574" s="4" t="s">
        <v>253</v>
      </c>
      <c r="H574" s="4" t="s">
        <v>254</v>
      </c>
      <c r="I574" s="4"/>
      <c r="J574" s="4"/>
      <c r="K574" s="4">
        <v>207</v>
      </c>
      <c r="L574" s="4">
        <v>21</v>
      </c>
      <c r="M574" s="4">
        <v>3</v>
      </c>
      <c r="N574" s="4" t="s">
        <v>3</v>
      </c>
      <c r="O574" s="4">
        <v>-1</v>
      </c>
      <c r="P574" s="4"/>
      <c r="Q574" s="4"/>
      <c r="R574" s="4"/>
      <c r="S574" s="4"/>
      <c r="T574" s="4"/>
      <c r="U574" s="4"/>
      <c r="V574" s="4"/>
      <c r="W574" s="4"/>
    </row>
    <row r="575" spans="1:23" x14ac:dyDescent="0.2">
      <c r="A575" s="4">
        <v>50</v>
      </c>
      <c r="B575" s="4">
        <v>0</v>
      </c>
      <c r="C575" s="4">
        <v>0</v>
      </c>
      <c r="D575" s="4">
        <v>1</v>
      </c>
      <c r="E575" s="4">
        <v>208</v>
      </c>
      <c r="F575" s="4">
        <f>Source!V552</f>
        <v>0</v>
      </c>
      <c r="G575" s="4" t="s">
        <v>255</v>
      </c>
      <c r="H575" s="4" t="s">
        <v>256</v>
      </c>
      <c r="I575" s="4"/>
      <c r="J575" s="4"/>
      <c r="K575" s="4">
        <v>208</v>
      </c>
      <c r="L575" s="4">
        <v>22</v>
      </c>
      <c r="M575" s="4">
        <v>3</v>
      </c>
      <c r="N575" s="4" t="s">
        <v>3</v>
      </c>
      <c r="O575" s="4">
        <v>-1</v>
      </c>
      <c r="P575" s="4"/>
      <c r="Q575" s="4"/>
      <c r="R575" s="4"/>
      <c r="S575" s="4"/>
      <c r="T575" s="4"/>
      <c r="U575" s="4"/>
      <c r="V575" s="4"/>
      <c r="W575" s="4"/>
    </row>
    <row r="576" spans="1:23" x14ac:dyDescent="0.2">
      <c r="A576" s="4">
        <v>50</v>
      </c>
      <c r="B576" s="4">
        <v>0</v>
      </c>
      <c r="C576" s="4">
        <v>0</v>
      </c>
      <c r="D576" s="4">
        <v>1</v>
      </c>
      <c r="E576" s="4">
        <v>209</v>
      </c>
      <c r="F576" s="4">
        <f>ROUND(Source!W552,O576)</f>
        <v>0</v>
      </c>
      <c r="G576" s="4" t="s">
        <v>257</v>
      </c>
      <c r="H576" s="4" t="s">
        <v>258</v>
      </c>
      <c r="I576" s="4"/>
      <c r="J576" s="4"/>
      <c r="K576" s="4">
        <v>209</v>
      </c>
      <c r="L576" s="4">
        <v>23</v>
      </c>
      <c r="M576" s="4">
        <v>3</v>
      </c>
      <c r="N576" s="4" t="s">
        <v>3</v>
      </c>
      <c r="O576" s="4">
        <v>2</v>
      </c>
      <c r="P576" s="4"/>
      <c r="Q576" s="4"/>
      <c r="R576" s="4"/>
      <c r="S576" s="4"/>
      <c r="T576" s="4"/>
      <c r="U576" s="4"/>
      <c r="V576" s="4"/>
      <c r="W576" s="4"/>
    </row>
    <row r="577" spans="1:245" x14ac:dyDescent="0.2">
      <c r="A577" s="4">
        <v>50</v>
      </c>
      <c r="B577" s="4">
        <v>0</v>
      </c>
      <c r="C577" s="4">
        <v>0</v>
      </c>
      <c r="D577" s="4">
        <v>1</v>
      </c>
      <c r="E577" s="4">
        <v>233</v>
      </c>
      <c r="F577" s="4">
        <f>ROUND(Source!BD552,O577)</f>
        <v>0</v>
      </c>
      <c r="G577" s="4" t="s">
        <v>259</v>
      </c>
      <c r="H577" s="4" t="s">
        <v>260</v>
      </c>
      <c r="I577" s="4"/>
      <c r="J577" s="4"/>
      <c r="K577" s="4">
        <v>233</v>
      </c>
      <c r="L577" s="4">
        <v>24</v>
      </c>
      <c r="M577" s="4">
        <v>3</v>
      </c>
      <c r="N577" s="4" t="s">
        <v>3</v>
      </c>
      <c r="O577" s="4">
        <v>2</v>
      </c>
      <c r="P577" s="4"/>
      <c r="Q577" s="4"/>
      <c r="R577" s="4"/>
      <c r="S577" s="4"/>
      <c r="T577" s="4"/>
      <c r="U577" s="4"/>
      <c r="V577" s="4"/>
      <c r="W577" s="4"/>
    </row>
    <row r="578" spans="1:245" x14ac:dyDescent="0.2">
      <c r="A578" s="4">
        <v>50</v>
      </c>
      <c r="B578" s="4">
        <v>0</v>
      </c>
      <c r="C578" s="4">
        <v>0</v>
      </c>
      <c r="D578" s="4">
        <v>1</v>
      </c>
      <c r="E578" s="4">
        <v>210</v>
      </c>
      <c r="F578" s="4">
        <f>ROUND(Source!X552,O578)</f>
        <v>78332.850000000006</v>
      </c>
      <c r="G578" s="4" t="s">
        <v>261</v>
      </c>
      <c r="H578" s="4" t="s">
        <v>262</v>
      </c>
      <c r="I578" s="4"/>
      <c r="J578" s="4"/>
      <c r="K578" s="4">
        <v>210</v>
      </c>
      <c r="L578" s="4">
        <v>25</v>
      </c>
      <c r="M578" s="4">
        <v>3</v>
      </c>
      <c r="N578" s="4" t="s">
        <v>3</v>
      </c>
      <c r="O578" s="4">
        <v>2</v>
      </c>
      <c r="P578" s="4"/>
      <c r="Q578" s="4"/>
      <c r="R578" s="4"/>
      <c r="S578" s="4"/>
      <c r="T578" s="4"/>
      <c r="U578" s="4"/>
      <c r="V578" s="4"/>
      <c r="W578" s="4"/>
    </row>
    <row r="579" spans="1:245" x14ac:dyDescent="0.2">
      <c r="A579" s="4">
        <v>50</v>
      </c>
      <c r="B579" s="4">
        <v>0</v>
      </c>
      <c r="C579" s="4">
        <v>0</v>
      </c>
      <c r="D579" s="4">
        <v>1</v>
      </c>
      <c r="E579" s="4">
        <v>211</v>
      </c>
      <c r="F579" s="4">
        <f>ROUND(Source!Y552,O579)</f>
        <v>45483.32</v>
      </c>
      <c r="G579" s="4" t="s">
        <v>263</v>
      </c>
      <c r="H579" s="4" t="s">
        <v>264</v>
      </c>
      <c r="I579" s="4"/>
      <c r="J579" s="4"/>
      <c r="K579" s="4">
        <v>211</v>
      </c>
      <c r="L579" s="4">
        <v>26</v>
      </c>
      <c r="M579" s="4">
        <v>3</v>
      </c>
      <c r="N579" s="4" t="s">
        <v>3</v>
      </c>
      <c r="O579" s="4">
        <v>2</v>
      </c>
      <c r="P579" s="4"/>
      <c r="Q579" s="4"/>
      <c r="R579" s="4"/>
      <c r="S579" s="4"/>
      <c r="T579" s="4"/>
      <c r="U579" s="4"/>
      <c r="V579" s="4"/>
      <c r="W579" s="4"/>
    </row>
    <row r="580" spans="1:245" x14ac:dyDescent="0.2">
      <c r="A580" s="4">
        <v>50</v>
      </c>
      <c r="B580" s="4">
        <v>0</v>
      </c>
      <c r="C580" s="4">
        <v>0</v>
      </c>
      <c r="D580" s="4">
        <v>1</v>
      </c>
      <c r="E580" s="4">
        <v>224</v>
      </c>
      <c r="F580" s="4">
        <f>ROUND(Source!AR552,O580)</f>
        <v>707301.66</v>
      </c>
      <c r="G580" s="4" t="s">
        <v>265</v>
      </c>
      <c r="H580" s="4" t="s">
        <v>266</v>
      </c>
      <c r="I580" s="4"/>
      <c r="J580" s="4"/>
      <c r="K580" s="4">
        <v>224</v>
      </c>
      <c r="L580" s="4">
        <v>27</v>
      </c>
      <c r="M580" s="4">
        <v>3</v>
      </c>
      <c r="N580" s="4" t="s">
        <v>3</v>
      </c>
      <c r="O580" s="4">
        <v>2</v>
      </c>
      <c r="P580" s="4"/>
      <c r="Q580" s="4"/>
      <c r="R580" s="4"/>
      <c r="S580" s="4"/>
      <c r="T580" s="4"/>
      <c r="U580" s="4"/>
      <c r="V580" s="4"/>
      <c r="W580" s="4"/>
    </row>
    <row r="582" spans="1:245" x14ac:dyDescent="0.2">
      <c r="A582" s="1">
        <v>4</v>
      </c>
      <c r="B582" s="1">
        <v>1</v>
      </c>
      <c r="C582" s="1"/>
      <c r="D582" s="1">
        <f>ROW(A732)</f>
        <v>732</v>
      </c>
      <c r="E582" s="1"/>
      <c r="F582" s="1" t="s">
        <v>13</v>
      </c>
      <c r="G582" s="1" t="s">
        <v>725</v>
      </c>
      <c r="H582" s="1" t="s">
        <v>3</v>
      </c>
      <c r="I582" s="1">
        <v>0</v>
      </c>
      <c r="J582" s="1"/>
      <c r="K582" s="1">
        <v>-1</v>
      </c>
      <c r="L582" s="1"/>
      <c r="M582" s="1" t="s">
        <v>3</v>
      </c>
      <c r="N582" s="1"/>
      <c r="O582" s="1"/>
      <c r="P582" s="1"/>
      <c r="Q582" s="1"/>
      <c r="R582" s="1"/>
      <c r="S582" s="1">
        <v>0</v>
      </c>
      <c r="T582" s="1"/>
      <c r="U582" s="1" t="s">
        <v>3</v>
      </c>
      <c r="V582" s="1">
        <v>0</v>
      </c>
      <c r="W582" s="1"/>
      <c r="X582" s="1"/>
      <c r="Y582" s="1"/>
      <c r="Z582" s="1"/>
      <c r="AA582" s="1"/>
      <c r="AB582" s="1" t="s">
        <v>3</v>
      </c>
      <c r="AC582" s="1" t="s">
        <v>3</v>
      </c>
      <c r="AD582" s="1" t="s">
        <v>3</v>
      </c>
      <c r="AE582" s="1" t="s">
        <v>3</v>
      </c>
      <c r="AF582" s="1" t="s">
        <v>3</v>
      </c>
      <c r="AG582" s="1" t="s">
        <v>3</v>
      </c>
      <c r="AH582" s="1"/>
      <c r="AI582" s="1"/>
      <c r="AJ582" s="1"/>
      <c r="AK582" s="1"/>
      <c r="AL582" s="1"/>
      <c r="AM582" s="1"/>
      <c r="AN582" s="1"/>
      <c r="AO582" s="1"/>
      <c r="AP582" s="1" t="s">
        <v>3</v>
      </c>
      <c r="AQ582" s="1" t="s">
        <v>3</v>
      </c>
      <c r="AR582" s="1" t="s">
        <v>3</v>
      </c>
      <c r="AS582" s="1"/>
      <c r="AT582" s="1"/>
      <c r="AU582" s="1"/>
      <c r="AV582" s="1"/>
      <c r="AW582" s="1"/>
      <c r="AX582" s="1"/>
      <c r="AY582" s="1"/>
      <c r="AZ582" s="1" t="s">
        <v>3</v>
      </c>
      <c r="BA582" s="1"/>
      <c r="BB582" s="1" t="s">
        <v>3</v>
      </c>
      <c r="BC582" s="1" t="s">
        <v>3</v>
      </c>
      <c r="BD582" s="1" t="s">
        <v>3</v>
      </c>
      <c r="BE582" s="1" t="s">
        <v>3</v>
      </c>
      <c r="BF582" s="1" t="s">
        <v>3</v>
      </c>
      <c r="BG582" s="1" t="s">
        <v>3</v>
      </c>
      <c r="BH582" s="1" t="s">
        <v>3</v>
      </c>
      <c r="BI582" s="1" t="s">
        <v>3</v>
      </c>
      <c r="BJ582" s="1" t="s">
        <v>3</v>
      </c>
      <c r="BK582" s="1" t="s">
        <v>3</v>
      </c>
      <c r="BL582" s="1" t="s">
        <v>3</v>
      </c>
      <c r="BM582" s="1" t="s">
        <v>3</v>
      </c>
      <c r="BN582" s="1" t="s">
        <v>3</v>
      </c>
      <c r="BO582" s="1" t="s">
        <v>3</v>
      </c>
      <c r="BP582" s="1" t="s">
        <v>3</v>
      </c>
      <c r="BQ582" s="1"/>
      <c r="BR582" s="1"/>
      <c r="BS582" s="1"/>
      <c r="BT582" s="1"/>
      <c r="BU582" s="1"/>
      <c r="BV582" s="1"/>
      <c r="BW582" s="1"/>
      <c r="BX582" s="1">
        <v>0</v>
      </c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>
        <v>0</v>
      </c>
    </row>
    <row r="584" spans="1:245" x14ac:dyDescent="0.2">
      <c r="A584" s="2">
        <v>52</v>
      </c>
      <c r="B584" s="2">
        <f t="shared" ref="B584:G584" si="498">B732</f>
        <v>1</v>
      </c>
      <c r="C584" s="2">
        <f t="shared" si="498"/>
        <v>4</v>
      </c>
      <c r="D584" s="2">
        <f t="shared" si="498"/>
        <v>582</v>
      </c>
      <c r="E584" s="2">
        <f t="shared" si="498"/>
        <v>0</v>
      </c>
      <c r="F584" s="2" t="str">
        <f t="shared" si="498"/>
        <v>Новый раздел</v>
      </c>
      <c r="G584" s="2" t="str">
        <f t="shared" si="498"/>
        <v>Посадка растений, дренажная система</v>
      </c>
      <c r="H584" s="2"/>
      <c r="I584" s="2"/>
      <c r="J584" s="2"/>
      <c r="K584" s="2"/>
      <c r="L584" s="2"/>
      <c r="M584" s="2"/>
      <c r="N584" s="2"/>
      <c r="O584" s="2">
        <f t="shared" ref="O584:AT584" si="499">O732</f>
        <v>1494847.57</v>
      </c>
      <c r="P584" s="2">
        <f t="shared" si="499"/>
        <v>1369133.18</v>
      </c>
      <c r="Q584" s="2">
        <f t="shared" si="499"/>
        <v>25160.5</v>
      </c>
      <c r="R584" s="2">
        <f t="shared" si="499"/>
        <v>4891.3500000000004</v>
      </c>
      <c r="S584" s="2">
        <f t="shared" si="499"/>
        <v>100553.89</v>
      </c>
      <c r="T584" s="2">
        <f t="shared" si="499"/>
        <v>0</v>
      </c>
      <c r="U584" s="2">
        <f t="shared" si="499"/>
        <v>325.77199999999993</v>
      </c>
      <c r="V584" s="2">
        <f t="shared" si="499"/>
        <v>0</v>
      </c>
      <c r="W584" s="2">
        <f t="shared" si="499"/>
        <v>0</v>
      </c>
      <c r="X584" s="2">
        <f t="shared" si="499"/>
        <v>92274.22</v>
      </c>
      <c r="Y584" s="2">
        <f t="shared" si="499"/>
        <v>41227.1</v>
      </c>
      <c r="Z584" s="2">
        <f t="shared" si="499"/>
        <v>0</v>
      </c>
      <c r="AA584" s="2">
        <f t="shared" si="499"/>
        <v>0</v>
      </c>
      <c r="AB584" s="2">
        <f t="shared" si="499"/>
        <v>0</v>
      </c>
      <c r="AC584" s="2">
        <f t="shared" si="499"/>
        <v>0</v>
      </c>
      <c r="AD584" s="2">
        <f t="shared" si="499"/>
        <v>0</v>
      </c>
      <c r="AE584" s="2">
        <f t="shared" si="499"/>
        <v>0</v>
      </c>
      <c r="AF584" s="2">
        <f t="shared" si="499"/>
        <v>0</v>
      </c>
      <c r="AG584" s="2">
        <f t="shared" si="499"/>
        <v>0</v>
      </c>
      <c r="AH584" s="2">
        <f t="shared" si="499"/>
        <v>0</v>
      </c>
      <c r="AI584" s="2">
        <f t="shared" si="499"/>
        <v>0</v>
      </c>
      <c r="AJ584" s="2">
        <f t="shared" si="499"/>
        <v>0</v>
      </c>
      <c r="AK584" s="2">
        <f t="shared" si="499"/>
        <v>0</v>
      </c>
      <c r="AL584" s="2">
        <f t="shared" si="499"/>
        <v>0</v>
      </c>
      <c r="AM584" s="2">
        <f t="shared" si="499"/>
        <v>0</v>
      </c>
      <c r="AN584" s="2">
        <f t="shared" si="499"/>
        <v>0</v>
      </c>
      <c r="AO584" s="2">
        <f t="shared" si="499"/>
        <v>0</v>
      </c>
      <c r="AP584" s="2">
        <f t="shared" si="499"/>
        <v>0</v>
      </c>
      <c r="AQ584" s="2">
        <f t="shared" si="499"/>
        <v>0</v>
      </c>
      <c r="AR584" s="2">
        <f t="shared" si="499"/>
        <v>1636028.31</v>
      </c>
      <c r="AS584" s="2">
        <f t="shared" si="499"/>
        <v>1627880.51</v>
      </c>
      <c r="AT584" s="2">
        <f t="shared" si="499"/>
        <v>8147.8</v>
      </c>
      <c r="AU584" s="2">
        <f t="shared" ref="AU584:BZ584" si="500">AU732</f>
        <v>0</v>
      </c>
      <c r="AV584" s="2">
        <f t="shared" si="500"/>
        <v>1369133.18</v>
      </c>
      <c r="AW584" s="2">
        <f t="shared" si="500"/>
        <v>1369133.18</v>
      </c>
      <c r="AX584" s="2">
        <f t="shared" si="500"/>
        <v>0</v>
      </c>
      <c r="AY584" s="2">
        <f t="shared" si="500"/>
        <v>1369133.18</v>
      </c>
      <c r="AZ584" s="2">
        <f t="shared" si="500"/>
        <v>0</v>
      </c>
      <c r="BA584" s="2">
        <f t="shared" si="500"/>
        <v>0</v>
      </c>
      <c r="BB584" s="2">
        <f t="shared" si="500"/>
        <v>0</v>
      </c>
      <c r="BC584" s="2">
        <f t="shared" si="500"/>
        <v>0</v>
      </c>
      <c r="BD584" s="2">
        <f t="shared" si="500"/>
        <v>0</v>
      </c>
      <c r="BE584" s="2">
        <f t="shared" si="500"/>
        <v>0</v>
      </c>
      <c r="BF584" s="2">
        <f t="shared" si="500"/>
        <v>0</v>
      </c>
      <c r="BG584" s="2">
        <f t="shared" si="500"/>
        <v>0</v>
      </c>
      <c r="BH584" s="2">
        <f t="shared" si="500"/>
        <v>0</v>
      </c>
      <c r="BI584" s="2">
        <f t="shared" si="500"/>
        <v>0</v>
      </c>
      <c r="BJ584" s="2">
        <f t="shared" si="500"/>
        <v>0</v>
      </c>
      <c r="BK584" s="2">
        <f t="shared" si="500"/>
        <v>0</v>
      </c>
      <c r="BL584" s="2">
        <f t="shared" si="500"/>
        <v>0</v>
      </c>
      <c r="BM584" s="2">
        <f t="shared" si="500"/>
        <v>0</v>
      </c>
      <c r="BN584" s="2">
        <f t="shared" si="500"/>
        <v>0</v>
      </c>
      <c r="BO584" s="2">
        <f t="shared" si="500"/>
        <v>0</v>
      </c>
      <c r="BP584" s="2">
        <f t="shared" si="500"/>
        <v>0</v>
      </c>
      <c r="BQ584" s="2">
        <f t="shared" si="500"/>
        <v>0</v>
      </c>
      <c r="BR584" s="2">
        <f t="shared" si="500"/>
        <v>0</v>
      </c>
      <c r="BS584" s="2">
        <f t="shared" si="500"/>
        <v>0</v>
      </c>
      <c r="BT584" s="2">
        <f t="shared" si="500"/>
        <v>0</v>
      </c>
      <c r="BU584" s="2">
        <f t="shared" si="500"/>
        <v>0</v>
      </c>
      <c r="BV584" s="2">
        <f t="shared" si="500"/>
        <v>0</v>
      </c>
      <c r="BW584" s="2">
        <f t="shared" si="500"/>
        <v>0</v>
      </c>
      <c r="BX584" s="2">
        <f t="shared" si="500"/>
        <v>0</v>
      </c>
      <c r="BY584" s="2">
        <f t="shared" si="500"/>
        <v>0</v>
      </c>
      <c r="BZ584" s="2">
        <f t="shared" si="500"/>
        <v>0</v>
      </c>
      <c r="CA584" s="2">
        <f t="shared" ref="CA584:DF584" si="501">CA732</f>
        <v>0</v>
      </c>
      <c r="CB584" s="2">
        <f t="shared" si="501"/>
        <v>0</v>
      </c>
      <c r="CC584" s="2">
        <f t="shared" si="501"/>
        <v>0</v>
      </c>
      <c r="CD584" s="2">
        <f t="shared" si="501"/>
        <v>0</v>
      </c>
      <c r="CE584" s="2">
        <f t="shared" si="501"/>
        <v>0</v>
      </c>
      <c r="CF584" s="2">
        <f t="shared" si="501"/>
        <v>0</v>
      </c>
      <c r="CG584" s="2">
        <f t="shared" si="501"/>
        <v>0</v>
      </c>
      <c r="CH584" s="2">
        <f t="shared" si="501"/>
        <v>0</v>
      </c>
      <c r="CI584" s="2">
        <f t="shared" si="501"/>
        <v>0</v>
      </c>
      <c r="CJ584" s="2">
        <f t="shared" si="501"/>
        <v>0</v>
      </c>
      <c r="CK584" s="2">
        <f t="shared" si="501"/>
        <v>0</v>
      </c>
      <c r="CL584" s="2">
        <f t="shared" si="501"/>
        <v>0</v>
      </c>
      <c r="CM584" s="2">
        <f t="shared" si="501"/>
        <v>0</v>
      </c>
      <c r="CN584" s="2">
        <f t="shared" si="501"/>
        <v>0</v>
      </c>
      <c r="CO584" s="2">
        <f t="shared" si="501"/>
        <v>0</v>
      </c>
      <c r="CP584" s="2">
        <f t="shared" si="501"/>
        <v>0</v>
      </c>
      <c r="CQ584" s="2">
        <f t="shared" si="501"/>
        <v>0</v>
      </c>
      <c r="CR584" s="2">
        <f t="shared" si="501"/>
        <v>0</v>
      </c>
      <c r="CS584" s="2">
        <f t="shared" si="501"/>
        <v>0</v>
      </c>
      <c r="CT584" s="2">
        <f t="shared" si="501"/>
        <v>0</v>
      </c>
      <c r="CU584" s="2">
        <f t="shared" si="501"/>
        <v>0</v>
      </c>
      <c r="CV584" s="2">
        <f t="shared" si="501"/>
        <v>0</v>
      </c>
      <c r="CW584" s="2">
        <f t="shared" si="501"/>
        <v>0</v>
      </c>
      <c r="CX584" s="2">
        <f t="shared" si="501"/>
        <v>0</v>
      </c>
      <c r="CY584" s="2">
        <f t="shared" si="501"/>
        <v>0</v>
      </c>
      <c r="CZ584" s="2">
        <f t="shared" si="501"/>
        <v>0</v>
      </c>
      <c r="DA584" s="2">
        <f t="shared" si="501"/>
        <v>0</v>
      </c>
      <c r="DB584" s="2">
        <f t="shared" si="501"/>
        <v>0</v>
      </c>
      <c r="DC584" s="2">
        <f t="shared" si="501"/>
        <v>0</v>
      </c>
      <c r="DD584" s="2">
        <f t="shared" si="501"/>
        <v>0</v>
      </c>
      <c r="DE584" s="2">
        <f t="shared" si="501"/>
        <v>0</v>
      </c>
      <c r="DF584" s="2">
        <f t="shared" si="501"/>
        <v>0</v>
      </c>
      <c r="DG584" s="3">
        <f t="shared" ref="DG584:EL584" si="502">DG732</f>
        <v>0</v>
      </c>
      <c r="DH584" s="3">
        <f t="shared" si="502"/>
        <v>0</v>
      </c>
      <c r="DI584" s="3">
        <f t="shared" si="502"/>
        <v>0</v>
      </c>
      <c r="DJ584" s="3">
        <f t="shared" si="502"/>
        <v>0</v>
      </c>
      <c r="DK584" s="3">
        <f t="shared" si="502"/>
        <v>0</v>
      </c>
      <c r="DL584" s="3">
        <f t="shared" si="502"/>
        <v>0</v>
      </c>
      <c r="DM584" s="3">
        <f t="shared" si="502"/>
        <v>0</v>
      </c>
      <c r="DN584" s="3">
        <f t="shared" si="502"/>
        <v>0</v>
      </c>
      <c r="DO584" s="3">
        <f t="shared" si="502"/>
        <v>0</v>
      </c>
      <c r="DP584" s="3">
        <f t="shared" si="502"/>
        <v>0</v>
      </c>
      <c r="DQ584" s="3">
        <f t="shared" si="502"/>
        <v>0</v>
      </c>
      <c r="DR584" s="3">
        <f t="shared" si="502"/>
        <v>0</v>
      </c>
      <c r="DS584" s="3">
        <f t="shared" si="502"/>
        <v>0</v>
      </c>
      <c r="DT584" s="3">
        <f t="shared" si="502"/>
        <v>0</v>
      </c>
      <c r="DU584" s="3">
        <f t="shared" si="502"/>
        <v>0</v>
      </c>
      <c r="DV584" s="3">
        <f t="shared" si="502"/>
        <v>0</v>
      </c>
      <c r="DW584" s="3">
        <f t="shared" si="502"/>
        <v>0</v>
      </c>
      <c r="DX584" s="3">
        <f t="shared" si="502"/>
        <v>0</v>
      </c>
      <c r="DY584" s="3">
        <f t="shared" si="502"/>
        <v>0</v>
      </c>
      <c r="DZ584" s="3">
        <f t="shared" si="502"/>
        <v>0</v>
      </c>
      <c r="EA584" s="3">
        <f t="shared" si="502"/>
        <v>0</v>
      </c>
      <c r="EB584" s="3">
        <f t="shared" si="502"/>
        <v>0</v>
      </c>
      <c r="EC584" s="3">
        <f t="shared" si="502"/>
        <v>0</v>
      </c>
      <c r="ED584" s="3">
        <f t="shared" si="502"/>
        <v>0</v>
      </c>
      <c r="EE584" s="3">
        <f t="shared" si="502"/>
        <v>0</v>
      </c>
      <c r="EF584" s="3">
        <f t="shared" si="502"/>
        <v>0</v>
      </c>
      <c r="EG584" s="3">
        <f t="shared" si="502"/>
        <v>0</v>
      </c>
      <c r="EH584" s="3">
        <f t="shared" si="502"/>
        <v>0</v>
      </c>
      <c r="EI584" s="3">
        <f t="shared" si="502"/>
        <v>0</v>
      </c>
      <c r="EJ584" s="3">
        <f t="shared" si="502"/>
        <v>0</v>
      </c>
      <c r="EK584" s="3">
        <f t="shared" si="502"/>
        <v>0</v>
      </c>
      <c r="EL584" s="3">
        <f t="shared" si="502"/>
        <v>0</v>
      </c>
      <c r="EM584" s="3">
        <f t="shared" ref="EM584:FR584" si="503">EM732</f>
        <v>0</v>
      </c>
      <c r="EN584" s="3">
        <f t="shared" si="503"/>
        <v>0</v>
      </c>
      <c r="EO584" s="3">
        <f t="shared" si="503"/>
        <v>0</v>
      </c>
      <c r="EP584" s="3">
        <f t="shared" si="503"/>
        <v>0</v>
      </c>
      <c r="EQ584" s="3">
        <f t="shared" si="503"/>
        <v>0</v>
      </c>
      <c r="ER584" s="3">
        <f t="shared" si="503"/>
        <v>0</v>
      </c>
      <c r="ES584" s="3">
        <f t="shared" si="503"/>
        <v>0</v>
      </c>
      <c r="ET584" s="3">
        <f t="shared" si="503"/>
        <v>0</v>
      </c>
      <c r="EU584" s="3">
        <f t="shared" si="503"/>
        <v>0</v>
      </c>
      <c r="EV584" s="3">
        <f t="shared" si="503"/>
        <v>0</v>
      </c>
      <c r="EW584" s="3">
        <f t="shared" si="503"/>
        <v>0</v>
      </c>
      <c r="EX584" s="3">
        <f t="shared" si="503"/>
        <v>0</v>
      </c>
      <c r="EY584" s="3">
        <f t="shared" si="503"/>
        <v>0</v>
      </c>
      <c r="EZ584" s="3">
        <f t="shared" si="503"/>
        <v>0</v>
      </c>
      <c r="FA584" s="3">
        <f t="shared" si="503"/>
        <v>0</v>
      </c>
      <c r="FB584" s="3">
        <f t="shared" si="503"/>
        <v>0</v>
      </c>
      <c r="FC584" s="3">
        <f t="shared" si="503"/>
        <v>0</v>
      </c>
      <c r="FD584" s="3">
        <f t="shared" si="503"/>
        <v>0</v>
      </c>
      <c r="FE584" s="3">
        <f t="shared" si="503"/>
        <v>0</v>
      </c>
      <c r="FF584" s="3">
        <f t="shared" si="503"/>
        <v>0</v>
      </c>
      <c r="FG584" s="3">
        <f t="shared" si="503"/>
        <v>0</v>
      </c>
      <c r="FH584" s="3">
        <f t="shared" si="503"/>
        <v>0</v>
      </c>
      <c r="FI584" s="3">
        <f t="shared" si="503"/>
        <v>0</v>
      </c>
      <c r="FJ584" s="3">
        <f t="shared" si="503"/>
        <v>0</v>
      </c>
      <c r="FK584" s="3">
        <f t="shared" si="503"/>
        <v>0</v>
      </c>
      <c r="FL584" s="3">
        <f t="shared" si="503"/>
        <v>0</v>
      </c>
      <c r="FM584" s="3">
        <f t="shared" si="503"/>
        <v>0</v>
      </c>
      <c r="FN584" s="3">
        <f t="shared" si="503"/>
        <v>0</v>
      </c>
      <c r="FO584" s="3">
        <f t="shared" si="503"/>
        <v>0</v>
      </c>
      <c r="FP584" s="3">
        <f t="shared" si="503"/>
        <v>0</v>
      </c>
      <c r="FQ584" s="3">
        <f t="shared" si="503"/>
        <v>0</v>
      </c>
      <c r="FR584" s="3">
        <f t="shared" si="503"/>
        <v>0</v>
      </c>
      <c r="FS584" s="3">
        <f t="shared" ref="FS584:GX584" si="504">FS732</f>
        <v>0</v>
      </c>
      <c r="FT584" s="3">
        <f t="shared" si="504"/>
        <v>0</v>
      </c>
      <c r="FU584" s="3">
        <f t="shared" si="504"/>
        <v>0</v>
      </c>
      <c r="FV584" s="3">
        <f t="shared" si="504"/>
        <v>0</v>
      </c>
      <c r="FW584" s="3">
        <f t="shared" si="504"/>
        <v>0</v>
      </c>
      <c r="FX584" s="3">
        <f t="shared" si="504"/>
        <v>0</v>
      </c>
      <c r="FY584" s="3">
        <f t="shared" si="504"/>
        <v>0</v>
      </c>
      <c r="FZ584" s="3">
        <f t="shared" si="504"/>
        <v>0</v>
      </c>
      <c r="GA584" s="3">
        <f t="shared" si="504"/>
        <v>0</v>
      </c>
      <c r="GB584" s="3">
        <f t="shared" si="504"/>
        <v>0</v>
      </c>
      <c r="GC584" s="3">
        <f t="shared" si="504"/>
        <v>0</v>
      </c>
      <c r="GD584" s="3">
        <f t="shared" si="504"/>
        <v>0</v>
      </c>
      <c r="GE584" s="3">
        <f t="shared" si="504"/>
        <v>0</v>
      </c>
      <c r="GF584" s="3">
        <f t="shared" si="504"/>
        <v>0</v>
      </c>
      <c r="GG584" s="3">
        <f t="shared" si="504"/>
        <v>0</v>
      </c>
      <c r="GH584" s="3">
        <f t="shared" si="504"/>
        <v>0</v>
      </c>
      <c r="GI584" s="3">
        <f t="shared" si="504"/>
        <v>0</v>
      </c>
      <c r="GJ584" s="3">
        <f t="shared" si="504"/>
        <v>0</v>
      </c>
      <c r="GK584" s="3">
        <f t="shared" si="504"/>
        <v>0</v>
      </c>
      <c r="GL584" s="3">
        <f t="shared" si="504"/>
        <v>0</v>
      </c>
      <c r="GM584" s="3">
        <f t="shared" si="504"/>
        <v>0</v>
      </c>
      <c r="GN584" s="3">
        <f t="shared" si="504"/>
        <v>0</v>
      </c>
      <c r="GO584" s="3">
        <f t="shared" si="504"/>
        <v>0</v>
      </c>
      <c r="GP584" s="3">
        <f t="shared" si="504"/>
        <v>0</v>
      </c>
      <c r="GQ584" s="3">
        <f t="shared" si="504"/>
        <v>0</v>
      </c>
      <c r="GR584" s="3">
        <f t="shared" si="504"/>
        <v>0</v>
      </c>
      <c r="GS584" s="3">
        <f t="shared" si="504"/>
        <v>0</v>
      </c>
      <c r="GT584" s="3">
        <f t="shared" si="504"/>
        <v>0</v>
      </c>
      <c r="GU584" s="3">
        <f t="shared" si="504"/>
        <v>0</v>
      </c>
      <c r="GV584" s="3">
        <f t="shared" si="504"/>
        <v>0</v>
      </c>
      <c r="GW584" s="3">
        <f t="shared" si="504"/>
        <v>0</v>
      </c>
      <c r="GX584" s="3">
        <f t="shared" si="504"/>
        <v>0</v>
      </c>
    </row>
    <row r="586" spans="1:245" x14ac:dyDescent="0.2">
      <c r="A586" s="1">
        <v>5</v>
      </c>
      <c r="B586" s="1">
        <v>1</v>
      </c>
      <c r="C586" s="1"/>
      <c r="D586" s="1">
        <f>ROW(A611)</f>
        <v>611</v>
      </c>
      <c r="E586" s="1"/>
      <c r="F586" s="1" t="s">
        <v>596</v>
      </c>
      <c r="G586" s="1" t="s">
        <v>726</v>
      </c>
      <c r="H586" s="1" t="s">
        <v>3</v>
      </c>
      <c r="I586" s="1">
        <v>0</v>
      </c>
      <c r="J586" s="1"/>
      <c r="K586" s="1">
        <v>0</v>
      </c>
      <c r="L586" s="1"/>
      <c r="M586" s="1" t="s">
        <v>3</v>
      </c>
      <c r="N586" s="1"/>
      <c r="O586" s="1"/>
      <c r="P586" s="1"/>
      <c r="Q586" s="1"/>
      <c r="R586" s="1"/>
      <c r="S586" s="1">
        <v>0</v>
      </c>
      <c r="T586" s="1"/>
      <c r="U586" s="1" t="s">
        <v>3</v>
      </c>
      <c r="V586" s="1">
        <v>0</v>
      </c>
      <c r="W586" s="1"/>
      <c r="X586" s="1"/>
      <c r="Y586" s="1"/>
      <c r="Z586" s="1"/>
      <c r="AA586" s="1"/>
      <c r="AB586" s="1" t="s">
        <v>3</v>
      </c>
      <c r="AC586" s="1" t="s">
        <v>3</v>
      </c>
      <c r="AD586" s="1" t="s">
        <v>3</v>
      </c>
      <c r="AE586" s="1" t="s">
        <v>3</v>
      </c>
      <c r="AF586" s="1" t="s">
        <v>3</v>
      </c>
      <c r="AG586" s="1" t="s">
        <v>3</v>
      </c>
      <c r="AH586" s="1"/>
      <c r="AI586" s="1"/>
      <c r="AJ586" s="1"/>
      <c r="AK586" s="1"/>
      <c r="AL586" s="1"/>
      <c r="AM586" s="1"/>
      <c r="AN586" s="1"/>
      <c r="AO586" s="1"/>
      <c r="AP586" s="1" t="s">
        <v>3</v>
      </c>
      <c r="AQ586" s="1" t="s">
        <v>3</v>
      </c>
      <c r="AR586" s="1" t="s">
        <v>3</v>
      </c>
      <c r="AS586" s="1"/>
      <c r="AT586" s="1"/>
      <c r="AU586" s="1"/>
      <c r="AV586" s="1"/>
      <c r="AW586" s="1"/>
      <c r="AX586" s="1"/>
      <c r="AY586" s="1"/>
      <c r="AZ586" s="1" t="s">
        <v>3</v>
      </c>
      <c r="BA586" s="1"/>
      <c r="BB586" s="1" t="s">
        <v>3</v>
      </c>
      <c r="BC586" s="1" t="s">
        <v>3</v>
      </c>
      <c r="BD586" s="1" t="s">
        <v>3</v>
      </c>
      <c r="BE586" s="1" t="s">
        <v>3</v>
      </c>
      <c r="BF586" s="1" t="s">
        <v>3</v>
      </c>
      <c r="BG586" s="1" t="s">
        <v>3</v>
      </c>
      <c r="BH586" s="1" t="s">
        <v>3</v>
      </c>
      <c r="BI586" s="1" t="s">
        <v>3</v>
      </c>
      <c r="BJ586" s="1" t="s">
        <v>3</v>
      </c>
      <c r="BK586" s="1" t="s">
        <v>3</v>
      </c>
      <c r="BL586" s="1" t="s">
        <v>3</v>
      </c>
      <c r="BM586" s="1" t="s">
        <v>3</v>
      </c>
      <c r="BN586" s="1" t="s">
        <v>3</v>
      </c>
      <c r="BO586" s="1" t="s">
        <v>3</v>
      </c>
      <c r="BP586" s="1" t="s">
        <v>3</v>
      </c>
      <c r="BQ586" s="1"/>
      <c r="BR586" s="1"/>
      <c r="BS586" s="1"/>
      <c r="BT586" s="1"/>
      <c r="BU586" s="1"/>
      <c r="BV586" s="1"/>
      <c r="BW586" s="1"/>
      <c r="BX586" s="1">
        <v>0</v>
      </c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>
        <v>0</v>
      </c>
    </row>
    <row r="588" spans="1:245" x14ac:dyDescent="0.2">
      <c r="A588" s="2">
        <v>52</v>
      </c>
      <c r="B588" s="2">
        <f t="shared" ref="B588:G588" si="505">B611</f>
        <v>1</v>
      </c>
      <c r="C588" s="2">
        <f t="shared" si="505"/>
        <v>5</v>
      </c>
      <c r="D588" s="2">
        <f t="shared" si="505"/>
        <v>586</v>
      </c>
      <c r="E588" s="2">
        <f t="shared" si="505"/>
        <v>0</v>
      </c>
      <c r="F588" s="2" t="str">
        <f t="shared" si="505"/>
        <v>Новый подраздел</v>
      </c>
      <c r="G588" s="2" t="str">
        <f t="shared" si="505"/>
        <v>Дренажная система</v>
      </c>
      <c r="H588" s="2"/>
      <c r="I588" s="2"/>
      <c r="J588" s="2"/>
      <c r="K588" s="2"/>
      <c r="L588" s="2"/>
      <c r="M588" s="2"/>
      <c r="N588" s="2"/>
      <c r="O588" s="2">
        <f t="shared" ref="O588:AT588" si="506">O611</f>
        <v>638041.16</v>
      </c>
      <c r="P588" s="2">
        <f t="shared" si="506"/>
        <v>599698.78</v>
      </c>
      <c r="Q588" s="2">
        <f t="shared" si="506"/>
        <v>5317.19</v>
      </c>
      <c r="R588" s="2">
        <f t="shared" si="506"/>
        <v>1571.43</v>
      </c>
      <c r="S588" s="2">
        <f t="shared" si="506"/>
        <v>33025.19</v>
      </c>
      <c r="T588" s="2">
        <f t="shared" si="506"/>
        <v>0</v>
      </c>
      <c r="U588" s="2">
        <f t="shared" si="506"/>
        <v>113.25199999999998</v>
      </c>
      <c r="V588" s="2">
        <f t="shared" si="506"/>
        <v>0</v>
      </c>
      <c r="W588" s="2">
        <f t="shared" si="506"/>
        <v>0</v>
      </c>
      <c r="X588" s="2">
        <f t="shared" si="506"/>
        <v>31498.39</v>
      </c>
      <c r="Y588" s="2">
        <f t="shared" si="506"/>
        <v>13540.33</v>
      </c>
      <c r="Z588" s="2">
        <f t="shared" si="506"/>
        <v>0</v>
      </c>
      <c r="AA588" s="2">
        <f t="shared" si="506"/>
        <v>0</v>
      </c>
      <c r="AB588" s="2">
        <f t="shared" si="506"/>
        <v>638041.16</v>
      </c>
      <c r="AC588" s="2">
        <f t="shared" si="506"/>
        <v>599698.78</v>
      </c>
      <c r="AD588" s="2">
        <f t="shared" si="506"/>
        <v>5317.19</v>
      </c>
      <c r="AE588" s="2">
        <f t="shared" si="506"/>
        <v>1571.43</v>
      </c>
      <c r="AF588" s="2">
        <f t="shared" si="506"/>
        <v>33025.19</v>
      </c>
      <c r="AG588" s="2">
        <f t="shared" si="506"/>
        <v>0</v>
      </c>
      <c r="AH588" s="2">
        <f t="shared" si="506"/>
        <v>113.25199999999998</v>
      </c>
      <c r="AI588" s="2">
        <f t="shared" si="506"/>
        <v>0</v>
      </c>
      <c r="AJ588" s="2">
        <f t="shared" si="506"/>
        <v>0</v>
      </c>
      <c r="AK588" s="2">
        <f t="shared" si="506"/>
        <v>31498.39</v>
      </c>
      <c r="AL588" s="2">
        <f t="shared" si="506"/>
        <v>13540.33</v>
      </c>
      <c r="AM588" s="2">
        <f t="shared" si="506"/>
        <v>0</v>
      </c>
      <c r="AN588" s="2">
        <f t="shared" si="506"/>
        <v>0</v>
      </c>
      <c r="AO588" s="2">
        <f t="shared" si="506"/>
        <v>0</v>
      </c>
      <c r="AP588" s="2">
        <f t="shared" si="506"/>
        <v>0</v>
      </c>
      <c r="AQ588" s="2">
        <f t="shared" si="506"/>
        <v>0</v>
      </c>
      <c r="AR588" s="2">
        <f t="shared" si="506"/>
        <v>685547.03</v>
      </c>
      <c r="AS588" s="2">
        <f t="shared" si="506"/>
        <v>685547.03</v>
      </c>
      <c r="AT588" s="2">
        <f t="shared" si="506"/>
        <v>0</v>
      </c>
      <c r="AU588" s="2">
        <f t="shared" ref="AU588:BZ588" si="507">AU611</f>
        <v>0</v>
      </c>
      <c r="AV588" s="2">
        <f t="shared" si="507"/>
        <v>599698.78</v>
      </c>
      <c r="AW588" s="2">
        <f t="shared" si="507"/>
        <v>599698.78</v>
      </c>
      <c r="AX588" s="2">
        <f t="shared" si="507"/>
        <v>0</v>
      </c>
      <c r="AY588" s="2">
        <f t="shared" si="507"/>
        <v>599698.78</v>
      </c>
      <c r="AZ588" s="2">
        <f t="shared" si="507"/>
        <v>0</v>
      </c>
      <c r="BA588" s="2">
        <f t="shared" si="507"/>
        <v>0</v>
      </c>
      <c r="BB588" s="2">
        <f t="shared" si="507"/>
        <v>0</v>
      </c>
      <c r="BC588" s="2">
        <f t="shared" si="507"/>
        <v>0</v>
      </c>
      <c r="BD588" s="2">
        <f t="shared" si="507"/>
        <v>0</v>
      </c>
      <c r="BE588" s="2">
        <f t="shared" si="507"/>
        <v>0</v>
      </c>
      <c r="BF588" s="2">
        <f t="shared" si="507"/>
        <v>0</v>
      </c>
      <c r="BG588" s="2">
        <f t="shared" si="507"/>
        <v>0</v>
      </c>
      <c r="BH588" s="2">
        <f t="shared" si="507"/>
        <v>0</v>
      </c>
      <c r="BI588" s="2">
        <f t="shared" si="507"/>
        <v>0</v>
      </c>
      <c r="BJ588" s="2">
        <f t="shared" si="507"/>
        <v>0</v>
      </c>
      <c r="BK588" s="2">
        <f t="shared" si="507"/>
        <v>0</v>
      </c>
      <c r="BL588" s="2">
        <f t="shared" si="507"/>
        <v>0</v>
      </c>
      <c r="BM588" s="2">
        <f t="shared" si="507"/>
        <v>0</v>
      </c>
      <c r="BN588" s="2">
        <f t="shared" si="507"/>
        <v>0</v>
      </c>
      <c r="BO588" s="2">
        <f t="shared" si="507"/>
        <v>0</v>
      </c>
      <c r="BP588" s="2">
        <f t="shared" si="507"/>
        <v>0</v>
      </c>
      <c r="BQ588" s="2">
        <f t="shared" si="507"/>
        <v>0</v>
      </c>
      <c r="BR588" s="2">
        <f t="shared" si="507"/>
        <v>0</v>
      </c>
      <c r="BS588" s="2">
        <f t="shared" si="507"/>
        <v>0</v>
      </c>
      <c r="BT588" s="2">
        <f t="shared" si="507"/>
        <v>0</v>
      </c>
      <c r="BU588" s="2">
        <f t="shared" si="507"/>
        <v>0</v>
      </c>
      <c r="BV588" s="2">
        <f t="shared" si="507"/>
        <v>0</v>
      </c>
      <c r="BW588" s="2">
        <f t="shared" si="507"/>
        <v>0</v>
      </c>
      <c r="BX588" s="2">
        <f t="shared" si="507"/>
        <v>0</v>
      </c>
      <c r="BY588" s="2">
        <f t="shared" si="507"/>
        <v>0</v>
      </c>
      <c r="BZ588" s="2">
        <f t="shared" si="507"/>
        <v>0</v>
      </c>
      <c r="CA588" s="2">
        <f t="shared" ref="CA588:DF588" si="508">CA611</f>
        <v>685547.03</v>
      </c>
      <c r="CB588" s="2">
        <f t="shared" si="508"/>
        <v>685547.03</v>
      </c>
      <c r="CC588" s="2">
        <f t="shared" si="508"/>
        <v>0</v>
      </c>
      <c r="CD588" s="2">
        <f t="shared" si="508"/>
        <v>0</v>
      </c>
      <c r="CE588" s="2">
        <f t="shared" si="508"/>
        <v>599698.78</v>
      </c>
      <c r="CF588" s="2">
        <f t="shared" si="508"/>
        <v>599698.78</v>
      </c>
      <c r="CG588" s="2">
        <f t="shared" si="508"/>
        <v>0</v>
      </c>
      <c r="CH588" s="2">
        <f t="shared" si="508"/>
        <v>599698.78</v>
      </c>
      <c r="CI588" s="2">
        <f t="shared" si="508"/>
        <v>0</v>
      </c>
      <c r="CJ588" s="2">
        <f t="shared" si="508"/>
        <v>0</v>
      </c>
      <c r="CK588" s="2">
        <f t="shared" si="508"/>
        <v>0</v>
      </c>
      <c r="CL588" s="2">
        <f t="shared" si="508"/>
        <v>0</v>
      </c>
      <c r="CM588" s="2">
        <f t="shared" si="508"/>
        <v>0</v>
      </c>
      <c r="CN588" s="2">
        <f t="shared" si="508"/>
        <v>0</v>
      </c>
      <c r="CO588" s="2">
        <f t="shared" si="508"/>
        <v>0</v>
      </c>
      <c r="CP588" s="2">
        <f t="shared" si="508"/>
        <v>0</v>
      </c>
      <c r="CQ588" s="2">
        <f t="shared" si="508"/>
        <v>0</v>
      </c>
      <c r="CR588" s="2">
        <f t="shared" si="508"/>
        <v>0</v>
      </c>
      <c r="CS588" s="2">
        <f t="shared" si="508"/>
        <v>0</v>
      </c>
      <c r="CT588" s="2">
        <f t="shared" si="508"/>
        <v>0</v>
      </c>
      <c r="CU588" s="2">
        <f t="shared" si="508"/>
        <v>0</v>
      </c>
      <c r="CV588" s="2">
        <f t="shared" si="508"/>
        <v>0</v>
      </c>
      <c r="CW588" s="2">
        <f t="shared" si="508"/>
        <v>0</v>
      </c>
      <c r="CX588" s="2">
        <f t="shared" si="508"/>
        <v>0</v>
      </c>
      <c r="CY588" s="2">
        <f t="shared" si="508"/>
        <v>0</v>
      </c>
      <c r="CZ588" s="2">
        <f t="shared" si="508"/>
        <v>0</v>
      </c>
      <c r="DA588" s="2">
        <f t="shared" si="508"/>
        <v>0</v>
      </c>
      <c r="DB588" s="2">
        <f t="shared" si="508"/>
        <v>0</v>
      </c>
      <c r="DC588" s="2">
        <f t="shared" si="508"/>
        <v>0</v>
      </c>
      <c r="DD588" s="2">
        <f t="shared" si="508"/>
        <v>0</v>
      </c>
      <c r="DE588" s="2">
        <f t="shared" si="508"/>
        <v>0</v>
      </c>
      <c r="DF588" s="2">
        <f t="shared" si="508"/>
        <v>0</v>
      </c>
      <c r="DG588" s="3">
        <f t="shared" ref="DG588:EL588" si="509">DG611</f>
        <v>0</v>
      </c>
      <c r="DH588" s="3">
        <f t="shared" si="509"/>
        <v>0</v>
      </c>
      <c r="DI588" s="3">
        <f t="shared" si="509"/>
        <v>0</v>
      </c>
      <c r="DJ588" s="3">
        <f t="shared" si="509"/>
        <v>0</v>
      </c>
      <c r="DK588" s="3">
        <f t="shared" si="509"/>
        <v>0</v>
      </c>
      <c r="DL588" s="3">
        <f t="shared" si="509"/>
        <v>0</v>
      </c>
      <c r="DM588" s="3">
        <f t="shared" si="509"/>
        <v>0</v>
      </c>
      <c r="DN588" s="3">
        <f t="shared" si="509"/>
        <v>0</v>
      </c>
      <c r="DO588" s="3">
        <f t="shared" si="509"/>
        <v>0</v>
      </c>
      <c r="DP588" s="3">
        <f t="shared" si="509"/>
        <v>0</v>
      </c>
      <c r="DQ588" s="3">
        <f t="shared" si="509"/>
        <v>0</v>
      </c>
      <c r="DR588" s="3">
        <f t="shared" si="509"/>
        <v>0</v>
      </c>
      <c r="DS588" s="3">
        <f t="shared" si="509"/>
        <v>0</v>
      </c>
      <c r="DT588" s="3">
        <f t="shared" si="509"/>
        <v>0</v>
      </c>
      <c r="DU588" s="3">
        <f t="shared" si="509"/>
        <v>0</v>
      </c>
      <c r="DV588" s="3">
        <f t="shared" si="509"/>
        <v>0</v>
      </c>
      <c r="DW588" s="3">
        <f t="shared" si="509"/>
        <v>0</v>
      </c>
      <c r="DX588" s="3">
        <f t="shared" si="509"/>
        <v>0</v>
      </c>
      <c r="DY588" s="3">
        <f t="shared" si="509"/>
        <v>0</v>
      </c>
      <c r="DZ588" s="3">
        <f t="shared" si="509"/>
        <v>0</v>
      </c>
      <c r="EA588" s="3">
        <f t="shared" si="509"/>
        <v>0</v>
      </c>
      <c r="EB588" s="3">
        <f t="shared" si="509"/>
        <v>0</v>
      </c>
      <c r="EC588" s="3">
        <f t="shared" si="509"/>
        <v>0</v>
      </c>
      <c r="ED588" s="3">
        <f t="shared" si="509"/>
        <v>0</v>
      </c>
      <c r="EE588" s="3">
        <f t="shared" si="509"/>
        <v>0</v>
      </c>
      <c r="EF588" s="3">
        <f t="shared" si="509"/>
        <v>0</v>
      </c>
      <c r="EG588" s="3">
        <f t="shared" si="509"/>
        <v>0</v>
      </c>
      <c r="EH588" s="3">
        <f t="shared" si="509"/>
        <v>0</v>
      </c>
      <c r="EI588" s="3">
        <f t="shared" si="509"/>
        <v>0</v>
      </c>
      <c r="EJ588" s="3">
        <f t="shared" si="509"/>
        <v>0</v>
      </c>
      <c r="EK588" s="3">
        <f t="shared" si="509"/>
        <v>0</v>
      </c>
      <c r="EL588" s="3">
        <f t="shared" si="509"/>
        <v>0</v>
      </c>
      <c r="EM588" s="3">
        <f t="shared" ref="EM588:FR588" si="510">EM611</f>
        <v>0</v>
      </c>
      <c r="EN588" s="3">
        <f t="shared" si="510"/>
        <v>0</v>
      </c>
      <c r="EO588" s="3">
        <f t="shared" si="510"/>
        <v>0</v>
      </c>
      <c r="EP588" s="3">
        <f t="shared" si="510"/>
        <v>0</v>
      </c>
      <c r="EQ588" s="3">
        <f t="shared" si="510"/>
        <v>0</v>
      </c>
      <c r="ER588" s="3">
        <f t="shared" si="510"/>
        <v>0</v>
      </c>
      <c r="ES588" s="3">
        <f t="shared" si="510"/>
        <v>0</v>
      </c>
      <c r="ET588" s="3">
        <f t="shared" si="510"/>
        <v>0</v>
      </c>
      <c r="EU588" s="3">
        <f t="shared" si="510"/>
        <v>0</v>
      </c>
      <c r="EV588" s="3">
        <f t="shared" si="510"/>
        <v>0</v>
      </c>
      <c r="EW588" s="3">
        <f t="shared" si="510"/>
        <v>0</v>
      </c>
      <c r="EX588" s="3">
        <f t="shared" si="510"/>
        <v>0</v>
      </c>
      <c r="EY588" s="3">
        <f t="shared" si="510"/>
        <v>0</v>
      </c>
      <c r="EZ588" s="3">
        <f t="shared" si="510"/>
        <v>0</v>
      </c>
      <c r="FA588" s="3">
        <f t="shared" si="510"/>
        <v>0</v>
      </c>
      <c r="FB588" s="3">
        <f t="shared" si="510"/>
        <v>0</v>
      </c>
      <c r="FC588" s="3">
        <f t="shared" si="510"/>
        <v>0</v>
      </c>
      <c r="FD588" s="3">
        <f t="shared" si="510"/>
        <v>0</v>
      </c>
      <c r="FE588" s="3">
        <f t="shared" si="510"/>
        <v>0</v>
      </c>
      <c r="FF588" s="3">
        <f t="shared" si="510"/>
        <v>0</v>
      </c>
      <c r="FG588" s="3">
        <f t="shared" si="510"/>
        <v>0</v>
      </c>
      <c r="FH588" s="3">
        <f t="shared" si="510"/>
        <v>0</v>
      </c>
      <c r="FI588" s="3">
        <f t="shared" si="510"/>
        <v>0</v>
      </c>
      <c r="FJ588" s="3">
        <f t="shared" si="510"/>
        <v>0</v>
      </c>
      <c r="FK588" s="3">
        <f t="shared" si="510"/>
        <v>0</v>
      </c>
      <c r="FL588" s="3">
        <f t="shared" si="510"/>
        <v>0</v>
      </c>
      <c r="FM588" s="3">
        <f t="shared" si="510"/>
        <v>0</v>
      </c>
      <c r="FN588" s="3">
        <f t="shared" si="510"/>
        <v>0</v>
      </c>
      <c r="FO588" s="3">
        <f t="shared" si="510"/>
        <v>0</v>
      </c>
      <c r="FP588" s="3">
        <f t="shared" si="510"/>
        <v>0</v>
      </c>
      <c r="FQ588" s="3">
        <f t="shared" si="510"/>
        <v>0</v>
      </c>
      <c r="FR588" s="3">
        <f t="shared" si="510"/>
        <v>0</v>
      </c>
      <c r="FS588" s="3">
        <f t="shared" ref="FS588:GX588" si="511">FS611</f>
        <v>0</v>
      </c>
      <c r="FT588" s="3">
        <f t="shared" si="511"/>
        <v>0</v>
      </c>
      <c r="FU588" s="3">
        <f t="shared" si="511"/>
        <v>0</v>
      </c>
      <c r="FV588" s="3">
        <f t="shared" si="511"/>
        <v>0</v>
      </c>
      <c r="FW588" s="3">
        <f t="shared" si="511"/>
        <v>0</v>
      </c>
      <c r="FX588" s="3">
        <f t="shared" si="511"/>
        <v>0</v>
      </c>
      <c r="FY588" s="3">
        <f t="shared" si="511"/>
        <v>0</v>
      </c>
      <c r="FZ588" s="3">
        <f t="shared" si="511"/>
        <v>0</v>
      </c>
      <c r="GA588" s="3">
        <f t="shared" si="511"/>
        <v>0</v>
      </c>
      <c r="GB588" s="3">
        <f t="shared" si="511"/>
        <v>0</v>
      </c>
      <c r="GC588" s="3">
        <f t="shared" si="511"/>
        <v>0</v>
      </c>
      <c r="GD588" s="3">
        <f t="shared" si="511"/>
        <v>0</v>
      </c>
      <c r="GE588" s="3">
        <f t="shared" si="511"/>
        <v>0</v>
      </c>
      <c r="GF588" s="3">
        <f t="shared" si="511"/>
        <v>0</v>
      </c>
      <c r="GG588" s="3">
        <f t="shared" si="511"/>
        <v>0</v>
      </c>
      <c r="GH588" s="3">
        <f t="shared" si="511"/>
        <v>0</v>
      </c>
      <c r="GI588" s="3">
        <f t="shared" si="511"/>
        <v>0</v>
      </c>
      <c r="GJ588" s="3">
        <f t="shared" si="511"/>
        <v>0</v>
      </c>
      <c r="GK588" s="3">
        <f t="shared" si="511"/>
        <v>0</v>
      </c>
      <c r="GL588" s="3">
        <f t="shared" si="511"/>
        <v>0</v>
      </c>
      <c r="GM588" s="3">
        <f t="shared" si="511"/>
        <v>0</v>
      </c>
      <c r="GN588" s="3">
        <f t="shared" si="511"/>
        <v>0</v>
      </c>
      <c r="GO588" s="3">
        <f t="shared" si="511"/>
        <v>0</v>
      </c>
      <c r="GP588" s="3">
        <f t="shared" si="511"/>
        <v>0</v>
      </c>
      <c r="GQ588" s="3">
        <f t="shared" si="511"/>
        <v>0</v>
      </c>
      <c r="GR588" s="3">
        <f t="shared" si="511"/>
        <v>0</v>
      </c>
      <c r="GS588" s="3">
        <f t="shared" si="511"/>
        <v>0</v>
      </c>
      <c r="GT588" s="3">
        <f t="shared" si="511"/>
        <v>0</v>
      </c>
      <c r="GU588" s="3">
        <f t="shared" si="511"/>
        <v>0</v>
      </c>
      <c r="GV588" s="3">
        <f t="shared" si="511"/>
        <v>0</v>
      </c>
      <c r="GW588" s="3">
        <f t="shared" si="511"/>
        <v>0</v>
      </c>
      <c r="GX588" s="3">
        <f t="shared" si="511"/>
        <v>0</v>
      </c>
    </row>
    <row r="590" spans="1:245" x14ac:dyDescent="0.2">
      <c r="A590">
        <v>17</v>
      </c>
      <c r="B590">
        <v>1</v>
      </c>
      <c r="C590">
        <f>ROW(SmtRes!A368)</f>
        <v>368</v>
      </c>
      <c r="D590">
        <f>ROW(EtalonRes!A369)</f>
        <v>369</v>
      </c>
      <c r="E590" t="s">
        <v>727</v>
      </c>
      <c r="F590" t="s">
        <v>150</v>
      </c>
      <c r="G590" t="s">
        <v>728</v>
      </c>
      <c r="H590" t="s">
        <v>152</v>
      </c>
      <c r="I590">
        <f>ROUND(290/100,9)</f>
        <v>2.9</v>
      </c>
      <c r="J590">
        <v>0</v>
      </c>
      <c r="K590">
        <f>ROUND(290/100,9)</f>
        <v>2.9</v>
      </c>
      <c r="O590">
        <f t="shared" ref="O590:O609" si="512">ROUND(CP590,2)</f>
        <v>260383.43</v>
      </c>
      <c r="P590">
        <f t="shared" ref="P590:P609" si="513">ROUND((ROUND((AC590*AW590*I590),2)*BC590),2)</f>
        <v>234090.23</v>
      </c>
      <c r="Q590">
        <f>(ROUND((ROUND((((ET590*1.25))*AV590*I590),2)*BB590),2)+ROUND((ROUND(((AE590-((EU590*1.25)))*AV590*I590),2)*BS590),2))</f>
        <v>807.41</v>
      </c>
      <c r="R590">
        <f t="shared" ref="R590:R609" si="514">ROUND((ROUND((AE590*AV590*I590),2)*BS590),2)</f>
        <v>321.05</v>
      </c>
      <c r="S590">
        <f t="shared" ref="S590:S609" si="515">ROUND((ROUND((AF590*AV590*I590),2)*BA590),2)</f>
        <v>25485.79</v>
      </c>
      <c r="T590">
        <f t="shared" ref="T590:T609" si="516">ROUND(CU590*I590,2)</f>
        <v>0</v>
      </c>
      <c r="U590">
        <f t="shared" ref="U590:U609" si="517">CV590*I590</f>
        <v>86.976799999999983</v>
      </c>
      <c r="V590">
        <f t="shared" ref="V590:V609" si="518">CW590*I590</f>
        <v>0</v>
      </c>
      <c r="W590">
        <f t="shared" ref="W590:W609" si="519">ROUND(CX590*I590,2)</f>
        <v>0</v>
      </c>
      <c r="X590">
        <f t="shared" ref="X590:X609" si="520">ROUND(CY590,2)</f>
        <v>23956.639999999999</v>
      </c>
      <c r="Y590">
        <f t="shared" ref="Y590:Y609" si="521">ROUND(CZ590,2)</f>
        <v>10449.17</v>
      </c>
      <c r="AA590">
        <v>42938047</v>
      </c>
      <c r="AB590">
        <f t="shared" ref="AB590:AB609" si="522">ROUND((AC590+AD590+AF590),6)</f>
        <v>12403.406000000001</v>
      </c>
      <c r="AC590">
        <f t="shared" ref="AC590:AC609" si="523">ROUND((ES590),6)</f>
        <v>12029.92</v>
      </c>
      <c r="AD590">
        <f>ROUND(((((ET590*1.25))-((EU590*1.25)))+AE590),6)</f>
        <v>28.037500000000001</v>
      </c>
      <c r="AE590">
        <f>ROUND(((EU590*1.25)),6)</f>
        <v>4.3499999999999996</v>
      </c>
      <c r="AF590">
        <f>ROUND(((EV590*1.15)),6)</f>
        <v>345.44850000000002</v>
      </c>
      <c r="AG590">
        <f t="shared" ref="AG590:AG609" si="524">ROUND((AP590),6)</f>
        <v>0</v>
      </c>
      <c r="AH590">
        <f>((EW590*1.15))</f>
        <v>29.991999999999997</v>
      </c>
      <c r="AI590">
        <f>((EX590*1.25))</f>
        <v>0</v>
      </c>
      <c r="AJ590">
        <f t="shared" ref="AJ590:AJ609" si="525">(AS590)</f>
        <v>0</v>
      </c>
      <c r="AK590">
        <v>12352.74</v>
      </c>
      <c r="AL590">
        <v>12029.92</v>
      </c>
      <c r="AM590">
        <v>22.43</v>
      </c>
      <c r="AN590">
        <v>3.48</v>
      </c>
      <c r="AO590">
        <v>300.39</v>
      </c>
      <c r="AP590">
        <v>0</v>
      </c>
      <c r="AQ590">
        <v>26.08</v>
      </c>
      <c r="AR590">
        <v>0</v>
      </c>
      <c r="AS590">
        <v>0</v>
      </c>
      <c r="AT590">
        <v>94</v>
      </c>
      <c r="AU590">
        <v>41</v>
      </c>
      <c r="AV590">
        <v>1</v>
      </c>
      <c r="AW590">
        <v>1</v>
      </c>
      <c r="AZ590">
        <v>1</v>
      </c>
      <c r="BA590">
        <v>25.44</v>
      </c>
      <c r="BB590">
        <v>9.93</v>
      </c>
      <c r="BC590">
        <v>6.71</v>
      </c>
      <c r="BD590" t="s">
        <v>3</v>
      </c>
      <c r="BE590" t="s">
        <v>3</v>
      </c>
      <c r="BF590" t="s">
        <v>3</v>
      </c>
      <c r="BG590" t="s">
        <v>3</v>
      </c>
      <c r="BH590">
        <v>0</v>
      </c>
      <c r="BI590">
        <v>1</v>
      </c>
      <c r="BJ590" t="s">
        <v>153</v>
      </c>
      <c r="BM590">
        <v>1691</v>
      </c>
      <c r="BN590">
        <v>0</v>
      </c>
      <c r="BO590" t="s">
        <v>150</v>
      </c>
      <c r="BP590">
        <v>1</v>
      </c>
      <c r="BQ590">
        <v>30</v>
      </c>
      <c r="BR590">
        <v>0</v>
      </c>
      <c r="BS590">
        <v>25.44</v>
      </c>
      <c r="BT590">
        <v>1</v>
      </c>
      <c r="BU590">
        <v>1</v>
      </c>
      <c r="BV590">
        <v>1</v>
      </c>
      <c r="BW590">
        <v>1</v>
      </c>
      <c r="BX590">
        <v>1</v>
      </c>
      <c r="BY590" t="s">
        <v>3</v>
      </c>
      <c r="BZ590">
        <v>94</v>
      </c>
      <c r="CA590">
        <v>41</v>
      </c>
      <c r="CB590" t="s">
        <v>3</v>
      </c>
      <c r="CE590">
        <v>30</v>
      </c>
      <c r="CF590">
        <v>0</v>
      </c>
      <c r="CG590">
        <v>0</v>
      </c>
      <c r="CM590">
        <v>0</v>
      </c>
      <c r="CN590" t="s">
        <v>1584</v>
      </c>
      <c r="CO590">
        <v>0</v>
      </c>
      <c r="CP590">
        <f t="shared" ref="CP590:CP609" si="526">(P590+Q590+S590)</f>
        <v>260383.43000000002</v>
      </c>
      <c r="CQ590">
        <f t="shared" ref="CQ590:CQ609" si="527">ROUND((ROUND((AC590*AW590*1),2)*BC590),2)</f>
        <v>80720.759999999995</v>
      </c>
      <c r="CR590">
        <f>(ROUND((ROUND((((ET590*1.25))*AV590*1),2)*BB590),2)+ROUND((ROUND(((AE590-((EU590*1.25)))*AV590*1),2)*BS590),2))</f>
        <v>278.44</v>
      </c>
      <c r="CS590">
        <f t="shared" ref="CS590:CS609" si="528">ROUND((ROUND((AE590*AV590*1),2)*BS590),2)</f>
        <v>110.66</v>
      </c>
      <c r="CT590">
        <f t="shared" ref="CT590:CT609" si="529">ROUND((ROUND((AF590*AV590*1),2)*BA590),2)</f>
        <v>8788.25</v>
      </c>
      <c r="CU590">
        <f t="shared" ref="CU590:CU609" si="530">AG590</f>
        <v>0</v>
      </c>
      <c r="CV590">
        <f t="shared" ref="CV590:CV609" si="531">(AH590*AV590)</f>
        <v>29.991999999999997</v>
      </c>
      <c r="CW590">
        <f t="shared" ref="CW590:CW609" si="532">AI590</f>
        <v>0</v>
      </c>
      <c r="CX590">
        <f t="shared" ref="CX590:CX609" si="533">AJ590</f>
        <v>0</v>
      </c>
      <c r="CY590">
        <f t="shared" ref="CY590:CY609" si="534">S590*(BZ590/100)</f>
        <v>23956.642599999999</v>
      </c>
      <c r="CZ590">
        <f t="shared" ref="CZ590:CZ609" si="535">S590*(CA590/100)</f>
        <v>10449.1739</v>
      </c>
      <c r="DC590" t="s">
        <v>3</v>
      </c>
      <c r="DD590" t="s">
        <v>3</v>
      </c>
      <c r="DE590" t="s">
        <v>20</v>
      </c>
      <c r="DF590" t="s">
        <v>20</v>
      </c>
      <c r="DG590" t="s">
        <v>21</v>
      </c>
      <c r="DH590" t="s">
        <v>3</v>
      </c>
      <c r="DI590" t="s">
        <v>21</v>
      </c>
      <c r="DJ590" t="s">
        <v>20</v>
      </c>
      <c r="DK590" t="s">
        <v>3</v>
      </c>
      <c r="DL590" t="s">
        <v>3</v>
      </c>
      <c r="DM590" t="s">
        <v>3</v>
      </c>
      <c r="DN590">
        <v>116</v>
      </c>
      <c r="DO590">
        <v>68</v>
      </c>
      <c r="DP590">
        <v>1</v>
      </c>
      <c r="DQ590">
        <v>1</v>
      </c>
      <c r="DU590">
        <v>1003</v>
      </c>
      <c r="DV590" t="s">
        <v>152</v>
      </c>
      <c r="DW590" t="s">
        <v>152</v>
      </c>
      <c r="DX590">
        <v>100</v>
      </c>
      <c r="DZ590" t="s">
        <v>3</v>
      </c>
      <c r="EA590" t="s">
        <v>3</v>
      </c>
      <c r="EB590" t="s">
        <v>3</v>
      </c>
      <c r="EC590" t="s">
        <v>3</v>
      </c>
      <c r="EE590">
        <v>43089769</v>
      </c>
      <c r="EF590">
        <v>30</v>
      </c>
      <c r="EG590" t="s">
        <v>22</v>
      </c>
      <c r="EH590">
        <v>0</v>
      </c>
      <c r="EI590" t="s">
        <v>3</v>
      </c>
      <c r="EJ590">
        <v>1</v>
      </c>
      <c r="EK590">
        <v>1691</v>
      </c>
      <c r="EL590" t="s">
        <v>154</v>
      </c>
      <c r="EM590" t="s">
        <v>155</v>
      </c>
      <c r="EO590" t="s">
        <v>59</v>
      </c>
      <c r="EQ590">
        <v>0</v>
      </c>
      <c r="ER590">
        <v>12352.74</v>
      </c>
      <c r="ES590">
        <v>12029.92</v>
      </c>
      <c r="ET590">
        <v>22.43</v>
      </c>
      <c r="EU590">
        <v>3.48</v>
      </c>
      <c r="EV590">
        <v>300.39</v>
      </c>
      <c r="EW590">
        <v>26.08</v>
      </c>
      <c r="EX590">
        <v>0</v>
      </c>
      <c r="EY590">
        <v>0</v>
      </c>
      <c r="FQ590">
        <v>0</v>
      </c>
      <c r="FR590">
        <f t="shared" ref="FR590:FR609" si="536">ROUND(IF(AND(BH590=3,BI590=3),P590,0),2)</f>
        <v>0</v>
      </c>
      <c r="FS590">
        <v>0</v>
      </c>
      <c r="FX590">
        <v>116</v>
      </c>
      <c r="FY590">
        <v>68</v>
      </c>
      <c r="GA590" t="s">
        <v>3</v>
      </c>
      <c r="GD590">
        <v>0</v>
      </c>
      <c r="GF590">
        <v>-321993578</v>
      </c>
      <c r="GG590">
        <v>2</v>
      </c>
      <c r="GH590">
        <v>1</v>
      </c>
      <c r="GI590">
        <v>2</v>
      </c>
      <c r="GJ590">
        <v>0</v>
      </c>
      <c r="GK590">
        <f>ROUND(R590*(R12)/100,2)</f>
        <v>504.05</v>
      </c>
      <c r="GL590">
        <f t="shared" ref="GL590:GL609" si="537">ROUND(IF(AND(BH590=3,BI590=3,FS590&lt;&gt;0),P590,0),2)</f>
        <v>0</v>
      </c>
      <c r="GM590">
        <f t="shared" ref="GM590:GM609" si="538">ROUND(O590+X590+Y590+GK590,2)+GX590</f>
        <v>295293.28999999998</v>
      </c>
      <c r="GN590">
        <f t="shared" ref="GN590:GN609" si="539">IF(OR(BI590=0,BI590=1),ROUND(O590+X590+Y590+GK590,2),0)</f>
        <v>295293.28999999998</v>
      </c>
      <c r="GO590">
        <f t="shared" ref="GO590:GO609" si="540">IF(BI590=2,ROUND(O590+X590+Y590+GK590,2),0)</f>
        <v>0</v>
      </c>
      <c r="GP590">
        <f t="shared" ref="GP590:GP609" si="541">IF(BI590=4,ROUND(O590+X590+Y590+GK590,2)+GX590,0)</f>
        <v>0</v>
      </c>
      <c r="GR590">
        <v>0</v>
      </c>
      <c r="GS590">
        <v>3</v>
      </c>
      <c r="GT590">
        <v>0</v>
      </c>
      <c r="GU590" t="s">
        <v>3</v>
      </c>
      <c r="GV590">
        <f t="shared" ref="GV590:GV609" si="542">ROUND((GT590),6)</f>
        <v>0</v>
      </c>
      <c r="GW590">
        <v>1</v>
      </c>
      <c r="GX590">
        <f t="shared" ref="GX590:GX609" si="543">ROUND(HC590*I590,2)</f>
        <v>0</v>
      </c>
      <c r="HA590">
        <v>0</v>
      </c>
      <c r="HB590">
        <v>0</v>
      </c>
      <c r="HC590">
        <f t="shared" ref="HC590:HC609" si="544">GV590*GW590</f>
        <v>0</v>
      </c>
      <c r="HE590" t="s">
        <v>3</v>
      </c>
      <c r="HF590" t="s">
        <v>3</v>
      </c>
      <c r="HM590" t="s">
        <v>3</v>
      </c>
      <c r="IK590">
        <v>0</v>
      </c>
    </row>
    <row r="591" spans="1:245" x14ac:dyDescent="0.2">
      <c r="A591">
        <v>18</v>
      </c>
      <c r="B591">
        <v>1</v>
      </c>
      <c r="C591">
        <v>368</v>
      </c>
      <c r="E591" t="s">
        <v>729</v>
      </c>
      <c r="F591" t="s">
        <v>118</v>
      </c>
      <c r="G591" t="s">
        <v>730</v>
      </c>
      <c r="H591" t="s">
        <v>136</v>
      </c>
      <c r="I591">
        <f>I590*J591</f>
        <v>290</v>
      </c>
      <c r="J591">
        <v>100</v>
      </c>
      <c r="K591">
        <v>100</v>
      </c>
      <c r="O591">
        <f t="shared" si="512"/>
        <v>81358.05</v>
      </c>
      <c r="P591">
        <f t="shared" si="513"/>
        <v>81358.05</v>
      </c>
      <c r="Q591">
        <f>(ROUND((ROUND(((ET591)*AV591*I591),2)*BB591),2)+ROUND((ROUND(((AE591-(EU591))*AV591*I591),2)*BS591),2))</f>
        <v>0</v>
      </c>
      <c r="R591">
        <f t="shared" si="514"/>
        <v>0</v>
      </c>
      <c r="S591">
        <f t="shared" si="515"/>
        <v>0</v>
      </c>
      <c r="T591">
        <f t="shared" si="516"/>
        <v>0</v>
      </c>
      <c r="U591">
        <f t="shared" si="517"/>
        <v>0</v>
      </c>
      <c r="V591">
        <f t="shared" si="518"/>
        <v>0</v>
      </c>
      <c r="W591">
        <f t="shared" si="519"/>
        <v>0</v>
      </c>
      <c r="X591">
        <f t="shared" si="520"/>
        <v>0</v>
      </c>
      <c r="Y591">
        <f t="shared" si="521"/>
        <v>0</v>
      </c>
      <c r="AA591">
        <v>42938047</v>
      </c>
      <c r="AB591">
        <f t="shared" si="522"/>
        <v>44.25</v>
      </c>
      <c r="AC591">
        <f t="shared" si="523"/>
        <v>44.25</v>
      </c>
      <c r="AD591">
        <f>ROUND((((ET591)-(EU591))+AE591),6)</f>
        <v>0</v>
      </c>
      <c r="AE591">
        <f>ROUND((EU591),6)</f>
        <v>0</v>
      </c>
      <c r="AF591">
        <f>ROUND((EV591),6)</f>
        <v>0</v>
      </c>
      <c r="AG591">
        <f t="shared" si="524"/>
        <v>0</v>
      </c>
      <c r="AH591">
        <f>(EW591)</f>
        <v>0</v>
      </c>
      <c r="AI591">
        <f>(EX591)</f>
        <v>0</v>
      </c>
      <c r="AJ591">
        <f t="shared" si="525"/>
        <v>0</v>
      </c>
      <c r="AK591">
        <v>44.25</v>
      </c>
      <c r="AL591">
        <v>44.25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1</v>
      </c>
      <c r="AW591">
        <v>1</v>
      </c>
      <c r="AZ591">
        <v>1</v>
      </c>
      <c r="BA591">
        <v>1</v>
      </c>
      <c r="BB591">
        <v>1</v>
      </c>
      <c r="BC591">
        <v>6.34</v>
      </c>
      <c r="BD591" t="s">
        <v>3</v>
      </c>
      <c r="BE591" t="s">
        <v>3</v>
      </c>
      <c r="BF591" t="s">
        <v>3</v>
      </c>
      <c r="BG591" t="s">
        <v>3</v>
      </c>
      <c r="BH591">
        <v>3</v>
      </c>
      <c r="BI591">
        <v>1</v>
      </c>
      <c r="BJ591" t="s">
        <v>3</v>
      </c>
      <c r="BM591">
        <v>1691</v>
      </c>
      <c r="BN591">
        <v>0</v>
      </c>
      <c r="BO591" t="s">
        <v>3</v>
      </c>
      <c r="BP591">
        <v>0</v>
      </c>
      <c r="BQ591">
        <v>30</v>
      </c>
      <c r="BR591">
        <v>0</v>
      </c>
      <c r="BS591">
        <v>1</v>
      </c>
      <c r="BT591">
        <v>1</v>
      </c>
      <c r="BU591">
        <v>1</v>
      </c>
      <c r="BV591">
        <v>1</v>
      </c>
      <c r="BW591">
        <v>1</v>
      </c>
      <c r="BX591">
        <v>1</v>
      </c>
      <c r="BY591" t="s">
        <v>3</v>
      </c>
      <c r="BZ591">
        <v>0</v>
      </c>
      <c r="CA591">
        <v>0</v>
      </c>
      <c r="CB591" t="s">
        <v>3</v>
      </c>
      <c r="CE591">
        <v>30</v>
      </c>
      <c r="CF591">
        <v>0</v>
      </c>
      <c r="CG591">
        <v>0</v>
      </c>
      <c r="CM591">
        <v>0</v>
      </c>
      <c r="CN591" t="s">
        <v>3</v>
      </c>
      <c r="CO591">
        <v>0</v>
      </c>
      <c r="CP591">
        <f t="shared" si="526"/>
        <v>81358.05</v>
      </c>
      <c r="CQ591">
        <f t="shared" si="527"/>
        <v>280.55</v>
      </c>
      <c r="CR591">
        <f>(ROUND((ROUND(((ET591)*AV591*1),2)*BB591),2)+ROUND((ROUND(((AE591-(EU591))*AV591*1),2)*BS591),2))</f>
        <v>0</v>
      </c>
      <c r="CS591">
        <f t="shared" si="528"/>
        <v>0</v>
      </c>
      <c r="CT591">
        <f t="shared" si="529"/>
        <v>0</v>
      </c>
      <c r="CU591">
        <f t="shared" si="530"/>
        <v>0</v>
      </c>
      <c r="CV591">
        <f t="shared" si="531"/>
        <v>0</v>
      </c>
      <c r="CW591">
        <f t="shared" si="532"/>
        <v>0</v>
      </c>
      <c r="CX591">
        <f t="shared" si="533"/>
        <v>0</v>
      </c>
      <c r="CY591">
        <f t="shared" si="534"/>
        <v>0</v>
      </c>
      <c r="CZ591">
        <f t="shared" si="535"/>
        <v>0</v>
      </c>
      <c r="DC591" t="s">
        <v>3</v>
      </c>
      <c r="DD591" t="s">
        <v>3</v>
      </c>
      <c r="DE591" t="s">
        <v>3</v>
      </c>
      <c r="DF591" t="s">
        <v>3</v>
      </c>
      <c r="DG591" t="s">
        <v>3</v>
      </c>
      <c r="DH591" t="s">
        <v>3</v>
      </c>
      <c r="DI591" t="s">
        <v>3</v>
      </c>
      <c r="DJ591" t="s">
        <v>3</v>
      </c>
      <c r="DK591" t="s">
        <v>3</v>
      </c>
      <c r="DL591" t="s">
        <v>3</v>
      </c>
      <c r="DM591" t="s">
        <v>3</v>
      </c>
      <c r="DN591">
        <v>116</v>
      </c>
      <c r="DO591">
        <v>68</v>
      </c>
      <c r="DP591">
        <v>1</v>
      </c>
      <c r="DQ591">
        <v>1</v>
      </c>
      <c r="DU591">
        <v>1003</v>
      </c>
      <c r="DV591" t="s">
        <v>136</v>
      </c>
      <c r="DW591" t="s">
        <v>136</v>
      </c>
      <c r="DX591">
        <v>1</v>
      </c>
      <c r="DZ591" t="s">
        <v>3</v>
      </c>
      <c r="EA591" t="s">
        <v>3</v>
      </c>
      <c r="EB591" t="s">
        <v>3</v>
      </c>
      <c r="EC591" t="s">
        <v>3</v>
      </c>
      <c r="EE591">
        <v>43089769</v>
      </c>
      <c r="EF591">
        <v>30</v>
      </c>
      <c r="EG591" t="s">
        <v>22</v>
      </c>
      <c r="EH591">
        <v>0</v>
      </c>
      <c r="EI591" t="s">
        <v>3</v>
      </c>
      <c r="EJ591">
        <v>1</v>
      </c>
      <c r="EK591">
        <v>1691</v>
      </c>
      <c r="EL591" t="s">
        <v>154</v>
      </c>
      <c r="EM591" t="s">
        <v>155</v>
      </c>
      <c r="EO591" t="s">
        <v>3</v>
      </c>
      <c r="EQ591">
        <v>0</v>
      </c>
      <c r="ER591">
        <v>44.25</v>
      </c>
      <c r="ES591">
        <v>44.25</v>
      </c>
      <c r="ET591">
        <v>0</v>
      </c>
      <c r="EU591">
        <v>0</v>
      </c>
      <c r="EV591">
        <v>0</v>
      </c>
      <c r="EW591">
        <v>0</v>
      </c>
      <c r="EX591">
        <v>0</v>
      </c>
      <c r="EZ591">
        <v>5</v>
      </c>
      <c r="FC591">
        <v>1</v>
      </c>
      <c r="FD591">
        <v>18</v>
      </c>
      <c r="FF591">
        <v>330</v>
      </c>
      <c r="FQ591">
        <v>0</v>
      </c>
      <c r="FR591">
        <f t="shared" si="536"/>
        <v>0</v>
      </c>
      <c r="FS591">
        <v>0</v>
      </c>
      <c r="FX591">
        <v>116</v>
      </c>
      <c r="FY591">
        <v>68</v>
      </c>
      <c r="GA591" t="s">
        <v>731</v>
      </c>
      <c r="GD591">
        <v>0</v>
      </c>
      <c r="GF591">
        <v>-954942173</v>
      </c>
      <c r="GG591">
        <v>2</v>
      </c>
      <c r="GH591">
        <v>3</v>
      </c>
      <c r="GI591">
        <v>3</v>
      </c>
      <c r="GJ591">
        <v>0</v>
      </c>
      <c r="GK591">
        <f>ROUND(R591*(R12)/100,2)</f>
        <v>0</v>
      </c>
      <c r="GL591">
        <f t="shared" si="537"/>
        <v>0</v>
      </c>
      <c r="GM591">
        <f t="shared" si="538"/>
        <v>81358.05</v>
      </c>
      <c r="GN591">
        <f t="shared" si="539"/>
        <v>81358.05</v>
      </c>
      <c r="GO591">
        <f t="shared" si="540"/>
        <v>0</v>
      </c>
      <c r="GP591">
        <f t="shared" si="541"/>
        <v>0</v>
      </c>
      <c r="GR591">
        <v>1</v>
      </c>
      <c r="GS591">
        <v>1</v>
      </c>
      <c r="GT591">
        <v>0</v>
      </c>
      <c r="GU591" t="s">
        <v>3</v>
      </c>
      <c r="GV591">
        <f t="shared" si="542"/>
        <v>0</v>
      </c>
      <c r="GW591">
        <v>1</v>
      </c>
      <c r="GX591">
        <f t="shared" si="543"/>
        <v>0</v>
      </c>
      <c r="HA591">
        <v>0</v>
      </c>
      <c r="HB591">
        <v>0</v>
      </c>
      <c r="HC591">
        <f t="shared" si="544"/>
        <v>0</v>
      </c>
      <c r="HE591" t="s">
        <v>26</v>
      </c>
      <c r="HF591" t="s">
        <v>122</v>
      </c>
      <c r="HM591" t="s">
        <v>3</v>
      </c>
      <c r="IK591">
        <v>0</v>
      </c>
    </row>
    <row r="592" spans="1:245" x14ac:dyDescent="0.2">
      <c r="A592">
        <v>17</v>
      </c>
      <c r="B592">
        <v>1</v>
      </c>
      <c r="C592">
        <f>ROW(SmtRes!A376)</f>
        <v>376</v>
      </c>
      <c r="D592">
        <f>ROW(EtalonRes!A377)</f>
        <v>377</v>
      </c>
      <c r="E592" t="s">
        <v>732</v>
      </c>
      <c r="F592" t="s">
        <v>87</v>
      </c>
      <c r="G592" t="s">
        <v>733</v>
      </c>
      <c r="H592" t="s">
        <v>77</v>
      </c>
      <c r="I592">
        <f>ROUND(9/100,9)</f>
        <v>0.09</v>
      </c>
      <c r="J592">
        <v>0</v>
      </c>
      <c r="K592">
        <f>ROUND(9/100,9)</f>
        <v>0.09</v>
      </c>
      <c r="O592">
        <f t="shared" si="512"/>
        <v>1234.27</v>
      </c>
      <c r="P592">
        <f t="shared" si="513"/>
        <v>16.350000000000001</v>
      </c>
      <c r="Q592">
        <f>(ROUND((ROUND((((ET592*1.25))*AV592*I592),2)*BB592),2)+ROUND((ROUND(((AE592-((EU592*1.25)))*AV592*I592),2)*BS592),2))</f>
        <v>819.02</v>
      </c>
      <c r="R592">
        <f t="shared" si="514"/>
        <v>303.24</v>
      </c>
      <c r="S592">
        <f t="shared" si="515"/>
        <v>398.9</v>
      </c>
      <c r="T592">
        <f t="shared" si="516"/>
        <v>0</v>
      </c>
      <c r="U592">
        <f t="shared" si="517"/>
        <v>1.4903999999999997</v>
      </c>
      <c r="V592">
        <f t="shared" si="518"/>
        <v>0</v>
      </c>
      <c r="W592">
        <f t="shared" si="519"/>
        <v>0</v>
      </c>
      <c r="X592">
        <f t="shared" si="520"/>
        <v>446.77</v>
      </c>
      <c r="Y592">
        <f t="shared" si="521"/>
        <v>163.55000000000001</v>
      </c>
      <c r="AA592">
        <v>42938047</v>
      </c>
      <c r="AB592">
        <f t="shared" si="522"/>
        <v>1141.0385000000001</v>
      </c>
      <c r="AC592">
        <f t="shared" si="523"/>
        <v>35.35</v>
      </c>
      <c r="AD592">
        <f>ROUND(((((ET592*1.25))-((EU592*1.25)))+AE592),6)</f>
        <v>931.47500000000002</v>
      </c>
      <c r="AE592">
        <f>ROUND(((EU592*1.25)),6)</f>
        <v>132.48750000000001</v>
      </c>
      <c r="AF592">
        <f>ROUND(((EV592*1.15)),6)</f>
        <v>174.21350000000001</v>
      </c>
      <c r="AG592">
        <f t="shared" si="524"/>
        <v>0</v>
      </c>
      <c r="AH592">
        <f>((EW592*1.15))</f>
        <v>16.559999999999999</v>
      </c>
      <c r="AI592">
        <f>((EX592*1.25))</f>
        <v>0</v>
      </c>
      <c r="AJ592">
        <f t="shared" si="525"/>
        <v>0</v>
      </c>
      <c r="AK592">
        <v>932.02</v>
      </c>
      <c r="AL592">
        <v>35.35</v>
      </c>
      <c r="AM592">
        <v>745.18</v>
      </c>
      <c r="AN592">
        <v>105.99</v>
      </c>
      <c r="AO592">
        <v>151.49</v>
      </c>
      <c r="AP592">
        <v>0</v>
      </c>
      <c r="AQ592">
        <v>14.4</v>
      </c>
      <c r="AR592">
        <v>0</v>
      </c>
      <c r="AS592">
        <v>0</v>
      </c>
      <c r="AT592">
        <v>112</v>
      </c>
      <c r="AU592">
        <v>41</v>
      </c>
      <c r="AV592">
        <v>1</v>
      </c>
      <c r="AW592">
        <v>1</v>
      </c>
      <c r="AZ592">
        <v>1</v>
      </c>
      <c r="BA592">
        <v>25.44</v>
      </c>
      <c r="BB592">
        <v>9.77</v>
      </c>
      <c r="BC592">
        <v>5.14</v>
      </c>
      <c r="BD592" t="s">
        <v>3</v>
      </c>
      <c r="BE592" t="s">
        <v>3</v>
      </c>
      <c r="BF592" t="s">
        <v>3</v>
      </c>
      <c r="BG592" t="s">
        <v>3</v>
      </c>
      <c r="BH592">
        <v>0</v>
      </c>
      <c r="BI592">
        <v>1</v>
      </c>
      <c r="BJ592" t="s">
        <v>89</v>
      </c>
      <c r="BM592">
        <v>146</v>
      </c>
      <c r="BN592">
        <v>0</v>
      </c>
      <c r="BO592" t="s">
        <v>87</v>
      </c>
      <c r="BP592">
        <v>1</v>
      </c>
      <c r="BQ592">
        <v>30</v>
      </c>
      <c r="BR592">
        <v>0</v>
      </c>
      <c r="BS592">
        <v>25.44</v>
      </c>
      <c r="BT592">
        <v>1</v>
      </c>
      <c r="BU592">
        <v>1</v>
      </c>
      <c r="BV592">
        <v>1</v>
      </c>
      <c r="BW592">
        <v>1</v>
      </c>
      <c r="BX592">
        <v>1</v>
      </c>
      <c r="BY592" t="s">
        <v>3</v>
      </c>
      <c r="BZ592">
        <v>112</v>
      </c>
      <c r="CA592">
        <v>41</v>
      </c>
      <c r="CB592" t="s">
        <v>3</v>
      </c>
      <c r="CE592">
        <v>30</v>
      </c>
      <c r="CF592">
        <v>0</v>
      </c>
      <c r="CG592">
        <v>0</v>
      </c>
      <c r="CM592">
        <v>0</v>
      </c>
      <c r="CN592" t="s">
        <v>1584</v>
      </c>
      <c r="CO592">
        <v>0</v>
      </c>
      <c r="CP592">
        <f t="shared" si="526"/>
        <v>1234.27</v>
      </c>
      <c r="CQ592">
        <f t="shared" si="527"/>
        <v>181.7</v>
      </c>
      <c r="CR592">
        <f>(ROUND((ROUND((((ET592*1.25))*AV592*1),2)*BB592),2)+ROUND((ROUND(((AE592-((EU592*1.25)))*AV592*1),2)*BS592),2))</f>
        <v>9100.56</v>
      </c>
      <c r="CS592">
        <f t="shared" si="528"/>
        <v>3370.55</v>
      </c>
      <c r="CT592">
        <f t="shared" si="529"/>
        <v>4431.8999999999996</v>
      </c>
      <c r="CU592">
        <f t="shared" si="530"/>
        <v>0</v>
      </c>
      <c r="CV592">
        <f t="shared" si="531"/>
        <v>16.559999999999999</v>
      </c>
      <c r="CW592">
        <f t="shared" si="532"/>
        <v>0</v>
      </c>
      <c r="CX592">
        <f t="shared" si="533"/>
        <v>0</v>
      </c>
      <c r="CY592">
        <f t="shared" si="534"/>
        <v>446.76800000000003</v>
      </c>
      <c r="CZ592">
        <f t="shared" si="535"/>
        <v>163.54899999999998</v>
      </c>
      <c r="DC592" t="s">
        <v>3</v>
      </c>
      <c r="DD592" t="s">
        <v>3</v>
      </c>
      <c r="DE592" t="s">
        <v>20</v>
      </c>
      <c r="DF592" t="s">
        <v>20</v>
      </c>
      <c r="DG592" t="s">
        <v>21</v>
      </c>
      <c r="DH592" t="s">
        <v>3</v>
      </c>
      <c r="DI592" t="s">
        <v>21</v>
      </c>
      <c r="DJ592" t="s">
        <v>20</v>
      </c>
      <c r="DK592" t="s">
        <v>3</v>
      </c>
      <c r="DL592" t="s">
        <v>3</v>
      </c>
      <c r="DM592" t="s">
        <v>3</v>
      </c>
      <c r="DN592">
        <v>140</v>
      </c>
      <c r="DO592">
        <v>79</v>
      </c>
      <c r="DP592">
        <v>1</v>
      </c>
      <c r="DQ592">
        <v>1</v>
      </c>
      <c r="DU592">
        <v>1013</v>
      </c>
      <c r="DV592" t="s">
        <v>77</v>
      </c>
      <c r="DW592" t="s">
        <v>77</v>
      </c>
      <c r="DX592">
        <v>1</v>
      </c>
      <c r="DZ592" t="s">
        <v>3</v>
      </c>
      <c r="EA592" t="s">
        <v>3</v>
      </c>
      <c r="EB592" t="s">
        <v>3</v>
      </c>
      <c r="EC592" t="s">
        <v>3</v>
      </c>
      <c r="EE592">
        <v>43088224</v>
      </c>
      <c r="EF592">
        <v>30</v>
      </c>
      <c r="EG592" t="s">
        <v>22</v>
      </c>
      <c r="EH592">
        <v>0</v>
      </c>
      <c r="EI592" t="s">
        <v>3</v>
      </c>
      <c r="EJ592">
        <v>1</v>
      </c>
      <c r="EK592">
        <v>146</v>
      </c>
      <c r="EL592" t="s">
        <v>79</v>
      </c>
      <c r="EM592" t="s">
        <v>80</v>
      </c>
      <c r="EO592" t="s">
        <v>59</v>
      </c>
      <c r="EQ592">
        <v>0</v>
      </c>
      <c r="ER592">
        <v>932.02</v>
      </c>
      <c r="ES592">
        <v>35.35</v>
      </c>
      <c r="ET592">
        <v>745.18</v>
      </c>
      <c r="EU592">
        <v>105.99</v>
      </c>
      <c r="EV592">
        <v>151.49</v>
      </c>
      <c r="EW592">
        <v>14.4</v>
      </c>
      <c r="EX592">
        <v>0</v>
      </c>
      <c r="EY592">
        <v>0</v>
      </c>
      <c r="FQ592">
        <v>0</v>
      </c>
      <c r="FR592">
        <f t="shared" si="536"/>
        <v>0</v>
      </c>
      <c r="FS592">
        <v>0</v>
      </c>
      <c r="FX592">
        <v>140</v>
      </c>
      <c r="FY592">
        <v>79</v>
      </c>
      <c r="GA592" t="s">
        <v>3</v>
      </c>
      <c r="GD592">
        <v>0</v>
      </c>
      <c r="GF592">
        <v>1182033795</v>
      </c>
      <c r="GG592">
        <v>2</v>
      </c>
      <c r="GH592">
        <v>1</v>
      </c>
      <c r="GI592">
        <v>2</v>
      </c>
      <c r="GJ592">
        <v>0</v>
      </c>
      <c r="GK592">
        <f>ROUND(R592*(R12)/100,2)</f>
        <v>476.09</v>
      </c>
      <c r="GL592">
        <f t="shared" si="537"/>
        <v>0</v>
      </c>
      <c r="GM592">
        <f t="shared" si="538"/>
        <v>2320.6799999999998</v>
      </c>
      <c r="GN592">
        <f t="shared" si="539"/>
        <v>2320.6799999999998</v>
      </c>
      <c r="GO592">
        <f t="shared" si="540"/>
        <v>0</v>
      </c>
      <c r="GP592">
        <f t="shared" si="541"/>
        <v>0</v>
      </c>
      <c r="GR592">
        <v>0</v>
      </c>
      <c r="GS592">
        <v>3</v>
      </c>
      <c r="GT592">
        <v>0</v>
      </c>
      <c r="GU592" t="s">
        <v>3</v>
      </c>
      <c r="GV592">
        <f t="shared" si="542"/>
        <v>0</v>
      </c>
      <c r="GW592">
        <v>1</v>
      </c>
      <c r="GX592">
        <f t="shared" si="543"/>
        <v>0</v>
      </c>
      <c r="HA592">
        <v>0</v>
      </c>
      <c r="HB592">
        <v>0</v>
      </c>
      <c r="HC592">
        <f t="shared" si="544"/>
        <v>0</v>
      </c>
      <c r="HE592" t="s">
        <v>3</v>
      </c>
      <c r="HF592" t="s">
        <v>3</v>
      </c>
      <c r="HM592" t="s">
        <v>3</v>
      </c>
      <c r="IK592">
        <v>0</v>
      </c>
    </row>
    <row r="593" spans="1:245" x14ac:dyDescent="0.2">
      <c r="A593">
        <v>18</v>
      </c>
      <c r="B593">
        <v>1</v>
      </c>
      <c r="C593">
        <v>376</v>
      </c>
      <c r="E593" t="s">
        <v>734</v>
      </c>
      <c r="F593" t="s">
        <v>91</v>
      </c>
      <c r="G593" t="s">
        <v>92</v>
      </c>
      <c r="H593" t="s">
        <v>84</v>
      </c>
      <c r="I593">
        <f>I592*J593</f>
        <v>9</v>
      </c>
      <c r="J593">
        <v>100</v>
      </c>
      <c r="K593">
        <v>100</v>
      </c>
      <c r="O593">
        <f t="shared" si="512"/>
        <v>5206.45</v>
      </c>
      <c r="P593">
        <f t="shared" si="513"/>
        <v>5206.45</v>
      </c>
      <c r="Q593">
        <f>(ROUND((ROUND(((ET593)*AV593*I593),2)*BB593),2)+ROUND((ROUND(((AE593-(EU593))*AV593*I593),2)*BS593),2))</f>
        <v>0</v>
      </c>
      <c r="R593">
        <f t="shared" si="514"/>
        <v>0</v>
      </c>
      <c r="S593">
        <f t="shared" si="515"/>
        <v>0</v>
      </c>
      <c r="T593">
        <f t="shared" si="516"/>
        <v>0</v>
      </c>
      <c r="U593">
        <f t="shared" si="517"/>
        <v>0</v>
      </c>
      <c r="V593">
        <f t="shared" si="518"/>
        <v>0</v>
      </c>
      <c r="W593">
        <f t="shared" si="519"/>
        <v>0</v>
      </c>
      <c r="X593">
        <f t="shared" si="520"/>
        <v>0</v>
      </c>
      <c r="Y593">
        <f t="shared" si="521"/>
        <v>0</v>
      </c>
      <c r="AA593">
        <v>42938047</v>
      </c>
      <c r="AB593">
        <f t="shared" si="522"/>
        <v>104.99</v>
      </c>
      <c r="AC593">
        <f t="shared" si="523"/>
        <v>104.99</v>
      </c>
      <c r="AD593">
        <f>ROUND((((ET593)-(EU593))+AE593),6)</f>
        <v>0</v>
      </c>
      <c r="AE593">
        <f t="shared" ref="AE593:AF597" si="545">ROUND((EU593),6)</f>
        <v>0</v>
      </c>
      <c r="AF593">
        <f t="shared" si="545"/>
        <v>0</v>
      </c>
      <c r="AG593">
        <f t="shared" si="524"/>
        <v>0</v>
      </c>
      <c r="AH593">
        <f t="shared" ref="AH593:AI597" si="546">(EW593)</f>
        <v>0</v>
      </c>
      <c r="AI593">
        <f t="shared" si="546"/>
        <v>0</v>
      </c>
      <c r="AJ593">
        <f t="shared" si="525"/>
        <v>0</v>
      </c>
      <c r="AK593">
        <v>104.99</v>
      </c>
      <c r="AL593">
        <v>104.99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1</v>
      </c>
      <c r="AW593">
        <v>1</v>
      </c>
      <c r="AZ593">
        <v>1</v>
      </c>
      <c r="BA593">
        <v>1</v>
      </c>
      <c r="BB593">
        <v>1</v>
      </c>
      <c r="BC593">
        <v>5.51</v>
      </c>
      <c r="BD593" t="s">
        <v>3</v>
      </c>
      <c r="BE593" t="s">
        <v>3</v>
      </c>
      <c r="BF593" t="s">
        <v>3</v>
      </c>
      <c r="BG593" t="s">
        <v>3</v>
      </c>
      <c r="BH593">
        <v>3</v>
      </c>
      <c r="BI593">
        <v>1</v>
      </c>
      <c r="BJ593" t="s">
        <v>93</v>
      </c>
      <c r="BM593">
        <v>146</v>
      </c>
      <c r="BN593">
        <v>0</v>
      </c>
      <c r="BO593" t="s">
        <v>91</v>
      </c>
      <c r="BP593">
        <v>1</v>
      </c>
      <c r="BQ593">
        <v>30</v>
      </c>
      <c r="BR593">
        <v>0</v>
      </c>
      <c r="BS593">
        <v>1</v>
      </c>
      <c r="BT593">
        <v>1</v>
      </c>
      <c r="BU593">
        <v>1</v>
      </c>
      <c r="BV593">
        <v>1</v>
      </c>
      <c r="BW593">
        <v>1</v>
      </c>
      <c r="BX593">
        <v>1</v>
      </c>
      <c r="BY593" t="s">
        <v>3</v>
      </c>
      <c r="BZ593">
        <v>0</v>
      </c>
      <c r="CA593">
        <v>0</v>
      </c>
      <c r="CB593" t="s">
        <v>3</v>
      </c>
      <c r="CE593">
        <v>30</v>
      </c>
      <c r="CF593">
        <v>0</v>
      </c>
      <c r="CG593">
        <v>0</v>
      </c>
      <c r="CM593">
        <v>0</v>
      </c>
      <c r="CN593" t="s">
        <v>3</v>
      </c>
      <c r="CO593">
        <v>0</v>
      </c>
      <c r="CP593">
        <f t="shared" si="526"/>
        <v>5206.45</v>
      </c>
      <c r="CQ593">
        <f t="shared" si="527"/>
        <v>578.49</v>
      </c>
      <c r="CR593">
        <f>(ROUND((ROUND(((ET593)*AV593*1),2)*BB593),2)+ROUND((ROUND(((AE593-(EU593))*AV593*1),2)*BS593),2))</f>
        <v>0</v>
      </c>
      <c r="CS593">
        <f t="shared" si="528"/>
        <v>0</v>
      </c>
      <c r="CT593">
        <f t="shared" si="529"/>
        <v>0</v>
      </c>
      <c r="CU593">
        <f t="shared" si="530"/>
        <v>0</v>
      </c>
      <c r="CV593">
        <f t="shared" si="531"/>
        <v>0</v>
      </c>
      <c r="CW593">
        <f t="shared" si="532"/>
        <v>0</v>
      </c>
      <c r="CX593">
        <f t="shared" si="533"/>
        <v>0</v>
      </c>
      <c r="CY593">
        <f t="shared" si="534"/>
        <v>0</v>
      </c>
      <c r="CZ593">
        <f t="shared" si="535"/>
        <v>0</v>
      </c>
      <c r="DC593" t="s">
        <v>3</v>
      </c>
      <c r="DD593" t="s">
        <v>3</v>
      </c>
      <c r="DE593" t="s">
        <v>3</v>
      </c>
      <c r="DF593" t="s">
        <v>3</v>
      </c>
      <c r="DG593" t="s">
        <v>3</v>
      </c>
      <c r="DH593" t="s">
        <v>3</v>
      </c>
      <c r="DI593" t="s">
        <v>3</v>
      </c>
      <c r="DJ593" t="s">
        <v>3</v>
      </c>
      <c r="DK593" t="s">
        <v>3</v>
      </c>
      <c r="DL593" t="s">
        <v>3</v>
      </c>
      <c r="DM593" t="s">
        <v>3</v>
      </c>
      <c r="DN593">
        <v>140</v>
      </c>
      <c r="DO593">
        <v>79</v>
      </c>
      <c r="DP593">
        <v>1</v>
      </c>
      <c r="DQ593">
        <v>1</v>
      </c>
      <c r="DU593">
        <v>1007</v>
      </c>
      <c r="DV593" t="s">
        <v>84</v>
      </c>
      <c r="DW593" t="s">
        <v>84</v>
      </c>
      <c r="DX593">
        <v>1</v>
      </c>
      <c r="DZ593" t="s">
        <v>3</v>
      </c>
      <c r="EA593" t="s">
        <v>3</v>
      </c>
      <c r="EB593" t="s">
        <v>3</v>
      </c>
      <c r="EC593" t="s">
        <v>3</v>
      </c>
      <c r="EE593">
        <v>43088224</v>
      </c>
      <c r="EF593">
        <v>30</v>
      </c>
      <c r="EG593" t="s">
        <v>22</v>
      </c>
      <c r="EH593">
        <v>0</v>
      </c>
      <c r="EI593" t="s">
        <v>3</v>
      </c>
      <c r="EJ593">
        <v>1</v>
      </c>
      <c r="EK593">
        <v>146</v>
      </c>
      <c r="EL593" t="s">
        <v>79</v>
      </c>
      <c r="EM593" t="s">
        <v>80</v>
      </c>
      <c r="EO593" t="s">
        <v>3</v>
      </c>
      <c r="EQ593">
        <v>0</v>
      </c>
      <c r="ER593">
        <v>104.99</v>
      </c>
      <c r="ES593">
        <v>104.99</v>
      </c>
      <c r="ET593">
        <v>0</v>
      </c>
      <c r="EU593">
        <v>0</v>
      </c>
      <c r="EV593">
        <v>0</v>
      </c>
      <c r="EW593">
        <v>0</v>
      </c>
      <c r="EX593">
        <v>0</v>
      </c>
      <c r="FQ593">
        <v>0</v>
      </c>
      <c r="FR593">
        <f t="shared" si="536"/>
        <v>0</v>
      </c>
      <c r="FS593">
        <v>0</v>
      </c>
      <c r="FX593">
        <v>140</v>
      </c>
      <c r="FY593">
        <v>79</v>
      </c>
      <c r="GA593" t="s">
        <v>3</v>
      </c>
      <c r="GD593">
        <v>0</v>
      </c>
      <c r="GF593">
        <v>2069056849</v>
      </c>
      <c r="GG593">
        <v>2</v>
      </c>
      <c r="GH593">
        <v>1</v>
      </c>
      <c r="GI593">
        <v>2</v>
      </c>
      <c r="GJ593">
        <v>0</v>
      </c>
      <c r="GK593">
        <f>ROUND(R593*(R12)/100,2)</f>
        <v>0</v>
      </c>
      <c r="GL593">
        <f t="shared" si="537"/>
        <v>0</v>
      </c>
      <c r="GM593">
        <f t="shared" si="538"/>
        <v>5206.45</v>
      </c>
      <c r="GN593">
        <f t="shared" si="539"/>
        <v>5206.45</v>
      </c>
      <c r="GO593">
        <f t="shared" si="540"/>
        <v>0</v>
      </c>
      <c r="GP593">
        <f t="shared" si="541"/>
        <v>0</v>
      </c>
      <c r="GR593">
        <v>0</v>
      </c>
      <c r="GS593">
        <v>3</v>
      </c>
      <c r="GT593">
        <v>0</v>
      </c>
      <c r="GU593" t="s">
        <v>3</v>
      </c>
      <c r="GV593">
        <f t="shared" si="542"/>
        <v>0</v>
      </c>
      <c r="GW593">
        <v>1</v>
      </c>
      <c r="GX593">
        <f t="shared" si="543"/>
        <v>0</v>
      </c>
      <c r="HA593">
        <v>0</v>
      </c>
      <c r="HB593">
        <v>0</v>
      </c>
      <c r="HC593">
        <f t="shared" si="544"/>
        <v>0</v>
      </c>
      <c r="HE593" t="s">
        <v>3</v>
      </c>
      <c r="HF593" t="s">
        <v>3</v>
      </c>
      <c r="HM593" t="s">
        <v>3</v>
      </c>
      <c r="IK593">
        <v>0</v>
      </c>
    </row>
    <row r="594" spans="1:245" x14ac:dyDescent="0.2">
      <c r="A594">
        <v>18</v>
      </c>
      <c r="B594">
        <v>1</v>
      </c>
      <c r="C594">
        <v>373</v>
      </c>
      <c r="E594" t="s">
        <v>735</v>
      </c>
      <c r="F594" t="s">
        <v>736</v>
      </c>
      <c r="G594" t="s">
        <v>737</v>
      </c>
      <c r="H594" t="s">
        <v>738</v>
      </c>
      <c r="I594">
        <f>I592*J594</f>
        <v>-0.174375</v>
      </c>
      <c r="J594">
        <v>-1.9375</v>
      </c>
      <c r="K594">
        <v>-1.55</v>
      </c>
      <c r="O594">
        <f t="shared" si="512"/>
        <v>-265.11</v>
      </c>
      <c r="P594">
        <f t="shared" si="513"/>
        <v>0</v>
      </c>
      <c r="Q594">
        <f>(ROUND((ROUND(((ET594)*AV594*I594),2)*BB594),2)+ROUND((ROUND(((AE594-(EU594))*AV594*I594),2)*BS594),2))</f>
        <v>-265.11</v>
      </c>
      <c r="R594">
        <f t="shared" si="514"/>
        <v>-109.65</v>
      </c>
      <c r="S594">
        <f t="shared" si="515"/>
        <v>0</v>
      </c>
      <c r="T594">
        <f t="shared" si="516"/>
        <v>0</v>
      </c>
      <c r="U594">
        <f t="shared" si="517"/>
        <v>0</v>
      </c>
      <c r="V594">
        <f t="shared" si="518"/>
        <v>0</v>
      </c>
      <c r="W594">
        <f t="shared" si="519"/>
        <v>0</v>
      </c>
      <c r="X594">
        <f t="shared" si="520"/>
        <v>0</v>
      </c>
      <c r="Y594">
        <f t="shared" si="521"/>
        <v>0</v>
      </c>
      <c r="AA594">
        <v>42938047</v>
      </c>
      <c r="AB594">
        <f t="shared" si="522"/>
        <v>125.13</v>
      </c>
      <c r="AC594">
        <f t="shared" si="523"/>
        <v>0</v>
      </c>
      <c r="AD594">
        <f>ROUND((((ET594)-(EU594))+AE594),6)</f>
        <v>125.13</v>
      </c>
      <c r="AE594">
        <f t="shared" si="545"/>
        <v>24.74</v>
      </c>
      <c r="AF594">
        <f t="shared" si="545"/>
        <v>0</v>
      </c>
      <c r="AG594">
        <f t="shared" si="524"/>
        <v>0</v>
      </c>
      <c r="AH594">
        <f t="shared" si="546"/>
        <v>0</v>
      </c>
      <c r="AI594">
        <f t="shared" si="546"/>
        <v>0</v>
      </c>
      <c r="AJ594">
        <f t="shared" si="525"/>
        <v>0</v>
      </c>
      <c r="AK594">
        <v>125.13</v>
      </c>
      <c r="AL594">
        <v>0</v>
      </c>
      <c r="AM594">
        <v>125.13</v>
      </c>
      <c r="AN594">
        <v>24.74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1</v>
      </c>
      <c r="AW594">
        <v>1</v>
      </c>
      <c r="AZ594">
        <v>1</v>
      </c>
      <c r="BA594">
        <v>1</v>
      </c>
      <c r="BB594">
        <v>12.15</v>
      </c>
      <c r="BC594">
        <v>1</v>
      </c>
      <c r="BD594" t="s">
        <v>3</v>
      </c>
      <c r="BE594" t="s">
        <v>3</v>
      </c>
      <c r="BF594" t="s">
        <v>3</v>
      </c>
      <c r="BG594" t="s">
        <v>3</v>
      </c>
      <c r="BH594">
        <v>2</v>
      </c>
      <c r="BI594">
        <v>1</v>
      </c>
      <c r="BJ594" t="s">
        <v>739</v>
      </c>
      <c r="BM594">
        <v>146</v>
      </c>
      <c r="BN594">
        <v>0</v>
      </c>
      <c r="BO594" t="s">
        <v>736</v>
      </c>
      <c r="BP594">
        <v>1</v>
      </c>
      <c r="BQ594">
        <v>30</v>
      </c>
      <c r="BR594">
        <v>1</v>
      </c>
      <c r="BS594">
        <v>25.44</v>
      </c>
      <c r="BT594">
        <v>1</v>
      </c>
      <c r="BU594">
        <v>1</v>
      </c>
      <c r="BV594">
        <v>1</v>
      </c>
      <c r="BW594">
        <v>1</v>
      </c>
      <c r="BX594">
        <v>1</v>
      </c>
      <c r="BY594" t="s">
        <v>3</v>
      </c>
      <c r="BZ594">
        <v>0</v>
      </c>
      <c r="CA594">
        <v>0</v>
      </c>
      <c r="CB594" t="s">
        <v>3</v>
      </c>
      <c r="CE594">
        <v>30</v>
      </c>
      <c r="CF594">
        <v>0</v>
      </c>
      <c r="CG594">
        <v>0</v>
      </c>
      <c r="CM594">
        <v>0</v>
      </c>
      <c r="CN594" t="s">
        <v>3</v>
      </c>
      <c r="CO594">
        <v>0</v>
      </c>
      <c r="CP594">
        <f t="shared" si="526"/>
        <v>-265.11</v>
      </c>
      <c r="CQ594">
        <f t="shared" si="527"/>
        <v>0</v>
      </c>
      <c r="CR594">
        <f>(ROUND((ROUND(((ET594)*AV594*1),2)*BB594),2)+ROUND((ROUND(((AE594-(EU594))*AV594*1),2)*BS594),2))</f>
        <v>1520.33</v>
      </c>
      <c r="CS594">
        <f t="shared" si="528"/>
        <v>629.39</v>
      </c>
      <c r="CT594">
        <f t="shared" si="529"/>
        <v>0</v>
      </c>
      <c r="CU594">
        <f t="shared" si="530"/>
        <v>0</v>
      </c>
      <c r="CV594">
        <f t="shared" si="531"/>
        <v>0</v>
      </c>
      <c r="CW594">
        <f t="shared" si="532"/>
        <v>0</v>
      </c>
      <c r="CX594">
        <f t="shared" si="533"/>
        <v>0</v>
      </c>
      <c r="CY594">
        <f t="shared" si="534"/>
        <v>0</v>
      </c>
      <c r="CZ594">
        <f t="shared" si="535"/>
        <v>0</v>
      </c>
      <c r="DC594" t="s">
        <v>3</v>
      </c>
      <c r="DD594" t="s">
        <v>3</v>
      </c>
      <c r="DE594" t="s">
        <v>3</v>
      </c>
      <c r="DF594" t="s">
        <v>3</v>
      </c>
      <c r="DG594" t="s">
        <v>3</v>
      </c>
      <c r="DH594" t="s">
        <v>3</v>
      </c>
      <c r="DI594" t="s">
        <v>3</v>
      </c>
      <c r="DJ594" t="s">
        <v>3</v>
      </c>
      <c r="DK594" t="s">
        <v>3</v>
      </c>
      <c r="DL594" t="s">
        <v>3</v>
      </c>
      <c r="DM594" t="s">
        <v>3</v>
      </c>
      <c r="DN594">
        <v>140</v>
      </c>
      <c r="DO594">
        <v>79</v>
      </c>
      <c r="DP594">
        <v>1</v>
      </c>
      <c r="DQ594">
        <v>1</v>
      </c>
      <c r="DU594">
        <v>1011</v>
      </c>
      <c r="DV594" t="s">
        <v>738</v>
      </c>
      <c r="DW594" t="s">
        <v>738</v>
      </c>
      <c r="DX594">
        <v>1</v>
      </c>
      <c r="DZ594" t="s">
        <v>3</v>
      </c>
      <c r="EA594" t="s">
        <v>3</v>
      </c>
      <c r="EB594" t="s">
        <v>3</v>
      </c>
      <c r="EC594" t="s">
        <v>3</v>
      </c>
      <c r="EE594">
        <v>43088224</v>
      </c>
      <c r="EF594">
        <v>30</v>
      </c>
      <c r="EG594" t="s">
        <v>22</v>
      </c>
      <c r="EH594">
        <v>0</v>
      </c>
      <c r="EI594" t="s">
        <v>3</v>
      </c>
      <c r="EJ594">
        <v>1</v>
      </c>
      <c r="EK594">
        <v>146</v>
      </c>
      <c r="EL594" t="s">
        <v>79</v>
      </c>
      <c r="EM594" t="s">
        <v>80</v>
      </c>
      <c r="EO594" t="s">
        <v>3</v>
      </c>
      <c r="EQ594">
        <v>0</v>
      </c>
      <c r="ER594">
        <v>125.13</v>
      </c>
      <c r="ES594">
        <v>0</v>
      </c>
      <c r="ET594">
        <v>125.13</v>
      </c>
      <c r="EU594">
        <v>24.74</v>
      </c>
      <c r="EV594">
        <v>0</v>
      </c>
      <c r="EW594">
        <v>0</v>
      </c>
      <c r="EX594">
        <v>0</v>
      </c>
      <c r="FQ594">
        <v>0</v>
      </c>
      <c r="FR594">
        <f t="shared" si="536"/>
        <v>0</v>
      </c>
      <c r="FS594">
        <v>0</v>
      </c>
      <c r="FX594">
        <v>140</v>
      </c>
      <c r="FY594">
        <v>79</v>
      </c>
      <c r="GA594" t="s">
        <v>3</v>
      </c>
      <c r="GD594">
        <v>0</v>
      </c>
      <c r="GF594">
        <v>856318566</v>
      </c>
      <c r="GG594">
        <v>2</v>
      </c>
      <c r="GH594">
        <v>1</v>
      </c>
      <c r="GI594">
        <v>2</v>
      </c>
      <c r="GJ594">
        <v>0</v>
      </c>
      <c r="GK594">
        <f>ROUND(R594*(R12)/100,2)</f>
        <v>-172.15</v>
      </c>
      <c r="GL594">
        <f t="shared" si="537"/>
        <v>0</v>
      </c>
      <c r="GM594">
        <f t="shared" si="538"/>
        <v>-437.26</v>
      </c>
      <c r="GN594">
        <f t="shared" si="539"/>
        <v>-437.26</v>
      </c>
      <c r="GO594">
        <f t="shared" si="540"/>
        <v>0</v>
      </c>
      <c r="GP594">
        <f t="shared" si="541"/>
        <v>0</v>
      </c>
      <c r="GR594">
        <v>0</v>
      </c>
      <c r="GS594">
        <v>7</v>
      </c>
      <c r="GT594">
        <v>0</v>
      </c>
      <c r="GU594" t="s">
        <v>3</v>
      </c>
      <c r="GV594">
        <f t="shared" si="542"/>
        <v>0</v>
      </c>
      <c r="GW594">
        <v>1</v>
      </c>
      <c r="GX594">
        <f t="shared" si="543"/>
        <v>0</v>
      </c>
      <c r="HA594">
        <v>0</v>
      </c>
      <c r="HB594">
        <v>0</v>
      </c>
      <c r="HC594">
        <f t="shared" si="544"/>
        <v>0</v>
      </c>
      <c r="HE594" t="s">
        <v>3</v>
      </c>
      <c r="HF594" t="s">
        <v>3</v>
      </c>
      <c r="HM594" t="s">
        <v>20</v>
      </c>
      <c r="IK594">
        <v>0</v>
      </c>
    </row>
    <row r="595" spans="1:245" x14ac:dyDescent="0.2">
      <c r="A595">
        <v>18</v>
      </c>
      <c r="B595">
        <v>1</v>
      </c>
      <c r="C595">
        <v>374</v>
      </c>
      <c r="E595" t="s">
        <v>740</v>
      </c>
      <c r="F595" t="s">
        <v>741</v>
      </c>
      <c r="G595" t="s">
        <v>742</v>
      </c>
      <c r="H595" t="s">
        <v>738</v>
      </c>
      <c r="I595">
        <f>I592*J595</f>
        <v>-5.8499999999999996E-2</v>
      </c>
      <c r="J595">
        <v>-0.65</v>
      </c>
      <c r="K595">
        <v>-0.52</v>
      </c>
      <c r="O595">
        <f t="shared" si="512"/>
        <v>-92.26</v>
      </c>
      <c r="P595">
        <f t="shared" si="513"/>
        <v>0</v>
      </c>
      <c r="Q595">
        <f>(ROUND((ROUND(((ET595)*AV595*I595),2)*BB595),2)+ROUND((ROUND(((AE595-(EU595))*AV595*I595),2)*BS595),2))</f>
        <v>-92.26</v>
      </c>
      <c r="R595">
        <f t="shared" si="514"/>
        <v>-25.95</v>
      </c>
      <c r="S595">
        <f t="shared" si="515"/>
        <v>0</v>
      </c>
      <c r="T595">
        <f t="shared" si="516"/>
        <v>0</v>
      </c>
      <c r="U595">
        <f t="shared" si="517"/>
        <v>0</v>
      </c>
      <c r="V595">
        <f t="shared" si="518"/>
        <v>0</v>
      </c>
      <c r="W595">
        <f t="shared" si="519"/>
        <v>0</v>
      </c>
      <c r="X595">
        <f t="shared" si="520"/>
        <v>0</v>
      </c>
      <c r="Y595">
        <f t="shared" si="521"/>
        <v>0</v>
      </c>
      <c r="AA595">
        <v>42938047</v>
      </c>
      <c r="AB595">
        <f t="shared" si="522"/>
        <v>177.54</v>
      </c>
      <c r="AC595">
        <f t="shared" si="523"/>
        <v>0</v>
      </c>
      <c r="AD595">
        <f>ROUND((((ET595)-(EU595))+AE595),6)</f>
        <v>177.54</v>
      </c>
      <c r="AE595">
        <f t="shared" si="545"/>
        <v>17.420000000000002</v>
      </c>
      <c r="AF595">
        <f t="shared" si="545"/>
        <v>0</v>
      </c>
      <c r="AG595">
        <f t="shared" si="524"/>
        <v>0</v>
      </c>
      <c r="AH595">
        <f t="shared" si="546"/>
        <v>0</v>
      </c>
      <c r="AI595">
        <f t="shared" si="546"/>
        <v>0</v>
      </c>
      <c r="AJ595">
        <f t="shared" si="525"/>
        <v>0</v>
      </c>
      <c r="AK595">
        <v>177.54</v>
      </c>
      <c r="AL595">
        <v>0</v>
      </c>
      <c r="AM595">
        <v>177.54</v>
      </c>
      <c r="AN595">
        <v>17.420000000000002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1</v>
      </c>
      <c r="AW595">
        <v>1</v>
      </c>
      <c r="AZ595">
        <v>1</v>
      </c>
      <c r="BA595">
        <v>1</v>
      </c>
      <c r="BB595">
        <v>8.8800000000000008</v>
      </c>
      <c r="BC595">
        <v>1</v>
      </c>
      <c r="BD595" t="s">
        <v>3</v>
      </c>
      <c r="BE595" t="s">
        <v>3</v>
      </c>
      <c r="BF595" t="s">
        <v>3</v>
      </c>
      <c r="BG595" t="s">
        <v>3</v>
      </c>
      <c r="BH595">
        <v>2</v>
      </c>
      <c r="BI595">
        <v>1</v>
      </c>
      <c r="BJ595" t="s">
        <v>743</v>
      </c>
      <c r="BM595">
        <v>146</v>
      </c>
      <c r="BN595">
        <v>0</v>
      </c>
      <c r="BO595" t="s">
        <v>741</v>
      </c>
      <c r="BP595">
        <v>1</v>
      </c>
      <c r="BQ595">
        <v>30</v>
      </c>
      <c r="BR595">
        <v>1</v>
      </c>
      <c r="BS595">
        <v>25.44</v>
      </c>
      <c r="BT595">
        <v>1</v>
      </c>
      <c r="BU595">
        <v>1</v>
      </c>
      <c r="BV595">
        <v>1</v>
      </c>
      <c r="BW595">
        <v>1</v>
      </c>
      <c r="BX595">
        <v>1</v>
      </c>
      <c r="BY595" t="s">
        <v>3</v>
      </c>
      <c r="BZ595">
        <v>0</v>
      </c>
      <c r="CA595">
        <v>0</v>
      </c>
      <c r="CB595" t="s">
        <v>3</v>
      </c>
      <c r="CE595">
        <v>30</v>
      </c>
      <c r="CF595">
        <v>0</v>
      </c>
      <c r="CG595">
        <v>0</v>
      </c>
      <c r="CM595">
        <v>0</v>
      </c>
      <c r="CN595" t="s">
        <v>3</v>
      </c>
      <c r="CO595">
        <v>0</v>
      </c>
      <c r="CP595">
        <f t="shared" si="526"/>
        <v>-92.26</v>
      </c>
      <c r="CQ595">
        <f t="shared" si="527"/>
        <v>0</v>
      </c>
      <c r="CR595">
        <f>(ROUND((ROUND(((ET595)*AV595*1),2)*BB595),2)+ROUND((ROUND(((AE595-(EU595))*AV595*1),2)*BS595),2))</f>
        <v>1576.56</v>
      </c>
      <c r="CS595">
        <f t="shared" si="528"/>
        <v>443.16</v>
      </c>
      <c r="CT595">
        <f t="shared" si="529"/>
        <v>0</v>
      </c>
      <c r="CU595">
        <f t="shared" si="530"/>
        <v>0</v>
      </c>
      <c r="CV595">
        <f t="shared" si="531"/>
        <v>0</v>
      </c>
      <c r="CW595">
        <f t="shared" si="532"/>
        <v>0</v>
      </c>
      <c r="CX595">
        <f t="shared" si="533"/>
        <v>0</v>
      </c>
      <c r="CY595">
        <f t="shared" si="534"/>
        <v>0</v>
      </c>
      <c r="CZ595">
        <f t="shared" si="535"/>
        <v>0</v>
      </c>
      <c r="DC595" t="s">
        <v>3</v>
      </c>
      <c r="DD595" t="s">
        <v>3</v>
      </c>
      <c r="DE595" t="s">
        <v>3</v>
      </c>
      <c r="DF595" t="s">
        <v>3</v>
      </c>
      <c r="DG595" t="s">
        <v>3</v>
      </c>
      <c r="DH595" t="s">
        <v>3</v>
      </c>
      <c r="DI595" t="s">
        <v>3</v>
      </c>
      <c r="DJ595" t="s">
        <v>3</v>
      </c>
      <c r="DK595" t="s">
        <v>3</v>
      </c>
      <c r="DL595" t="s">
        <v>3</v>
      </c>
      <c r="DM595" t="s">
        <v>3</v>
      </c>
      <c r="DN595">
        <v>140</v>
      </c>
      <c r="DO595">
        <v>79</v>
      </c>
      <c r="DP595">
        <v>1</v>
      </c>
      <c r="DQ595">
        <v>1</v>
      </c>
      <c r="DU595">
        <v>1011</v>
      </c>
      <c r="DV595" t="s">
        <v>738</v>
      </c>
      <c r="DW595" t="s">
        <v>738</v>
      </c>
      <c r="DX595">
        <v>1</v>
      </c>
      <c r="DZ595" t="s">
        <v>3</v>
      </c>
      <c r="EA595" t="s">
        <v>3</v>
      </c>
      <c r="EB595" t="s">
        <v>3</v>
      </c>
      <c r="EC595" t="s">
        <v>3</v>
      </c>
      <c r="EE595">
        <v>43088224</v>
      </c>
      <c r="EF595">
        <v>30</v>
      </c>
      <c r="EG595" t="s">
        <v>22</v>
      </c>
      <c r="EH595">
        <v>0</v>
      </c>
      <c r="EI595" t="s">
        <v>3</v>
      </c>
      <c r="EJ595">
        <v>1</v>
      </c>
      <c r="EK595">
        <v>146</v>
      </c>
      <c r="EL595" t="s">
        <v>79</v>
      </c>
      <c r="EM595" t="s">
        <v>80</v>
      </c>
      <c r="EO595" t="s">
        <v>3</v>
      </c>
      <c r="EQ595">
        <v>0</v>
      </c>
      <c r="ER595">
        <v>177.54</v>
      </c>
      <c r="ES595">
        <v>0</v>
      </c>
      <c r="ET595">
        <v>177.54</v>
      </c>
      <c r="EU595">
        <v>17.420000000000002</v>
      </c>
      <c r="EV595">
        <v>0</v>
      </c>
      <c r="EW595">
        <v>0</v>
      </c>
      <c r="EX595">
        <v>0</v>
      </c>
      <c r="FQ595">
        <v>0</v>
      </c>
      <c r="FR595">
        <f t="shared" si="536"/>
        <v>0</v>
      </c>
      <c r="FS595">
        <v>0</v>
      </c>
      <c r="FX595">
        <v>140</v>
      </c>
      <c r="FY595">
        <v>79</v>
      </c>
      <c r="GA595" t="s">
        <v>3</v>
      </c>
      <c r="GD595">
        <v>0</v>
      </c>
      <c r="GF595">
        <v>-646811103</v>
      </c>
      <c r="GG595">
        <v>2</v>
      </c>
      <c r="GH595">
        <v>1</v>
      </c>
      <c r="GI595">
        <v>2</v>
      </c>
      <c r="GJ595">
        <v>0</v>
      </c>
      <c r="GK595">
        <f>ROUND(R595*(R12)/100,2)</f>
        <v>-40.74</v>
      </c>
      <c r="GL595">
        <f t="shared" si="537"/>
        <v>0</v>
      </c>
      <c r="GM595">
        <f t="shared" si="538"/>
        <v>-133</v>
      </c>
      <c r="GN595">
        <f t="shared" si="539"/>
        <v>-133</v>
      </c>
      <c r="GO595">
        <f t="shared" si="540"/>
        <v>0</v>
      </c>
      <c r="GP595">
        <f t="shared" si="541"/>
        <v>0</v>
      </c>
      <c r="GR595">
        <v>0</v>
      </c>
      <c r="GS595">
        <v>7</v>
      </c>
      <c r="GT595">
        <v>0</v>
      </c>
      <c r="GU595" t="s">
        <v>3</v>
      </c>
      <c r="GV595">
        <f t="shared" si="542"/>
        <v>0</v>
      </c>
      <c r="GW595">
        <v>1</v>
      </c>
      <c r="GX595">
        <f t="shared" si="543"/>
        <v>0</v>
      </c>
      <c r="HA595">
        <v>0</v>
      </c>
      <c r="HB595">
        <v>0</v>
      </c>
      <c r="HC595">
        <f t="shared" si="544"/>
        <v>0</v>
      </c>
      <c r="HE595" t="s">
        <v>3</v>
      </c>
      <c r="HF595" t="s">
        <v>3</v>
      </c>
      <c r="HM595" t="s">
        <v>20</v>
      </c>
      <c r="IK595">
        <v>0</v>
      </c>
    </row>
    <row r="596" spans="1:245" x14ac:dyDescent="0.2">
      <c r="A596">
        <v>18</v>
      </c>
      <c r="B596">
        <v>1</v>
      </c>
      <c r="C596">
        <v>372</v>
      </c>
      <c r="E596" t="s">
        <v>744</v>
      </c>
      <c r="F596" t="s">
        <v>745</v>
      </c>
      <c r="G596" t="s">
        <v>746</v>
      </c>
      <c r="H596" t="s">
        <v>738</v>
      </c>
      <c r="I596">
        <f>I592*J596</f>
        <v>-7.3124999999999996E-2</v>
      </c>
      <c r="J596">
        <v>-0.8125</v>
      </c>
      <c r="K596">
        <v>-0.65</v>
      </c>
      <c r="O596">
        <f t="shared" si="512"/>
        <v>-148.83000000000001</v>
      </c>
      <c r="P596">
        <f t="shared" si="513"/>
        <v>0</v>
      </c>
      <c r="Q596">
        <f>(ROUND((ROUND(((ET596)*AV596*I596),2)*BB596),2)+ROUND((ROUND(((AE596-(EU596))*AV596*I596),2)*BS596),2))</f>
        <v>-148.83000000000001</v>
      </c>
      <c r="R596">
        <f t="shared" si="514"/>
        <v>-24.93</v>
      </c>
      <c r="S596">
        <f t="shared" si="515"/>
        <v>0</v>
      </c>
      <c r="T596">
        <f t="shared" si="516"/>
        <v>0</v>
      </c>
      <c r="U596">
        <f t="shared" si="517"/>
        <v>0</v>
      </c>
      <c r="V596">
        <f t="shared" si="518"/>
        <v>0</v>
      </c>
      <c r="W596">
        <f t="shared" si="519"/>
        <v>0</v>
      </c>
      <c r="X596">
        <f t="shared" si="520"/>
        <v>0</v>
      </c>
      <c r="Y596">
        <f t="shared" si="521"/>
        <v>0</v>
      </c>
      <c r="AA596">
        <v>42938047</v>
      </c>
      <c r="AB596">
        <f t="shared" si="522"/>
        <v>246.68</v>
      </c>
      <c r="AC596">
        <f t="shared" si="523"/>
        <v>0</v>
      </c>
      <c r="AD596">
        <f>ROUND((((ET596)-(EU596))+AE596),6)</f>
        <v>246.68</v>
      </c>
      <c r="AE596">
        <f t="shared" si="545"/>
        <v>13.37</v>
      </c>
      <c r="AF596">
        <f t="shared" si="545"/>
        <v>0</v>
      </c>
      <c r="AG596">
        <f t="shared" si="524"/>
        <v>0</v>
      </c>
      <c r="AH596">
        <f t="shared" si="546"/>
        <v>0</v>
      </c>
      <c r="AI596">
        <f t="shared" si="546"/>
        <v>0</v>
      </c>
      <c r="AJ596">
        <f t="shared" si="525"/>
        <v>0</v>
      </c>
      <c r="AK596">
        <v>246.68</v>
      </c>
      <c r="AL596">
        <v>0</v>
      </c>
      <c r="AM596">
        <v>246.68</v>
      </c>
      <c r="AN596">
        <v>13.37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1</v>
      </c>
      <c r="AW596">
        <v>1</v>
      </c>
      <c r="AZ596">
        <v>1</v>
      </c>
      <c r="BA596">
        <v>1</v>
      </c>
      <c r="BB596">
        <v>8.25</v>
      </c>
      <c r="BC596">
        <v>1</v>
      </c>
      <c r="BD596" t="s">
        <v>3</v>
      </c>
      <c r="BE596" t="s">
        <v>3</v>
      </c>
      <c r="BF596" t="s">
        <v>3</v>
      </c>
      <c r="BG596" t="s">
        <v>3</v>
      </c>
      <c r="BH596">
        <v>2</v>
      </c>
      <c r="BI596">
        <v>1</v>
      </c>
      <c r="BJ596" t="s">
        <v>747</v>
      </c>
      <c r="BM596">
        <v>146</v>
      </c>
      <c r="BN596">
        <v>0</v>
      </c>
      <c r="BO596" t="s">
        <v>745</v>
      </c>
      <c r="BP596">
        <v>1</v>
      </c>
      <c r="BQ596">
        <v>30</v>
      </c>
      <c r="BR596">
        <v>1</v>
      </c>
      <c r="BS596">
        <v>25.44</v>
      </c>
      <c r="BT596">
        <v>1</v>
      </c>
      <c r="BU596">
        <v>1</v>
      </c>
      <c r="BV596">
        <v>1</v>
      </c>
      <c r="BW596">
        <v>1</v>
      </c>
      <c r="BX596">
        <v>1</v>
      </c>
      <c r="BY596" t="s">
        <v>3</v>
      </c>
      <c r="BZ596">
        <v>0</v>
      </c>
      <c r="CA596">
        <v>0</v>
      </c>
      <c r="CB596" t="s">
        <v>3</v>
      </c>
      <c r="CE596">
        <v>30</v>
      </c>
      <c r="CF596">
        <v>0</v>
      </c>
      <c r="CG596">
        <v>0</v>
      </c>
      <c r="CM596">
        <v>0</v>
      </c>
      <c r="CN596" t="s">
        <v>3</v>
      </c>
      <c r="CO596">
        <v>0</v>
      </c>
      <c r="CP596">
        <f t="shared" si="526"/>
        <v>-148.83000000000001</v>
      </c>
      <c r="CQ596">
        <f t="shared" si="527"/>
        <v>0</v>
      </c>
      <c r="CR596">
        <f>(ROUND((ROUND(((ET596)*AV596*1),2)*BB596),2)+ROUND((ROUND(((AE596-(EU596))*AV596*1),2)*BS596),2))</f>
        <v>2035.11</v>
      </c>
      <c r="CS596">
        <f t="shared" si="528"/>
        <v>340.13</v>
      </c>
      <c r="CT596">
        <f t="shared" si="529"/>
        <v>0</v>
      </c>
      <c r="CU596">
        <f t="shared" si="530"/>
        <v>0</v>
      </c>
      <c r="CV596">
        <f t="shared" si="531"/>
        <v>0</v>
      </c>
      <c r="CW596">
        <f t="shared" si="532"/>
        <v>0</v>
      </c>
      <c r="CX596">
        <f t="shared" si="533"/>
        <v>0</v>
      </c>
      <c r="CY596">
        <f t="shared" si="534"/>
        <v>0</v>
      </c>
      <c r="CZ596">
        <f t="shared" si="535"/>
        <v>0</v>
      </c>
      <c r="DC596" t="s">
        <v>3</v>
      </c>
      <c r="DD596" t="s">
        <v>3</v>
      </c>
      <c r="DE596" t="s">
        <v>3</v>
      </c>
      <c r="DF596" t="s">
        <v>3</v>
      </c>
      <c r="DG596" t="s">
        <v>3</v>
      </c>
      <c r="DH596" t="s">
        <v>3</v>
      </c>
      <c r="DI596" t="s">
        <v>3</v>
      </c>
      <c r="DJ596" t="s">
        <v>3</v>
      </c>
      <c r="DK596" t="s">
        <v>3</v>
      </c>
      <c r="DL596" t="s">
        <v>3</v>
      </c>
      <c r="DM596" t="s">
        <v>3</v>
      </c>
      <c r="DN596">
        <v>140</v>
      </c>
      <c r="DO596">
        <v>79</v>
      </c>
      <c r="DP596">
        <v>1</v>
      </c>
      <c r="DQ596">
        <v>1</v>
      </c>
      <c r="DU596">
        <v>1011</v>
      </c>
      <c r="DV596" t="s">
        <v>738</v>
      </c>
      <c r="DW596" t="s">
        <v>738</v>
      </c>
      <c r="DX596">
        <v>1</v>
      </c>
      <c r="DZ596" t="s">
        <v>3</v>
      </c>
      <c r="EA596" t="s">
        <v>3</v>
      </c>
      <c r="EB596" t="s">
        <v>3</v>
      </c>
      <c r="EC596" t="s">
        <v>3</v>
      </c>
      <c r="EE596">
        <v>43088224</v>
      </c>
      <c r="EF596">
        <v>30</v>
      </c>
      <c r="EG596" t="s">
        <v>22</v>
      </c>
      <c r="EH596">
        <v>0</v>
      </c>
      <c r="EI596" t="s">
        <v>3</v>
      </c>
      <c r="EJ596">
        <v>1</v>
      </c>
      <c r="EK596">
        <v>146</v>
      </c>
      <c r="EL596" t="s">
        <v>79</v>
      </c>
      <c r="EM596" t="s">
        <v>80</v>
      </c>
      <c r="EO596" t="s">
        <v>3</v>
      </c>
      <c r="EQ596">
        <v>0</v>
      </c>
      <c r="ER596">
        <v>246.68</v>
      </c>
      <c r="ES596">
        <v>0</v>
      </c>
      <c r="ET596">
        <v>246.68</v>
      </c>
      <c r="EU596">
        <v>13.37</v>
      </c>
      <c r="EV596">
        <v>0</v>
      </c>
      <c r="EW596">
        <v>0</v>
      </c>
      <c r="EX596">
        <v>0</v>
      </c>
      <c r="FQ596">
        <v>0</v>
      </c>
      <c r="FR596">
        <f t="shared" si="536"/>
        <v>0</v>
      </c>
      <c r="FS596">
        <v>0</v>
      </c>
      <c r="FX596">
        <v>140</v>
      </c>
      <c r="FY596">
        <v>79</v>
      </c>
      <c r="GA596" t="s">
        <v>3</v>
      </c>
      <c r="GD596">
        <v>0</v>
      </c>
      <c r="GF596">
        <v>366114799</v>
      </c>
      <c r="GG596">
        <v>2</v>
      </c>
      <c r="GH596">
        <v>1</v>
      </c>
      <c r="GI596">
        <v>2</v>
      </c>
      <c r="GJ596">
        <v>0</v>
      </c>
      <c r="GK596">
        <f>ROUND(R596*(R12)/100,2)</f>
        <v>-39.14</v>
      </c>
      <c r="GL596">
        <f t="shared" si="537"/>
        <v>0</v>
      </c>
      <c r="GM596">
        <f t="shared" si="538"/>
        <v>-187.97</v>
      </c>
      <c r="GN596">
        <f t="shared" si="539"/>
        <v>-187.97</v>
      </c>
      <c r="GO596">
        <f t="shared" si="540"/>
        <v>0</v>
      </c>
      <c r="GP596">
        <f t="shared" si="541"/>
        <v>0</v>
      </c>
      <c r="GR596">
        <v>0</v>
      </c>
      <c r="GS596">
        <v>7</v>
      </c>
      <c r="GT596">
        <v>0</v>
      </c>
      <c r="GU596" t="s">
        <v>3</v>
      </c>
      <c r="GV596">
        <f t="shared" si="542"/>
        <v>0</v>
      </c>
      <c r="GW596">
        <v>1</v>
      </c>
      <c r="GX596">
        <f t="shared" si="543"/>
        <v>0</v>
      </c>
      <c r="HA596">
        <v>0</v>
      </c>
      <c r="HB596">
        <v>0</v>
      </c>
      <c r="HC596">
        <f t="shared" si="544"/>
        <v>0</v>
      </c>
      <c r="HE596" t="s">
        <v>3</v>
      </c>
      <c r="HF596" t="s">
        <v>3</v>
      </c>
      <c r="HM596" t="s">
        <v>20</v>
      </c>
      <c r="IK596">
        <v>0</v>
      </c>
    </row>
    <row r="597" spans="1:245" x14ac:dyDescent="0.2">
      <c r="A597">
        <v>18</v>
      </c>
      <c r="B597">
        <v>1</v>
      </c>
      <c r="C597">
        <v>371</v>
      </c>
      <c r="E597" t="s">
        <v>748</v>
      </c>
      <c r="F597" t="s">
        <v>749</v>
      </c>
      <c r="G597" t="s">
        <v>750</v>
      </c>
      <c r="H597" t="s">
        <v>738</v>
      </c>
      <c r="I597">
        <f>I592*J597</f>
        <v>-0.18675</v>
      </c>
      <c r="J597">
        <v>-2.0750000000000002</v>
      </c>
      <c r="K597">
        <v>-1.66</v>
      </c>
      <c r="O597">
        <f t="shared" si="512"/>
        <v>-80.91</v>
      </c>
      <c r="P597">
        <f t="shared" si="513"/>
        <v>0</v>
      </c>
      <c r="Q597">
        <f>(ROUND((ROUND(((ET597)*AV597*I597),2)*BB597),2)+ROUND((ROUND(((AE597-(EU597))*AV597*I597),2)*BS597),2))</f>
        <v>-80.91</v>
      </c>
      <c r="R597">
        <f t="shared" si="514"/>
        <v>-31.55</v>
      </c>
      <c r="S597">
        <f t="shared" si="515"/>
        <v>0</v>
      </c>
      <c r="T597">
        <f t="shared" si="516"/>
        <v>0</v>
      </c>
      <c r="U597">
        <f t="shared" si="517"/>
        <v>0</v>
      </c>
      <c r="V597">
        <f t="shared" si="518"/>
        <v>0</v>
      </c>
      <c r="W597">
        <f t="shared" si="519"/>
        <v>0</v>
      </c>
      <c r="X597">
        <f t="shared" si="520"/>
        <v>0</v>
      </c>
      <c r="Y597">
        <f t="shared" si="521"/>
        <v>0</v>
      </c>
      <c r="AA597">
        <v>42938047</v>
      </c>
      <c r="AB597">
        <f t="shared" si="522"/>
        <v>62.97</v>
      </c>
      <c r="AC597">
        <f t="shared" si="523"/>
        <v>0</v>
      </c>
      <c r="AD597">
        <f>ROUND((((ET597)-(EU597))+AE597),6)</f>
        <v>62.97</v>
      </c>
      <c r="AE597">
        <f t="shared" si="545"/>
        <v>6.64</v>
      </c>
      <c r="AF597">
        <f t="shared" si="545"/>
        <v>0</v>
      </c>
      <c r="AG597">
        <f t="shared" si="524"/>
        <v>0</v>
      </c>
      <c r="AH597">
        <f t="shared" si="546"/>
        <v>0</v>
      </c>
      <c r="AI597">
        <f t="shared" si="546"/>
        <v>0</v>
      </c>
      <c r="AJ597">
        <f t="shared" si="525"/>
        <v>0</v>
      </c>
      <c r="AK597">
        <v>62.97</v>
      </c>
      <c r="AL597">
        <v>0</v>
      </c>
      <c r="AM597">
        <v>62.97</v>
      </c>
      <c r="AN597">
        <v>6.64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1</v>
      </c>
      <c r="AW597">
        <v>1</v>
      </c>
      <c r="AZ597">
        <v>1</v>
      </c>
      <c r="BA597">
        <v>1</v>
      </c>
      <c r="BB597">
        <v>6.88</v>
      </c>
      <c r="BC597">
        <v>1</v>
      </c>
      <c r="BD597" t="s">
        <v>3</v>
      </c>
      <c r="BE597" t="s">
        <v>3</v>
      </c>
      <c r="BF597" t="s">
        <v>3</v>
      </c>
      <c r="BG597" t="s">
        <v>3</v>
      </c>
      <c r="BH597">
        <v>2</v>
      </c>
      <c r="BI597">
        <v>1</v>
      </c>
      <c r="BJ597" t="s">
        <v>751</v>
      </c>
      <c r="BM597">
        <v>146</v>
      </c>
      <c r="BN597">
        <v>0</v>
      </c>
      <c r="BO597" t="s">
        <v>749</v>
      </c>
      <c r="BP597">
        <v>1</v>
      </c>
      <c r="BQ597">
        <v>30</v>
      </c>
      <c r="BR597">
        <v>1</v>
      </c>
      <c r="BS597">
        <v>25.44</v>
      </c>
      <c r="BT597">
        <v>1</v>
      </c>
      <c r="BU597">
        <v>1</v>
      </c>
      <c r="BV597">
        <v>1</v>
      </c>
      <c r="BW597">
        <v>1</v>
      </c>
      <c r="BX597">
        <v>1</v>
      </c>
      <c r="BY597" t="s">
        <v>3</v>
      </c>
      <c r="BZ597">
        <v>0</v>
      </c>
      <c r="CA597">
        <v>0</v>
      </c>
      <c r="CB597" t="s">
        <v>3</v>
      </c>
      <c r="CE597">
        <v>30</v>
      </c>
      <c r="CF597">
        <v>0</v>
      </c>
      <c r="CG597">
        <v>0</v>
      </c>
      <c r="CM597">
        <v>0</v>
      </c>
      <c r="CN597" t="s">
        <v>3</v>
      </c>
      <c r="CO597">
        <v>0</v>
      </c>
      <c r="CP597">
        <f t="shared" si="526"/>
        <v>-80.91</v>
      </c>
      <c r="CQ597">
        <f t="shared" si="527"/>
        <v>0</v>
      </c>
      <c r="CR597">
        <f>(ROUND((ROUND(((ET597)*AV597*1),2)*BB597),2)+ROUND((ROUND(((AE597-(EU597))*AV597*1),2)*BS597),2))</f>
        <v>433.23</v>
      </c>
      <c r="CS597">
        <f t="shared" si="528"/>
        <v>168.92</v>
      </c>
      <c r="CT597">
        <f t="shared" si="529"/>
        <v>0</v>
      </c>
      <c r="CU597">
        <f t="shared" si="530"/>
        <v>0</v>
      </c>
      <c r="CV597">
        <f t="shared" si="531"/>
        <v>0</v>
      </c>
      <c r="CW597">
        <f t="shared" si="532"/>
        <v>0</v>
      </c>
      <c r="CX597">
        <f t="shared" si="533"/>
        <v>0</v>
      </c>
      <c r="CY597">
        <f t="shared" si="534"/>
        <v>0</v>
      </c>
      <c r="CZ597">
        <f t="shared" si="535"/>
        <v>0</v>
      </c>
      <c r="DC597" t="s">
        <v>3</v>
      </c>
      <c r="DD597" t="s">
        <v>3</v>
      </c>
      <c r="DE597" t="s">
        <v>3</v>
      </c>
      <c r="DF597" t="s">
        <v>3</v>
      </c>
      <c r="DG597" t="s">
        <v>3</v>
      </c>
      <c r="DH597" t="s">
        <v>3</v>
      </c>
      <c r="DI597" t="s">
        <v>3</v>
      </c>
      <c r="DJ597" t="s">
        <v>3</v>
      </c>
      <c r="DK597" t="s">
        <v>3</v>
      </c>
      <c r="DL597" t="s">
        <v>3</v>
      </c>
      <c r="DM597" t="s">
        <v>3</v>
      </c>
      <c r="DN597">
        <v>140</v>
      </c>
      <c r="DO597">
        <v>79</v>
      </c>
      <c r="DP597">
        <v>1</v>
      </c>
      <c r="DQ597">
        <v>1</v>
      </c>
      <c r="DU597">
        <v>1011</v>
      </c>
      <c r="DV597" t="s">
        <v>738</v>
      </c>
      <c r="DW597" t="s">
        <v>738</v>
      </c>
      <c r="DX597">
        <v>1</v>
      </c>
      <c r="DZ597" t="s">
        <v>3</v>
      </c>
      <c r="EA597" t="s">
        <v>3</v>
      </c>
      <c r="EB597" t="s">
        <v>3</v>
      </c>
      <c r="EC597" t="s">
        <v>3</v>
      </c>
      <c r="EE597">
        <v>43088224</v>
      </c>
      <c r="EF597">
        <v>30</v>
      </c>
      <c r="EG597" t="s">
        <v>22</v>
      </c>
      <c r="EH597">
        <v>0</v>
      </c>
      <c r="EI597" t="s">
        <v>3</v>
      </c>
      <c r="EJ597">
        <v>1</v>
      </c>
      <c r="EK597">
        <v>146</v>
      </c>
      <c r="EL597" t="s">
        <v>79</v>
      </c>
      <c r="EM597" t="s">
        <v>80</v>
      </c>
      <c r="EO597" t="s">
        <v>3</v>
      </c>
      <c r="EQ597">
        <v>0</v>
      </c>
      <c r="ER597">
        <v>62.97</v>
      </c>
      <c r="ES597">
        <v>0</v>
      </c>
      <c r="ET597">
        <v>62.97</v>
      </c>
      <c r="EU597">
        <v>6.64</v>
      </c>
      <c r="EV597">
        <v>0</v>
      </c>
      <c r="EW597">
        <v>0</v>
      </c>
      <c r="EX597">
        <v>0</v>
      </c>
      <c r="FQ597">
        <v>0</v>
      </c>
      <c r="FR597">
        <f t="shared" si="536"/>
        <v>0</v>
      </c>
      <c r="FS597">
        <v>0</v>
      </c>
      <c r="FX597">
        <v>140</v>
      </c>
      <c r="FY597">
        <v>79</v>
      </c>
      <c r="GA597" t="s">
        <v>3</v>
      </c>
      <c r="GD597">
        <v>0</v>
      </c>
      <c r="GF597">
        <v>142191915</v>
      </c>
      <c r="GG597">
        <v>2</v>
      </c>
      <c r="GH597">
        <v>1</v>
      </c>
      <c r="GI597">
        <v>2</v>
      </c>
      <c r="GJ597">
        <v>0</v>
      </c>
      <c r="GK597">
        <f>ROUND(R597*(R12)/100,2)</f>
        <v>-49.53</v>
      </c>
      <c r="GL597">
        <f t="shared" si="537"/>
        <v>0</v>
      </c>
      <c r="GM597">
        <f t="shared" si="538"/>
        <v>-130.44</v>
      </c>
      <c r="GN597">
        <f t="shared" si="539"/>
        <v>-130.44</v>
      </c>
      <c r="GO597">
        <f t="shared" si="540"/>
        <v>0</v>
      </c>
      <c r="GP597">
        <f t="shared" si="541"/>
        <v>0</v>
      </c>
      <c r="GR597">
        <v>0</v>
      </c>
      <c r="GS597">
        <v>7</v>
      </c>
      <c r="GT597">
        <v>0</v>
      </c>
      <c r="GU597" t="s">
        <v>3</v>
      </c>
      <c r="GV597">
        <f t="shared" si="542"/>
        <v>0</v>
      </c>
      <c r="GW597">
        <v>1</v>
      </c>
      <c r="GX597">
        <f t="shared" si="543"/>
        <v>0</v>
      </c>
      <c r="HA597">
        <v>0</v>
      </c>
      <c r="HB597">
        <v>0</v>
      </c>
      <c r="HC597">
        <f t="shared" si="544"/>
        <v>0</v>
      </c>
      <c r="HE597" t="s">
        <v>3</v>
      </c>
      <c r="HF597" t="s">
        <v>3</v>
      </c>
      <c r="HM597" t="s">
        <v>20</v>
      </c>
      <c r="IK597">
        <v>0</v>
      </c>
    </row>
    <row r="598" spans="1:245" x14ac:dyDescent="0.2">
      <c r="A598">
        <v>17</v>
      </c>
      <c r="B598">
        <v>1</v>
      </c>
      <c r="C598">
        <f>ROW(SmtRes!A386)</f>
        <v>386</v>
      </c>
      <c r="D598">
        <f>ROW(EtalonRes!A386)</f>
        <v>386</v>
      </c>
      <c r="E598" t="s">
        <v>752</v>
      </c>
      <c r="F598" t="s">
        <v>75</v>
      </c>
      <c r="G598" t="s">
        <v>753</v>
      </c>
      <c r="H598" t="s">
        <v>77</v>
      </c>
      <c r="I598">
        <f>ROUND(32/100,9)</f>
        <v>0.32</v>
      </c>
      <c r="J598">
        <v>0</v>
      </c>
      <c r="K598">
        <f>ROUND(32/100,9)</f>
        <v>0.32</v>
      </c>
      <c r="O598">
        <f t="shared" si="512"/>
        <v>20871.88</v>
      </c>
      <c r="P598">
        <f t="shared" si="513"/>
        <v>81.42</v>
      </c>
      <c r="Q598">
        <f>(ROUND((ROUND((((ET598*1.25))*AV598*I598),2)*BB598),2)+ROUND((ROUND(((AE598-((EU598*1.25)))*AV598*I598),2)*BS598),2))</f>
        <v>18663.169999999998</v>
      </c>
      <c r="R598">
        <f t="shared" si="514"/>
        <v>4733.88</v>
      </c>
      <c r="S598">
        <f t="shared" si="515"/>
        <v>2127.29</v>
      </c>
      <c r="T598">
        <f t="shared" si="516"/>
        <v>0</v>
      </c>
      <c r="U598">
        <f t="shared" si="517"/>
        <v>7.9488000000000003</v>
      </c>
      <c r="V598">
        <f t="shared" si="518"/>
        <v>0</v>
      </c>
      <c r="W598">
        <f t="shared" si="519"/>
        <v>0</v>
      </c>
      <c r="X598">
        <f t="shared" si="520"/>
        <v>2382.56</v>
      </c>
      <c r="Y598">
        <f t="shared" si="521"/>
        <v>872.19</v>
      </c>
      <c r="AA598">
        <v>42938047</v>
      </c>
      <c r="AB598">
        <f t="shared" si="522"/>
        <v>6991.4795000000004</v>
      </c>
      <c r="AC598">
        <f t="shared" si="523"/>
        <v>49.49</v>
      </c>
      <c r="AD598">
        <f>ROUND(((((ET598*1.25))-((EU598*1.25)))+AE598),6)</f>
        <v>6680.6750000000002</v>
      </c>
      <c r="AE598">
        <f>ROUND(((EU598*1.25)),6)</f>
        <v>581.51250000000005</v>
      </c>
      <c r="AF598">
        <f>ROUND(((EV598*1.15)),6)</f>
        <v>261.31450000000001</v>
      </c>
      <c r="AG598">
        <f t="shared" si="524"/>
        <v>0</v>
      </c>
      <c r="AH598">
        <f>((EW598*1.15))</f>
        <v>24.84</v>
      </c>
      <c r="AI598">
        <f>((EX598*1.25))</f>
        <v>0</v>
      </c>
      <c r="AJ598">
        <f t="shared" si="525"/>
        <v>0</v>
      </c>
      <c r="AK598">
        <v>5621.26</v>
      </c>
      <c r="AL598">
        <v>49.49</v>
      </c>
      <c r="AM598">
        <v>5344.54</v>
      </c>
      <c r="AN598">
        <v>465.21</v>
      </c>
      <c r="AO598">
        <v>227.23</v>
      </c>
      <c r="AP598">
        <v>0</v>
      </c>
      <c r="AQ598">
        <v>21.6</v>
      </c>
      <c r="AR598">
        <v>0</v>
      </c>
      <c r="AS598">
        <v>0</v>
      </c>
      <c r="AT598">
        <v>112</v>
      </c>
      <c r="AU598">
        <v>41</v>
      </c>
      <c r="AV598">
        <v>1</v>
      </c>
      <c r="AW598">
        <v>1</v>
      </c>
      <c r="AZ598">
        <v>1</v>
      </c>
      <c r="BA598">
        <v>25.44</v>
      </c>
      <c r="BB598">
        <v>8.73</v>
      </c>
      <c r="BC598">
        <v>5.14</v>
      </c>
      <c r="BD598" t="s">
        <v>3</v>
      </c>
      <c r="BE598" t="s">
        <v>3</v>
      </c>
      <c r="BF598" t="s">
        <v>3</v>
      </c>
      <c r="BG598" t="s">
        <v>3</v>
      </c>
      <c r="BH598">
        <v>0</v>
      </c>
      <c r="BI598">
        <v>1</v>
      </c>
      <c r="BJ598" t="s">
        <v>78</v>
      </c>
      <c r="BM598">
        <v>146</v>
      </c>
      <c r="BN598">
        <v>0</v>
      </c>
      <c r="BO598" t="s">
        <v>75</v>
      </c>
      <c r="BP598">
        <v>1</v>
      </c>
      <c r="BQ598">
        <v>30</v>
      </c>
      <c r="BR598">
        <v>0</v>
      </c>
      <c r="BS598">
        <v>25.44</v>
      </c>
      <c r="BT598">
        <v>1</v>
      </c>
      <c r="BU598">
        <v>1</v>
      </c>
      <c r="BV598">
        <v>1</v>
      </c>
      <c r="BW598">
        <v>1</v>
      </c>
      <c r="BX598">
        <v>1</v>
      </c>
      <c r="BY598" t="s">
        <v>3</v>
      </c>
      <c r="BZ598">
        <v>112</v>
      </c>
      <c r="CA598">
        <v>41</v>
      </c>
      <c r="CB598" t="s">
        <v>3</v>
      </c>
      <c r="CE598">
        <v>30</v>
      </c>
      <c r="CF598">
        <v>0</v>
      </c>
      <c r="CG598">
        <v>0</v>
      </c>
      <c r="CM598">
        <v>0</v>
      </c>
      <c r="CN598" t="s">
        <v>1584</v>
      </c>
      <c r="CO598">
        <v>0</v>
      </c>
      <c r="CP598">
        <f t="shared" si="526"/>
        <v>20871.879999999997</v>
      </c>
      <c r="CQ598">
        <f t="shared" si="527"/>
        <v>254.38</v>
      </c>
      <c r="CR598">
        <f>(ROUND((ROUND((((ET598*1.25))*AV598*1),2)*BB598),2)+ROUND((ROUND(((AE598-((EU598*1.25)))*AV598*1),2)*BS598),2))</f>
        <v>58322.34</v>
      </c>
      <c r="CS598">
        <f t="shared" si="528"/>
        <v>14793.61</v>
      </c>
      <c r="CT598">
        <f t="shared" si="529"/>
        <v>6647.73</v>
      </c>
      <c r="CU598">
        <f t="shared" si="530"/>
        <v>0</v>
      </c>
      <c r="CV598">
        <f t="shared" si="531"/>
        <v>24.84</v>
      </c>
      <c r="CW598">
        <f t="shared" si="532"/>
        <v>0</v>
      </c>
      <c r="CX598">
        <f t="shared" si="533"/>
        <v>0</v>
      </c>
      <c r="CY598">
        <f t="shared" si="534"/>
        <v>2382.5648000000001</v>
      </c>
      <c r="CZ598">
        <f t="shared" si="535"/>
        <v>872.18889999999999</v>
      </c>
      <c r="DC598" t="s">
        <v>3</v>
      </c>
      <c r="DD598" t="s">
        <v>3</v>
      </c>
      <c r="DE598" t="s">
        <v>20</v>
      </c>
      <c r="DF598" t="s">
        <v>20</v>
      </c>
      <c r="DG598" t="s">
        <v>21</v>
      </c>
      <c r="DH598" t="s">
        <v>3</v>
      </c>
      <c r="DI598" t="s">
        <v>21</v>
      </c>
      <c r="DJ598" t="s">
        <v>20</v>
      </c>
      <c r="DK598" t="s">
        <v>3</v>
      </c>
      <c r="DL598" t="s">
        <v>3</v>
      </c>
      <c r="DM598" t="s">
        <v>3</v>
      </c>
      <c r="DN598">
        <v>140</v>
      </c>
      <c r="DO598">
        <v>79</v>
      </c>
      <c r="DP598">
        <v>1</v>
      </c>
      <c r="DQ598">
        <v>1</v>
      </c>
      <c r="DU598">
        <v>1013</v>
      </c>
      <c r="DV598" t="s">
        <v>77</v>
      </c>
      <c r="DW598" t="s">
        <v>77</v>
      </c>
      <c r="DX598">
        <v>1</v>
      </c>
      <c r="DZ598" t="s">
        <v>3</v>
      </c>
      <c r="EA598" t="s">
        <v>3</v>
      </c>
      <c r="EB598" t="s">
        <v>3</v>
      </c>
      <c r="EC598" t="s">
        <v>3</v>
      </c>
      <c r="EE598">
        <v>43088224</v>
      </c>
      <c r="EF598">
        <v>30</v>
      </c>
      <c r="EG598" t="s">
        <v>22</v>
      </c>
      <c r="EH598">
        <v>0</v>
      </c>
      <c r="EI598" t="s">
        <v>3</v>
      </c>
      <c r="EJ598">
        <v>1</v>
      </c>
      <c r="EK598">
        <v>146</v>
      </c>
      <c r="EL598" t="s">
        <v>79</v>
      </c>
      <c r="EM598" t="s">
        <v>80</v>
      </c>
      <c r="EO598" t="s">
        <v>59</v>
      </c>
      <c r="EQ598">
        <v>0</v>
      </c>
      <c r="ER598">
        <v>5621.26</v>
      </c>
      <c r="ES598">
        <v>49.49</v>
      </c>
      <c r="ET598">
        <v>5344.54</v>
      </c>
      <c r="EU598">
        <v>465.21</v>
      </c>
      <c r="EV598">
        <v>227.23</v>
      </c>
      <c r="EW598">
        <v>21.6</v>
      </c>
      <c r="EX598">
        <v>0</v>
      </c>
      <c r="EY598">
        <v>0</v>
      </c>
      <c r="FQ598">
        <v>0</v>
      </c>
      <c r="FR598">
        <f t="shared" si="536"/>
        <v>0</v>
      </c>
      <c r="FS598">
        <v>0</v>
      </c>
      <c r="FX598">
        <v>140</v>
      </c>
      <c r="FY598">
        <v>79</v>
      </c>
      <c r="GA598" t="s">
        <v>3</v>
      </c>
      <c r="GD598">
        <v>0</v>
      </c>
      <c r="GF598">
        <v>667167891</v>
      </c>
      <c r="GG598">
        <v>2</v>
      </c>
      <c r="GH598">
        <v>1</v>
      </c>
      <c r="GI598">
        <v>2</v>
      </c>
      <c r="GJ598">
        <v>0</v>
      </c>
      <c r="GK598">
        <f>ROUND(R598*(R12)/100,2)</f>
        <v>7432.19</v>
      </c>
      <c r="GL598">
        <f t="shared" si="537"/>
        <v>0</v>
      </c>
      <c r="GM598">
        <f t="shared" si="538"/>
        <v>31558.82</v>
      </c>
      <c r="GN598">
        <f t="shared" si="539"/>
        <v>31558.82</v>
      </c>
      <c r="GO598">
        <f t="shared" si="540"/>
        <v>0</v>
      </c>
      <c r="GP598">
        <f t="shared" si="541"/>
        <v>0</v>
      </c>
      <c r="GR598">
        <v>0</v>
      </c>
      <c r="GS598">
        <v>3</v>
      </c>
      <c r="GT598">
        <v>0</v>
      </c>
      <c r="GU598" t="s">
        <v>3</v>
      </c>
      <c r="GV598">
        <f t="shared" si="542"/>
        <v>0</v>
      </c>
      <c r="GW598">
        <v>1</v>
      </c>
      <c r="GX598">
        <f t="shared" si="543"/>
        <v>0</v>
      </c>
      <c r="HA598">
        <v>0</v>
      </c>
      <c r="HB598">
        <v>0</v>
      </c>
      <c r="HC598">
        <f t="shared" si="544"/>
        <v>0</v>
      </c>
      <c r="HE598" t="s">
        <v>3</v>
      </c>
      <c r="HF598" t="s">
        <v>3</v>
      </c>
      <c r="HM598" t="s">
        <v>3</v>
      </c>
      <c r="IK598">
        <v>0</v>
      </c>
    </row>
    <row r="599" spans="1:245" x14ac:dyDescent="0.2">
      <c r="A599">
        <v>18</v>
      </c>
      <c r="B599">
        <v>1</v>
      </c>
      <c r="C599">
        <v>385</v>
      </c>
      <c r="E599" t="s">
        <v>754</v>
      </c>
      <c r="F599" t="s">
        <v>755</v>
      </c>
      <c r="G599" t="s">
        <v>756</v>
      </c>
      <c r="H599" t="s">
        <v>84</v>
      </c>
      <c r="I599">
        <f>I598*J599</f>
        <v>20</v>
      </c>
      <c r="J599">
        <v>62.5</v>
      </c>
      <c r="K599">
        <v>62.5</v>
      </c>
      <c r="O599">
        <f t="shared" si="512"/>
        <v>38874.589999999997</v>
      </c>
      <c r="P599">
        <f t="shared" si="513"/>
        <v>38874.589999999997</v>
      </c>
      <c r="Q599">
        <f t="shared" ref="Q599:Q605" si="547">(ROUND((ROUND(((ET599)*AV599*I599),2)*BB599),2)+ROUND((ROUND(((AE599-(EU599))*AV599*I599),2)*BS599),2))</f>
        <v>0</v>
      </c>
      <c r="R599">
        <f t="shared" si="514"/>
        <v>0</v>
      </c>
      <c r="S599">
        <f t="shared" si="515"/>
        <v>0</v>
      </c>
      <c r="T599">
        <f t="shared" si="516"/>
        <v>0</v>
      </c>
      <c r="U599">
        <f t="shared" si="517"/>
        <v>0</v>
      </c>
      <c r="V599">
        <f t="shared" si="518"/>
        <v>0</v>
      </c>
      <c r="W599">
        <f t="shared" si="519"/>
        <v>0</v>
      </c>
      <c r="X599">
        <f t="shared" si="520"/>
        <v>0</v>
      </c>
      <c r="Y599">
        <f t="shared" si="521"/>
        <v>0</v>
      </c>
      <c r="AA599">
        <v>42938047</v>
      </c>
      <c r="AB599">
        <f t="shared" si="522"/>
        <v>206.56</v>
      </c>
      <c r="AC599">
        <f t="shared" si="523"/>
        <v>206.56</v>
      </c>
      <c r="AD599">
        <f t="shared" ref="AD599:AD605" si="548">ROUND((((ET599)-(EU599))+AE599),6)</f>
        <v>0</v>
      </c>
      <c r="AE599">
        <f t="shared" ref="AE599:AF605" si="549">ROUND((EU599),6)</f>
        <v>0</v>
      </c>
      <c r="AF599">
        <f t="shared" si="549"/>
        <v>0</v>
      </c>
      <c r="AG599">
        <f t="shared" si="524"/>
        <v>0</v>
      </c>
      <c r="AH599">
        <f t="shared" ref="AH599:AI605" si="550">(EW599)</f>
        <v>0</v>
      </c>
      <c r="AI599">
        <f t="shared" si="550"/>
        <v>0</v>
      </c>
      <c r="AJ599">
        <f t="shared" si="525"/>
        <v>0</v>
      </c>
      <c r="AK599">
        <v>206.56</v>
      </c>
      <c r="AL599">
        <v>206.56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1</v>
      </c>
      <c r="AW599">
        <v>1</v>
      </c>
      <c r="AZ599">
        <v>1</v>
      </c>
      <c r="BA599">
        <v>1</v>
      </c>
      <c r="BB599">
        <v>1</v>
      </c>
      <c r="BC599">
        <v>9.41</v>
      </c>
      <c r="BD599" t="s">
        <v>3</v>
      </c>
      <c r="BE599" t="s">
        <v>3</v>
      </c>
      <c r="BF599" t="s">
        <v>3</v>
      </c>
      <c r="BG599" t="s">
        <v>3</v>
      </c>
      <c r="BH599">
        <v>3</v>
      </c>
      <c r="BI599">
        <v>1</v>
      </c>
      <c r="BJ599" t="s">
        <v>757</v>
      </c>
      <c r="BM599">
        <v>146</v>
      </c>
      <c r="BN599">
        <v>0</v>
      </c>
      <c r="BO599" t="s">
        <v>755</v>
      </c>
      <c r="BP599">
        <v>1</v>
      </c>
      <c r="BQ599">
        <v>30</v>
      </c>
      <c r="BR599">
        <v>0</v>
      </c>
      <c r="BS599">
        <v>1</v>
      </c>
      <c r="BT599">
        <v>1</v>
      </c>
      <c r="BU599">
        <v>1</v>
      </c>
      <c r="BV599">
        <v>1</v>
      </c>
      <c r="BW599">
        <v>1</v>
      </c>
      <c r="BX599">
        <v>1</v>
      </c>
      <c r="BY599" t="s">
        <v>3</v>
      </c>
      <c r="BZ599">
        <v>0</v>
      </c>
      <c r="CA599">
        <v>0</v>
      </c>
      <c r="CB599" t="s">
        <v>3</v>
      </c>
      <c r="CE599">
        <v>30</v>
      </c>
      <c r="CF599">
        <v>0</v>
      </c>
      <c r="CG599">
        <v>0</v>
      </c>
      <c r="CM599">
        <v>0</v>
      </c>
      <c r="CN599" t="s">
        <v>3</v>
      </c>
      <c r="CO599">
        <v>0</v>
      </c>
      <c r="CP599">
        <f t="shared" si="526"/>
        <v>38874.589999999997</v>
      </c>
      <c r="CQ599">
        <f t="shared" si="527"/>
        <v>1943.73</v>
      </c>
      <c r="CR599">
        <f t="shared" ref="CR599:CR605" si="551">(ROUND((ROUND(((ET599)*AV599*1),2)*BB599),2)+ROUND((ROUND(((AE599-(EU599))*AV599*1),2)*BS599),2))</f>
        <v>0</v>
      </c>
      <c r="CS599">
        <f t="shared" si="528"/>
        <v>0</v>
      </c>
      <c r="CT599">
        <f t="shared" si="529"/>
        <v>0</v>
      </c>
      <c r="CU599">
        <f t="shared" si="530"/>
        <v>0</v>
      </c>
      <c r="CV599">
        <f t="shared" si="531"/>
        <v>0</v>
      </c>
      <c r="CW599">
        <f t="shared" si="532"/>
        <v>0</v>
      </c>
      <c r="CX599">
        <f t="shared" si="533"/>
        <v>0</v>
      </c>
      <c r="CY599">
        <f t="shared" si="534"/>
        <v>0</v>
      </c>
      <c r="CZ599">
        <f t="shared" si="535"/>
        <v>0</v>
      </c>
      <c r="DC599" t="s">
        <v>3</v>
      </c>
      <c r="DD599" t="s">
        <v>3</v>
      </c>
      <c r="DE599" t="s">
        <v>3</v>
      </c>
      <c r="DF599" t="s">
        <v>3</v>
      </c>
      <c r="DG599" t="s">
        <v>3</v>
      </c>
      <c r="DH599" t="s">
        <v>3</v>
      </c>
      <c r="DI599" t="s">
        <v>3</v>
      </c>
      <c r="DJ599" t="s">
        <v>3</v>
      </c>
      <c r="DK599" t="s">
        <v>3</v>
      </c>
      <c r="DL599" t="s">
        <v>3</v>
      </c>
      <c r="DM599" t="s">
        <v>3</v>
      </c>
      <c r="DN599">
        <v>140</v>
      </c>
      <c r="DO599">
        <v>79</v>
      </c>
      <c r="DP599">
        <v>1</v>
      </c>
      <c r="DQ599">
        <v>1</v>
      </c>
      <c r="DU599">
        <v>1007</v>
      </c>
      <c r="DV599" t="s">
        <v>84</v>
      </c>
      <c r="DW599" t="s">
        <v>84</v>
      </c>
      <c r="DX599">
        <v>1</v>
      </c>
      <c r="DZ599" t="s">
        <v>3</v>
      </c>
      <c r="EA599" t="s">
        <v>3</v>
      </c>
      <c r="EB599" t="s">
        <v>3</v>
      </c>
      <c r="EC599" t="s">
        <v>3</v>
      </c>
      <c r="EE599">
        <v>43088224</v>
      </c>
      <c r="EF599">
        <v>30</v>
      </c>
      <c r="EG599" t="s">
        <v>22</v>
      </c>
      <c r="EH599">
        <v>0</v>
      </c>
      <c r="EI599" t="s">
        <v>3</v>
      </c>
      <c r="EJ599">
        <v>1</v>
      </c>
      <c r="EK599">
        <v>146</v>
      </c>
      <c r="EL599" t="s">
        <v>79</v>
      </c>
      <c r="EM599" t="s">
        <v>80</v>
      </c>
      <c r="EO599" t="s">
        <v>3</v>
      </c>
      <c r="EQ599">
        <v>0</v>
      </c>
      <c r="ER599">
        <v>206.56</v>
      </c>
      <c r="ES599">
        <v>206.56</v>
      </c>
      <c r="ET599">
        <v>0</v>
      </c>
      <c r="EU599">
        <v>0</v>
      </c>
      <c r="EV599">
        <v>0</v>
      </c>
      <c r="EW599">
        <v>0</v>
      </c>
      <c r="EX599">
        <v>0</v>
      </c>
      <c r="FQ599">
        <v>0</v>
      </c>
      <c r="FR599">
        <f t="shared" si="536"/>
        <v>0</v>
      </c>
      <c r="FS599">
        <v>0</v>
      </c>
      <c r="FX599">
        <v>140</v>
      </c>
      <c r="FY599">
        <v>79</v>
      </c>
      <c r="GA599" t="s">
        <v>3</v>
      </c>
      <c r="GD599">
        <v>0</v>
      </c>
      <c r="GF599">
        <v>2065553662</v>
      </c>
      <c r="GG599">
        <v>2</v>
      </c>
      <c r="GH599">
        <v>1</v>
      </c>
      <c r="GI599">
        <v>2</v>
      </c>
      <c r="GJ599">
        <v>0</v>
      </c>
      <c r="GK599">
        <f>ROUND(R599*(R12)/100,2)</f>
        <v>0</v>
      </c>
      <c r="GL599">
        <f t="shared" si="537"/>
        <v>0</v>
      </c>
      <c r="GM599">
        <f t="shared" si="538"/>
        <v>38874.589999999997</v>
      </c>
      <c r="GN599">
        <f t="shared" si="539"/>
        <v>38874.589999999997</v>
      </c>
      <c r="GO599">
        <f t="shared" si="540"/>
        <v>0</v>
      </c>
      <c r="GP599">
        <f t="shared" si="541"/>
        <v>0</v>
      </c>
      <c r="GR599">
        <v>0</v>
      </c>
      <c r="GS599">
        <v>3</v>
      </c>
      <c r="GT599">
        <v>0</v>
      </c>
      <c r="GU599" t="s">
        <v>3</v>
      </c>
      <c r="GV599">
        <f t="shared" si="542"/>
        <v>0</v>
      </c>
      <c r="GW599">
        <v>1</v>
      </c>
      <c r="GX599">
        <f t="shared" si="543"/>
        <v>0</v>
      </c>
      <c r="HA599">
        <v>0</v>
      </c>
      <c r="HB599">
        <v>0</v>
      </c>
      <c r="HC599">
        <f t="shared" si="544"/>
        <v>0</v>
      </c>
      <c r="HE599" t="s">
        <v>3</v>
      </c>
      <c r="HF599" t="s">
        <v>3</v>
      </c>
      <c r="HM599" t="s">
        <v>3</v>
      </c>
      <c r="IK599">
        <v>0</v>
      </c>
    </row>
    <row r="600" spans="1:245" x14ac:dyDescent="0.2">
      <c r="A600">
        <v>18</v>
      </c>
      <c r="B600">
        <v>1</v>
      </c>
      <c r="C600">
        <v>386</v>
      </c>
      <c r="E600" t="s">
        <v>758</v>
      </c>
      <c r="F600" t="s">
        <v>759</v>
      </c>
      <c r="G600" t="s">
        <v>760</v>
      </c>
      <c r="H600" t="s">
        <v>84</v>
      </c>
      <c r="I600">
        <f>I598*J600</f>
        <v>12</v>
      </c>
      <c r="J600">
        <v>37.5</v>
      </c>
      <c r="K600">
        <v>37.5</v>
      </c>
      <c r="O600">
        <f t="shared" si="512"/>
        <v>24029.08</v>
      </c>
      <c r="P600">
        <f t="shared" si="513"/>
        <v>24029.08</v>
      </c>
      <c r="Q600">
        <f t="shared" si="547"/>
        <v>0</v>
      </c>
      <c r="R600">
        <f t="shared" si="514"/>
        <v>0</v>
      </c>
      <c r="S600">
        <f t="shared" si="515"/>
        <v>0</v>
      </c>
      <c r="T600">
        <f t="shared" si="516"/>
        <v>0</v>
      </c>
      <c r="U600">
        <f t="shared" si="517"/>
        <v>0</v>
      </c>
      <c r="V600">
        <f t="shared" si="518"/>
        <v>0</v>
      </c>
      <c r="W600">
        <f t="shared" si="519"/>
        <v>0</v>
      </c>
      <c r="X600">
        <f t="shared" si="520"/>
        <v>0</v>
      </c>
      <c r="Y600">
        <f t="shared" si="521"/>
        <v>0</v>
      </c>
      <c r="AA600">
        <v>42938047</v>
      </c>
      <c r="AB600">
        <f t="shared" si="522"/>
        <v>173.37</v>
      </c>
      <c r="AC600">
        <f t="shared" si="523"/>
        <v>173.37</v>
      </c>
      <c r="AD600">
        <f t="shared" si="548"/>
        <v>0</v>
      </c>
      <c r="AE600">
        <f t="shared" si="549"/>
        <v>0</v>
      </c>
      <c r="AF600">
        <f t="shared" si="549"/>
        <v>0</v>
      </c>
      <c r="AG600">
        <f t="shared" si="524"/>
        <v>0</v>
      </c>
      <c r="AH600">
        <f t="shared" si="550"/>
        <v>0</v>
      </c>
      <c r="AI600">
        <f t="shared" si="550"/>
        <v>0</v>
      </c>
      <c r="AJ600">
        <f t="shared" si="525"/>
        <v>0</v>
      </c>
      <c r="AK600">
        <v>173.37</v>
      </c>
      <c r="AL600">
        <v>173.37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1</v>
      </c>
      <c r="AW600">
        <v>1</v>
      </c>
      <c r="AZ600">
        <v>1</v>
      </c>
      <c r="BA600">
        <v>1</v>
      </c>
      <c r="BB600">
        <v>1</v>
      </c>
      <c r="BC600">
        <v>11.55</v>
      </c>
      <c r="BD600" t="s">
        <v>3</v>
      </c>
      <c r="BE600" t="s">
        <v>3</v>
      </c>
      <c r="BF600" t="s">
        <v>3</v>
      </c>
      <c r="BG600" t="s">
        <v>3</v>
      </c>
      <c r="BH600">
        <v>3</v>
      </c>
      <c r="BI600">
        <v>1</v>
      </c>
      <c r="BJ600" t="s">
        <v>761</v>
      </c>
      <c r="BM600">
        <v>146</v>
      </c>
      <c r="BN600">
        <v>0</v>
      </c>
      <c r="BO600" t="s">
        <v>759</v>
      </c>
      <c r="BP600">
        <v>1</v>
      </c>
      <c r="BQ600">
        <v>30</v>
      </c>
      <c r="BR600">
        <v>0</v>
      </c>
      <c r="BS600">
        <v>1</v>
      </c>
      <c r="BT600">
        <v>1</v>
      </c>
      <c r="BU600">
        <v>1</v>
      </c>
      <c r="BV600">
        <v>1</v>
      </c>
      <c r="BW600">
        <v>1</v>
      </c>
      <c r="BX600">
        <v>1</v>
      </c>
      <c r="BY600" t="s">
        <v>3</v>
      </c>
      <c r="BZ600">
        <v>0</v>
      </c>
      <c r="CA600">
        <v>0</v>
      </c>
      <c r="CB600" t="s">
        <v>3</v>
      </c>
      <c r="CE600">
        <v>30</v>
      </c>
      <c r="CF600">
        <v>0</v>
      </c>
      <c r="CG600">
        <v>0</v>
      </c>
      <c r="CM600">
        <v>0</v>
      </c>
      <c r="CN600" t="s">
        <v>3</v>
      </c>
      <c r="CO600">
        <v>0</v>
      </c>
      <c r="CP600">
        <f t="shared" si="526"/>
        <v>24029.08</v>
      </c>
      <c r="CQ600">
        <f t="shared" si="527"/>
        <v>2002.42</v>
      </c>
      <c r="CR600">
        <f t="shared" si="551"/>
        <v>0</v>
      </c>
      <c r="CS600">
        <f t="shared" si="528"/>
        <v>0</v>
      </c>
      <c r="CT600">
        <f t="shared" si="529"/>
        <v>0</v>
      </c>
      <c r="CU600">
        <f t="shared" si="530"/>
        <v>0</v>
      </c>
      <c r="CV600">
        <f t="shared" si="531"/>
        <v>0</v>
      </c>
      <c r="CW600">
        <f t="shared" si="532"/>
        <v>0</v>
      </c>
      <c r="CX600">
        <f t="shared" si="533"/>
        <v>0</v>
      </c>
      <c r="CY600">
        <f t="shared" si="534"/>
        <v>0</v>
      </c>
      <c r="CZ600">
        <f t="shared" si="535"/>
        <v>0</v>
      </c>
      <c r="DC600" t="s">
        <v>3</v>
      </c>
      <c r="DD600" t="s">
        <v>3</v>
      </c>
      <c r="DE600" t="s">
        <v>3</v>
      </c>
      <c r="DF600" t="s">
        <v>3</v>
      </c>
      <c r="DG600" t="s">
        <v>3</v>
      </c>
      <c r="DH600" t="s">
        <v>3</v>
      </c>
      <c r="DI600" t="s">
        <v>3</v>
      </c>
      <c r="DJ600" t="s">
        <v>3</v>
      </c>
      <c r="DK600" t="s">
        <v>3</v>
      </c>
      <c r="DL600" t="s">
        <v>3</v>
      </c>
      <c r="DM600" t="s">
        <v>3</v>
      </c>
      <c r="DN600">
        <v>140</v>
      </c>
      <c r="DO600">
        <v>79</v>
      </c>
      <c r="DP600">
        <v>1</v>
      </c>
      <c r="DQ600">
        <v>1</v>
      </c>
      <c r="DU600">
        <v>1007</v>
      </c>
      <c r="DV600" t="s">
        <v>84</v>
      </c>
      <c r="DW600" t="s">
        <v>84</v>
      </c>
      <c r="DX600">
        <v>1</v>
      </c>
      <c r="DZ600" t="s">
        <v>3</v>
      </c>
      <c r="EA600" t="s">
        <v>3</v>
      </c>
      <c r="EB600" t="s">
        <v>3</v>
      </c>
      <c r="EC600" t="s">
        <v>3</v>
      </c>
      <c r="EE600">
        <v>43088224</v>
      </c>
      <c r="EF600">
        <v>30</v>
      </c>
      <c r="EG600" t="s">
        <v>22</v>
      </c>
      <c r="EH600">
        <v>0</v>
      </c>
      <c r="EI600" t="s">
        <v>3</v>
      </c>
      <c r="EJ600">
        <v>1</v>
      </c>
      <c r="EK600">
        <v>146</v>
      </c>
      <c r="EL600" t="s">
        <v>79</v>
      </c>
      <c r="EM600" t="s">
        <v>80</v>
      </c>
      <c r="EO600" t="s">
        <v>3</v>
      </c>
      <c r="EQ600">
        <v>0</v>
      </c>
      <c r="ER600">
        <v>173.37</v>
      </c>
      <c r="ES600">
        <v>173.37</v>
      </c>
      <c r="ET600">
        <v>0</v>
      </c>
      <c r="EU600">
        <v>0</v>
      </c>
      <c r="EV600">
        <v>0</v>
      </c>
      <c r="EW600">
        <v>0</v>
      </c>
      <c r="EX600">
        <v>0</v>
      </c>
      <c r="FQ600">
        <v>0</v>
      </c>
      <c r="FR600">
        <f t="shared" si="536"/>
        <v>0</v>
      </c>
      <c r="FS600">
        <v>0</v>
      </c>
      <c r="FX600">
        <v>140</v>
      </c>
      <c r="FY600">
        <v>79</v>
      </c>
      <c r="GA600" t="s">
        <v>3</v>
      </c>
      <c r="GD600">
        <v>0</v>
      </c>
      <c r="GF600">
        <v>-820942871</v>
      </c>
      <c r="GG600">
        <v>2</v>
      </c>
      <c r="GH600">
        <v>1</v>
      </c>
      <c r="GI600">
        <v>2</v>
      </c>
      <c r="GJ600">
        <v>0</v>
      </c>
      <c r="GK600">
        <f>ROUND(R600*(R12)/100,2)</f>
        <v>0</v>
      </c>
      <c r="GL600">
        <f t="shared" si="537"/>
        <v>0</v>
      </c>
      <c r="GM600">
        <f t="shared" si="538"/>
        <v>24029.08</v>
      </c>
      <c r="GN600">
        <f t="shared" si="539"/>
        <v>24029.08</v>
      </c>
      <c r="GO600">
        <f t="shared" si="540"/>
        <v>0</v>
      </c>
      <c r="GP600">
        <f t="shared" si="541"/>
        <v>0</v>
      </c>
      <c r="GR600">
        <v>0</v>
      </c>
      <c r="GS600">
        <v>3</v>
      </c>
      <c r="GT600">
        <v>0</v>
      </c>
      <c r="GU600" t="s">
        <v>3</v>
      </c>
      <c r="GV600">
        <f t="shared" si="542"/>
        <v>0</v>
      </c>
      <c r="GW600">
        <v>1</v>
      </c>
      <c r="GX600">
        <f t="shared" si="543"/>
        <v>0</v>
      </c>
      <c r="HA600">
        <v>0</v>
      </c>
      <c r="HB600">
        <v>0</v>
      </c>
      <c r="HC600">
        <f t="shared" si="544"/>
        <v>0</v>
      </c>
      <c r="HE600" t="s">
        <v>3</v>
      </c>
      <c r="HF600" t="s">
        <v>3</v>
      </c>
      <c r="HM600" t="s">
        <v>3</v>
      </c>
      <c r="IK600">
        <v>0</v>
      </c>
    </row>
    <row r="601" spans="1:245" x14ac:dyDescent="0.2">
      <c r="A601">
        <v>18</v>
      </c>
      <c r="B601">
        <v>1</v>
      </c>
      <c r="C601">
        <v>383</v>
      </c>
      <c r="E601" t="s">
        <v>762</v>
      </c>
      <c r="F601" t="s">
        <v>741</v>
      </c>
      <c r="G601" t="s">
        <v>742</v>
      </c>
      <c r="H601" t="s">
        <v>738</v>
      </c>
      <c r="I601">
        <f>I598*J601</f>
        <v>-0.20800000000000002</v>
      </c>
      <c r="J601">
        <v>-0.65</v>
      </c>
      <c r="K601">
        <v>-0.52</v>
      </c>
      <c r="O601">
        <f t="shared" si="512"/>
        <v>-327.94</v>
      </c>
      <c r="P601">
        <f t="shared" si="513"/>
        <v>0</v>
      </c>
      <c r="Q601">
        <f t="shared" si="547"/>
        <v>-327.94</v>
      </c>
      <c r="R601">
        <f t="shared" si="514"/>
        <v>-92.09</v>
      </c>
      <c r="S601">
        <f t="shared" si="515"/>
        <v>0</v>
      </c>
      <c r="T601">
        <f t="shared" si="516"/>
        <v>0</v>
      </c>
      <c r="U601">
        <f t="shared" si="517"/>
        <v>0</v>
      </c>
      <c r="V601">
        <f t="shared" si="518"/>
        <v>0</v>
      </c>
      <c r="W601">
        <f t="shared" si="519"/>
        <v>0</v>
      </c>
      <c r="X601">
        <f t="shared" si="520"/>
        <v>0</v>
      </c>
      <c r="Y601">
        <f t="shared" si="521"/>
        <v>0</v>
      </c>
      <c r="AA601">
        <v>42938047</v>
      </c>
      <c r="AB601">
        <f t="shared" si="522"/>
        <v>177.54</v>
      </c>
      <c r="AC601">
        <f t="shared" si="523"/>
        <v>0</v>
      </c>
      <c r="AD601">
        <f t="shared" si="548"/>
        <v>177.54</v>
      </c>
      <c r="AE601">
        <f t="shared" si="549"/>
        <v>17.420000000000002</v>
      </c>
      <c r="AF601">
        <f t="shared" si="549"/>
        <v>0</v>
      </c>
      <c r="AG601">
        <f t="shared" si="524"/>
        <v>0</v>
      </c>
      <c r="AH601">
        <f t="shared" si="550"/>
        <v>0</v>
      </c>
      <c r="AI601">
        <f t="shared" si="550"/>
        <v>0</v>
      </c>
      <c r="AJ601">
        <f t="shared" si="525"/>
        <v>0</v>
      </c>
      <c r="AK601">
        <v>177.54</v>
      </c>
      <c r="AL601">
        <v>0</v>
      </c>
      <c r="AM601">
        <v>177.54</v>
      </c>
      <c r="AN601">
        <v>17.420000000000002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1</v>
      </c>
      <c r="AW601">
        <v>1</v>
      </c>
      <c r="AZ601">
        <v>1</v>
      </c>
      <c r="BA601">
        <v>1</v>
      </c>
      <c r="BB601">
        <v>8.8800000000000008</v>
      </c>
      <c r="BC601">
        <v>1</v>
      </c>
      <c r="BD601" t="s">
        <v>3</v>
      </c>
      <c r="BE601" t="s">
        <v>3</v>
      </c>
      <c r="BF601" t="s">
        <v>3</v>
      </c>
      <c r="BG601" t="s">
        <v>3</v>
      </c>
      <c r="BH601">
        <v>2</v>
      </c>
      <c r="BI601">
        <v>1</v>
      </c>
      <c r="BJ601" t="s">
        <v>743</v>
      </c>
      <c r="BM601">
        <v>146</v>
      </c>
      <c r="BN601">
        <v>0</v>
      </c>
      <c r="BO601" t="s">
        <v>741</v>
      </c>
      <c r="BP601">
        <v>1</v>
      </c>
      <c r="BQ601">
        <v>30</v>
      </c>
      <c r="BR601">
        <v>1</v>
      </c>
      <c r="BS601">
        <v>25.44</v>
      </c>
      <c r="BT601">
        <v>1</v>
      </c>
      <c r="BU601">
        <v>1</v>
      </c>
      <c r="BV601">
        <v>1</v>
      </c>
      <c r="BW601">
        <v>1</v>
      </c>
      <c r="BX601">
        <v>1</v>
      </c>
      <c r="BY601" t="s">
        <v>3</v>
      </c>
      <c r="BZ601">
        <v>0</v>
      </c>
      <c r="CA601">
        <v>0</v>
      </c>
      <c r="CB601" t="s">
        <v>3</v>
      </c>
      <c r="CE601">
        <v>30</v>
      </c>
      <c r="CF601">
        <v>0</v>
      </c>
      <c r="CG601">
        <v>0</v>
      </c>
      <c r="CM601">
        <v>0</v>
      </c>
      <c r="CN601" t="s">
        <v>3</v>
      </c>
      <c r="CO601">
        <v>0</v>
      </c>
      <c r="CP601">
        <f t="shared" si="526"/>
        <v>-327.94</v>
      </c>
      <c r="CQ601">
        <f t="shared" si="527"/>
        <v>0</v>
      </c>
      <c r="CR601">
        <f t="shared" si="551"/>
        <v>1576.56</v>
      </c>
      <c r="CS601">
        <f t="shared" si="528"/>
        <v>443.16</v>
      </c>
      <c r="CT601">
        <f t="shared" si="529"/>
        <v>0</v>
      </c>
      <c r="CU601">
        <f t="shared" si="530"/>
        <v>0</v>
      </c>
      <c r="CV601">
        <f t="shared" si="531"/>
        <v>0</v>
      </c>
      <c r="CW601">
        <f t="shared" si="532"/>
        <v>0</v>
      </c>
      <c r="CX601">
        <f t="shared" si="533"/>
        <v>0</v>
      </c>
      <c r="CY601">
        <f t="shared" si="534"/>
        <v>0</v>
      </c>
      <c r="CZ601">
        <f t="shared" si="535"/>
        <v>0</v>
      </c>
      <c r="DC601" t="s">
        <v>3</v>
      </c>
      <c r="DD601" t="s">
        <v>3</v>
      </c>
      <c r="DE601" t="s">
        <v>3</v>
      </c>
      <c r="DF601" t="s">
        <v>3</v>
      </c>
      <c r="DG601" t="s">
        <v>3</v>
      </c>
      <c r="DH601" t="s">
        <v>3</v>
      </c>
      <c r="DI601" t="s">
        <v>3</v>
      </c>
      <c r="DJ601" t="s">
        <v>3</v>
      </c>
      <c r="DK601" t="s">
        <v>3</v>
      </c>
      <c r="DL601" t="s">
        <v>3</v>
      </c>
      <c r="DM601" t="s">
        <v>3</v>
      </c>
      <c r="DN601">
        <v>140</v>
      </c>
      <c r="DO601">
        <v>79</v>
      </c>
      <c r="DP601">
        <v>1</v>
      </c>
      <c r="DQ601">
        <v>1</v>
      </c>
      <c r="DU601">
        <v>1011</v>
      </c>
      <c r="DV601" t="s">
        <v>738</v>
      </c>
      <c r="DW601" t="s">
        <v>738</v>
      </c>
      <c r="DX601">
        <v>1</v>
      </c>
      <c r="DZ601" t="s">
        <v>3</v>
      </c>
      <c r="EA601" t="s">
        <v>3</v>
      </c>
      <c r="EB601" t="s">
        <v>3</v>
      </c>
      <c r="EC601" t="s">
        <v>3</v>
      </c>
      <c r="EE601">
        <v>43088224</v>
      </c>
      <c r="EF601">
        <v>30</v>
      </c>
      <c r="EG601" t="s">
        <v>22</v>
      </c>
      <c r="EH601">
        <v>0</v>
      </c>
      <c r="EI601" t="s">
        <v>3</v>
      </c>
      <c r="EJ601">
        <v>1</v>
      </c>
      <c r="EK601">
        <v>146</v>
      </c>
      <c r="EL601" t="s">
        <v>79</v>
      </c>
      <c r="EM601" t="s">
        <v>80</v>
      </c>
      <c r="EO601" t="s">
        <v>3</v>
      </c>
      <c r="EQ601">
        <v>0</v>
      </c>
      <c r="ER601">
        <v>177.54</v>
      </c>
      <c r="ES601">
        <v>0</v>
      </c>
      <c r="ET601">
        <v>177.54</v>
      </c>
      <c r="EU601">
        <v>17.420000000000002</v>
      </c>
      <c r="EV601">
        <v>0</v>
      </c>
      <c r="EW601">
        <v>0</v>
      </c>
      <c r="EX601">
        <v>0</v>
      </c>
      <c r="FQ601">
        <v>0</v>
      </c>
      <c r="FR601">
        <f t="shared" si="536"/>
        <v>0</v>
      </c>
      <c r="FS601">
        <v>0</v>
      </c>
      <c r="FX601">
        <v>140</v>
      </c>
      <c r="FY601">
        <v>79</v>
      </c>
      <c r="GA601" t="s">
        <v>3</v>
      </c>
      <c r="GD601">
        <v>0</v>
      </c>
      <c r="GF601">
        <v>-646811103</v>
      </c>
      <c r="GG601">
        <v>2</v>
      </c>
      <c r="GH601">
        <v>1</v>
      </c>
      <c r="GI601">
        <v>2</v>
      </c>
      <c r="GJ601">
        <v>0</v>
      </c>
      <c r="GK601">
        <f>ROUND(R601*(R12)/100,2)</f>
        <v>-144.58000000000001</v>
      </c>
      <c r="GL601">
        <f t="shared" si="537"/>
        <v>0</v>
      </c>
      <c r="GM601">
        <f t="shared" si="538"/>
        <v>-472.52</v>
      </c>
      <c r="GN601">
        <f t="shared" si="539"/>
        <v>-472.52</v>
      </c>
      <c r="GO601">
        <f t="shared" si="540"/>
        <v>0</v>
      </c>
      <c r="GP601">
        <f t="shared" si="541"/>
        <v>0</v>
      </c>
      <c r="GR601">
        <v>0</v>
      </c>
      <c r="GS601">
        <v>7</v>
      </c>
      <c r="GT601">
        <v>0</v>
      </c>
      <c r="GU601" t="s">
        <v>3</v>
      </c>
      <c r="GV601">
        <f t="shared" si="542"/>
        <v>0</v>
      </c>
      <c r="GW601">
        <v>1</v>
      </c>
      <c r="GX601">
        <f t="shared" si="543"/>
        <v>0</v>
      </c>
      <c r="HA601">
        <v>0</v>
      </c>
      <c r="HB601">
        <v>0</v>
      </c>
      <c r="HC601">
        <f t="shared" si="544"/>
        <v>0</v>
      </c>
      <c r="HE601" t="s">
        <v>3</v>
      </c>
      <c r="HF601" t="s">
        <v>3</v>
      </c>
      <c r="HM601" t="s">
        <v>20</v>
      </c>
      <c r="IK601">
        <v>0</v>
      </c>
    </row>
    <row r="602" spans="1:245" x14ac:dyDescent="0.2">
      <c r="A602">
        <v>18</v>
      </c>
      <c r="B602">
        <v>1</v>
      </c>
      <c r="C602">
        <v>382</v>
      </c>
      <c r="E602" t="s">
        <v>763</v>
      </c>
      <c r="F602" t="s">
        <v>736</v>
      </c>
      <c r="G602" t="s">
        <v>737</v>
      </c>
      <c r="H602" t="s">
        <v>738</v>
      </c>
      <c r="I602">
        <f>I598*J602</f>
        <v>-0.71599999999999997</v>
      </c>
      <c r="J602">
        <v>-2.2374999999999998</v>
      </c>
      <c r="K602">
        <v>-1.79</v>
      </c>
      <c r="O602">
        <f t="shared" si="512"/>
        <v>-1088.52</v>
      </c>
      <c r="P602">
        <f t="shared" si="513"/>
        <v>0</v>
      </c>
      <c r="Q602">
        <f t="shared" si="547"/>
        <v>-1088.52</v>
      </c>
      <c r="R602">
        <f t="shared" si="514"/>
        <v>-450.54</v>
      </c>
      <c r="S602">
        <f t="shared" si="515"/>
        <v>0</v>
      </c>
      <c r="T602">
        <f t="shared" si="516"/>
        <v>0</v>
      </c>
      <c r="U602">
        <f t="shared" si="517"/>
        <v>0</v>
      </c>
      <c r="V602">
        <f t="shared" si="518"/>
        <v>0</v>
      </c>
      <c r="W602">
        <f t="shared" si="519"/>
        <v>0</v>
      </c>
      <c r="X602">
        <f t="shared" si="520"/>
        <v>0</v>
      </c>
      <c r="Y602">
        <f t="shared" si="521"/>
        <v>0</v>
      </c>
      <c r="AA602">
        <v>42938047</v>
      </c>
      <c r="AB602">
        <f t="shared" si="522"/>
        <v>125.13</v>
      </c>
      <c r="AC602">
        <f t="shared" si="523"/>
        <v>0</v>
      </c>
      <c r="AD602">
        <f t="shared" si="548"/>
        <v>125.13</v>
      </c>
      <c r="AE602">
        <f t="shared" si="549"/>
        <v>24.74</v>
      </c>
      <c r="AF602">
        <f t="shared" si="549"/>
        <v>0</v>
      </c>
      <c r="AG602">
        <f t="shared" si="524"/>
        <v>0</v>
      </c>
      <c r="AH602">
        <f t="shared" si="550"/>
        <v>0</v>
      </c>
      <c r="AI602">
        <f t="shared" si="550"/>
        <v>0</v>
      </c>
      <c r="AJ602">
        <f t="shared" si="525"/>
        <v>0</v>
      </c>
      <c r="AK602">
        <v>125.13</v>
      </c>
      <c r="AL602">
        <v>0</v>
      </c>
      <c r="AM602">
        <v>125.13</v>
      </c>
      <c r="AN602">
        <v>24.74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1</v>
      </c>
      <c r="AW602">
        <v>1</v>
      </c>
      <c r="AZ602">
        <v>1</v>
      </c>
      <c r="BA602">
        <v>1</v>
      </c>
      <c r="BB602">
        <v>12.15</v>
      </c>
      <c r="BC602">
        <v>1</v>
      </c>
      <c r="BD602" t="s">
        <v>3</v>
      </c>
      <c r="BE602" t="s">
        <v>3</v>
      </c>
      <c r="BF602" t="s">
        <v>3</v>
      </c>
      <c r="BG602" t="s">
        <v>3</v>
      </c>
      <c r="BH602">
        <v>2</v>
      </c>
      <c r="BI602">
        <v>1</v>
      </c>
      <c r="BJ602" t="s">
        <v>739</v>
      </c>
      <c r="BM602">
        <v>146</v>
      </c>
      <c r="BN602">
        <v>0</v>
      </c>
      <c r="BO602" t="s">
        <v>736</v>
      </c>
      <c r="BP602">
        <v>1</v>
      </c>
      <c r="BQ602">
        <v>30</v>
      </c>
      <c r="BR602">
        <v>1</v>
      </c>
      <c r="BS602">
        <v>25.44</v>
      </c>
      <c r="BT602">
        <v>1</v>
      </c>
      <c r="BU602">
        <v>1</v>
      </c>
      <c r="BV602">
        <v>1</v>
      </c>
      <c r="BW602">
        <v>1</v>
      </c>
      <c r="BX602">
        <v>1</v>
      </c>
      <c r="BY602" t="s">
        <v>3</v>
      </c>
      <c r="BZ602">
        <v>0</v>
      </c>
      <c r="CA602">
        <v>0</v>
      </c>
      <c r="CB602" t="s">
        <v>3</v>
      </c>
      <c r="CE602">
        <v>30</v>
      </c>
      <c r="CF602">
        <v>0</v>
      </c>
      <c r="CG602">
        <v>0</v>
      </c>
      <c r="CM602">
        <v>0</v>
      </c>
      <c r="CN602" t="s">
        <v>3</v>
      </c>
      <c r="CO602">
        <v>0</v>
      </c>
      <c r="CP602">
        <f t="shared" si="526"/>
        <v>-1088.52</v>
      </c>
      <c r="CQ602">
        <f t="shared" si="527"/>
        <v>0</v>
      </c>
      <c r="CR602">
        <f t="shared" si="551"/>
        <v>1520.33</v>
      </c>
      <c r="CS602">
        <f t="shared" si="528"/>
        <v>629.39</v>
      </c>
      <c r="CT602">
        <f t="shared" si="529"/>
        <v>0</v>
      </c>
      <c r="CU602">
        <f t="shared" si="530"/>
        <v>0</v>
      </c>
      <c r="CV602">
        <f t="shared" si="531"/>
        <v>0</v>
      </c>
      <c r="CW602">
        <f t="shared" si="532"/>
        <v>0</v>
      </c>
      <c r="CX602">
        <f t="shared" si="533"/>
        <v>0</v>
      </c>
      <c r="CY602">
        <f t="shared" si="534"/>
        <v>0</v>
      </c>
      <c r="CZ602">
        <f t="shared" si="535"/>
        <v>0</v>
      </c>
      <c r="DC602" t="s">
        <v>3</v>
      </c>
      <c r="DD602" t="s">
        <v>3</v>
      </c>
      <c r="DE602" t="s">
        <v>3</v>
      </c>
      <c r="DF602" t="s">
        <v>3</v>
      </c>
      <c r="DG602" t="s">
        <v>3</v>
      </c>
      <c r="DH602" t="s">
        <v>3</v>
      </c>
      <c r="DI602" t="s">
        <v>3</v>
      </c>
      <c r="DJ602" t="s">
        <v>3</v>
      </c>
      <c r="DK602" t="s">
        <v>3</v>
      </c>
      <c r="DL602" t="s">
        <v>3</v>
      </c>
      <c r="DM602" t="s">
        <v>3</v>
      </c>
      <c r="DN602">
        <v>140</v>
      </c>
      <c r="DO602">
        <v>79</v>
      </c>
      <c r="DP602">
        <v>1</v>
      </c>
      <c r="DQ602">
        <v>1</v>
      </c>
      <c r="DU602">
        <v>1011</v>
      </c>
      <c r="DV602" t="s">
        <v>738</v>
      </c>
      <c r="DW602" t="s">
        <v>738</v>
      </c>
      <c r="DX602">
        <v>1</v>
      </c>
      <c r="DZ602" t="s">
        <v>3</v>
      </c>
      <c r="EA602" t="s">
        <v>3</v>
      </c>
      <c r="EB602" t="s">
        <v>3</v>
      </c>
      <c r="EC602" t="s">
        <v>3</v>
      </c>
      <c r="EE602">
        <v>43088224</v>
      </c>
      <c r="EF602">
        <v>30</v>
      </c>
      <c r="EG602" t="s">
        <v>22</v>
      </c>
      <c r="EH602">
        <v>0</v>
      </c>
      <c r="EI602" t="s">
        <v>3</v>
      </c>
      <c r="EJ602">
        <v>1</v>
      </c>
      <c r="EK602">
        <v>146</v>
      </c>
      <c r="EL602" t="s">
        <v>79</v>
      </c>
      <c r="EM602" t="s">
        <v>80</v>
      </c>
      <c r="EO602" t="s">
        <v>3</v>
      </c>
      <c r="EQ602">
        <v>0</v>
      </c>
      <c r="ER602">
        <v>125.13</v>
      </c>
      <c r="ES602">
        <v>0</v>
      </c>
      <c r="ET602">
        <v>125.13</v>
      </c>
      <c r="EU602">
        <v>24.74</v>
      </c>
      <c r="EV602">
        <v>0</v>
      </c>
      <c r="EW602">
        <v>0</v>
      </c>
      <c r="EX602">
        <v>0</v>
      </c>
      <c r="FQ602">
        <v>0</v>
      </c>
      <c r="FR602">
        <f t="shared" si="536"/>
        <v>0</v>
      </c>
      <c r="FS602">
        <v>0</v>
      </c>
      <c r="FX602">
        <v>140</v>
      </c>
      <c r="FY602">
        <v>79</v>
      </c>
      <c r="GA602" t="s">
        <v>3</v>
      </c>
      <c r="GD602">
        <v>0</v>
      </c>
      <c r="GF602">
        <v>856318566</v>
      </c>
      <c r="GG602">
        <v>2</v>
      </c>
      <c r="GH602">
        <v>1</v>
      </c>
      <c r="GI602">
        <v>2</v>
      </c>
      <c r="GJ602">
        <v>0</v>
      </c>
      <c r="GK602">
        <f>ROUND(R602*(R12)/100,2)</f>
        <v>-707.35</v>
      </c>
      <c r="GL602">
        <f t="shared" si="537"/>
        <v>0</v>
      </c>
      <c r="GM602">
        <f t="shared" si="538"/>
        <v>-1795.87</v>
      </c>
      <c r="GN602">
        <f t="shared" si="539"/>
        <v>-1795.87</v>
      </c>
      <c r="GO602">
        <f t="shared" si="540"/>
        <v>0</v>
      </c>
      <c r="GP602">
        <f t="shared" si="541"/>
        <v>0</v>
      </c>
      <c r="GR602">
        <v>0</v>
      </c>
      <c r="GS602">
        <v>7</v>
      </c>
      <c r="GT602">
        <v>0</v>
      </c>
      <c r="GU602" t="s">
        <v>3</v>
      </c>
      <c r="GV602">
        <f t="shared" si="542"/>
        <v>0</v>
      </c>
      <c r="GW602">
        <v>1</v>
      </c>
      <c r="GX602">
        <f t="shared" si="543"/>
        <v>0</v>
      </c>
      <c r="HA602">
        <v>0</v>
      </c>
      <c r="HB602">
        <v>0</v>
      </c>
      <c r="HC602">
        <f t="shared" si="544"/>
        <v>0</v>
      </c>
      <c r="HE602" t="s">
        <v>3</v>
      </c>
      <c r="HF602" t="s">
        <v>3</v>
      </c>
      <c r="HM602" t="s">
        <v>20</v>
      </c>
      <c r="IK602">
        <v>0</v>
      </c>
    </row>
    <row r="603" spans="1:245" x14ac:dyDescent="0.2">
      <c r="A603">
        <v>18</v>
      </c>
      <c r="B603">
        <v>1</v>
      </c>
      <c r="C603">
        <v>381</v>
      </c>
      <c r="E603" t="s">
        <v>764</v>
      </c>
      <c r="F603" t="s">
        <v>765</v>
      </c>
      <c r="G603" t="s">
        <v>766</v>
      </c>
      <c r="H603" t="s">
        <v>738</v>
      </c>
      <c r="I603">
        <f>I598*J603</f>
        <v>-5.84</v>
      </c>
      <c r="J603">
        <v>-18.25</v>
      </c>
      <c r="K603">
        <v>-14.6</v>
      </c>
      <c r="O603">
        <f t="shared" si="512"/>
        <v>-11049.81</v>
      </c>
      <c r="P603">
        <f t="shared" si="513"/>
        <v>0</v>
      </c>
      <c r="Q603">
        <f t="shared" si="547"/>
        <v>-11049.81</v>
      </c>
      <c r="R603">
        <f t="shared" si="514"/>
        <v>-2601.4899999999998</v>
      </c>
      <c r="S603">
        <f t="shared" si="515"/>
        <v>0</v>
      </c>
      <c r="T603">
        <f t="shared" si="516"/>
        <v>0</v>
      </c>
      <c r="U603">
        <f t="shared" si="517"/>
        <v>0</v>
      </c>
      <c r="V603">
        <f t="shared" si="518"/>
        <v>0</v>
      </c>
      <c r="W603">
        <f t="shared" si="519"/>
        <v>0</v>
      </c>
      <c r="X603">
        <f t="shared" si="520"/>
        <v>0</v>
      </c>
      <c r="Y603">
        <f t="shared" si="521"/>
        <v>0</v>
      </c>
      <c r="AA603">
        <v>42938047</v>
      </c>
      <c r="AB603">
        <f t="shared" si="522"/>
        <v>219.5</v>
      </c>
      <c r="AC603">
        <f t="shared" si="523"/>
        <v>0</v>
      </c>
      <c r="AD603">
        <f t="shared" si="548"/>
        <v>219.5</v>
      </c>
      <c r="AE603">
        <f t="shared" si="549"/>
        <v>17.510000000000002</v>
      </c>
      <c r="AF603">
        <f t="shared" si="549"/>
        <v>0</v>
      </c>
      <c r="AG603">
        <f t="shared" si="524"/>
        <v>0</v>
      </c>
      <c r="AH603">
        <f t="shared" si="550"/>
        <v>0</v>
      </c>
      <c r="AI603">
        <f t="shared" si="550"/>
        <v>0</v>
      </c>
      <c r="AJ603">
        <f t="shared" si="525"/>
        <v>0</v>
      </c>
      <c r="AK603">
        <v>219.5</v>
      </c>
      <c r="AL603">
        <v>0</v>
      </c>
      <c r="AM603">
        <v>219.5</v>
      </c>
      <c r="AN603">
        <v>17.510000000000002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1</v>
      </c>
      <c r="AW603">
        <v>1</v>
      </c>
      <c r="AZ603">
        <v>1</v>
      </c>
      <c r="BA603">
        <v>1</v>
      </c>
      <c r="BB603">
        <v>8.6199999999999992</v>
      </c>
      <c r="BC603">
        <v>1</v>
      </c>
      <c r="BD603" t="s">
        <v>3</v>
      </c>
      <c r="BE603" t="s">
        <v>3</v>
      </c>
      <c r="BF603" t="s">
        <v>3</v>
      </c>
      <c r="BG603" t="s">
        <v>3</v>
      </c>
      <c r="BH603">
        <v>2</v>
      </c>
      <c r="BI603">
        <v>1</v>
      </c>
      <c r="BJ603" t="s">
        <v>767</v>
      </c>
      <c r="BM603">
        <v>146</v>
      </c>
      <c r="BN603">
        <v>0</v>
      </c>
      <c r="BO603" t="s">
        <v>765</v>
      </c>
      <c r="BP603">
        <v>1</v>
      </c>
      <c r="BQ603">
        <v>30</v>
      </c>
      <c r="BR603">
        <v>1</v>
      </c>
      <c r="BS603">
        <v>25.44</v>
      </c>
      <c r="BT603">
        <v>1</v>
      </c>
      <c r="BU603">
        <v>1</v>
      </c>
      <c r="BV603">
        <v>1</v>
      </c>
      <c r="BW603">
        <v>1</v>
      </c>
      <c r="BX603">
        <v>1</v>
      </c>
      <c r="BY603" t="s">
        <v>3</v>
      </c>
      <c r="BZ603">
        <v>0</v>
      </c>
      <c r="CA603">
        <v>0</v>
      </c>
      <c r="CB603" t="s">
        <v>3</v>
      </c>
      <c r="CE603">
        <v>30</v>
      </c>
      <c r="CF603">
        <v>0</v>
      </c>
      <c r="CG603">
        <v>0</v>
      </c>
      <c r="CM603">
        <v>0</v>
      </c>
      <c r="CN603" t="s">
        <v>3</v>
      </c>
      <c r="CO603">
        <v>0</v>
      </c>
      <c r="CP603">
        <f t="shared" si="526"/>
        <v>-11049.81</v>
      </c>
      <c r="CQ603">
        <f t="shared" si="527"/>
        <v>0</v>
      </c>
      <c r="CR603">
        <f t="shared" si="551"/>
        <v>1892.09</v>
      </c>
      <c r="CS603">
        <f t="shared" si="528"/>
        <v>445.45</v>
      </c>
      <c r="CT603">
        <f t="shared" si="529"/>
        <v>0</v>
      </c>
      <c r="CU603">
        <f t="shared" si="530"/>
        <v>0</v>
      </c>
      <c r="CV603">
        <f t="shared" si="531"/>
        <v>0</v>
      </c>
      <c r="CW603">
        <f t="shared" si="532"/>
        <v>0</v>
      </c>
      <c r="CX603">
        <f t="shared" si="533"/>
        <v>0</v>
      </c>
      <c r="CY603">
        <f t="shared" si="534"/>
        <v>0</v>
      </c>
      <c r="CZ603">
        <f t="shared" si="535"/>
        <v>0</v>
      </c>
      <c r="DC603" t="s">
        <v>3</v>
      </c>
      <c r="DD603" t="s">
        <v>3</v>
      </c>
      <c r="DE603" t="s">
        <v>3</v>
      </c>
      <c r="DF603" t="s">
        <v>3</v>
      </c>
      <c r="DG603" t="s">
        <v>3</v>
      </c>
      <c r="DH603" t="s">
        <v>3</v>
      </c>
      <c r="DI603" t="s">
        <v>3</v>
      </c>
      <c r="DJ603" t="s">
        <v>3</v>
      </c>
      <c r="DK603" t="s">
        <v>3</v>
      </c>
      <c r="DL603" t="s">
        <v>3</v>
      </c>
      <c r="DM603" t="s">
        <v>3</v>
      </c>
      <c r="DN603">
        <v>140</v>
      </c>
      <c r="DO603">
        <v>79</v>
      </c>
      <c r="DP603">
        <v>1</v>
      </c>
      <c r="DQ603">
        <v>1</v>
      </c>
      <c r="DU603">
        <v>1011</v>
      </c>
      <c r="DV603" t="s">
        <v>738</v>
      </c>
      <c r="DW603" t="s">
        <v>738</v>
      </c>
      <c r="DX603">
        <v>1</v>
      </c>
      <c r="DZ603" t="s">
        <v>3</v>
      </c>
      <c r="EA603" t="s">
        <v>3</v>
      </c>
      <c r="EB603" t="s">
        <v>3</v>
      </c>
      <c r="EC603" t="s">
        <v>3</v>
      </c>
      <c r="EE603">
        <v>43088224</v>
      </c>
      <c r="EF603">
        <v>30</v>
      </c>
      <c r="EG603" t="s">
        <v>22</v>
      </c>
      <c r="EH603">
        <v>0</v>
      </c>
      <c r="EI603" t="s">
        <v>3</v>
      </c>
      <c r="EJ603">
        <v>1</v>
      </c>
      <c r="EK603">
        <v>146</v>
      </c>
      <c r="EL603" t="s">
        <v>79</v>
      </c>
      <c r="EM603" t="s">
        <v>80</v>
      </c>
      <c r="EO603" t="s">
        <v>3</v>
      </c>
      <c r="EQ603">
        <v>0</v>
      </c>
      <c r="ER603">
        <v>219.5</v>
      </c>
      <c r="ES603">
        <v>0</v>
      </c>
      <c r="ET603">
        <v>219.5</v>
      </c>
      <c r="EU603">
        <v>17.510000000000002</v>
      </c>
      <c r="EV603">
        <v>0</v>
      </c>
      <c r="EW603">
        <v>0</v>
      </c>
      <c r="EX603">
        <v>0</v>
      </c>
      <c r="FQ603">
        <v>0</v>
      </c>
      <c r="FR603">
        <f t="shared" si="536"/>
        <v>0</v>
      </c>
      <c r="FS603">
        <v>0</v>
      </c>
      <c r="FX603">
        <v>140</v>
      </c>
      <c r="FY603">
        <v>79</v>
      </c>
      <c r="GA603" t="s">
        <v>3</v>
      </c>
      <c r="GD603">
        <v>0</v>
      </c>
      <c r="GF603">
        <v>-1920329426</v>
      </c>
      <c r="GG603">
        <v>2</v>
      </c>
      <c r="GH603">
        <v>1</v>
      </c>
      <c r="GI603">
        <v>2</v>
      </c>
      <c r="GJ603">
        <v>0</v>
      </c>
      <c r="GK603">
        <f>ROUND(R603*(R12)/100,2)</f>
        <v>-4084.34</v>
      </c>
      <c r="GL603">
        <f t="shared" si="537"/>
        <v>0</v>
      </c>
      <c r="GM603">
        <f t="shared" si="538"/>
        <v>-15134.15</v>
      </c>
      <c r="GN603">
        <f t="shared" si="539"/>
        <v>-15134.15</v>
      </c>
      <c r="GO603">
        <f t="shared" si="540"/>
        <v>0</v>
      </c>
      <c r="GP603">
        <f t="shared" si="541"/>
        <v>0</v>
      </c>
      <c r="GR603">
        <v>0</v>
      </c>
      <c r="GS603">
        <v>7</v>
      </c>
      <c r="GT603">
        <v>0</v>
      </c>
      <c r="GU603" t="s">
        <v>3</v>
      </c>
      <c r="GV603">
        <f t="shared" si="542"/>
        <v>0</v>
      </c>
      <c r="GW603">
        <v>1</v>
      </c>
      <c r="GX603">
        <f t="shared" si="543"/>
        <v>0</v>
      </c>
      <c r="HA603">
        <v>0</v>
      </c>
      <c r="HB603">
        <v>0</v>
      </c>
      <c r="HC603">
        <f t="shared" si="544"/>
        <v>0</v>
      </c>
      <c r="HE603" t="s">
        <v>3</v>
      </c>
      <c r="HF603" t="s">
        <v>3</v>
      </c>
      <c r="HM603" t="s">
        <v>20</v>
      </c>
      <c r="IK603">
        <v>0</v>
      </c>
    </row>
    <row r="604" spans="1:245" x14ac:dyDescent="0.2">
      <c r="A604">
        <v>18</v>
      </c>
      <c r="B604">
        <v>1</v>
      </c>
      <c r="C604">
        <v>378</v>
      </c>
      <c r="E604" t="s">
        <v>768</v>
      </c>
      <c r="F604" t="s">
        <v>769</v>
      </c>
      <c r="G604" t="s">
        <v>770</v>
      </c>
      <c r="H604" t="s">
        <v>738</v>
      </c>
      <c r="I604">
        <f>I598*J604</f>
        <v>-0.94000000000000006</v>
      </c>
      <c r="J604">
        <v>-2.9375</v>
      </c>
      <c r="K604">
        <v>-2.35</v>
      </c>
      <c r="O604">
        <f t="shared" si="512"/>
        <v>-1313.88</v>
      </c>
      <c r="P604">
        <f t="shared" si="513"/>
        <v>0</v>
      </c>
      <c r="Q604">
        <f t="shared" si="547"/>
        <v>-1313.88</v>
      </c>
      <c r="R604">
        <f t="shared" si="514"/>
        <v>-369.9</v>
      </c>
      <c r="S604">
        <f t="shared" si="515"/>
        <v>0</v>
      </c>
      <c r="T604">
        <f t="shared" si="516"/>
        <v>0</v>
      </c>
      <c r="U604">
        <f t="shared" si="517"/>
        <v>0</v>
      </c>
      <c r="V604">
        <f t="shared" si="518"/>
        <v>0</v>
      </c>
      <c r="W604">
        <f t="shared" si="519"/>
        <v>0</v>
      </c>
      <c r="X604">
        <f t="shared" si="520"/>
        <v>0</v>
      </c>
      <c r="Y604">
        <f t="shared" si="521"/>
        <v>0</v>
      </c>
      <c r="AA604">
        <v>42938047</v>
      </c>
      <c r="AB604">
        <f t="shared" si="522"/>
        <v>163.47999999999999</v>
      </c>
      <c r="AC604">
        <f t="shared" si="523"/>
        <v>0</v>
      </c>
      <c r="AD604">
        <f t="shared" si="548"/>
        <v>163.47999999999999</v>
      </c>
      <c r="AE604">
        <f t="shared" si="549"/>
        <v>15.47</v>
      </c>
      <c r="AF604">
        <f t="shared" si="549"/>
        <v>0</v>
      </c>
      <c r="AG604">
        <f t="shared" si="524"/>
        <v>0</v>
      </c>
      <c r="AH604">
        <f t="shared" si="550"/>
        <v>0</v>
      </c>
      <c r="AI604">
        <f t="shared" si="550"/>
        <v>0</v>
      </c>
      <c r="AJ604">
        <f t="shared" si="525"/>
        <v>0</v>
      </c>
      <c r="AK604">
        <v>163.47999999999999</v>
      </c>
      <c r="AL604">
        <v>0</v>
      </c>
      <c r="AM604">
        <v>163.47999999999999</v>
      </c>
      <c r="AN604">
        <v>15.47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1</v>
      </c>
      <c r="AW604">
        <v>1</v>
      </c>
      <c r="AZ604">
        <v>1</v>
      </c>
      <c r="BA604">
        <v>1</v>
      </c>
      <c r="BB604">
        <v>8.5500000000000007</v>
      </c>
      <c r="BC604">
        <v>1</v>
      </c>
      <c r="BD604" t="s">
        <v>3</v>
      </c>
      <c r="BE604" t="s">
        <v>3</v>
      </c>
      <c r="BF604" t="s">
        <v>3</v>
      </c>
      <c r="BG604" t="s">
        <v>3</v>
      </c>
      <c r="BH604">
        <v>2</v>
      </c>
      <c r="BI604">
        <v>1</v>
      </c>
      <c r="BJ604" t="s">
        <v>771</v>
      </c>
      <c r="BM604">
        <v>146</v>
      </c>
      <c r="BN604">
        <v>0</v>
      </c>
      <c r="BO604" t="s">
        <v>769</v>
      </c>
      <c r="BP604">
        <v>1</v>
      </c>
      <c r="BQ604">
        <v>30</v>
      </c>
      <c r="BR604">
        <v>1</v>
      </c>
      <c r="BS604">
        <v>25.44</v>
      </c>
      <c r="BT604">
        <v>1</v>
      </c>
      <c r="BU604">
        <v>1</v>
      </c>
      <c r="BV604">
        <v>1</v>
      </c>
      <c r="BW604">
        <v>1</v>
      </c>
      <c r="BX604">
        <v>1</v>
      </c>
      <c r="BY604" t="s">
        <v>3</v>
      </c>
      <c r="BZ604">
        <v>0</v>
      </c>
      <c r="CA604">
        <v>0</v>
      </c>
      <c r="CB604" t="s">
        <v>3</v>
      </c>
      <c r="CE604">
        <v>30</v>
      </c>
      <c r="CF604">
        <v>0</v>
      </c>
      <c r="CG604">
        <v>0</v>
      </c>
      <c r="CM604">
        <v>0</v>
      </c>
      <c r="CN604" t="s">
        <v>3</v>
      </c>
      <c r="CO604">
        <v>0</v>
      </c>
      <c r="CP604">
        <f t="shared" si="526"/>
        <v>-1313.88</v>
      </c>
      <c r="CQ604">
        <f t="shared" si="527"/>
        <v>0</v>
      </c>
      <c r="CR604">
        <f t="shared" si="551"/>
        <v>1397.75</v>
      </c>
      <c r="CS604">
        <f t="shared" si="528"/>
        <v>393.56</v>
      </c>
      <c r="CT604">
        <f t="shared" si="529"/>
        <v>0</v>
      </c>
      <c r="CU604">
        <f t="shared" si="530"/>
        <v>0</v>
      </c>
      <c r="CV604">
        <f t="shared" si="531"/>
        <v>0</v>
      </c>
      <c r="CW604">
        <f t="shared" si="532"/>
        <v>0</v>
      </c>
      <c r="CX604">
        <f t="shared" si="533"/>
        <v>0</v>
      </c>
      <c r="CY604">
        <f t="shared" si="534"/>
        <v>0</v>
      </c>
      <c r="CZ604">
        <f t="shared" si="535"/>
        <v>0</v>
      </c>
      <c r="DC604" t="s">
        <v>3</v>
      </c>
      <c r="DD604" t="s">
        <v>3</v>
      </c>
      <c r="DE604" t="s">
        <v>3</v>
      </c>
      <c r="DF604" t="s">
        <v>3</v>
      </c>
      <c r="DG604" t="s">
        <v>3</v>
      </c>
      <c r="DH604" t="s">
        <v>3</v>
      </c>
      <c r="DI604" t="s">
        <v>3</v>
      </c>
      <c r="DJ604" t="s">
        <v>3</v>
      </c>
      <c r="DK604" t="s">
        <v>3</v>
      </c>
      <c r="DL604" t="s">
        <v>3</v>
      </c>
      <c r="DM604" t="s">
        <v>3</v>
      </c>
      <c r="DN604">
        <v>140</v>
      </c>
      <c r="DO604">
        <v>79</v>
      </c>
      <c r="DP604">
        <v>1</v>
      </c>
      <c r="DQ604">
        <v>1</v>
      </c>
      <c r="DU604">
        <v>1011</v>
      </c>
      <c r="DV604" t="s">
        <v>738</v>
      </c>
      <c r="DW604" t="s">
        <v>738</v>
      </c>
      <c r="DX604">
        <v>1</v>
      </c>
      <c r="DZ604" t="s">
        <v>3</v>
      </c>
      <c r="EA604" t="s">
        <v>3</v>
      </c>
      <c r="EB604" t="s">
        <v>3</v>
      </c>
      <c r="EC604" t="s">
        <v>3</v>
      </c>
      <c r="EE604">
        <v>43088224</v>
      </c>
      <c r="EF604">
        <v>30</v>
      </c>
      <c r="EG604" t="s">
        <v>22</v>
      </c>
      <c r="EH604">
        <v>0</v>
      </c>
      <c r="EI604" t="s">
        <v>3</v>
      </c>
      <c r="EJ604">
        <v>1</v>
      </c>
      <c r="EK604">
        <v>146</v>
      </c>
      <c r="EL604" t="s">
        <v>79</v>
      </c>
      <c r="EM604" t="s">
        <v>80</v>
      </c>
      <c r="EO604" t="s">
        <v>3</v>
      </c>
      <c r="EQ604">
        <v>0</v>
      </c>
      <c r="ER604">
        <v>163.47999999999999</v>
      </c>
      <c r="ES604">
        <v>0</v>
      </c>
      <c r="ET604">
        <v>163.47999999999999</v>
      </c>
      <c r="EU604">
        <v>15.47</v>
      </c>
      <c r="EV604">
        <v>0</v>
      </c>
      <c r="EW604">
        <v>0</v>
      </c>
      <c r="EX604">
        <v>0</v>
      </c>
      <c r="FQ604">
        <v>0</v>
      </c>
      <c r="FR604">
        <f t="shared" si="536"/>
        <v>0</v>
      </c>
      <c r="FS604">
        <v>0</v>
      </c>
      <c r="FX604">
        <v>140</v>
      </c>
      <c r="FY604">
        <v>79</v>
      </c>
      <c r="GA604" t="s">
        <v>3</v>
      </c>
      <c r="GD604">
        <v>0</v>
      </c>
      <c r="GF604">
        <v>-1500897512</v>
      </c>
      <c r="GG604">
        <v>2</v>
      </c>
      <c r="GH604">
        <v>1</v>
      </c>
      <c r="GI604">
        <v>2</v>
      </c>
      <c r="GJ604">
        <v>0</v>
      </c>
      <c r="GK604">
        <f>ROUND(R604*(R12)/100,2)</f>
        <v>-580.74</v>
      </c>
      <c r="GL604">
        <f t="shared" si="537"/>
        <v>0</v>
      </c>
      <c r="GM604">
        <f t="shared" si="538"/>
        <v>-1894.62</v>
      </c>
      <c r="GN604">
        <f t="shared" si="539"/>
        <v>-1894.62</v>
      </c>
      <c r="GO604">
        <f t="shared" si="540"/>
        <v>0</v>
      </c>
      <c r="GP604">
        <f t="shared" si="541"/>
        <v>0</v>
      </c>
      <c r="GR604">
        <v>0</v>
      </c>
      <c r="GS604">
        <v>7</v>
      </c>
      <c r="GT604">
        <v>0</v>
      </c>
      <c r="GU604" t="s">
        <v>3</v>
      </c>
      <c r="GV604">
        <f t="shared" si="542"/>
        <v>0</v>
      </c>
      <c r="GW604">
        <v>1</v>
      </c>
      <c r="GX604">
        <f t="shared" si="543"/>
        <v>0</v>
      </c>
      <c r="HA604">
        <v>0</v>
      </c>
      <c r="HB604">
        <v>0</v>
      </c>
      <c r="HC604">
        <f t="shared" si="544"/>
        <v>0</v>
      </c>
      <c r="HE604" t="s">
        <v>3</v>
      </c>
      <c r="HF604" t="s">
        <v>3</v>
      </c>
      <c r="HM604" t="s">
        <v>20</v>
      </c>
      <c r="IK604">
        <v>0</v>
      </c>
    </row>
    <row r="605" spans="1:245" x14ac:dyDescent="0.2">
      <c r="A605">
        <v>18</v>
      </c>
      <c r="B605">
        <v>1</v>
      </c>
      <c r="C605">
        <v>379</v>
      </c>
      <c r="E605" t="s">
        <v>772</v>
      </c>
      <c r="F605" t="s">
        <v>745</v>
      </c>
      <c r="G605" t="s">
        <v>746</v>
      </c>
      <c r="H605" t="s">
        <v>738</v>
      </c>
      <c r="I605">
        <f>I598*J605</f>
        <v>-0.36399999999999999</v>
      </c>
      <c r="J605">
        <v>-1.1375</v>
      </c>
      <c r="K605">
        <v>-0.91</v>
      </c>
      <c r="O605">
        <f t="shared" si="512"/>
        <v>-740.77</v>
      </c>
      <c r="P605">
        <f t="shared" si="513"/>
        <v>0</v>
      </c>
      <c r="Q605">
        <f t="shared" si="547"/>
        <v>-740.77</v>
      </c>
      <c r="R605">
        <f t="shared" si="514"/>
        <v>-123.89</v>
      </c>
      <c r="S605">
        <f t="shared" si="515"/>
        <v>0</v>
      </c>
      <c r="T605">
        <f t="shared" si="516"/>
        <v>0</v>
      </c>
      <c r="U605">
        <f t="shared" si="517"/>
        <v>0</v>
      </c>
      <c r="V605">
        <f t="shared" si="518"/>
        <v>0</v>
      </c>
      <c r="W605">
        <f t="shared" si="519"/>
        <v>0</v>
      </c>
      <c r="X605">
        <f t="shared" si="520"/>
        <v>0</v>
      </c>
      <c r="Y605">
        <f t="shared" si="521"/>
        <v>0</v>
      </c>
      <c r="AA605">
        <v>42938047</v>
      </c>
      <c r="AB605">
        <f t="shared" si="522"/>
        <v>246.68</v>
      </c>
      <c r="AC605">
        <f t="shared" si="523"/>
        <v>0</v>
      </c>
      <c r="AD605">
        <f t="shared" si="548"/>
        <v>246.68</v>
      </c>
      <c r="AE605">
        <f t="shared" si="549"/>
        <v>13.37</v>
      </c>
      <c r="AF605">
        <f t="shared" si="549"/>
        <v>0</v>
      </c>
      <c r="AG605">
        <f t="shared" si="524"/>
        <v>0</v>
      </c>
      <c r="AH605">
        <f t="shared" si="550"/>
        <v>0</v>
      </c>
      <c r="AI605">
        <f t="shared" si="550"/>
        <v>0</v>
      </c>
      <c r="AJ605">
        <f t="shared" si="525"/>
        <v>0</v>
      </c>
      <c r="AK605">
        <v>246.68</v>
      </c>
      <c r="AL605">
        <v>0</v>
      </c>
      <c r="AM605">
        <v>246.68</v>
      </c>
      <c r="AN605">
        <v>13.37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1</v>
      </c>
      <c r="AW605">
        <v>1</v>
      </c>
      <c r="AZ605">
        <v>1</v>
      </c>
      <c r="BA605">
        <v>1</v>
      </c>
      <c r="BB605">
        <v>8.25</v>
      </c>
      <c r="BC605">
        <v>1</v>
      </c>
      <c r="BD605" t="s">
        <v>3</v>
      </c>
      <c r="BE605" t="s">
        <v>3</v>
      </c>
      <c r="BF605" t="s">
        <v>3</v>
      </c>
      <c r="BG605" t="s">
        <v>3</v>
      </c>
      <c r="BH605">
        <v>2</v>
      </c>
      <c r="BI605">
        <v>1</v>
      </c>
      <c r="BJ605" t="s">
        <v>747</v>
      </c>
      <c r="BM605">
        <v>146</v>
      </c>
      <c r="BN605">
        <v>0</v>
      </c>
      <c r="BO605" t="s">
        <v>745</v>
      </c>
      <c r="BP605">
        <v>1</v>
      </c>
      <c r="BQ605">
        <v>30</v>
      </c>
      <c r="BR605">
        <v>1</v>
      </c>
      <c r="BS605">
        <v>25.44</v>
      </c>
      <c r="BT605">
        <v>1</v>
      </c>
      <c r="BU605">
        <v>1</v>
      </c>
      <c r="BV605">
        <v>1</v>
      </c>
      <c r="BW605">
        <v>1</v>
      </c>
      <c r="BX605">
        <v>1</v>
      </c>
      <c r="BY605" t="s">
        <v>3</v>
      </c>
      <c r="BZ605">
        <v>0</v>
      </c>
      <c r="CA605">
        <v>0</v>
      </c>
      <c r="CB605" t="s">
        <v>3</v>
      </c>
      <c r="CE605">
        <v>30</v>
      </c>
      <c r="CF605">
        <v>0</v>
      </c>
      <c r="CG605">
        <v>0</v>
      </c>
      <c r="CM605">
        <v>0</v>
      </c>
      <c r="CN605" t="s">
        <v>3</v>
      </c>
      <c r="CO605">
        <v>0</v>
      </c>
      <c r="CP605">
        <f t="shared" si="526"/>
        <v>-740.77</v>
      </c>
      <c r="CQ605">
        <f t="shared" si="527"/>
        <v>0</v>
      </c>
      <c r="CR605">
        <f t="shared" si="551"/>
        <v>2035.11</v>
      </c>
      <c r="CS605">
        <f t="shared" si="528"/>
        <v>340.13</v>
      </c>
      <c r="CT605">
        <f t="shared" si="529"/>
        <v>0</v>
      </c>
      <c r="CU605">
        <f t="shared" si="530"/>
        <v>0</v>
      </c>
      <c r="CV605">
        <f t="shared" si="531"/>
        <v>0</v>
      </c>
      <c r="CW605">
        <f t="shared" si="532"/>
        <v>0</v>
      </c>
      <c r="CX605">
        <f t="shared" si="533"/>
        <v>0</v>
      </c>
      <c r="CY605">
        <f t="shared" si="534"/>
        <v>0</v>
      </c>
      <c r="CZ605">
        <f t="shared" si="535"/>
        <v>0</v>
      </c>
      <c r="DC605" t="s">
        <v>3</v>
      </c>
      <c r="DD605" t="s">
        <v>3</v>
      </c>
      <c r="DE605" t="s">
        <v>3</v>
      </c>
      <c r="DF605" t="s">
        <v>3</v>
      </c>
      <c r="DG605" t="s">
        <v>3</v>
      </c>
      <c r="DH605" t="s">
        <v>3</v>
      </c>
      <c r="DI605" t="s">
        <v>3</v>
      </c>
      <c r="DJ605" t="s">
        <v>3</v>
      </c>
      <c r="DK605" t="s">
        <v>3</v>
      </c>
      <c r="DL605" t="s">
        <v>3</v>
      </c>
      <c r="DM605" t="s">
        <v>3</v>
      </c>
      <c r="DN605">
        <v>140</v>
      </c>
      <c r="DO605">
        <v>79</v>
      </c>
      <c r="DP605">
        <v>1</v>
      </c>
      <c r="DQ605">
        <v>1</v>
      </c>
      <c r="DU605">
        <v>1011</v>
      </c>
      <c r="DV605" t="s">
        <v>738</v>
      </c>
      <c r="DW605" t="s">
        <v>738</v>
      </c>
      <c r="DX605">
        <v>1</v>
      </c>
      <c r="DZ605" t="s">
        <v>3</v>
      </c>
      <c r="EA605" t="s">
        <v>3</v>
      </c>
      <c r="EB605" t="s">
        <v>3</v>
      </c>
      <c r="EC605" t="s">
        <v>3</v>
      </c>
      <c r="EE605">
        <v>43088224</v>
      </c>
      <c r="EF605">
        <v>30</v>
      </c>
      <c r="EG605" t="s">
        <v>22</v>
      </c>
      <c r="EH605">
        <v>0</v>
      </c>
      <c r="EI605" t="s">
        <v>3</v>
      </c>
      <c r="EJ605">
        <v>1</v>
      </c>
      <c r="EK605">
        <v>146</v>
      </c>
      <c r="EL605" t="s">
        <v>79</v>
      </c>
      <c r="EM605" t="s">
        <v>80</v>
      </c>
      <c r="EO605" t="s">
        <v>3</v>
      </c>
      <c r="EQ605">
        <v>0</v>
      </c>
      <c r="ER605">
        <v>246.68</v>
      </c>
      <c r="ES605">
        <v>0</v>
      </c>
      <c r="ET605">
        <v>246.68</v>
      </c>
      <c r="EU605">
        <v>13.37</v>
      </c>
      <c r="EV605">
        <v>0</v>
      </c>
      <c r="EW605">
        <v>0</v>
      </c>
      <c r="EX605">
        <v>0</v>
      </c>
      <c r="FQ605">
        <v>0</v>
      </c>
      <c r="FR605">
        <f t="shared" si="536"/>
        <v>0</v>
      </c>
      <c r="FS605">
        <v>0</v>
      </c>
      <c r="FX605">
        <v>140</v>
      </c>
      <c r="FY605">
        <v>79</v>
      </c>
      <c r="GA605" t="s">
        <v>3</v>
      </c>
      <c r="GD605">
        <v>0</v>
      </c>
      <c r="GF605">
        <v>366114799</v>
      </c>
      <c r="GG605">
        <v>2</v>
      </c>
      <c r="GH605">
        <v>1</v>
      </c>
      <c r="GI605">
        <v>2</v>
      </c>
      <c r="GJ605">
        <v>0</v>
      </c>
      <c r="GK605">
        <f>ROUND(R605*(R12)/100,2)</f>
        <v>-194.51</v>
      </c>
      <c r="GL605">
        <f t="shared" si="537"/>
        <v>0</v>
      </c>
      <c r="GM605">
        <f t="shared" si="538"/>
        <v>-935.28</v>
      </c>
      <c r="GN605">
        <f t="shared" si="539"/>
        <v>-935.28</v>
      </c>
      <c r="GO605">
        <f t="shared" si="540"/>
        <v>0</v>
      </c>
      <c r="GP605">
        <f t="shared" si="541"/>
        <v>0</v>
      </c>
      <c r="GR605">
        <v>0</v>
      </c>
      <c r="GS605">
        <v>7</v>
      </c>
      <c r="GT605">
        <v>0</v>
      </c>
      <c r="GU605" t="s">
        <v>3</v>
      </c>
      <c r="GV605">
        <f t="shared" si="542"/>
        <v>0</v>
      </c>
      <c r="GW605">
        <v>1</v>
      </c>
      <c r="GX605">
        <f t="shared" si="543"/>
        <v>0</v>
      </c>
      <c r="HA605">
        <v>0</v>
      </c>
      <c r="HB605">
        <v>0</v>
      </c>
      <c r="HC605">
        <f t="shared" si="544"/>
        <v>0</v>
      </c>
      <c r="HE605" t="s">
        <v>3</v>
      </c>
      <c r="HF605" t="s">
        <v>3</v>
      </c>
      <c r="HM605" t="s">
        <v>20</v>
      </c>
      <c r="IK605">
        <v>0</v>
      </c>
    </row>
    <row r="606" spans="1:245" x14ac:dyDescent="0.2">
      <c r="A606">
        <v>17</v>
      </c>
      <c r="B606">
        <v>1</v>
      </c>
      <c r="C606">
        <f>ROW(SmtRes!A401)</f>
        <v>401</v>
      </c>
      <c r="D606">
        <f>ROW(EtalonRes!A399)</f>
        <v>399</v>
      </c>
      <c r="E606" t="s">
        <v>773</v>
      </c>
      <c r="F606" t="s">
        <v>774</v>
      </c>
      <c r="G606" t="s">
        <v>775</v>
      </c>
      <c r="H606" t="s">
        <v>162</v>
      </c>
      <c r="I606">
        <v>2</v>
      </c>
      <c r="J606">
        <v>0</v>
      </c>
      <c r="K606">
        <v>2</v>
      </c>
      <c r="O606">
        <f t="shared" si="512"/>
        <v>8781.44</v>
      </c>
      <c r="P606">
        <f t="shared" si="513"/>
        <v>3632.61</v>
      </c>
      <c r="Q606">
        <f>(ROUND((ROUND((((ET606*1.25))*AV606*I606),2)*BB606),2)+ROUND((ROUND(((AE606-((EU606*1.25)))*AV606*I606),2)*BS606),2))</f>
        <v>135.62</v>
      </c>
      <c r="R606">
        <f t="shared" si="514"/>
        <v>43.25</v>
      </c>
      <c r="S606">
        <f t="shared" si="515"/>
        <v>5013.21</v>
      </c>
      <c r="T606">
        <f t="shared" si="516"/>
        <v>0</v>
      </c>
      <c r="U606">
        <f t="shared" si="517"/>
        <v>16.835999999999999</v>
      </c>
      <c r="V606">
        <f t="shared" si="518"/>
        <v>0</v>
      </c>
      <c r="W606">
        <f t="shared" si="519"/>
        <v>0</v>
      </c>
      <c r="X606">
        <f t="shared" si="520"/>
        <v>4712.42</v>
      </c>
      <c r="Y606">
        <f t="shared" si="521"/>
        <v>2055.42</v>
      </c>
      <c r="AA606">
        <v>42938047</v>
      </c>
      <c r="AB606">
        <f t="shared" si="522"/>
        <v>420.70949999999999</v>
      </c>
      <c r="AC606">
        <f t="shared" si="523"/>
        <v>314.24</v>
      </c>
      <c r="AD606">
        <f>ROUND(((((ET606*1.25))-((EU606*1.25)))+AE606),6)</f>
        <v>7.9375</v>
      </c>
      <c r="AE606">
        <f>ROUND(((EU606*1.25)),6)</f>
        <v>0.85</v>
      </c>
      <c r="AF606">
        <f>ROUND(((EV606*1.15)),6)</f>
        <v>98.531999999999996</v>
      </c>
      <c r="AG606">
        <f t="shared" si="524"/>
        <v>0</v>
      </c>
      <c r="AH606">
        <f>((EW606*1.15))</f>
        <v>8.4179999999999993</v>
      </c>
      <c r="AI606">
        <f>((EX606*1.25))</f>
        <v>0</v>
      </c>
      <c r="AJ606">
        <f t="shared" si="525"/>
        <v>0</v>
      </c>
      <c r="AK606">
        <v>406.27</v>
      </c>
      <c r="AL606">
        <v>314.24</v>
      </c>
      <c r="AM606">
        <v>6.35</v>
      </c>
      <c r="AN606">
        <v>0.68</v>
      </c>
      <c r="AO606">
        <v>85.68</v>
      </c>
      <c r="AP606">
        <v>0</v>
      </c>
      <c r="AQ606">
        <v>7.32</v>
      </c>
      <c r="AR606">
        <v>0</v>
      </c>
      <c r="AS606">
        <v>0</v>
      </c>
      <c r="AT606">
        <v>94</v>
      </c>
      <c r="AU606">
        <v>41</v>
      </c>
      <c r="AV606">
        <v>1</v>
      </c>
      <c r="AW606">
        <v>1</v>
      </c>
      <c r="AZ606">
        <v>1</v>
      </c>
      <c r="BA606">
        <v>25.44</v>
      </c>
      <c r="BB606">
        <v>8.5399999999999991</v>
      </c>
      <c r="BC606">
        <v>5.78</v>
      </c>
      <c r="BD606" t="s">
        <v>3</v>
      </c>
      <c r="BE606" t="s">
        <v>3</v>
      </c>
      <c r="BF606" t="s">
        <v>3</v>
      </c>
      <c r="BG606" t="s">
        <v>3</v>
      </c>
      <c r="BH606">
        <v>0</v>
      </c>
      <c r="BI606">
        <v>1</v>
      </c>
      <c r="BJ606" t="s">
        <v>776</v>
      </c>
      <c r="BM606">
        <v>1384</v>
      </c>
      <c r="BN606">
        <v>0</v>
      </c>
      <c r="BO606" t="s">
        <v>774</v>
      </c>
      <c r="BP606">
        <v>1</v>
      </c>
      <c r="BQ606">
        <v>30</v>
      </c>
      <c r="BR606">
        <v>0</v>
      </c>
      <c r="BS606">
        <v>25.44</v>
      </c>
      <c r="BT606">
        <v>1</v>
      </c>
      <c r="BU606">
        <v>1</v>
      </c>
      <c r="BV606">
        <v>1</v>
      </c>
      <c r="BW606">
        <v>1</v>
      </c>
      <c r="BX606">
        <v>1</v>
      </c>
      <c r="BY606" t="s">
        <v>3</v>
      </c>
      <c r="BZ606">
        <v>94</v>
      </c>
      <c r="CA606">
        <v>41</v>
      </c>
      <c r="CB606" t="s">
        <v>3</v>
      </c>
      <c r="CE606">
        <v>30</v>
      </c>
      <c r="CF606">
        <v>0</v>
      </c>
      <c r="CG606">
        <v>0</v>
      </c>
      <c r="CM606">
        <v>0</v>
      </c>
      <c r="CN606" t="s">
        <v>1584</v>
      </c>
      <c r="CO606">
        <v>0</v>
      </c>
      <c r="CP606">
        <f t="shared" si="526"/>
        <v>8781.44</v>
      </c>
      <c r="CQ606">
        <f t="shared" si="527"/>
        <v>1816.31</v>
      </c>
      <c r="CR606">
        <f>(ROUND((ROUND((((ET606*1.25))*AV606*1),2)*BB606),2)+ROUND((ROUND(((AE606-((EU606*1.25)))*AV606*1),2)*BS606),2))</f>
        <v>67.81</v>
      </c>
      <c r="CS606">
        <f t="shared" si="528"/>
        <v>21.62</v>
      </c>
      <c r="CT606">
        <f t="shared" si="529"/>
        <v>2506.6</v>
      </c>
      <c r="CU606">
        <f t="shared" si="530"/>
        <v>0</v>
      </c>
      <c r="CV606">
        <f t="shared" si="531"/>
        <v>8.4179999999999993</v>
      </c>
      <c r="CW606">
        <f t="shared" si="532"/>
        <v>0</v>
      </c>
      <c r="CX606">
        <f t="shared" si="533"/>
        <v>0</v>
      </c>
      <c r="CY606">
        <f t="shared" si="534"/>
        <v>4712.4173999999994</v>
      </c>
      <c r="CZ606">
        <f t="shared" si="535"/>
        <v>2055.4160999999999</v>
      </c>
      <c r="DC606" t="s">
        <v>3</v>
      </c>
      <c r="DD606" t="s">
        <v>3</v>
      </c>
      <c r="DE606" t="s">
        <v>20</v>
      </c>
      <c r="DF606" t="s">
        <v>20</v>
      </c>
      <c r="DG606" t="s">
        <v>21</v>
      </c>
      <c r="DH606" t="s">
        <v>3</v>
      </c>
      <c r="DI606" t="s">
        <v>21</v>
      </c>
      <c r="DJ606" t="s">
        <v>20</v>
      </c>
      <c r="DK606" t="s">
        <v>3</v>
      </c>
      <c r="DL606" t="s">
        <v>3</v>
      </c>
      <c r="DM606" t="s">
        <v>3</v>
      </c>
      <c r="DN606">
        <v>116</v>
      </c>
      <c r="DO606">
        <v>68</v>
      </c>
      <c r="DP606">
        <v>1</v>
      </c>
      <c r="DQ606">
        <v>1</v>
      </c>
      <c r="DU606">
        <v>1013</v>
      </c>
      <c r="DV606" t="s">
        <v>162</v>
      </c>
      <c r="DW606" t="s">
        <v>162</v>
      </c>
      <c r="DX606">
        <v>1</v>
      </c>
      <c r="DZ606" t="s">
        <v>3</v>
      </c>
      <c r="EA606" t="s">
        <v>3</v>
      </c>
      <c r="EB606" t="s">
        <v>3</v>
      </c>
      <c r="EC606" t="s">
        <v>3</v>
      </c>
      <c r="EE606">
        <v>43089462</v>
      </c>
      <c r="EF606">
        <v>30</v>
      </c>
      <c r="EG606" t="s">
        <v>22</v>
      </c>
      <c r="EH606">
        <v>0</v>
      </c>
      <c r="EI606" t="s">
        <v>3</v>
      </c>
      <c r="EJ606">
        <v>1</v>
      </c>
      <c r="EK606">
        <v>1384</v>
      </c>
      <c r="EL606" t="s">
        <v>164</v>
      </c>
      <c r="EM606" t="s">
        <v>165</v>
      </c>
      <c r="EO606" t="s">
        <v>59</v>
      </c>
      <c r="EQ606">
        <v>0</v>
      </c>
      <c r="ER606">
        <v>406.27</v>
      </c>
      <c r="ES606">
        <v>314.24</v>
      </c>
      <c r="ET606">
        <v>6.35</v>
      </c>
      <c r="EU606">
        <v>0.68</v>
      </c>
      <c r="EV606">
        <v>85.68</v>
      </c>
      <c r="EW606">
        <v>7.32</v>
      </c>
      <c r="EX606">
        <v>0</v>
      </c>
      <c r="EY606">
        <v>0</v>
      </c>
      <c r="FQ606">
        <v>0</v>
      </c>
      <c r="FR606">
        <f t="shared" si="536"/>
        <v>0</v>
      </c>
      <c r="FS606">
        <v>0</v>
      </c>
      <c r="FX606">
        <v>116</v>
      </c>
      <c r="FY606">
        <v>68</v>
      </c>
      <c r="GA606" t="s">
        <v>3</v>
      </c>
      <c r="GD606">
        <v>0</v>
      </c>
      <c r="GF606">
        <v>131468752</v>
      </c>
      <c r="GG606">
        <v>2</v>
      </c>
      <c r="GH606">
        <v>1</v>
      </c>
      <c r="GI606">
        <v>2</v>
      </c>
      <c r="GJ606">
        <v>0</v>
      </c>
      <c r="GK606">
        <f>ROUND(R606*(R12)/100,2)</f>
        <v>67.900000000000006</v>
      </c>
      <c r="GL606">
        <f t="shared" si="537"/>
        <v>0</v>
      </c>
      <c r="GM606">
        <f t="shared" si="538"/>
        <v>15617.18</v>
      </c>
      <c r="GN606">
        <f t="shared" si="539"/>
        <v>15617.18</v>
      </c>
      <c r="GO606">
        <f t="shared" si="540"/>
        <v>0</v>
      </c>
      <c r="GP606">
        <f t="shared" si="541"/>
        <v>0</v>
      </c>
      <c r="GR606">
        <v>0</v>
      </c>
      <c r="GS606">
        <v>3</v>
      </c>
      <c r="GT606">
        <v>0</v>
      </c>
      <c r="GU606" t="s">
        <v>3</v>
      </c>
      <c r="GV606">
        <f t="shared" si="542"/>
        <v>0</v>
      </c>
      <c r="GW606">
        <v>1</v>
      </c>
      <c r="GX606">
        <f t="shared" si="543"/>
        <v>0</v>
      </c>
      <c r="HA606">
        <v>0</v>
      </c>
      <c r="HB606">
        <v>0</v>
      </c>
      <c r="HC606">
        <f t="shared" si="544"/>
        <v>0</v>
      </c>
      <c r="HE606" t="s">
        <v>3</v>
      </c>
      <c r="HF606" t="s">
        <v>3</v>
      </c>
      <c r="HM606" t="s">
        <v>3</v>
      </c>
      <c r="IK606">
        <v>0</v>
      </c>
    </row>
    <row r="607" spans="1:245" x14ac:dyDescent="0.2">
      <c r="A607">
        <v>18</v>
      </c>
      <c r="B607">
        <v>1</v>
      </c>
      <c r="C607">
        <v>398</v>
      </c>
      <c r="E607" t="s">
        <v>777</v>
      </c>
      <c r="F607" t="s">
        <v>176</v>
      </c>
      <c r="G607" t="s">
        <v>778</v>
      </c>
      <c r="H607" t="s">
        <v>169</v>
      </c>
      <c r="I607">
        <f>I606*J607</f>
        <v>2</v>
      </c>
      <c r="J607">
        <v>1</v>
      </c>
      <c r="K607">
        <v>1</v>
      </c>
      <c r="O607">
        <f t="shared" si="512"/>
        <v>148249.94</v>
      </c>
      <c r="P607">
        <f t="shared" si="513"/>
        <v>148249.94</v>
      </c>
      <c r="Q607">
        <f>(ROUND((ROUND(((ET607)*AV607*I607),2)*BB607),2)+ROUND((ROUND(((AE607-(EU607))*AV607*I607),2)*BS607),2))</f>
        <v>0</v>
      </c>
      <c r="R607">
        <f t="shared" si="514"/>
        <v>0</v>
      </c>
      <c r="S607">
        <f t="shared" si="515"/>
        <v>0</v>
      </c>
      <c r="T607">
        <f t="shared" si="516"/>
        <v>0</v>
      </c>
      <c r="U607">
        <f t="shared" si="517"/>
        <v>0</v>
      </c>
      <c r="V607">
        <f t="shared" si="518"/>
        <v>0</v>
      </c>
      <c r="W607">
        <f t="shared" si="519"/>
        <v>0</v>
      </c>
      <c r="X607">
        <f t="shared" si="520"/>
        <v>0</v>
      </c>
      <c r="Y607">
        <f t="shared" si="521"/>
        <v>0</v>
      </c>
      <c r="AA607">
        <v>42938047</v>
      </c>
      <c r="AB607">
        <f t="shared" si="522"/>
        <v>7360.97</v>
      </c>
      <c r="AC607">
        <f t="shared" si="523"/>
        <v>7360.97</v>
      </c>
      <c r="AD607">
        <f>ROUND((((ET607)-(EU607))+AE607),6)</f>
        <v>0</v>
      </c>
      <c r="AE607">
        <f t="shared" ref="AE607:AF609" si="552">ROUND((EU607),6)</f>
        <v>0</v>
      </c>
      <c r="AF607">
        <f t="shared" si="552"/>
        <v>0</v>
      </c>
      <c r="AG607">
        <f t="shared" si="524"/>
        <v>0</v>
      </c>
      <c r="AH607">
        <f t="shared" ref="AH607:AI609" si="553">(EW607)</f>
        <v>0</v>
      </c>
      <c r="AI607">
        <f t="shared" si="553"/>
        <v>0</v>
      </c>
      <c r="AJ607">
        <f t="shared" si="525"/>
        <v>0</v>
      </c>
      <c r="AK607">
        <v>7360.97</v>
      </c>
      <c r="AL607">
        <v>7360.97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1</v>
      </c>
      <c r="AW607">
        <v>1</v>
      </c>
      <c r="AZ607">
        <v>1</v>
      </c>
      <c r="BA607">
        <v>1</v>
      </c>
      <c r="BB607">
        <v>1</v>
      </c>
      <c r="BC607">
        <v>10.07</v>
      </c>
      <c r="BD607" t="s">
        <v>3</v>
      </c>
      <c r="BE607" t="s">
        <v>3</v>
      </c>
      <c r="BF607" t="s">
        <v>3</v>
      </c>
      <c r="BG607" t="s">
        <v>3</v>
      </c>
      <c r="BH607">
        <v>3</v>
      </c>
      <c r="BI607">
        <v>1</v>
      </c>
      <c r="BJ607" t="s">
        <v>178</v>
      </c>
      <c r="BM607">
        <v>1384</v>
      </c>
      <c r="BN607">
        <v>0</v>
      </c>
      <c r="BO607" t="s">
        <v>176</v>
      </c>
      <c r="BP607">
        <v>1</v>
      </c>
      <c r="BQ607">
        <v>30</v>
      </c>
      <c r="BR607">
        <v>0</v>
      </c>
      <c r="BS607">
        <v>1</v>
      </c>
      <c r="BT607">
        <v>1</v>
      </c>
      <c r="BU607">
        <v>1</v>
      </c>
      <c r="BV607">
        <v>1</v>
      </c>
      <c r="BW607">
        <v>1</v>
      </c>
      <c r="BX607">
        <v>1</v>
      </c>
      <c r="BY607" t="s">
        <v>3</v>
      </c>
      <c r="BZ607">
        <v>0</v>
      </c>
      <c r="CA607">
        <v>0</v>
      </c>
      <c r="CB607" t="s">
        <v>3</v>
      </c>
      <c r="CE607">
        <v>30</v>
      </c>
      <c r="CF607">
        <v>0</v>
      </c>
      <c r="CG607">
        <v>0</v>
      </c>
      <c r="CM607">
        <v>0</v>
      </c>
      <c r="CN607" t="s">
        <v>3</v>
      </c>
      <c r="CO607">
        <v>0</v>
      </c>
      <c r="CP607">
        <f t="shared" si="526"/>
        <v>148249.94</v>
      </c>
      <c r="CQ607">
        <f t="shared" si="527"/>
        <v>74124.97</v>
      </c>
      <c r="CR607">
        <f>(ROUND((ROUND(((ET607)*AV607*1),2)*BB607),2)+ROUND((ROUND(((AE607-(EU607))*AV607*1),2)*BS607),2))</f>
        <v>0</v>
      </c>
      <c r="CS607">
        <f t="shared" si="528"/>
        <v>0</v>
      </c>
      <c r="CT607">
        <f t="shared" si="529"/>
        <v>0</v>
      </c>
      <c r="CU607">
        <f t="shared" si="530"/>
        <v>0</v>
      </c>
      <c r="CV607">
        <f t="shared" si="531"/>
        <v>0</v>
      </c>
      <c r="CW607">
        <f t="shared" si="532"/>
        <v>0</v>
      </c>
      <c r="CX607">
        <f t="shared" si="533"/>
        <v>0</v>
      </c>
      <c r="CY607">
        <f t="shared" si="534"/>
        <v>0</v>
      </c>
      <c r="CZ607">
        <f t="shared" si="535"/>
        <v>0</v>
      </c>
      <c r="DC607" t="s">
        <v>3</v>
      </c>
      <c r="DD607" t="s">
        <v>3</v>
      </c>
      <c r="DE607" t="s">
        <v>3</v>
      </c>
      <c r="DF607" t="s">
        <v>3</v>
      </c>
      <c r="DG607" t="s">
        <v>3</v>
      </c>
      <c r="DH607" t="s">
        <v>3</v>
      </c>
      <c r="DI607" t="s">
        <v>3</v>
      </c>
      <c r="DJ607" t="s">
        <v>3</v>
      </c>
      <c r="DK607" t="s">
        <v>3</v>
      </c>
      <c r="DL607" t="s">
        <v>3</v>
      </c>
      <c r="DM607" t="s">
        <v>3</v>
      </c>
      <c r="DN607">
        <v>116</v>
      </c>
      <c r="DO607">
        <v>68</v>
      </c>
      <c r="DP607">
        <v>1</v>
      </c>
      <c r="DQ607">
        <v>1</v>
      </c>
      <c r="DU607">
        <v>1010</v>
      </c>
      <c r="DV607" t="s">
        <v>169</v>
      </c>
      <c r="DW607" t="s">
        <v>169</v>
      </c>
      <c r="DX607">
        <v>1</v>
      </c>
      <c r="DZ607" t="s">
        <v>3</v>
      </c>
      <c r="EA607" t="s">
        <v>3</v>
      </c>
      <c r="EB607" t="s">
        <v>3</v>
      </c>
      <c r="EC607" t="s">
        <v>3</v>
      </c>
      <c r="EE607">
        <v>43089462</v>
      </c>
      <c r="EF607">
        <v>30</v>
      </c>
      <c r="EG607" t="s">
        <v>22</v>
      </c>
      <c r="EH607">
        <v>0</v>
      </c>
      <c r="EI607" t="s">
        <v>3</v>
      </c>
      <c r="EJ607">
        <v>1</v>
      </c>
      <c r="EK607">
        <v>1384</v>
      </c>
      <c r="EL607" t="s">
        <v>164</v>
      </c>
      <c r="EM607" t="s">
        <v>165</v>
      </c>
      <c r="EO607" t="s">
        <v>3</v>
      </c>
      <c r="EQ607">
        <v>0</v>
      </c>
      <c r="ER607">
        <v>7360.97</v>
      </c>
      <c r="ES607">
        <v>7360.97</v>
      </c>
      <c r="ET607">
        <v>0</v>
      </c>
      <c r="EU607">
        <v>0</v>
      </c>
      <c r="EV607">
        <v>0</v>
      </c>
      <c r="EW607">
        <v>0</v>
      </c>
      <c r="EX607">
        <v>0</v>
      </c>
      <c r="FQ607">
        <v>0</v>
      </c>
      <c r="FR607">
        <f t="shared" si="536"/>
        <v>0</v>
      </c>
      <c r="FS607">
        <v>0</v>
      </c>
      <c r="FX607">
        <v>116</v>
      </c>
      <c r="FY607">
        <v>68</v>
      </c>
      <c r="GA607" t="s">
        <v>3</v>
      </c>
      <c r="GD607">
        <v>0</v>
      </c>
      <c r="GF607">
        <v>998031743</v>
      </c>
      <c r="GG607">
        <v>2</v>
      </c>
      <c r="GH607">
        <v>1</v>
      </c>
      <c r="GI607">
        <v>2</v>
      </c>
      <c r="GJ607">
        <v>0</v>
      </c>
      <c r="GK607">
        <f>ROUND(R607*(R12)/100,2)</f>
        <v>0</v>
      </c>
      <c r="GL607">
        <f t="shared" si="537"/>
        <v>0</v>
      </c>
      <c r="GM607">
        <f t="shared" si="538"/>
        <v>148249.94</v>
      </c>
      <c r="GN607">
        <f t="shared" si="539"/>
        <v>148249.94</v>
      </c>
      <c r="GO607">
        <f t="shared" si="540"/>
        <v>0</v>
      </c>
      <c r="GP607">
        <f t="shared" si="541"/>
        <v>0</v>
      </c>
      <c r="GR607">
        <v>0</v>
      </c>
      <c r="GS607">
        <v>3</v>
      </c>
      <c r="GT607">
        <v>0</v>
      </c>
      <c r="GU607" t="s">
        <v>3</v>
      </c>
      <c r="GV607">
        <f t="shared" si="542"/>
        <v>0</v>
      </c>
      <c r="GW607">
        <v>1</v>
      </c>
      <c r="GX607">
        <f t="shared" si="543"/>
        <v>0</v>
      </c>
      <c r="HA607">
        <v>0</v>
      </c>
      <c r="HB607">
        <v>0</v>
      </c>
      <c r="HC607">
        <f t="shared" si="544"/>
        <v>0</v>
      </c>
      <c r="HE607" t="s">
        <v>3</v>
      </c>
      <c r="HF607" t="s">
        <v>3</v>
      </c>
      <c r="HM607" t="s">
        <v>3</v>
      </c>
      <c r="IK607">
        <v>0</v>
      </c>
    </row>
    <row r="608" spans="1:245" x14ac:dyDescent="0.2">
      <c r="A608">
        <v>18</v>
      </c>
      <c r="B608">
        <v>1</v>
      </c>
      <c r="C608">
        <v>397</v>
      </c>
      <c r="E608" t="s">
        <v>779</v>
      </c>
      <c r="F608" t="s">
        <v>172</v>
      </c>
      <c r="G608" t="s">
        <v>173</v>
      </c>
      <c r="H608" t="s">
        <v>169</v>
      </c>
      <c r="I608">
        <f>I606*J608</f>
        <v>2</v>
      </c>
      <c r="J608">
        <v>1</v>
      </c>
      <c r="K608">
        <v>1</v>
      </c>
      <c r="O608">
        <f t="shared" si="512"/>
        <v>42918.14</v>
      </c>
      <c r="P608">
        <f t="shared" si="513"/>
        <v>42918.14</v>
      </c>
      <c r="Q608">
        <f>(ROUND((ROUND(((ET608)*AV608*I608),2)*BB608),2)+ROUND((ROUND(((AE608-(EU608))*AV608*I608),2)*BS608),2))</f>
        <v>0</v>
      </c>
      <c r="R608">
        <f t="shared" si="514"/>
        <v>0</v>
      </c>
      <c r="S608">
        <f t="shared" si="515"/>
        <v>0</v>
      </c>
      <c r="T608">
        <f t="shared" si="516"/>
        <v>0</v>
      </c>
      <c r="U608">
        <f t="shared" si="517"/>
        <v>0</v>
      </c>
      <c r="V608">
        <f t="shared" si="518"/>
        <v>0</v>
      </c>
      <c r="W608">
        <f t="shared" si="519"/>
        <v>0</v>
      </c>
      <c r="X608">
        <f t="shared" si="520"/>
        <v>0</v>
      </c>
      <c r="Y608">
        <f t="shared" si="521"/>
        <v>0</v>
      </c>
      <c r="AA608">
        <v>42938047</v>
      </c>
      <c r="AB608">
        <f t="shared" si="522"/>
        <v>1902.4</v>
      </c>
      <c r="AC608">
        <f t="shared" si="523"/>
        <v>1902.4</v>
      </c>
      <c r="AD608">
        <f>ROUND((((ET608)-(EU608))+AE608),6)</f>
        <v>0</v>
      </c>
      <c r="AE608">
        <f t="shared" si="552"/>
        <v>0</v>
      </c>
      <c r="AF608">
        <f t="shared" si="552"/>
        <v>0</v>
      </c>
      <c r="AG608">
        <f t="shared" si="524"/>
        <v>0</v>
      </c>
      <c r="AH608">
        <f t="shared" si="553"/>
        <v>0</v>
      </c>
      <c r="AI608">
        <f t="shared" si="553"/>
        <v>0</v>
      </c>
      <c r="AJ608">
        <f t="shared" si="525"/>
        <v>0</v>
      </c>
      <c r="AK608">
        <v>1902.4</v>
      </c>
      <c r="AL608">
        <v>1902.4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1</v>
      </c>
      <c r="AW608">
        <v>1</v>
      </c>
      <c r="AZ608">
        <v>1</v>
      </c>
      <c r="BA608">
        <v>1</v>
      </c>
      <c r="BB608">
        <v>1</v>
      </c>
      <c r="BC608">
        <v>11.28</v>
      </c>
      <c r="BD608" t="s">
        <v>3</v>
      </c>
      <c r="BE608" t="s">
        <v>3</v>
      </c>
      <c r="BF608" t="s">
        <v>3</v>
      </c>
      <c r="BG608" t="s">
        <v>3</v>
      </c>
      <c r="BH608">
        <v>3</v>
      </c>
      <c r="BI608">
        <v>1</v>
      </c>
      <c r="BJ608" t="s">
        <v>174</v>
      </c>
      <c r="BM608">
        <v>1384</v>
      </c>
      <c r="BN608">
        <v>0</v>
      </c>
      <c r="BO608" t="s">
        <v>172</v>
      </c>
      <c r="BP608">
        <v>1</v>
      </c>
      <c r="BQ608">
        <v>30</v>
      </c>
      <c r="BR608">
        <v>0</v>
      </c>
      <c r="BS608">
        <v>1</v>
      </c>
      <c r="BT608">
        <v>1</v>
      </c>
      <c r="BU608">
        <v>1</v>
      </c>
      <c r="BV608">
        <v>1</v>
      </c>
      <c r="BW608">
        <v>1</v>
      </c>
      <c r="BX608">
        <v>1</v>
      </c>
      <c r="BY608" t="s">
        <v>3</v>
      </c>
      <c r="BZ608">
        <v>0</v>
      </c>
      <c r="CA608">
        <v>0</v>
      </c>
      <c r="CB608" t="s">
        <v>3</v>
      </c>
      <c r="CE608">
        <v>30</v>
      </c>
      <c r="CF608">
        <v>0</v>
      </c>
      <c r="CG608">
        <v>0</v>
      </c>
      <c r="CM608">
        <v>0</v>
      </c>
      <c r="CN608" t="s">
        <v>3</v>
      </c>
      <c r="CO608">
        <v>0</v>
      </c>
      <c r="CP608">
        <f t="shared" si="526"/>
        <v>42918.14</v>
      </c>
      <c r="CQ608">
        <f t="shared" si="527"/>
        <v>21459.07</v>
      </c>
      <c r="CR608">
        <f>(ROUND((ROUND(((ET608)*AV608*1),2)*BB608),2)+ROUND((ROUND(((AE608-(EU608))*AV608*1),2)*BS608),2))</f>
        <v>0</v>
      </c>
      <c r="CS608">
        <f t="shared" si="528"/>
        <v>0</v>
      </c>
      <c r="CT608">
        <f t="shared" si="529"/>
        <v>0</v>
      </c>
      <c r="CU608">
        <f t="shared" si="530"/>
        <v>0</v>
      </c>
      <c r="CV608">
        <f t="shared" si="531"/>
        <v>0</v>
      </c>
      <c r="CW608">
        <f t="shared" si="532"/>
        <v>0</v>
      </c>
      <c r="CX608">
        <f t="shared" si="533"/>
        <v>0</v>
      </c>
      <c r="CY608">
        <f t="shared" si="534"/>
        <v>0</v>
      </c>
      <c r="CZ608">
        <f t="shared" si="535"/>
        <v>0</v>
      </c>
      <c r="DC608" t="s">
        <v>3</v>
      </c>
      <c r="DD608" t="s">
        <v>3</v>
      </c>
      <c r="DE608" t="s">
        <v>3</v>
      </c>
      <c r="DF608" t="s">
        <v>3</v>
      </c>
      <c r="DG608" t="s">
        <v>3</v>
      </c>
      <c r="DH608" t="s">
        <v>3</v>
      </c>
      <c r="DI608" t="s">
        <v>3</v>
      </c>
      <c r="DJ608" t="s">
        <v>3</v>
      </c>
      <c r="DK608" t="s">
        <v>3</v>
      </c>
      <c r="DL608" t="s">
        <v>3</v>
      </c>
      <c r="DM608" t="s">
        <v>3</v>
      </c>
      <c r="DN608">
        <v>116</v>
      </c>
      <c r="DO608">
        <v>68</v>
      </c>
      <c r="DP608">
        <v>1</v>
      </c>
      <c r="DQ608">
        <v>1</v>
      </c>
      <c r="DU608">
        <v>1010</v>
      </c>
      <c r="DV608" t="s">
        <v>169</v>
      </c>
      <c r="DW608" t="s">
        <v>169</v>
      </c>
      <c r="DX608">
        <v>1</v>
      </c>
      <c r="DZ608" t="s">
        <v>3</v>
      </c>
      <c r="EA608" t="s">
        <v>3</v>
      </c>
      <c r="EB608" t="s">
        <v>3</v>
      </c>
      <c r="EC608" t="s">
        <v>3</v>
      </c>
      <c r="EE608">
        <v>43089462</v>
      </c>
      <c r="EF608">
        <v>30</v>
      </c>
      <c r="EG608" t="s">
        <v>22</v>
      </c>
      <c r="EH608">
        <v>0</v>
      </c>
      <c r="EI608" t="s">
        <v>3</v>
      </c>
      <c r="EJ608">
        <v>1</v>
      </c>
      <c r="EK608">
        <v>1384</v>
      </c>
      <c r="EL608" t="s">
        <v>164</v>
      </c>
      <c r="EM608" t="s">
        <v>165</v>
      </c>
      <c r="EO608" t="s">
        <v>3</v>
      </c>
      <c r="EQ608">
        <v>0</v>
      </c>
      <c r="ER608">
        <v>1902.4</v>
      </c>
      <c r="ES608">
        <v>1902.4</v>
      </c>
      <c r="ET608">
        <v>0</v>
      </c>
      <c r="EU608">
        <v>0</v>
      </c>
      <c r="EV608">
        <v>0</v>
      </c>
      <c r="EW608">
        <v>0</v>
      </c>
      <c r="EX608">
        <v>0</v>
      </c>
      <c r="FQ608">
        <v>0</v>
      </c>
      <c r="FR608">
        <f t="shared" si="536"/>
        <v>0</v>
      </c>
      <c r="FS608">
        <v>0</v>
      </c>
      <c r="FX608">
        <v>116</v>
      </c>
      <c r="FY608">
        <v>68</v>
      </c>
      <c r="GA608" t="s">
        <v>3</v>
      </c>
      <c r="GD608">
        <v>0</v>
      </c>
      <c r="GF608">
        <v>-809151191</v>
      </c>
      <c r="GG608">
        <v>2</v>
      </c>
      <c r="GH608">
        <v>1</v>
      </c>
      <c r="GI608">
        <v>2</v>
      </c>
      <c r="GJ608">
        <v>0</v>
      </c>
      <c r="GK608">
        <f>ROUND(R608*(R12)/100,2)</f>
        <v>0</v>
      </c>
      <c r="GL608">
        <f t="shared" si="537"/>
        <v>0</v>
      </c>
      <c r="GM608">
        <f t="shared" si="538"/>
        <v>42918.14</v>
      </c>
      <c r="GN608">
        <f t="shared" si="539"/>
        <v>42918.14</v>
      </c>
      <c r="GO608">
        <f t="shared" si="540"/>
        <v>0</v>
      </c>
      <c r="GP608">
        <f t="shared" si="541"/>
        <v>0</v>
      </c>
      <c r="GR608">
        <v>0</v>
      </c>
      <c r="GS608">
        <v>3</v>
      </c>
      <c r="GT608">
        <v>0</v>
      </c>
      <c r="GU608" t="s">
        <v>3</v>
      </c>
      <c r="GV608">
        <f t="shared" si="542"/>
        <v>0</v>
      </c>
      <c r="GW608">
        <v>1</v>
      </c>
      <c r="GX608">
        <f t="shared" si="543"/>
        <v>0</v>
      </c>
      <c r="HA608">
        <v>0</v>
      </c>
      <c r="HB608">
        <v>0</v>
      </c>
      <c r="HC608">
        <f t="shared" si="544"/>
        <v>0</v>
      </c>
      <c r="HE608" t="s">
        <v>3</v>
      </c>
      <c r="HF608" t="s">
        <v>3</v>
      </c>
      <c r="HM608" t="s">
        <v>3</v>
      </c>
      <c r="IK608">
        <v>0</v>
      </c>
    </row>
    <row r="609" spans="1:245" x14ac:dyDescent="0.2">
      <c r="A609">
        <v>18</v>
      </c>
      <c r="B609">
        <v>1</v>
      </c>
      <c r="C609">
        <v>399</v>
      </c>
      <c r="E609" t="s">
        <v>780</v>
      </c>
      <c r="F609" t="s">
        <v>167</v>
      </c>
      <c r="G609" t="s">
        <v>168</v>
      </c>
      <c r="H609" t="s">
        <v>169</v>
      </c>
      <c r="I609">
        <f>I606*J609</f>
        <v>2</v>
      </c>
      <c r="J609">
        <v>1</v>
      </c>
      <c r="K609">
        <v>1</v>
      </c>
      <c r="O609">
        <f t="shared" si="512"/>
        <v>21241.919999999998</v>
      </c>
      <c r="P609">
        <f t="shared" si="513"/>
        <v>21241.919999999998</v>
      </c>
      <c r="Q609">
        <f>(ROUND((ROUND(((ET609)*AV609*I609),2)*BB609),2)+ROUND((ROUND(((AE609-(EU609))*AV609*I609),2)*BS609),2))</f>
        <v>0</v>
      </c>
      <c r="R609">
        <f t="shared" si="514"/>
        <v>0</v>
      </c>
      <c r="S609">
        <f t="shared" si="515"/>
        <v>0</v>
      </c>
      <c r="T609">
        <f t="shared" si="516"/>
        <v>0</v>
      </c>
      <c r="U609">
        <f t="shared" si="517"/>
        <v>0</v>
      </c>
      <c r="V609">
        <f t="shared" si="518"/>
        <v>0</v>
      </c>
      <c r="W609">
        <f t="shared" si="519"/>
        <v>0</v>
      </c>
      <c r="X609">
        <f t="shared" si="520"/>
        <v>0</v>
      </c>
      <c r="Y609">
        <f t="shared" si="521"/>
        <v>0</v>
      </c>
      <c r="AA609">
        <v>42938047</v>
      </c>
      <c r="AB609">
        <f t="shared" si="522"/>
        <v>1732.62</v>
      </c>
      <c r="AC609">
        <f t="shared" si="523"/>
        <v>1732.62</v>
      </c>
      <c r="AD609">
        <f>ROUND((((ET609)-(EU609))+AE609),6)</f>
        <v>0</v>
      </c>
      <c r="AE609">
        <f t="shared" si="552"/>
        <v>0</v>
      </c>
      <c r="AF609">
        <f t="shared" si="552"/>
        <v>0</v>
      </c>
      <c r="AG609">
        <f t="shared" si="524"/>
        <v>0</v>
      </c>
      <c r="AH609">
        <f t="shared" si="553"/>
        <v>0</v>
      </c>
      <c r="AI609">
        <f t="shared" si="553"/>
        <v>0</v>
      </c>
      <c r="AJ609">
        <f t="shared" si="525"/>
        <v>0</v>
      </c>
      <c r="AK609">
        <v>1732.62</v>
      </c>
      <c r="AL609">
        <v>1732.62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1</v>
      </c>
      <c r="AW609">
        <v>1</v>
      </c>
      <c r="AZ609">
        <v>1</v>
      </c>
      <c r="BA609">
        <v>1</v>
      </c>
      <c r="BB609">
        <v>1</v>
      </c>
      <c r="BC609">
        <v>6.13</v>
      </c>
      <c r="BD609" t="s">
        <v>3</v>
      </c>
      <c r="BE609" t="s">
        <v>3</v>
      </c>
      <c r="BF609" t="s">
        <v>3</v>
      </c>
      <c r="BG609" t="s">
        <v>3</v>
      </c>
      <c r="BH609">
        <v>3</v>
      </c>
      <c r="BI609">
        <v>1</v>
      </c>
      <c r="BJ609" t="s">
        <v>170</v>
      </c>
      <c r="BM609">
        <v>1384</v>
      </c>
      <c r="BN609">
        <v>0</v>
      </c>
      <c r="BO609" t="s">
        <v>167</v>
      </c>
      <c r="BP609">
        <v>1</v>
      </c>
      <c r="BQ609">
        <v>30</v>
      </c>
      <c r="BR609">
        <v>0</v>
      </c>
      <c r="BS609">
        <v>1</v>
      </c>
      <c r="BT609">
        <v>1</v>
      </c>
      <c r="BU609">
        <v>1</v>
      </c>
      <c r="BV609">
        <v>1</v>
      </c>
      <c r="BW609">
        <v>1</v>
      </c>
      <c r="BX609">
        <v>1</v>
      </c>
      <c r="BY609" t="s">
        <v>3</v>
      </c>
      <c r="BZ609">
        <v>0</v>
      </c>
      <c r="CA609">
        <v>0</v>
      </c>
      <c r="CB609" t="s">
        <v>3</v>
      </c>
      <c r="CE609">
        <v>30</v>
      </c>
      <c r="CF609">
        <v>0</v>
      </c>
      <c r="CG609">
        <v>0</v>
      </c>
      <c r="CM609">
        <v>0</v>
      </c>
      <c r="CN609" t="s">
        <v>3</v>
      </c>
      <c r="CO609">
        <v>0</v>
      </c>
      <c r="CP609">
        <f t="shared" si="526"/>
        <v>21241.919999999998</v>
      </c>
      <c r="CQ609">
        <f t="shared" si="527"/>
        <v>10620.96</v>
      </c>
      <c r="CR609">
        <f>(ROUND((ROUND(((ET609)*AV609*1),2)*BB609),2)+ROUND((ROUND(((AE609-(EU609))*AV609*1),2)*BS609),2))</f>
        <v>0</v>
      </c>
      <c r="CS609">
        <f t="shared" si="528"/>
        <v>0</v>
      </c>
      <c r="CT609">
        <f t="shared" si="529"/>
        <v>0</v>
      </c>
      <c r="CU609">
        <f t="shared" si="530"/>
        <v>0</v>
      </c>
      <c r="CV609">
        <f t="shared" si="531"/>
        <v>0</v>
      </c>
      <c r="CW609">
        <f t="shared" si="532"/>
        <v>0</v>
      </c>
      <c r="CX609">
        <f t="shared" si="533"/>
        <v>0</v>
      </c>
      <c r="CY609">
        <f t="shared" si="534"/>
        <v>0</v>
      </c>
      <c r="CZ609">
        <f t="shared" si="535"/>
        <v>0</v>
      </c>
      <c r="DC609" t="s">
        <v>3</v>
      </c>
      <c r="DD609" t="s">
        <v>3</v>
      </c>
      <c r="DE609" t="s">
        <v>3</v>
      </c>
      <c r="DF609" t="s">
        <v>3</v>
      </c>
      <c r="DG609" t="s">
        <v>3</v>
      </c>
      <c r="DH609" t="s">
        <v>3</v>
      </c>
      <c r="DI609" t="s">
        <v>3</v>
      </c>
      <c r="DJ609" t="s">
        <v>3</v>
      </c>
      <c r="DK609" t="s">
        <v>3</v>
      </c>
      <c r="DL609" t="s">
        <v>3</v>
      </c>
      <c r="DM609" t="s">
        <v>3</v>
      </c>
      <c r="DN609">
        <v>116</v>
      </c>
      <c r="DO609">
        <v>68</v>
      </c>
      <c r="DP609">
        <v>1</v>
      </c>
      <c r="DQ609">
        <v>1</v>
      </c>
      <c r="DU609">
        <v>1010</v>
      </c>
      <c r="DV609" t="s">
        <v>169</v>
      </c>
      <c r="DW609" t="s">
        <v>169</v>
      </c>
      <c r="DX609">
        <v>1</v>
      </c>
      <c r="DZ609" t="s">
        <v>3</v>
      </c>
      <c r="EA609" t="s">
        <v>3</v>
      </c>
      <c r="EB609" t="s">
        <v>3</v>
      </c>
      <c r="EC609" t="s">
        <v>3</v>
      </c>
      <c r="EE609">
        <v>43089462</v>
      </c>
      <c r="EF609">
        <v>30</v>
      </c>
      <c r="EG609" t="s">
        <v>22</v>
      </c>
      <c r="EH609">
        <v>0</v>
      </c>
      <c r="EI609" t="s">
        <v>3</v>
      </c>
      <c r="EJ609">
        <v>1</v>
      </c>
      <c r="EK609">
        <v>1384</v>
      </c>
      <c r="EL609" t="s">
        <v>164</v>
      </c>
      <c r="EM609" t="s">
        <v>165</v>
      </c>
      <c r="EO609" t="s">
        <v>3</v>
      </c>
      <c r="EQ609">
        <v>0</v>
      </c>
      <c r="ER609">
        <v>1732.62</v>
      </c>
      <c r="ES609">
        <v>1732.62</v>
      </c>
      <c r="ET609">
        <v>0</v>
      </c>
      <c r="EU609">
        <v>0</v>
      </c>
      <c r="EV609">
        <v>0</v>
      </c>
      <c r="EW609">
        <v>0</v>
      </c>
      <c r="EX609">
        <v>0</v>
      </c>
      <c r="FQ609">
        <v>0</v>
      </c>
      <c r="FR609">
        <f t="shared" si="536"/>
        <v>0</v>
      </c>
      <c r="FS609">
        <v>0</v>
      </c>
      <c r="FX609">
        <v>116</v>
      </c>
      <c r="FY609">
        <v>68</v>
      </c>
      <c r="GA609" t="s">
        <v>3</v>
      </c>
      <c r="GD609">
        <v>0</v>
      </c>
      <c r="GF609">
        <v>-1841816724</v>
      </c>
      <c r="GG609">
        <v>2</v>
      </c>
      <c r="GH609">
        <v>1</v>
      </c>
      <c r="GI609">
        <v>2</v>
      </c>
      <c r="GJ609">
        <v>0</v>
      </c>
      <c r="GK609">
        <f>ROUND(R609*(R12)/100,2)</f>
        <v>0</v>
      </c>
      <c r="GL609">
        <f t="shared" si="537"/>
        <v>0</v>
      </c>
      <c r="GM609">
        <f t="shared" si="538"/>
        <v>21241.919999999998</v>
      </c>
      <c r="GN609">
        <f t="shared" si="539"/>
        <v>21241.919999999998</v>
      </c>
      <c r="GO609">
        <f t="shared" si="540"/>
        <v>0</v>
      </c>
      <c r="GP609">
        <f t="shared" si="541"/>
        <v>0</v>
      </c>
      <c r="GR609">
        <v>0</v>
      </c>
      <c r="GS609">
        <v>3</v>
      </c>
      <c r="GT609">
        <v>0</v>
      </c>
      <c r="GU609" t="s">
        <v>3</v>
      </c>
      <c r="GV609">
        <f t="shared" si="542"/>
        <v>0</v>
      </c>
      <c r="GW609">
        <v>1</v>
      </c>
      <c r="GX609">
        <f t="shared" si="543"/>
        <v>0</v>
      </c>
      <c r="HA609">
        <v>0</v>
      </c>
      <c r="HB609">
        <v>0</v>
      </c>
      <c r="HC609">
        <f t="shared" si="544"/>
        <v>0</v>
      </c>
      <c r="HE609" t="s">
        <v>3</v>
      </c>
      <c r="HF609" t="s">
        <v>3</v>
      </c>
      <c r="HM609" t="s">
        <v>3</v>
      </c>
      <c r="IK609">
        <v>0</v>
      </c>
    </row>
    <row r="611" spans="1:245" x14ac:dyDescent="0.2">
      <c r="A611" s="2">
        <v>51</v>
      </c>
      <c r="B611" s="2">
        <f>B586</f>
        <v>1</v>
      </c>
      <c r="C611" s="2">
        <f>A586</f>
        <v>5</v>
      </c>
      <c r="D611" s="2">
        <f>ROW(A586)</f>
        <v>586</v>
      </c>
      <c r="E611" s="2"/>
      <c r="F611" s="2" t="str">
        <f>IF(F586&lt;&gt;"",F586,"")</f>
        <v>Новый подраздел</v>
      </c>
      <c r="G611" s="2" t="str">
        <f>IF(G586&lt;&gt;"",G586,"")</f>
        <v>Дренажная система</v>
      </c>
      <c r="H611" s="2">
        <v>0</v>
      </c>
      <c r="I611" s="2"/>
      <c r="J611" s="2"/>
      <c r="K611" s="2"/>
      <c r="L611" s="2"/>
      <c r="M611" s="2"/>
      <c r="N611" s="2"/>
      <c r="O611" s="2">
        <f t="shared" ref="O611:T611" si="554">ROUND(AB611,2)</f>
        <v>638041.16</v>
      </c>
      <c r="P611" s="2">
        <f t="shared" si="554"/>
        <v>599698.78</v>
      </c>
      <c r="Q611" s="2">
        <f t="shared" si="554"/>
        <v>5317.19</v>
      </c>
      <c r="R611" s="2">
        <f t="shared" si="554"/>
        <v>1571.43</v>
      </c>
      <c r="S611" s="2">
        <f t="shared" si="554"/>
        <v>33025.19</v>
      </c>
      <c r="T611" s="2">
        <f t="shared" si="554"/>
        <v>0</v>
      </c>
      <c r="U611" s="2">
        <f>AH611</f>
        <v>113.25199999999998</v>
      </c>
      <c r="V611" s="2">
        <f>AI611</f>
        <v>0</v>
      </c>
      <c r="W611" s="2">
        <f>ROUND(AJ611,2)</f>
        <v>0</v>
      </c>
      <c r="X611" s="2">
        <f>ROUND(AK611,2)</f>
        <v>31498.39</v>
      </c>
      <c r="Y611" s="2">
        <f>ROUND(AL611,2)</f>
        <v>13540.33</v>
      </c>
      <c r="Z611" s="2"/>
      <c r="AA611" s="2"/>
      <c r="AB611" s="2">
        <f>ROUND(SUMIF(AA590:AA609,"=42938047",O590:O609),2)</f>
        <v>638041.16</v>
      </c>
      <c r="AC611" s="2">
        <f>ROUND(SUMIF(AA590:AA609,"=42938047",P590:P609),2)</f>
        <v>599698.78</v>
      </c>
      <c r="AD611" s="2">
        <f>ROUND(SUMIF(AA590:AA609,"=42938047",Q590:Q609),2)</f>
        <v>5317.19</v>
      </c>
      <c r="AE611" s="2">
        <f>ROUND(SUMIF(AA590:AA609,"=42938047",R590:R609),2)</f>
        <v>1571.43</v>
      </c>
      <c r="AF611" s="2">
        <f>ROUND(SUMIF(AA590:AA609,"=42938047",S590:S609),2)</f>
        <v>33025.19</v>
      </c>
      <c r="AG611" s="2">
        <f>ROUND(SUMIF(AA590:AA609,"=42938047",T590:T609),2)</f>
        <v>0</v>
      </c>
      <c r="AH611" s="2">
        <f>SUMIF(AA590:AA609,"=42938047",U590:U609)</f>
        <v>113.25199999999998</v>
      </c>
      <c r="AI611" s="2">
        <f>SUMIF(AA590:AA609,"=42938047",V590:V609)</f>
        <v>0</v>
      </c>
      <c r="AJ611" s="2">
        <f>ROUND(SUMIF(AA590:AA609,"=42938047",W590:W609),2)</f>
        <v>0</v>
      </c>
      <c r="AK611" s="2">
        <f>ROUND(SUMIF(AA590:AA609,"=42938047",X590:X609),2)</f>
        <v>31498.39</v>
      </c>
      <c r="AL611" s="2">
        <f>ROUND(SUMIF(AA590:AA609,"=42938047",Y590:Y609),2)</f>
        <v>13540.33</v>
      </c>
      <c r="AM611" s="2"/>
      <c r="AN611" s="2"/>
      <c r="AO611" s="2">
        <f t="shared" ref="AO611:BD611" si="555">ROUND(BX611,2)</f>
        <v>0</v>
      </c>
      <c r="AP611" s="2">
        <f t="shared" si="555"/>
        <v>0</v>
      </c>
      <c r="AQ611" s="2">
        <f t="shared" si="555"/>
        <v>0</v>
      </c>
      <c r="AR611" s="2">
        <f t="shared" si="555"/>
        <v>685547.03</v>
      </c>
      <c r="AS611" s="2">
        <f t="shared" si="555"/>
        <v>685547.03</v>
      </c>
      <c r="AT611" s="2">
        <f t="shared" si="555"/>
        <v>0</v>
      </c>
      <c r="AU611" s="2">
        <f t="shared" si="555"/>
        <v>0</v>
      </c>
      <c r="AV611" s="2">
        <f t="shared" si="555"/>
        <v>599698.78</v>
      </c>
      <c r="AW611" s="2">
        <f t="shared" si="555"/>
        <v>599698.78</v>
      </c>
      <c r="AX611" s="2">
        <f t="shared" si="555"/>
        <v>0</v>
      </c>
      <c r="AY611" s="2">
        <f t="shared" si="555"/>
        <v>599698.78</v>
      </c>
      <c r="AZ611" s="2">
        <f t="shared" si="555"/>
        <v>0</v>
      </c>
      <c r="BA611" s="2">
        <f t="shared" si="555"/>
        <v>0</v>
      </c>
      <c r="BB611" s="2">
        <f t="shared" si="555"/>
        <v>0</v>
      </c>
      <c r="BC611" s="2">
        <f t="shared" si="555"/>
        <v>0</v>
      </c>
      <c r="BD611" s="2">
        <f t="shared" si="555"/>
        <v>0</v>
      </c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>
        <f>ROUND(SUMIF(AA590:AA609,"=42938047",FQ590:FQ609),2)</f>
        <v>0</v>
      </c>
      <c r="BY611" s="2">
        <f>ROUND(SUMIF(AA590:AA609,"=42938047",FR590:FR609),2)</f>
        <v>0</v>
      </c>
      <c r="BZ611" s="2">
        <f>ROUND(SUMIF(AA590:AA609,"=42938047",GL590:GL609),2)</f>
        <v>0</v>
      </c>
      <c r="CA611" s="2">
        <f>ROUND(SUMIF(AA590:AA609,"=42938047",GM590:GM609),2)</f>
        <v>685547.03</v>
      </c>
      <c r="CB611" s="2">
        <f>ROUND(SUMIF(AA590:AA609,"=42938047",GN590:GN609),2)</f>
        <v>685547.03</v>
      </c>
      <c r="CC611" s="2">
        <f>ROUND(SUMIF(AA590:AA609,"=42938047",GO590:GO609),2)</f>
        <v>0</v>
      </c>
      <c r="CD611" s="2">
        <f>ROUND(SUMIF(AA590:AA609,"=42938047",GP590:GP609),2)</f>
        <v>0</v>
      </c>
      <c r="CE611" s="2">
        <f>AC611-BX611</f>
        <v>599698.78</v>
      </c>
      <c r="CF611" s="2">
        <f>AC611-BY611</f>
        <v>599698.78</v>
      </c>
      <c r="CG611" s="2">
        <f>BX611-BZ611</f>
        <v>0</v>
      </c>
      <c r="CH611" s="2">
        <f>AC611-BX611-BY611+BZ611</f>
        <v>599698.78</v>
      </c>
      <c r="CI611" s="2">
        <f>BY611-BZ611</f>
        <v>0</v>
      </c>
      <c r="CJ611" s="2">
        <f>ROUND(SUMIF(AA590:AA609,"=42938047",GX590:GX609),2)</f>
        <v>0</v>
      </c>
      <c r="CK611" s="2">
        <f>ROUND(SUMIF(AA590:AA609,"=42938047",GY590:GY609),2)</f>
        <v>0</v>
      </c>
      <c r="CL611" s="2">
        <f>ROUND(SUMIF(AA590:AA609,"=42938047",GZ590:GZ609),2)</f>
        <v>0</v>
      </c>
      <c r="CM611" s="2">
        <f>ROUND(SUMIF(AA590:AA609,"=42938047",HD590:HD609),2)</f>
        <v>0</v>
      </c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  <c r="DE611" s="2"/>
      <c r="DF611" s="2"/>
      <c r="DG611" s="3"/>
      <c r="DH611" s="3"/>
      <c r="DI611" s="3"/>
      <c r="DJ611" s="3"/>
      <c r="DK611" s="3"/>
      <c r="DL611" s="3"/>
      <c r="DM611" s="3"/>
      <c r="DN611" s="3"/>
      <c r="DO611" s="3"/>
      <c r="DP611" s="3"/>
      <c r="DQ611" s="3"/>
      <c r="DR611" s="3"/>
      <c r="DS611" s="3"/>
      <c r="DT611" s="3"/>
      <c r="DU611" s="3"/>
      <c r="DV611" s="3"/>
      <c r="DW611" s="3"/>
      <c r="DX611" s="3"/>
      <c r="DY611" s="3"/>
      <c r="DZ611" s="3"/>
      <c r="EA611" s="3"/>
      <c r="EB611" s="3"/>
      <c r="EC611" s="3"/>
      <c r="ED611" s="3"/>
      <c r="EE611" s="3"/>
      <c r="EF611" s="3"/>
      <c r="EG611" s="3"/>
      <c r="EH611" s="3"/>
      <c r="EI611" s="3"/>
      <c r="EJ611" s="3"/>
      <c r="EK611" s="3"/>
      <c r="EL611" s="3"/>
      <c r="EM611" s="3"/>
      <c r="EN611" s="3"/>
      <c r="EO611" s="3"/>
      <c r="EP611" s="3"/>
      <c r="EQ611" s="3"/>
      <c r="ER611" s="3"/>
      <c r="ES611" s="3"/>
      <c r="ET611" s="3"/>
      <c r="EU611" s="3"/>
      <c r="EV611" s="3"/>
      <c r="EW611" s="3"/>
      <c r="EX611" s="3"/>
      <c r="EY611" s="3"/>
      <c r="EZ611" s="3"/>
      <c r="FA611" s="3"/>
      <c r="FB611" s="3"/>
      <c r="FC611" s="3"/>
      <c r="FD611" s="3"/>
      <c r="FE611" s="3"/>
      <c r="FF611" s="3"/>
      <c r="FG611" s="3"/>
      <c r="FH611" s="3"/>
      <c r="FI611" s="3"/>
      <c r="FJ611" s="3"/>
      <c r="FK611" s="3"/>
      <c r="FL611" s="3"/>
      <c r="FM611" s="3"/>
      <c r="FN611" s="3"/>
      <c r="FO611" s="3"/>
      <c r="FP611" s="3"/>
      <c r="FQ611" s="3"/>
      <c r="FR611" s="3"/>
      <c r="FS611" s="3"/>
      <c r="FT611" s="3"/>
      <c r="FU611" s="3"/>
      <c r="FV611" s="3"/>
      <c r="FW611" s="3"/>
      <c r="FX611" s="3"/>
      <c r="FY611" s="3"/>
      <c r="FZ611" s="3"/>
      <c r="GA611" s="3"/>
      <c r="GB611" s="3"/>
      <c r="GC611" s="3"/>
      <c r="GD611" s="3"/>
      <c r="GE611" s="3"/>
      <c r="GF611" s="3"/>
      <c r="GG611" s="3"/>
      <c r="GH611" s="3"/>
      <c r="GI611" s="3"/>
      <c r="GJ611" s="3"/>
      <c r="GK611" s="3"/>
      <c r="GL611" s="3"/>
      <c r="GM611" s="3"/>
      <c r="GN611" s="3"/>
      <c r="GO611" s="3"/>
      <c r="GP611" s="3"/>
      <c r="GQ611" s="3"/>
      <c r="GR611" s="3"/>
      <c r="GS611" s="3"/>
      <c r="GT611" s="3"/>
      <c r="GU611" s="3"/>
      <c r="GV611" s="3"/>
      <c r="GW611" s="3"/>
      <c r="GX611" s="3">
        <v>0</v>
      </c>
    </row>
    <row r="613" spans="1:245" x14ac:dyDescent="0.2">
      <c r="A613" s="4">
        <v>50</v>
      </c>
      <c r="B613" s="4">
        <v>0</v>
      </c>
      <c r="C613" s="4">
        <v>0</v>
      </c>
      <c r="D613" s="4">
        <v>1</v>
      </c>
      <c r="E613" s="4">
        <v>201</v>
      </c>
      <c r="F613" s="4">
        <f>ROUND(Source!O611,O613)</f>
        <v>638041.16</v>
      </c>
      <c r="G613" s="4" t="s">
        <v>213</v>
      </c>
      <c r="H613" s="4" t="s">
        <v>214</v>
      </c>
      <c r="I613" s="4"/>
      <c r="J613" s="4"/>
      <c r="K613" s="4">
        <v>201</v>
      </c>
      <c r="L613" s="4">
        <v>1</v>
      </c>
      <c r="M613" s="4">
        <v>3</v>
      </c>
      <c r="N613" s="4" t="s">
        <v>3</v>
      </c>
      <c r="O613" s="4">
        <v>2</v>
      </c>
      <c r="P613" s="4"/>
      <c r="Q613" s="4"/>
      <c r="R613" s="4"/>
      <c r="S613" s="4"/>
      <c r="T613" s="4"/>
      <c r="U613" s="4"/>
      <c r="V613" s="4"/>
      <c r="W613" s="4"/>
    </row>
    <row r="614" spans="1:245" x14ac:dyDescent="0.2">
      <c r="A614" s="4">
        <v>50</v>
      </c>
      <c r="B614" s="4">
        <v>0</v>
      </c>
      <c r="C614" s="4">
        <v>0</v>
      </c>
      <c r="D614" s="4">
        <v>1</v>
      </c>
      <c r="E614" s="4">
        <v>202</v>
      </c>
      <c r="F614" s="4">
        <f>ROUND(Source!P611,O614)</f>
        <v>599698.78</v>
      </c>
      <c r="G614" s="4" t="s">
        <v>215</v>
      </c>
      <c r="H614" s="4" t="s">
        <v>216</v>
      </c>
      <c r="I614" s="4"/>
      <c r="J614" s="4"/>
      <c r="K614" s="4">
        <v>202</v>
      </c>
      <c r="L614" s="4">
        <v>2</v>
      </c>
      <c r="M614" s="4">
        <v>3</v>
      </c>
      <c r="N614" s="4" t="s">
        <v>3</v>
      </c>
      <c r="O614" s="4">
        <v>2</v>
      </c>
      <c r="P614" s="4"/>
      <c r="Q614" s="4"/>
      <c r="R614" s="4"/>
      <c r="S614" s="4"/>
      <c r="T614" s="4"/>
      <c r="U614" s="4"/>
      <c r="V614" s="4"/>
      <c r="W614" s="4"/>
    </row>
    <row r="615" spans="1:245" x14ac:dyDescent="0.2">
      <c r="A615" s="4">
        <v>50</v>
      </c>
      <c r="B615" s="4">
        <v>0</v>
      </c>
      <c r="C615" s="4">
        <v>0</v>
      </c>
      <c r="D615" s="4">
        <v>1</v>
      </c>
      <c r="E615" s="4">
        <v>222</v>
      </c>
      <c r="F615" s="4">
        <f>ROUND(Source!AO611,O615)</f>
        <v>0</v>
      </c>
      <c r="G615" s="4" t="s">
        <v>217</v>
      </c>
      <c r="H615" s="4" t="s">
        <v>218</v>
      </c>
      <c r="I615" s="4"/>
      <c r="J615" s="4"/>
      <c r="K615" s="4">
        <v>222</v>
      </c>
      <c r="L615" s="4">
        <v>3</v>
      </c>
      <c r="M615" s="4">
        <v>3</v>
      </c>
      <c r="N615" s="4" t="s">
        <v>3</v>
      </c>
      <c r="O615" s="4">
        <v>2</v>
      </c>
      <c r="P615" s="4"/>
      <c r="Q615" s="4"/>
      <c r="R615" s="4"/>
      <c r="S615" s="4"/>
      <c r="T615" s="4"/>
      <c r="U615" s="4"/>
      <c r="V615" s="4"/>
      <c r="W615" s="4"/>
    </row>
    <row r="616" spans="1:245" x14ac:dyDescent="0.2">
      <c r="A616" s="4">
        <v>50</v>
      </c>
      <c r="B616" s="4">
        <v>0</v>
      </c>
      <c r="C616" s="4">
        <v>0</v>
      </c>
      <c r="D616" s="4">
        <v>1</v>
      </c>
      <c r="E616" s="4">
        <v>225</v>
      </c>
      <c r="F616" s="4">
        <f>ROUND(Source!AV611,O616)</f>
        <v>599698.78</v>
      </c>
      <c r="G616" s="4" t="s">
        <v>219</v>
      </c>
      <c r="H616" s="4" t="s">
        <v>220</v>
      </c>
      <c r="I616" s="4"/>
      <c r="J616" s="4"/>
      <c r="K616" s="4">
        <v>225</v>
      </c>
      <c r="L616" s="4">
        <v>4</v>
      </c>
      <c r="M616" s="4">
        <v>3</v>
      </c>
      <c r="N616" s="4" t="s">
        <v>3</v>
      </c>
      <c r="O616" s="4">
        <v>2</v>
      </c>
      <c r="P616" s="4"/>
      <c r="Q616" s="4"/>
      <c r="R616" s="4"/>
      <c r="S616" s="4"/>
      <c r="T616" s="4"/>
      <c r="U616" s="4"/>
      <c r="V616" s="4"/>
      <c r="W616" s="4"/>
    </row>
    <row r="617" spans="1:245" x14ac:dyDescent="0.2">
      <c r="A617" s="4">
        <v>50</v>
      </c>
      <c r="B617" s="4">
        <v>0</v>
      </c>
      <c r="C617" s="4">
        <v>0</v>
      </c>
      <c r="D617" s="4">
        <v>1</v>
      </c>
      <c r="E617" s="4">
        <v>226</v>
      </c>
      <c r="F617" s="4">
        <f>ROUND(Source!AW611,O617)</f>
        <v>599698.78</v>
      </c>
      <c r="G617" s="4" t="s">
        <v>221</v>
      </c>
      <c r="H617" s="4" t="s">
        <v>222</v>
      </c>
      <c r="I617" s="4"/>
      <c r="J617" s="4"/>
      <c r="K617" s="4">
        <v>226</v>
      </c>
      <c r="L617" s="4">
        <v>5</v>
      </c>
      <c r="M617" s="4">
        <v>3</v>
      </c>
      <c r="N617" s="4" t="s">
        <v>3</v>
      </c>
      <c r="O617" s="4">
        <v>2</v>
      </c>
      <c r="P617" s="4"/>
      <c r="Q617" s="4"/>
      <c r="R617" s="4"/>
      <c r="S617" s="4"/>
      <c r="T617" s="4"/>
      <c r="U617" s="4"/>
      <c r="V617" s="4"/>
      <c r="W617" s="4"/>
    </row>
    <row r="618" spans="1:245" x14ac:dyDescent="0.2">
      <c r="A618" s="4">
        <v>50</v>
      </c>
      <c r="B618" s="4">
        <v>0</v>
      </c>
      <c r="C618" s="4">
        <v>0</v>
      </c>
      <c r="D618" s="4">
        <v>1</v>
      </c>
      <c r="E618" s="4">
        <v>227</v>
      </c>
      <c r="F618" s="4">
        <f>ROUND(Source!AX611,O618)</f>
        <v>0</v>
      </c>
      <c r="G618" s="4" t="s">
        <v>223</v>
      </c>
      <c r="H618" s="4" t="s">
        <v>224</v>
      </c>
      <c r="I618" s="4"/>
      <c r="J618" s="4"/>
      <c r="K618" s="4">
        <v>227</v>
      </c>
      <c r="L618" s="4">
        <v>6</v>
      </c>
      <c r="M618" s="4">
        <v>3</v>
      </c>
      <c r="N618" s="4" t="s">
        <v>3</v>
      </c>
      <c r="O618" s="4">
        <v>2</v>
      </c>
      <c r="P618" s="4"/>
      <c r="Q618" s="4"/>
      <c r="R618" s="4"/>
      <c r="S618" s="4"/>
      <c r="T618" s="4"/>
      <c r="U618" s="4"/>
      <c r="V618" s="4"/>
      <c r="W618" s="4"/>
    </row>
    <row r="619" spans="1:245" x14ac:dyDescent="0.2">
      <c r="A619" s="4">
        <v>50</v>
      </c>
      <c r="B619" s="4">
        <v>0</v>
      </c>
      <c r="C619" s="4">
        <v>0</v>
      </c>
      <c r="D619" s="4">
        <v>1</v>
      </c>
      <c r="E619" s="4">
        <v>228</v>
      </c>
      <c r="F619" s="4">
        <f>ROUND(Source!AY611,O619)</f>
        <v>599698.78</v>
      </c>
      <c r="G619" s="4" t="s">
        <v>225</v>
      </c>
      <c r="H619" s="4" t="s">
        <v>226</v>
      </c>
      <c r="I619" s="4"/>
      <c r="J619" s="4"/>
      <c r="K619" s="4">
        <v>228</v>
      </c>
      <c r="L619" s="4">
        <v>7</v>
      </c>
      <c r="M619" s="4">
        <v>3</v>
      </c>
      <c r="N619" s="4" t="s">
        <v>3</v>
      </c>
      <c r="O619" s="4">
        <v>2</v>
      </c>
      <c r="P619" s="4"/>
      <c r="Q619" s="4"/>
      <c r="R619" s="4"/>
      <c r="S619" s="4"/>
      <c r="T619" s="4"/>
      <c r="U619" s="4"/>
      <c r="V619" s="4"/>
      <c r="W619" s="4"/>
    </row>
    <row r="620" spans="1:245" x14ac:dyDescent="0.2">
      <c r="A620" s="4">
        <v>50</v>
      </c>
      <c r="B620" s="4">
        <v>0</v>
      </c>
      <c r="C620" s="4">
        <v>0</v>
      </c>
      <c r="D620" s="4">
        <v>1</v>
      </c>
      <c r="E620" s="4">
        <v>216</v>
      </c>
      <c r="F620" s="4">
        <f>ROUND(Source!AP611,O620)</f>
        <v>0</v>
      </c>
      <c r="G620" s="4" t="s">
        <v>227</v>
      </c>
      <c r="H620" s="4" t="s">
        <v>228</v>
      </c>
      <c r="I620" s="4"/>
      <c r="J620" s="4"/>
      <c r="K620" s="4">
        <v>216</v>
      </c>
      <c r="L620" s="4">
        <v>8</v>
      </c>
      <c r="M620" s="4">
        <v>3</v>
      </c>
      <c r="N620" s="4" t="s">
        <v>3</v>
      </c>
      <c r="O620" s="4">
        <v>2</v>
      </c>
      <c r="P620" s="4"/>
      <c r="Q620" s="4"/>
      <c r="R620" s="4"/>
      <c r="S620" s="4"/>
      <c r="T620" s="4"/>
      <c r="U620" s="4"/>
      <c r="V620" s="4"/>
      <c r="W620" s="4"/>
    </row>
    <row r="621" spans="1:245" x14ac:dyDescent="0.2">
      <c r="A621" s="4">
        <v>50</v>
      </c>
      <c r="B621" s="4">
        <v>0</v>
      </c>
      <c r="C621" s="4">
        <v>0</v>
      </c>
      <c r="D621" s="4">
        <v>1</v>
      </c>
      <c r="E621" s="4">
        <v>223</v>
      </c>
      <c r="F621" s="4">
        <f>ROUND(Source!AQ611,O621)</f>
        <v>0</v>
      </c>
      <c r="G621" s="4" t="s">
        <v>229</v>
      </c>
      <c r="H621" s="4" t="s">
        <v>230</v>
      </c>
      <c r="I621" s="4"/>
      <c r="J621" s="4"/>
      <c r="K621" s="4">
        <v>223</v>
      </c>
      <c r="L621" s="4">
        <v>9</v>
      </c>
      <c r="M621" s="4">
        <v>3</v>
      </c>
      <c r="N621" s="4" t="s">
        <v>3</v>
      </c>
      <c r="O621" s="4">
        <v>2</v>
      </c>
      <c r="P621" s="4"/>
      <c r="Q621" s="4"/>
      <c r="R621" s="4"/>
      <c r="S621" s="4"/>
      <c r="T621" s="4"/>
      <c r="U621" s="4"/>
      <c r="V621" s="4"/>
      <c r="W621" s="4"/>
    </row>
    <row r="622" spans="1:245" x14ac:dyDescent="0.2">
      <c r="A622" s="4">
        <v>50</v>
      </c>
      <c r="B622" s="4">
        <v>0</v>
      </c>
      <c r="C622" s="4">
        <v>0</v>
      </c>
      <c r="D622" s="4">
        <v>1</v>
      </c>
      <c r="E622" s="4">
        <v>229</v>
      </c>
      <c r="F622" s="4">
        <f>ROUND(Source!AZ611,O622)</f>
        <v>0</v>
      </c>
      <c r="G622" s="4" t="s">
        <v>231</v>
      </c>
      <c r="H622" s="4" t="s">
        <v>232</v>
      </c>
      <c r="I622" s="4"/>
      <c r="J622" s="4"/>
      <c r="K622" s="4">
        <v>229</v>
      </c>
      <c r="L622" s="4">
        <v>10</v>
      </c>
      <c r="M622" s="4">
        <v>3</v>
      </c>
      <c r="N622" s="4" t="s">
        <v>3</v>
      </c>
      <c r="O622" s="4">
        <v>2</v>
      </c>
      <c r="P622" s="4"/>
      <c r="Q622" s="4"/>
      <c r="R622" s="4"/>
      <c r="S622" s="4"/>
      <c r="T622" s="4"/>
      <c r="U622" s="4"/>
      <c r="V622" s="4"/>
      <c r="W622" s="4"/>
    </row>
    <row r="623" spans="1:245" x14ac:dyDescent="0.2">
      <c r="A623" s="4">
        <v>50</v>
      </c>
      <c r="B623" s="4">
        <v>0</v>
      </c>
      <c r="C623" s="4">
        <v>0</v>
      </c>
      <c r="D623" s="4">
        <v>1</v>
      </c>
      <c r="E623" s="4">
        <v>203</v>
      </c>
      <c r="F623" s="4">
        <f>ROUND(Source!Q611,O623)</f>
        <v>5317.19</v>
      </c>
      <c r="G623" s="4" t="s">
        <v>233</v>
      </c>
      <c r="H623" s="4" t="s">
        <v>234</v>
      </c>
      <c r="I623" s="4"/>
      <c r="J623" s="4"/>
      <c r="K623" s="4">
        <v>203</v>
      </c>
      <c r="L623" s="4">
        <v>11</v>
      </c>
      <c r="M623" s="4">
        <v>3</v>
      </c>
      <c r="N623" s="4" t="s">
        <v>3</v>
      </c>
      <c r="O623" s="4">
        <v>2</v>
      </c>
      <c r="P623" s="4"/>
      <c r="Q623" s="4"/>
      <c r="R623" s="4"/>
      <c r="S623" s="4"/>
      <c r="T623" s="4"/>
      <c r="U623" s="4"/>
      <c r="V623" s="4"/>
      <c r="W623" s="4"/>
    </row>
    <row r="624" spans="1:245" x14ac:dyDescent="0.2">
      <c r="A624" s="4">
        <v>50</v>
      </c>
      <c r="B624" s="4">
        <v>0</v>
      </c>
      <c r="C624" s="4">
        <v>0</v>
      </c>
      <c r="D624" s="4">
        <v>1</v>
      </c>
      <c r="E624" s="4">
        <v>231</v>
      </c>
      <c r="F624" s="4">
        <f>ROUND(Source!BB611,O624)</f>
        <v>0</v>
      </c>
      <c r="G624" s="4" t="s">
        <v>235</v>
      </c>
      <c r="H624" s="4" t="s">
        <v>236</v>
      </c>
      <c r="I624" s="4"/>
      <c r="J624" s="4"/>
      <c r="K624" s="4">
        <v>231</v>
      </c>
      <c r="L624" s="4">
        <v>12</v>
      </c>
      <c r="M624" s="4">
        <v>3</v>
      </c>
      <c r="N624" s="4" t="s">
        <v>3</v>
      </c>
      <c r="O624" s="4">
        <v>2</v>
      </c>
      <c r="P624" s="4"/>
      <c r="Q624" s="4"/>
      <c r="R624" s="4"/>
      <c r="S624" s="4"/>
      <c r="T624" s="4"/>
      <c r="U624" s="4"/>
      <c r="V624" s="4"/>
      <c r="W624" s="4"/>
    </row>
    <row r="625" spans="1:23" x14ac:dyDescent="0.2">
      <c r="A625" s="4">
        <v>50</v>
      </c>
      <c r="B625" s="4">
        <v>0</v>
      </c>
      <c r="C625" s="4">
        <v>0</v>
      </c>
      <c r="D625" s="4">
        <v>1</v>
      </c>
      <c r="E625" s="4">
        <v>204</v>
      </c>
      <c r="F625" s="4">
        <f>ROUND(Source!R611,O625)</f>
        <v>1571.43</v>
      </c>
      <c r="G625" s="4" t="s">
        <v>237</v>
      </c>
      <c r="H625" s="4" t="s">
        <v>238</v>
      </c>
      <c r="I625" s="4"/>
      <c r="J625" s="4"/>
      <c r="K625" s="4">
        <v>204</v>
      </c>
      <c r="L625" s="4">
        <v>13</v>
      </c>
      <c r="M625" s="4">
        <v>3</v>
      </c>
      <c r="N625" s="4" t="s">
        <v>3</v>
      </c>
      <c r="O625" s="4">
        <v>2</v>
      </c>
      <c r="P625" s="4"/>
      <c r="Q625" s="4"/>
      <c r="R625" s="4"/>
      <c r="S625" s="4"/>
      <c r="T625" s="4"/>
      <c r="U625" s="4"/>
      <c r="V625" s="4"/>
      <c r="W625" s="4"/>
    </row>
    <row r="626" spans="1:23" x14ac:dyDescent="0.2">
      <c r="A626" s="4">
        <v>50</v>
      </c>
      <c r="B626" s="4">
        <v>0</v>
      </c>
      <c r="C626" s="4">
        <v>0</v>
      </c>
      <c r="D626" s="4">
        <v>1</v>
      </c>
      <c r="E626" s="4">
        <v>205</v>
      </c>
      <c r="F626" s="4">
        <f>ROUND(Source!S611,O626)</f>
        <v>33025.19</v>
      </c>
      <c r="G626" s="4" t="s">
        <v>239</v>
      </c>
      <c r="H626" s="4" t="s">
        <v>240</v>
      </c>
      <c r="I626" s="4"/>
      <c r="J626" s="4"/>
      <c r="K626" s="4">
        <v>205</v>
      </c>
      <c r="L626" s="4">
        <v>14</v>
      </c>
      <c r="M626" s="4">
        <v>3</v>
      </c>
      <c r="N626" s="4" t="s">
        <v>3</v>
      </c>
      <c r="O626" s="4">
        <v>2</v>
      </c>
      <c r="P626" s="4"/>
      <c r="Q626" s="4"/>
      <c r="R626" s="4"/>
      <c r="S626" s="4"/>
      <c r="T626" s="4"/>
      <c r="U626" s="4"/>
      <c r="V626" s="4"/>
      <c r="W626" s="4"/>
    </row>
    <row r="627" spans="1:23" x14ac:dyDescent="0.2">
      <c r="A627" s="4">
        <v>50</v>
      </c>
      <c r="B627" s="4">
        <v>0</v>
      </c>
      <c r="C627" s="4">
        <v>0</v>
      </c>
      <c r="D627" s="4">
        <v>1</v>
      </c>
      <c r="E627" s="4">
        <v>232</v>
      </c>
      <c r="F627" s="4">
        <f>ROUND(Source!BC611,O627)</f>
        <v>0</v>
      </c>
      <c r="G627" s="4" t="s">
        <v>241</v>
      </c>
      <c r="H627" s="4" t="s">
        <v>242</v>
      </c>
      <c r="I627" s="4"/>
      <c r="J627" s="4"/>
      <c r="K627" s="4">
        <v>232</v>
      </c>
      <c r="L627" s="4">
        <v>15</v>
      </c>
      <c r="M627" s="4">
        <v>3</v>
      </c>
      <c r="N627" s="4" t="s">
        <v>3</v>
      </c>
      <c r="O627" s="4">
        <v>2</v>
      </c>
      <c r="P627" s="4"/>
      <c r="Q627" s="4"/>
      <c r="R627" s="4"/>
      <c r="S627" s="4"/>
      <c r="T627" s="4"/>
      <c r="U627" s="4"/>
      <c r="V627" s="4"/>
      <c r="W627" s="4"/>
    </row>
    <row r="628" spans="1:23" x14ac:dyDescent="0.2">
      <c r="A628" s="4">
        <v>50</v>
      </c>
      <c r="B628" s="4">
        <v>0</v>
      </c>
      <c r="C628" s="4">
        <v>0</v>
      </c>
      <c r="D628" s="4">
        <v>1</v>
      </c>
      <c r="E628" s="4">
        <v>214</v>
      </c>
      <c r="F628" s="4">
        <f>ROUND(Source!AS611,O628)</f>
        <v>685547.03</v>
      </c>
      <c r="G628" s="4" t="s">
        <v>243</v>
      </c>
      <c r="H628" s="4" t="s">
        <v>244</v>
      </c>
      <c r="I628" s="4"/>
      <c r="J628" s="4"/>
      <c r="K628" s="4">
        <v>214</v>
      </c>
      <c r="L628" s="4">
        <v>16</v>
      </c>
      <c r="M628" s="4">
        <v>3</v>
      </c>
      <c r="N628" s="4" t="s">
        <v>3</v>
      </c>
      <c r="O628" s="4">
        <v>2</v>
      </c>
      <c r="P628" s="4"/>
      <c r="Q628" s="4"/>
      <c r="R628" s="4"/>
      <c r="S628" s="4"/>
      <c r="T628" s="4"/>
      <c r="U628" s="4"/>
      <c r="V628" s="4"/>
      <c r="W628" s="4"/>
    </row>
    <row r="629" spans="1:23" x14ac:dyDescent="0.2">
      <c r="A629" s="4">
        <v>50</v>
      </c>
      <c r="B629" s="4">
        <v>0</v>
      </c>
      <c r="C629" s="4">
        <v>0</v>
      </c>
      <c r="D629" s="4">
        <v>1</v>
      </c>
      <c r="E629" s="4">
        <v>215</v>
      </c>
      <c r="F629" s="4">
        <f>ROUND(Source!AT611,O629)</f>
        <v>0</v>
      </c>
      <c r="G629" s="4" t="s">
        <v>245</v>
      </c>
      <c r="H629" s="4" t="s">
        <v>246</v>
      </c>
      <c r="I629" s="4"/>
      <c r="J629" s="4"/>
      <c r="K629" s="4">
        <v>215</v>
      </c>
      <c r="L629" s="4">
        <v>17</v>
      </c>
      <c r="M629" s="4">
        <v>3</v>
      </c>
      <c r="N629" s="4" t="s">
        <v>3</v>
      </c>
      <c r="O629" s="4">
        <v>2</v>
      </c>
      <c r="P629" s="4"/>
      <c r="Q629" s="4"/>
      <c r="R629" s="4"/>
      <c r="S629" s="4"/>
      <c r="T629" s="4"/>
      <c r="U629" s="4"/>
      <c r="V629" s="4"/>
      <c r="W629" s="4"/>
    </row>
    <row r="630" spans="1:23" x14ac:dyDescent="0.2">
      <c r="A630" s="4">
        <v>50</v>
      </c>
      <c r="B630" s="4">
        <v>0</v>
      </c>
      <c r="C630" s="4">
        <v>0</v>
      </c>
      <c r="D630" s="4">
        <v>1</v>
      </c>
      <c r="E630" s="4">
        <v>217</v>
      </c>
      <c r="F630" s="4">
        <f>ROUND(Source!AU611,O630)</f>
        <v>0</v>
      </c>
      <c r="G630" s="4" t="s">
        <v>247</v>
      </c>
      <c r="H630" s="4" t="s">
        <v>248</v>
      </c>
      <c r="I630" s="4"/>
      <c r="J630" s="4"/>
      <c r="K630" s="4">
        <v>217</v>
      </c>
      <c r="L630" s="4">
        <v>18</v>
      </c>
      <c r="M630" s="4">
        <v>3</v>
      </c>
      <c r="N630" s="4" t="s">
        <v>3</v>
      </c>
      <c r="O630" s="4">
        <v>2</v>
      </c>
      <c r="P630" s="4"/>
      <c r="Q630" s="4"/>
      <c r="R630" s="4"/>
      <c r="S630" s="4"/>
      <c r="T630" s="4"/>
      <c r="U630" s="4"/>
      <c r="V630" s="4"/>
      <c r="W630" s="4"/>
    </row>
    <row r="631" spans="1:23" x14ac:dyDescent="0.2">
      <c r="A631" s="4">
        <v>50</v>
      </c>
      <c r="B631" s="4">
        <v>0</v>
      </c>
      <c r="C631" s="4">
        <v>0</v>
      </c>
      <c r="D631" s="4">
        <v>1</v>
      </c>
      <c r="E631" s="4">
        <v>230</v>
      </c>
      <c r="F631" s="4">
        <f>ROUND(Source!BA611,O631)</f>
        <v>0</v>
      </c>
      <c r="G631" s="4" t="s">
        <v>249</v>
      </c>
      <c r="H631" s="4" t="s">
        <v>250</v>
      </c>
      <c r="I631" s="4"/>
      <c r="J631" s="4"/>
      <c r="K631" s="4">
        <v>230</v>
      </c>
      <c r="L631" s="4">
        <v>19</v>
      </c>
      <c r="M631" s="4">
        <v>3</v>
      </c>
      <c r="N631" s="4" t="s">
        <v>3</v>
      </c>
      <c r="O631" s="4">
        <v>2</v>
      </c>
      <c r="P631" s="4"/>
      <c r="Q631" s="4"/>
      <c r="R631" s="4"/>
      <c r="S631" s="4"/>
      <c r="T631" s="4"/>
      <c r="U631" s="4"/>
      <c r="V631" s="4"/>
      <c r="W631" s="4"/>
    </row>
    <row r="632" spans="1:23" x14ac:dyDescent="0.2">
      <c r="A632" s="4">
        <v>50</v>
      </c>
      <c r="B632" s="4">
        <v>0</v>
      </c>
      <c r="C632" s="4">
        <v>0</v>
      </c>
      <c r="D632" s="4">
        <v>1</v>
      </c>
      <c r="E632" s="4">
        <v>206</v>
      </c>
      <c r="F632" s="4">
        <f>ROUND(Source!T611,O632)</f>
        <v>0</v>
      </c>
      <c r="G632" s="4" t="s">
        <v>251</v>
      </c>
      <c r="H632" s="4" t="s">
        <v>252</v>
      </c>
      <c r="I632" s="4"/>
      <c r="J632" s="4"/>
      <c r="K632" s="4">
        <v>206</v>
      </c>
      <c r="L632" s="4">
        <v>20</v>
      </c>
      <c r="M632" s="4">
        <v>3</v>
      </c>
      <c r="N632" s="4" t="s">
        <v>3</v>
      </c>
      <c r="O632" s="4">
        <v>2</v>
      </c>
      <c r="P632" s="4"/>
      <c r="Q632" s="4"/>
      <c r="R632" s="4"/>
      <c r="S632" s="4"/>
      <c r="T632" s="4"/>
      <c r="U632" s="4"/>
      <c r="V632" s="4"/>
      <c r="W632" s="4"/>
    </row>
    <row r="633" spans="1:23" x14ac:dyDescent="0.2">
      <c r="A633" s="4">
        <v>50</v>
      </c>
      <c r="B633" s="4">
        <v>0</v>
      </c>
      <c r="C633" s="4">
        <v>0</v>
      </c>
      <c r="D633" s="4">
        <v>1</v>
      </c>
      <c r="E633" s="4">
        <v>207</v>
      </c>
      <c r="F633" s="4">
        <f>Source!U611</f>
        <v>113.25199999999998</v>
      </c>
      <c r="G633" s="4" t="s">
        <v>253</v>
      </c>
      <c r="H633" s="4" t="s">
        <v>254</v>
      </c>
      <c r="I633" s="4"/>
      <c r="J633" s="4"/>
      <c r="K633" s="4">
        <v>207</v>
      </c>
      <c r="L633" s="4">
        <v>21</v>
      </c>
      <c r="M633" s="4">
        <v>3</v>
      </c>
      <c r="N633" s="4" t="s">
        <v>3</v>
      </c>
      <c r="O633" s="4">
        <v>-1</v>
      </c>
      <c r="P633" s="4"/>
      <c r="Q633" s="4"/>
      <c r="R633" s="4"/>
      <c r="S633" s="4"/>
      <c r="T633" s="4"/>
      <c r="U633" s="4"/>
      <c r="V633" s="4"/>
      <c r="W633" s="4"/>
    </row>
    <row r="634" spans="1:23" x14ac:dyDescent="0.2">
      <c r="A634" s="4">
        <v>50</v>
      </c>
      <c r="B634" s="4">
        <v>0</v>
      </c>
      <c r="C634" s="4">
        <v>0</v>
      </c>
      <c r="D634" s="4">
        <v>1</v>
      </c>
      <c r="E634" s="4">
        <v>208</v>
      </c>
      <c r="F634" s="4">
        <f>Source!V611</f>
        <v>0</v>
      </c>
      <c r="G634" s="4" t="s">
        <v>255</v>
      </c>
      <c r="H634" s="4" t="s">
        <v>256</v>
      </c>
      <c r="I634" s="4"/>
      <c r="J634" s="4"/>
      <c r="K634" s="4">
        <v>208</v>
      </c>
      <c r="L634" s="4">
        <v>22</v>
      </c>
      <c r="M634" s="4">
        <v>3</v>
      </c>
      <c r="N634" s="4" t="s">
        <v>3</v>
      </c>
      <c r="O634" s="4">
        <v>-1</v>
      </c>
      <c r="P634" s="4"/>
      <c r="Q634" s="4"/>
      <c r="R634" s="4"/>
      <c r="S634" s="4"/>
      <c r="T634" s="4"/>
      <c r="U634" s="4"/>
      <c r="V634" s="4"/>
      <c r="W634" s="4"/>
    </row>
    <row r="635" spans="1:23" x14ac:dyDescent="0.2">
      <c r="A635" s="4">
        <v>50</v>
      </c>
      <c r="B635" s="4">
        <v>0</v>
      </c>
      <c r="C635" s="4">
        <v>0</v>
      </c>
      <c r="D635" s="4">
        <v>1</v>
      </c>
      <c r="E635" s="4">
        <v>209</v>
      </c>
      <c r="F635" s="4">
        <f>ROUND(Source!W611,O635)</f>
        <v>0</v>
      </c>
      <c r="G635" s="4" t="s">
        <v>257</v>
      </c>
      <c r="H635" s="4" t="s">
        <v>258</v>
      </c>
      <c r="I635" s="4"/>
      <c r="J635" s="4"/>
      <c r="K635" s="4">
        <v>209</v>
      </c>
      <c r="L635" s="4">
        <v>23</v>
      </c>
      <c r="M635" s="4">
        <v>3</v>
      </c>
      <c r="N635" s="4" t="s">
        <v>3</v>
      </c>
      <c r="O635" s="4">
        <v>2</v>
      </c>
      <c r="P635" s="4"/>
      <c r="Q635" s="4"/>
      <c r="R635" s="4"/>
      <c r="S635" s="4"/>
      <c r="T635" s="4"/>
      <c r="U635" s="4"/>
      <c r="V635" s="4"/>
      <c r="W635" s="4"/>
    </row>
    <row r="636" spans="1:23" x14ac:dyDescent="0.2">
      <c r="A636" s="4">
        <v>50</v>
      </c>
      <c r="B636" s="4">
        <v>0</v>
      </c>
      <c r="C636" s="4">
        <v>0</v>
      </c>
      <c r="D636" s="4">
        <v>1</v>
      </c>
      <c r="E636" s="4">
        <v>233</v>
      </c>
      <c r="F636" s="4">
        <f>ROUND(Source!BD611,O636)</f>
        <v>0</v>
      </c>
      <c r="G636" s="4" t="s">
        <v>259</v>
      </c>
      <c r="H636" s="4" t="s">
        <v>260</v>
      </c>
      <c r="I636" s="4"/>
      <c r="J636" s="4"/>
      <c r="K636" s="4">
        <v>233</v>
      </c>
      <c r="L636" s="4">
        <v>24</v>
      </c>
      <c r="M636" s="4">
        <v>3</v>
      </c>
      <c r="N636" s="4" t="s">
        <v>3</v>
      </c>
      <c r="O636" s="4">
        <v>2</v>
      </c>
      <c r="P636" s="4"/>
      <c r="Q636" s="4"/>
      <c r="R636" s="4"/>
      <c r="S636" s="4"/>
      <c r="T636" s="4"/>
      <c r="U636" s="4"/>
      <c r="V636" s="4"/>
      <c r="W636" s="4"/>
    </row>
    <row r="637" spans="1:23" x14ac:dyDescent="0.2">
      <c r="A637" s="4">
        <v>50</v>
      </c>
      <c r="B637" s="4">
        <v>0</v>
      </c>
      <c r="C637" s="4">
        <v>0</v>
      </c>
      <c r="D637" s="4">
        <v>1</v>
      </c>
      <c r="E637" s="4">
        <v>210</v>
      </c>
      <c r="F637" s="4">
        <f>ROUND(Source!X611,O637)</f>
        <v>31498.39</v>
      </c>
      <c r="G637" s="4" t="s">
        <v>261</v>
      </c>
      <c r="H637" s="4" t="s">
        <v>262</v>
      </c>
      <c r="I637" s="4"/>
      <c r="J637" s="4"/>
      <c r="K637" s="4">
        <v>210</v>
      </c>
      <c r="L637" s="4">
        <v>25</v>
      </c>
      <c r="M637" s="4">
        <v>3</v>
      </c>
      <c r="N637" s="4" t="s">
        <v>3</v>
      </c>
      <c r="O637" s="4">
        <v>2</v>
      </c>
      <c r="P637" s="4"/>
      <c r="Q637" s="4"/>
      <c r="R637" s="4"/>
      <c r="S637" s="4"/>
      <c r="T637" s="4"/>
      <c r="U637" s="4"/>
      <c r="V637" s="4"/>
      <c r="W637" s="4"/>
    </row>
    <row r="638" spans="1:23" x14ac:dyDescent="0.2">
      <c r="A638" s="4">
        <v>50</v>
      </c>
      <c r="B638" s="4">
        <v>0</v>
      </c>
      <c r="C638" s="4">
        <v>0</v>
      </c>
      <c r="D638" s="4">
        <v>1</v>
      </c>
      <c r="E638" s="4">
        <v>211</v>
      </c>
      <c r="F638" s="4">
        <f>ROUND(Source!Y611,O638)</f>
        <v>13540.33</v>
      </c>
      <c r="G638" s="4" t="s">
        <v>263</v>
      </c>
      <c r="H638" s="4" t="s">
        <v>264</v>
      </c>
      <c r="I638" s="4"/>
      <c r="J638" s="4"/>
      <c r="K638" s="4">
        <v>211</v>
      </c>
      <c r="L638" s="4">
        <v>26</v>
      </c>
      <c r="M638" s="4">
        <v>3</v>
      </c>
      <c r="N638" s="4" t="s">
        <v>3</v>
      </c>
      <c r="O638" s="4">
        <v>2</v>
      </c>
      <c r="P638" s="4"/>
      <c r="Q638" s="4"/>
      <c r="R638" s="4"/>
      <c r="S638" s="4"/>
      <c r="T638" s="4"/>
      <c r="U638" s="4"/>
      <c r="V638" s="4"/>
      <c r="W638" s="4"/>
    </row>
    <row r="639" spans="1:23" x14ac:dyDescent="0.2">
      <c r="A639" s="4">
        <v>50</v>
      </c>
      <c r="B639" s="4">
        <v>0</v>
      </c>
      <c r="C639" s="4">
        <v>0</v>
      </c>
      <c r="D639" s="4">
        <v>1</v>
      </c>
      <c r="E639" s="4">
        <v>224</v>
      </c>
      <c r="F639" s="4">
        <f>ROUND(Source!AR611,O639)</f>
        <v>685547.03</v>
      </c>
      <c r="G639" s="4" t="s">
        <v>265</v>
      </c>
      <c r="H639" s="4" t="s">
        <v>266</v>
      </c>
      <c r="I639" s="4"/>
      <c r="J639" s="4"/>
      <c r="K639" s="4">
        <v>224</v>
      </c>
      <c r="L639" s="4">
        <v>27</v>
      </c>
      <c r="M639" s="4">
        <v>3</v>
      </c>
      <c r="N639" s="4" t="s">
        <v>3</v>
      </c>
      <c r="O639" s="4">
        <v>2</v>
      </c>
      <c r="P639" s="4"/>
      <c r="Q639" s="4"/>
      <c r="R639" s="4"/>
      <c r="S639" s="4"/>
      <c r="T639" s="4"/>
      <c r="U639" s="4"/>
      <c r="V639" s="4"/>
      <c r="W639" s="4"/>
    </row>
    <row r="641" spans="1:245" x14ac:dyDescent="0.2">
      <c r="A641" s="1">
        <v>5</v>
      </c>
      <c r="B641" s="1">
        <v>1</v>
      </c>
      <c r="C641" s="1"/>
      <c r="D641" s="1">
        <f>ROW(A660)</f>
        <v>660</v>
      </c>
      <c r="E641" s="1"/>
      <c r="F641" s="1" t="s">
        <v>596</v>
      </c>
      <c r="G641" s="1" t="s">
        <v>781</v>
      </c>
      <c r="H641" s="1" t="s">
        <v>3</v>
      </c>
      <c r="I641" s="1">
        <v>0</v>
      </c>
      <c r="J641" s="1"/>
      <c r="K641" s="1">
        <v>0</v>
      </c>
      <c r="L641" s="1"/>
      <c r="M641" s="1" t="s">
        <v>3</v>
      </c>
      <c r="N641" s="1"/>
      <c r="O641" s="1"/>
      <c r="P641" s="1"/>
      <c r="Q641" s="1"/>
      <c r="R641" s="1"/>
      <c r="S641" s="1">
        <v>0</v>
      </c>
      <c r="T641" s="1"/>
      <c r="U641" s="1" t="s">
        <v>3</v>
      </c>
      <c r="V641" s="1">
        <v>0</v>
      </c>
      <c r="W641" s="1"/>
      <c r="X641" s="1"/>
      <c r="Y641" s="1"/>
      <c r="Z641" s="1"/>
      <c r="AA641" s="1"/>
      <c r="AB641" s="1" t="s">
        <v>3</v>
      </c>
      <c r="AC641" s="1" t="s">
        <v>3</v>
      </c>
      <c r="AD641" s="1" t="s">
        <v>3</v>
      </c>
      <c r="AE641" s="1" t="s">
        <v>3</v>
      </c>
      <c r="AF641" s="1" t="s">
        <v>3</v>
      </c>
      <c r="AG641" s="1" t="s">
        <v>3</v>
      </c>
      <c r="AH641" s="1"/>
      <c r="AI641" s="1"/>
      <c r="AJ641" s="1"/>
      <c r="AK641" s="1"/>
      <c r="AL641" s="1"/>
      <c r="AM641" s="1"/>
      <c r="AN641" s="1"/>
      <c r="AO641" s="1"/>
      <c r="AP641" s="1" t="s">
        <v>3</v>
      </c>
      <c r="AQ641" s="1" t="s">
        <v>3</v>
      </c>
      <c r="AR641" s="1" t="s">
        <v>3</v>
      </c>
      <c r="AS641" s="1"/>
      <c r="AT641" s="1"/>
      <c r="AU641" s="1"/>
      <c r="AV641" s="1"/>
      <c r="AW641" s="1"/>
      <c r="AX641" s="1"/>
      <c r="AY641" s="1"/>
      <c r="AZ641" s="1" t="s">
        <v>3</v>
      </c>
      <c r="BA641" s="1"/>
      <c r="BB641" s="1" t="s">
        <v>3</v>
      </c>
      <c r="BC641" s="1" t="s">
        <v>3</v>
      </c>
      <c r="BD641" s="1" t="s">
        <v>3</v>
      </c>
      <c r="BE641" s="1" t="s">
        <v>3</v>
      </c>
      <c r="BF641" s="1" t="s">
        <v>3</v>
      </c>
      <c r="BG641" s="1" t="s">
        <v>3</v>
      </c>
      <c r="BH641" s="1" t="s">
        <v>3</v>
      </c>
      <c r="BI641" s="1" t="s">
        <v>3</v>
      </c>
      <c r="BJ641" s="1" t="s">
        <v>3</v>
      </c>
      <c r="BK641" s="1" t="s">
        <v>3</v>
      </c>
      <c r="BL641" s="1" t="s">
        <v>3</v>
      </c>
      <c r="BM641" s="1" t="s">
        <v>3</v>
      </c>
      <c r="BN641" s="1" t="s">
        <v>3</v>
      </c>
      <c r="BO641" s="1" t="s">
        <v>3</v>
      </c>
      <c r="BP641" s="1" t="s">
        <v>3</v>
      </c>
      <c r="BQ641" s="1"/>
      <c r="BR641" s="1"/>
      <c r="BS641" s="1"/>
      <c r="BT641" s="1"/>
      <c r="BU641" s="1"/>
      <c r="BV641" s="1"/>
      <c r="BW641" s="1"/>
      <c r="BX641" s="1">
        <v>0</v>
      </c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>
        <v>0</v>
      </c>
    </row>
    <row r="643" spans="1:245" x14ac:dyDescent="0.2">
      <c r="A643" s="2">
        <v>52</v>
      </c>
      <c r="B643" s="2">
        <f t="shared" ref="B643:G643" si="556">B660</f>
        <v>1</v>
      </c>
      <c r="C643" s="2">
        <f t="shared" si="556"/>
        <v>5</v>
      </c>
      <c r="D643" s="2">
        <f t="shared" si="556"/>
        <v>641</v>
      </c>
      <c r="E643" s="2">
        <f t="shared" si="556"/>
        <v>0</v>
      </c>
      <c r="F643" s="2" t="str">
        <f t="shared" si="556"/>
        <v>Новый подраздел</v>
      </c>
      <c r="G643" s="2" t="str">
        <f t="shared" si="556"/>
        <v>Оборудование системы фильтрации</v>
      </c>
      <c r="H643" s="2"/>
      <c r="I643" s="2"/>
      <c r="J643" s="2"/>
      <c r="K643" s="2"/>
      <c r="L643" s="2"/>
      <c r="M643" s="2"/>
      <c r="N643" s="2"/>
      <c r="O643" s="2">
        <f t="shared" ref="O643:AT643" si="557">O660</f>
        <v>573754.28</v>
      </c>
      <c r="P643" s="2">
        <f t="shared" si="557"/>
        <v>573754.28</v>
      </c>
      <c r="Q643" s="2">
        <f t="shared" si="557"/>
        <v>0</v>
      </c>
      <c r="R643" s="2">
        <f t="shared" si="557"/>
        <v>0</v>
      </c>
      <c r="S643" s="2">
        <f t="shared" si="557"/>
        <v>0</v>
      </c>
      <c r="T643" s="2">
        <f t="shared" si="557"/>
        <v>0</v>
      </c>
      <c r="U643" s="2">
        <f t="shared" si="557"/>
        <v>0</v>
      </c>
      <c r="V643" s="2">
        <f t="shared" si="557"/>
        <v>0</v>
      </c>
      <c r="W643" s="2">
        <f t="shared" si="557"/>
        <v>0</v>
      </c>
      <c r="X643" s="2">
        <f t="shared" si="557"/>
        <v>0</v>
      </c>
      <c r="Y643" s="2">
        <f t="shared" si="557"/>
        <v>0</v>
      </c>
      <c r="Z643" s="2">
        <f t="shared" si="557"/>
        <v>0</v>
      </c>
      <c r="AA643" s="2">
        <f t="shared" si="557"/>
        <v>0</v>
      </c>
      <c r="AB643" s="2">
        <f t="shared" si="557"/>
        <v>573754.28</v>
      </c>
      <c r="AC643" s="2">
        <f t="shared" si="557"/>
        <v>573754.28</v>
      </c>
      <c r="AD643" s="2">
        <f t="shared" si="557"/>
        <v>0</v>
      </c>
      <c r="AE643" s="2">
        <f t="shared" si="557"/>
        <v>0</v>
      </c>
      <c r="AF643" s="2">
        <f t="shared" si="557"/>
        <v>0</v>
      </c>
      <c r="AG643" s="2">
        <f t="shared" si="557"/>
        <v>0</v>
      </c>
      <c r="AH643" s="2">
        <f t="shared" si="557"/>
        <v>0</v>
      </c>
      <c r="AI643" s="2">
        <f t="shared" si="557"/>
        <v>0</v>
      </c>
      <c r="AJ643" s="2">
        <f t="shared" si="557"/>
        <v>0</v>
      </c>
      <c r="AK643" s="2">
        <f t="shared" si="557"/>
        <v>0</v>
      </c>
      <c r="AL643" s="2">
        <f t="shared" si="557"/>
        <v>0</v>
      </c>
      <c r="AM643" s="2">
        <f t="shared" si="557"/>
        <v>0</v>
      </c>
      <c r="AN643" s="2">
        <f t="shared" si="557"/>
        <v>0</v>
      </c>
      <c r="AO643" s="2">
        <f t="shared" si="557"/>
        <v>0</v>
      </c>
      <c r="AP643" s="2">
        <f t="shared" si="557"/>
        <v>0</v>
      </c>
      <c r="AQ643" s="2">
        <f t="shared" si="557"/>
        <v>0</v>
      </c>
      <c r="AR643" s="2">
        <f t="shared" si="557"/>
        <v>573754.28</v>
      </c>
      <c r="AS643" s="2">
        <f t="shared" si="557"/>
        <v>565606.48</v>
      </c>
      <c r="AT643" s="2">
        <f t="shared" si="557"/>
        <v>8147.8</v>
      </c>
      <c r="AU643" s="2">
        <f t="shared" ref="AU643:BZ643" si="558">AU660</f>
        <v>0</v>
      </c>
      <c r="AV643" s="2">
        <f t="shared" si="558"/>
        <v>573754.28</v>
      </c>
      <c r="AW643" s="2">
        <f t="shared" si="558"/>
        <v>573754.28</v>
      </c>
      <c r="AX643" s="2">
        <f t="shared" si="558"/>
        <v>0</v>
      </c>
      <c r="AY643" s="2">
        <f t="shared" si="558"/>
        <v>573754.28</v>
      </c>
      <c r="AZ643" s="2">
        <f t="shared" si="558"/>
        <v>0</v>
      </c>
      <c r="BA643" s="2">
        <f t="shared" si="558"/>
        <v>0</v>
      </c>
      <c r="BB643" s="2">
        <f t="shared" si="558"/>
        <v>0</v>
      </c>
      <c r="BC643" s="2">
        <f t="shared" si="558"/>
        <v>0</v>
      </c>
      <c r="BD643" s="2">
        <f t="shared" si="558"/>
        <v>0</v>
      </c>
      <c r="BE643" s="2">
        <f t="shared" si="558"/>
        <v>0</v>
      </c>
      <c r="BF643" s="2">
        <f t="shared" si="558"/>
        <v>0</v>
      </c>
      <c r="BG643" s="2">
        <f t="shared" si="558"/>
        <v>0</v>
      </c>
      <c r="BH643" s="2">
        <f t="shared" si="558"/>
        <v>0</v>
      </c>
      <c r="BI643" s="2">
        <f t="shared" si="558"/>
        <v>0</v>
      </c>
      <c r="BJ643" s="2">
        <f t="shared" si="558"/>
        <v>0</v>
      </c>
      <c r="BK643" s="2">
        <f t="shared" si="558"/>
        <v>0</v>
      </c>
      <c r="BL643" s="2">
        <f t="shared" si="558"/>
        <v>0</v>
      </c>
      <c r="BM643" s="2">
        <f t="shared" si="558"/>
        <v>0</v>
      </c>
      <c r="BN643" s="2">
        <f t="shared" si="558"/>
        <v>0</v>
      </c>
      <c r="BO643" s="2">
        <f t="shared" si="558"/>
        <v>0</v>
      </c>
      <c r="BP643" s="2">
        <f t="shared" si="558"/>
        <v>0</v>
      </c>
      <c r="BQ643" s="2">
        <f t="shared" si="558"/>
        <v>0</v>
      </c>
      <c r="BR643" s="2">
        <f t="shared" si="558"/>
        <v>0</v>
      </c>
      <c r="BS643" s="2">
        <f t="shared" si="558"/>
        <v>0</v>
      </c>
      <c r="BT643" s="2">
        <f t="shared" si="558"/>
        <v>0</v>
      </c>
      <c r="BU643" s="2">
        <f t="shared" si="558"/>
        <v>0</v>
      </c>
      <c r="BV643" s="2">
        <f t="shared" si="558"/>
        <v>0</v>
      </c>
      <c r="BW643" s="2">
        <f t="shared" si="558"/>
        <v>0</v>
      </c>
      <c r="BX643" s="2">
        <f t="shared" si="558"/>
        <v>0</v>
      </c>
      <c r="BY643" s="2">
        <f t="shared" si="558"/>
        <v>0</v>
      </c>
      <c r="BZ643" s="2">
        <f t="shared" si="558"/>
        <v>0</v>
      </c>
      <c r="CA643" s="2">
        <f t="shared" ref="CA643:DF643" si="559">CA660</f>
        <v>573754.28</v>
      </c>
      <c r="CB643" s="2">
        <f t="shared" si="559"/>
        <v>565606.48</v>
      </c>
      <c r="CC643" s="2">
        <f t="shared" si="559"/>
        <v>8147.8</v>
      </c>
      <c r="CD643" s="2">
        <f t="shared" si="559"/>
        <v>0</v>
      </c>
      <c r="CE643" s="2">
        <f t="shared" si="559"/>
        <v>573754.28</v>
      </c>
      <c r="CF643" s="2">
        <f t="shared" si="559"/>
        <v>573754.28</v>
      </c>
      <c r="CG643" s="2">
        <f t="shared" si="559"/>
        <v>0</v>
      </c>
      <c r="CH643" s="2">
        <f t="shared" si="559"/>
        <v>573754.28</v>
      </c>
      <c r="CI643" s="2">
        <f t="shared" si="559"/>
        <v>0</v>
      </c>
      <c r="CJ643" s="2">
        <f t="shared" si="559"/>
        <v>0</v>
      </c>
      <c r="CK643" s="2">
        <f t="shared" si="559"/>
        <v>0</v>
      </c>
      <c r="CL643" s="2">
        <f t="shared" si="559"/>
        <v>0</v>
      </c>
      <c r="CM643" s="2">
        <f t="shared" si="559"/>
        <v>0</v>
      </c>
      <c r="CN643" s="2">
        <f t="shared" si="559"/>
        <v>0</v>
      </c>
      <c r="CO643" s="2">
        <f t="shared" si="559"/>
        <v>0</v>
      </c>
      <c r="CP643" s="2">
        <f t="shared" si="559"/>
        <v>0</v>
      </c>
      <c r="CQ643" s="2">
        <f t="shared" si="559"/>
        <v>0</v>
      </c>
      <c r="CR643" s="2">
        <f t="shared" si="559"/>
        <v>0</v>
      </c>
      <c r="CS643" s="2">
        <f t="shared" si="559"/>
        <v>0</v>
      </c>
      <c r="CT643" s="2">
        <f t="shared" si="559"/>
        <v>0</v>
      </c>
      <c r="CU643" s="2">
        <f t="shared" si="559"/>
        <v>0</v>
      </c>
      <c r="CV643" s="2">
        <f t="shared" si="559"/>
        <v>0</v>
      </c>
      <c r="CW643" s="2">
        <f t="shared" si="559"/>
        <v>0</v>
      </c>
      <c r="CX643" s="2">
        <f t="shared" si="559"/>
        <v>0</v>
      </c>
      <c r="CY643" s="2">
        <f t="shared" si="559"/>
        <v>0</v>
      </c>
      <c r="CZ643" s="2">
        <f t="shared" si="559"/>
        <v>0</v>
      </c>
      <c r="DA643" s="2">
        <f t="shared" si="559"/>
        <v>0</v>
      </c>
      <c r="DB643" s="2">
        <f t="shared" si="559"/>
        <v>0</v>
      </c>
      <c r="DC643" s="2">
        <f t="shared" si="559"/>
        <v>0</v>
      </c>
      <c r="DD643" s="2">
        <f t="shared" si="559"/>
        <v>0</v>
      </c>
      <c r="DE643" s="2">
        <f t="shared" si="559"/>
        <v>0</v>
      </c>
      <c r="DF643" s="2">
        <f t="shared" si="559"/>
        <v>0</v>
      </c>
      <c r="DG643" s="3">
        <f t="shared" ref="DG643:EL643" si="560">DG660</f>
        <v>0</v>
      </c>
      <c r="DH643" s="3">
        <f t="shared" si="560"/>
        <v>0</v>
      </c>
      <c r="DI643" s="3">
        <f t="shared" si="560"/>
        <v>0</v>
      </c>
      <c r="DJ643" s="3">
        <f t="shared" si="560"/>
        <v>0</v>
      </c>
      <c r="DK643" s="3">
        <f t="shared" si="560"/>
        <v>0</v>
      </c>
      <c r="DL643" s="3">
        <f t="shared" si="560"/>
        <v>0</v>
      </c>
      <c r="DM643" s="3">
        <f t="shared" si="560"/>
        <v>0</v>
      </c>
      <c r="DN643" s="3">
        <f t="shared" si="560"/>
        <v>0</v>
      </c>
      <c r="DO643" s="3">
        <f t="shared" si="560"/>
        <v>0</v>
      </c>
      <c r="DP643" s="3">
        <f t="shared" si="560"/>
        <v>0</v>
      </c>
      <c r="DQ643" s="3">
        <f t="shared" si="560"/>
        <v>0</v>
      </c>
      <c r="DR643" s="3">
        <f t="shared" si="560"/>
        <v>0</v>
      </c>
      <c r="DS643" s="3">
        <f t="shared" si="560"/>
        <v>0</v>
      </c>
      <c r="DT643" s="3">
        <f t="shared" si="560"/>
        <v>0</v>
      </c>
      <c r="DU643" s="3">
        <f t="shared" si="560"/>
        <v>0</v>
      </c>
      <c r="DV643" s="3">
        <f t="shared" si="560"/>
        <v>0</v>
      </c>
      <c r="DW643" s="3">
        <f t="shared" si="560"/>
        <v>0</v>
      </c>
      <c r="DX643" s="3">
        <f t="shared" si="560"/>
        <v>0</v>
      </c>
      <c r="DY643" s="3">
        <f t="shared" si="560"/>
        <v>0</v>
      </c>
      <c r="DZ643" s="3">
        <f t="shared" si="560"/>
        <v>0</v>
      </c>
      <c r="EA643" s="3">
        <f t="shared" si="560"/>
        <v>0</v>
      </c>
      <c r="EB643" s="3">
        <f t="shared" si="560"/>
        <v>0</v>
      </c>
      <c r="EC643" s="3">
        <f t="shared" si="560"/>
        <v>0</v>
      </c>
      <c r="ED643" s="3">
        <f t="shared" si="560"/>
        <v>0</v>
      </c>
      <c r="EE643" s="3">
        <f t="shared" si="560"/>
        <v>0</v>
      </c>
      <c r="EF643" s="3">
        <f t="shared" si="560"/>
        <v>0</v>
      </c>
      <c r="EG643" s="3">
        <f t="shared" si="560"/>
        <v>0</v>
      </c>
      <c r="EH643" s="3">
        <f t="shared" si="560"/>
        <v>0</v>
      </c>
      <c r="EI643" s="3">
        <f t="shared" si="560"/>
        <v>0</v>
      </c>
      <c r="EJ643" s="3">
        <f t="shared" si="560"/>
        <v>0</v>
      </c>
      <c r="EK643" s="3">
        <f t="shared" si="560"/>
        <v>0</v>
      </c>
      <c r="EL643" s="3">
        <f t="shared" si="560"/>
        <v>0</v>
      </c>
      <c r="EM643" s="3">
        <f t="shared" ref="EM643:FR643" si="561">EM660</f>
        <v>0</v>
      </c>
      <c r="EN643" s="3">
        <f t="shared" si="561"/>
        <v>0</v>
      </c>
      <c r="EO643" s="3">
        <f t="shared" si="561"/>
        <v>0</v>
      </c>
      <c r="EP643" s="3">
        <f t="shared" si="561"/>
        <v>0</v>
      </c>
      <c r="EQ643" s="3">
        <f t="shared" si="561"/>
        <v>0</v>
      </c>
      <c r="ER643" s="3">
        <f t="shared" si="561"/>
        <v>0</v>
      </c>
      <c r="ES643" s="3">
        <f t="shared" si="561"/>
        <v>0</v>
      </c>
      <c r="ET643" s="3">
        <f t="shared" si="561"/>
        <v>0</v>
      </c>
      <c r="EU643" s="3">
        <f t="shared" si="561"/>
        <v>0</v>
      </c>
      <c r="EV643" s="3">
        <f t="shared" si="561"/>
        <v>0</v>
      </c>
      <c r="EW643" s="3">
        <f t="shared" si="561"/>
        <v>0</v>
      </c>
      <c r="EX643" s="3">
        <f t="shared" si="561"/>
        <v>0</v>
      </c>
      <c r="EY643" s="3">
        <f t="shared" si="561"/>
        <v>0</v>
      </c>
      <c r="EZ643" s="3">
        <f t="shared" si="561"/>
        <v>0</v>
      </c>
      <c r="FA643" s="3">
        <f t="shared" si="561"/>
        <v>0</v>
      </c>
      <c r="FB643" s="3">
        <f t="shared" si="561"/>
        <v>0</v>
      </c>
      <c r="FC643" s="3">
        <f t="shared" si="561"/>
        <v>0</v>
      </c>
      <c r="FD643" s="3">
        <f t="shared" si="561"/>
        <v>0</v>
      </c>
      <c r="FE643" s="3">
        <f t="shared" si="561"/>
        <v>0</v>
      </c>
      <c r="FF643" s="3">
        <f t="shared" si="561"/>
        <v>0</v>
      </c>
      <c r="FG643" s="3">
        <f t="shared" si="561"/>
        <v>0</v>
      </c>
      <c r="FH643" s="3">
        <f t="shared" si="561"/>
        <v>0</v>
      </c>
      <c r="FI643" s="3">
        <f t="shared" si="561"/>
        <v>0</v>
      </c>
      <c r="FJ643" s="3">
        <f t="shared" si="561"/>
        <v>0</v>
      </c>
      <c r="FK643" s="3">
        <f t="shared" si="561"/>
        <v>0</v>
      </c>
      <c r="FL643" s="3">
        <f t="shared" si="561"/>
        <v>0</v>
      </c>
      <c r="FM643" s="3">
        <f t="shared" si="561"/>
        <v>0</v>
      </c>
      <c r="FN643" s="3">
        <f t="shared" si="561"/>
        <v>0</v>
      </c>
      <c r="FO643" s="3">
        <f t="shared" si="561"/>
        <v>0</v>
      </c>
      <c r="FP643" s="3">
        <f t="shared" si="561"/>
        <v>0</v>
      </c>
      <c r="FQ643" s="3">
        <f t="shared" si="561"/>
        <v>0</v>
      </c>
      <c r="FR643" s="3">
        <f t="shared" si="561"/>
        <v>0</v>
      </c>
      <c r="FS643" s="3">
        <f t="shared" ref="FS643:GX643" si="562">FS660</f>
        <v>0</v>
      </c>
      <c r="FT643" s="3">
        <f t="shared" si="562"/>
        <v>0</v>
      </c>
      <c r="FU643" s="3">
        <f t="shared" si="562"/>
        <v>0</v>
      </c>
      <c r="FV643" s="3">
        <f t="shared" si="562"/>
        <v>0</v>
      </c>
      <c r="FW643" s="3">
        <f t="shared" si="562"/>
        <v>0</v>
      </c>
      <c r="FX643" s="3">
        <f t="shared" si="562"/>
        <v>0</v>
      </c>
      <c r="FY643" s="3">
        <f t="shared" si="562"/>
        <v>0</v>
      </c>
      <c r="FZ643" s="3">
        <f t="shared" si="562"/>
        <v>0</v>
      </c>
      <c r="GA643" s="3">
        <f t="shared" si="562"/>
        <v>0</v>
      </c>
      <c r="GB643" s="3">
        <f t="shared" si="562"/>
        <v>0</v>
      </c>
      <c r="GC643" s="3">
        <f t="shared" si="562"/>
        <v>0</v>
      </c>
      <c r="GD643" s="3">
        <f t="shared" si="562"/>
        <v>0</v>
      </c>
      <c r="GE643" s="3">
        <f t="shared" si="562"/>
        <v>0</v>
      </c>
      <c r="GF643" s="3">
        <f t="shared" si="562"/>
        <v>0</v>
      </c>
      <c r="GG643" s="3">
        <f t="shared" si="562"/>
        <v>0</v>
      </c>
      <c r="GH643" s="3">
        <f t="shared" si="562"/>
        <v>0</v>
      </c>
      <c r="GI643" s="3">
        <f t="shared" si="562"/>
        <v>0</v>
      </c>
      <c r="GJ643" s="3">
        <f t="shared" si="562"/>
        <v>0</v>
      </c>
      <c r="GK643" s="3">
        <f t="shared" si="562"/>
        <v>0</v>
      </c>
      <c r="GL643" s="3">
        <f t="shared" si="562"/>
        <v>0</v>
      </c>
      <c r="GM643" s="3">
        <f t="shared" si="562"/>
        <v>0</v>
      </c>
      <c r="GN643" s="3">
        <f t="shared" si="562"/>
        <v>0</v>
      </c>
      <c r="GO643" s="3">
        <f t="shared" si="562"/>
        <v>0</v>
      </c>
      <c r="GP643" s="3">
        <f t="shared" si="562"/>
        <v>0</v>
      </c>
      <c r="GQ643" s="3">
        <f t="shared" si="562"/>
        <v>0</v>
      </c>
      <c r="GR643" s="3">
        <f t="shared" si="562"/>
        <v>0</v>
      </c>
      <c r="GS643" s="3">
        <f t="shared" si="562"/>
        <v>0</v>
      </c>
      <c r="GT643" s="3">
        <f t="shared" si="562"/>
        <v>0</v>
      </c>
      <c r="GU643" s="3">
        <f t="shared" si="562"/>
        <v>0</v>
      </c>
      <c r="GV643" s="3">
        <f t="shared" si="562"/>
        <v>0</v>
      </c>
      <c r="GW643" s="3">
        <f t="shared" si="562"/>
        <v>0</v>
      </c>
      <c r="GX643" s="3">
        <f t="shared" si="562"/>
        <v>0</v>
      </c>
    </row>
    <row r="645" spans="1:245" x14ac:dyDescent="0.2">
      <c r="A645">
        <v>17</v>
      </c>
      <c r="B645">
        <v>1</v>
      </c>
      <c r="E645" t="s">
        <v>782</v>
      </c>
      <c r="F645" t="s">
        <v>118</v>
      </c>
      <c r="G645" t="s">
        <v>783</v>
      </c>
      <c r="H645" t="s">
        <v>169</v>
      </c>
      <c r="I645">
        <v>1</v>
      </c>
      <c r="J645">
        <v>0</v>
      </c>
      <c r="K645">
        <v>1</v>
      </c>
      <c r="O645">
        <f t="shared" ref="O645:O658" si="563">ROUND(CP645,2)</f>
        <v>290699.96999999997</v>
      </c>
      <c r="P645">
        <f t="shared" ref="P645:P658" si="564">ROUND((ROUND((AC645*AW645*I645),2)*BC645),2)</f>
        <v>290699.96999999997</v>
      </c>
      <c r="Q645">
        <f t="shared" ref="Q645:Q658" si="565">(ROUND((ROUND(((ET645)*AV645*I645),2)*BB645),2)+ROUND((ROUND(((AE645-(EU645))*AV645*I645),2)*BS645),2))</f>
        <v>0</v>
      </c>
      <c r="R645">
        <f t="shared" ref="R645:R658" si="566">ROUND((ROUND((AE645*AV645*I645),2)*BS645),2)</f>
        <v>0</v>
      </c>
      <c r="S645">
        <f t="shared" ref="S645:S658" si="567">ROUND((ROUND((AF645*AV645*I645),2)*BA645),2)</f>
        <v>0</v>
      </c>
      <c r="T645">
        <f t="shared" ref="T645:T658" si="568">ROUND(CU645*I645,2)</f>
        <v>0</v>
      </c>
      <c r="U645">
        <f t="shared" ref="U645:U658" si="569">CV645*I645</f>
        <v>0</v>
      </c>
      <c r="V645">
        <f t="shared" ref="V645:V658" si="570">CW645*I645</f>
        <v>0</v>
      </c>
      <c r="W645">
        <f t="shared" ref="W645:W658" si="571">ROUND(CX645*I645,2)</f>
        <v>0</v>
      </c>
      <c r="X645">
        <f t="shared" ref="X645:X658" si="572">ROUND(CY645,2)</f>
        <v>0</v>
      </c>
      <c r="Y645">
        <f t="shared" ref="Y645:Y658" si="573">ROUND(CZ645,2)</f>
        <v>0</v>
      </c>
      <c r="AA645">
        <v>42938047</v>
      </c>
      <c r="AB645">
        <f t="shared" ref="AB645:AB658" si="574">ROUND((AC645+AD645+AF645),6)</f>
        <v>45851.73</v>
      </c>
      <c r="AC645">
        <f t="shared" ref="AC645:AC658" si="575">ROUND((ES645),6)</f>
        <v>45851.73</v>
      </c>
      <c r="AD645">
        <f t="shared" ref="AD645:AD658" si="576">ROUND((((ET645)-(EU645))+AE645),6)</f>
        <v>0</v>
      </c>
      <c r="AE645">
        <f t="shared" ref="AE645:AE658" si="577">ROUND((EU645),6)</f>
        <v>0</v>
      </c>
      <c r="AF645">
        <f t="shared" ref="AF645:AF658" si="578">ROUND((EV645),6)</f>
        <v>0</v>
      </c>
      <c r="AG645">
        <f t="shared" ref="AG645:AG658" si="579">ROUND((AP645),6)</f>
        <v>0</v>
      </c>
      <c r="AH645">
        <f t="shared" ref="AH645:AH658" si="580">(EW645)</f>
        <v>0</v>
      </c>
      <c r="AI645">
        <f t="shared" ref="AI645:AI658" si="581">(EX645)</f>
        <v>0</v>
      </c>
      <c r="AJ645">
        <f t="shared" ref="AJ645:AJ658" si="582">(AS645)</f>
        <v>0</v>
      </c>
      <c r="AK645">
        <v>45851.73</v>
      </c>
      <c r="AL645">
        <v>45851.73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1</v>
      </c>
      <c r="AW645">
        <v>1</v>
      </c>
      <c r="AZ645">
        <v>1</v>
      </c>
      <c r="BA645">
        <v>1</v>
      </c>
      <c r="BB645">
        <v>1</v>
      </c>
      <c r="BC645">
        <v>6.34</v>
      </c>
      <c r="BD645" t="s">
        <v>3</v>
      </c>
      <c r="BE645" t="s">
        <v>3</v>
      </c>
      <c r="BF645" t="s">
        <v>3</v>
      </c>
      <c r="BG645" t="s">
        <v>3</v>
      </c>
      <c r="BH645">
        <v>3</v>
      </c>
      <c r="BI645">
        <v>1</v>
      </c>
      <c r="BJ645" t="s">
        <v>3</v>
      </c>
      <c r="BM645">
        <v>400002</v>
      </c>
      <c r="BN645">
        <v>0</v>
      </c>
      <c r="BO645" t="s">
        <v>3</v>
      </c>
      <c r="BP645">
        <v>0</v>
      </c>
      <c r="BQ645">
        <v>202</v>
      </c>
      <c r="BR645">
        <v>0</v>
      </c>
      <c r="BS645">
        <v>1</v>
      </c>
      <c r="BT645">
        <v>1</v>
      </c>
      <c r="BU645">
        <v>1</v>
      </c>
      <c r="BV645">
        <v>1</v>
      </c>
      <c r="BW645">
        <v>1</v>
      </c>
      <c r="BX645">
        <v>1</v>
      </c>
      <c r="BY645" t="s">
        <v>3</v>
      </c>
      <c r="BZ645">
        <v>0</v>
      </c>
      <c r="CA645">
        <v>0</v>
      </c>
      <c r="CB645" t="s">
        <v>3</v>
      </c>
      <c r="CE645">
        <v>30</v>
      </c>
      <c r="CF645">
        <v>0</v>
      </c>
      <c r="CG645">
        <v>0</v>
      </c>
      <c r="CM645">
        <v>0</v>
      </c>
      <c r="CN645" t="s">
        <v>3</v>
      </c>
      <c r="CO645">
        <v>0</v>
      </c>
      <c r="CP645">
        <f t="shared" ref="CP645:CP658" si="583">(P645+Q645+S645)</f>
        <v>290699.96999999997</v>
      </c>
      <c r="CQ645">
        <f t="shared" ref="CQ645:CQ658" si="584">ROUND((ROUND((AC645*AW645*1),2)*BC645),2)</f>
        <v>290699.96999999997</v>
      </c>
      <c r="CR645">
        <f t="shared" ref="CR645:CR658" si="585">(ROUND((ROUND(((ET645)*AV645*1),2)*BB645),2)+ROUND((ROUND(((AE645-(EU645))*AV645*1),2)*BS645),2))</f>
        <v>0</v>
      </c>
      <c r="CS645">
        <f t="shared" ref="CS645:CS658" si="586">ROUND((ROUND((AE645*AV645*1),2)*BS645),2)</f>
        <v>0</v>
      </c>
      <c r="CT645">
        <f t="shared" ref="CT645:CT658" si="587">ROUND((ROUND((AF645*AV645*1),2)*BA645),2)</f>
        <v>0</v>
      </c>
      <c r="CU645">
        <f t="shared" ref="CU645:CU658" si="588">AG645</f>
        <v>0</v>
      </c>
      <c r="CV645">
        <f t="shared" ref="CV645:CV658" si="589">(AH645*AV645)</f>
        <v>0</v>
      </c>
      <c r="CW645">
        <f t="shared" ref="CW645:CW658" si="590">AI645</f>
        <v>0</v>
      </c>
      <c r="CX645">
        <f t="shared" ref="CX645:CX658" si="591">AJ645</f>
        <v>0</v>
      </c>
      <c r="CY645">
        <f t="shared" ref="CY645:CY658" si="592">S645*(BZ645/100)</f>
        <v>0</v>
      </c>
      <c r="CZ645">
        <f t="shared" ref="CZ645:CZ658" si="593">S645*(CA645/100)</f>
        <v>0</v>
      </c>
      <c r="DC645" t="s">
        <v>3</v>
      </c>
      <c r="DD645" t="s">
        <v>3</v>
      </c>
      <c r="DE645" t="s">
        <v>3</v>
      </c>
      <c r="DF645" t="s">
        <v>3</v>
      </c>
      <c r="DG645" t="s">
        <v>3</v>
      </c>
      <c r="DH645" t="s">
        <v>3</v>
      </c>
      <c r="DI645" t="s">
        <v>3</v>
      </c>
      <c r="DJ645" t="s">
        <v>3</v>
      </c>
      <c r="DK645" t="s">
        <v>3</v>
      </c>
      <c r="DL645" t="s">
        <v>3</v>
      </c>
      <c r="DM645" t="s">
        <v>3</v>
      </c>
      <c r="DN645">
        <v>0</v>
      </c>
      <c r="DO645">
        <v>0</v>
      </c>
      <c r="DP645">
        <v>1</v>
      </c>
      <c r="DQ645">
        <v>1</v>
      </c>
      <c r="DU645">
        <v>1010</v>
      </c>
      <c r="DV645" t="s">
        <v>169</v>
      </c>
      <c r="DW645" t="s">
        <v>169</v>
      </c>
      <c r="DX645">
        <v>1</v>
      </c>
      <c r="DZ645" t="s">
        <v>3</v>
      </c>
      <c r="EA645" t="s">
        <v>3</v>
      </c>
      <c r="EB645" t="s">
        <v>3</v>
      </c>
      <c r="EC645" t="s">
        <v>3</v>
      </c>
      <c r="EE645">
        <v>43090149</v>
      </c>
      <c r="EF645">
        <v>202</v>
      </c>
      <c r="EG645" t="s">
        <v>346</v>
      </c>
      <c r="EH645">
        <v>0</v>
      </c>
      <c r="EI645" t="s">
        <v>3</v>
      </c>
      <c r="EJ645">
        <v>1</v>
      </c>
      <c r="EK645">
        <v>400002</v>
      </c>
      <c r="EL645" t="s">
        <v>347</v>
      </c>
      <c r="EM645" t="s">
        <v>346</v>
      </c>
      <c r="EO645" t="s">
        <v>3</v>
      </c>
      <c r="EQ645">
        <v>0</v>
      </c>
      <c r="ER645">
        <v>45851.73</v>
      </c>
      <c r="ES645">
        <v>45851.73</v>
      </c>
      <c r="ET645">
        <v>0</v>
      </c>
      <c r="EU645">
        <v>0</v>
      </c>
      <c r="EV645">
        <v>0</v>
      </c>
      <c r="EW645">
        <v>0</v>
      </c>
      <c r="EX645">
        <v>0</v>
      </c>
      <c r="EY645">
        <v>0</v>
      </c>
      <c r="EZ645">
        <v>5</v>
      </c>
      <c r="FC645">
        <v>1</v>
      </c>
      <c r="FD645">
        <v>18</v>
      </c>
      <c r="FF645">
        <v>342000</v>
      </c>
      <c r="FQ645">
        <v>0</v>
      </c>
      <c r="FR645">
        <f t="shared" ref="FR645:FR658" si="594">ROUND(IF(AND(BH645=3,BI645=3),P645,0),2)</f>
        <v>0</v>
      </c>
      <c r="FS645">
        <v>0</v>
      </c>
      <c r="FX645">
        <v>0</v>
      </c>
      <c r="FY645">
        <v>0</v>
      </c>
      <c r="GA645" t="s">
        <v>784</v>
      </c>
      <c r="GD645">
        <v>0</v>
      </c>
      <c r="GF645">
        <v>234738859</v>
      </c>
      <c r="GG645">
        <v>2</v>
      </c>
      <c r="GH645">
        <v>3</v>
      </c>
      <c r="GI645">
        <v>3</v>
      </c>
      <c r="GJ645">
        <v>0</v>
      </c>
      <c r="GK645">
        <f>ROUND(R645*(R12)/100,2)</f>
        <v>0</v>
      </c>
      <c r="GL645">
        <f t="shared" ref="GL645:GL658" si="595">ROUND(IF(AND(BH645=3,BI645=3,FS645&lt;&gt;0),P645,0),2)</f>
        <v>0</v>
      </c>
      <c r="GM645">
        <f t="shared" ref="GM645:GM658" si="596">ROUND(O645+X645+Y645+GK645,2)+GX645</f>
        <v>290699.96999999997</v>
      </c>
      <c r="GN645">
        <f t="shared" ref="GN645:GN658" si="597">IF(OR(BI645=0,BI645=1),ROUND(O645+X645+Y645+GK645,2),0)</f>
        <v>290699.96999999997</v>
      </c>
      <c r="GO645">
        <f t="shared" ref="GO645:GO658" si="598">IF(BI645=2,ROUND(O645+X645+Y645+GK645,2),0)</f>
        <v>0</v>
      </c>
      <c r="GP645">
        <f t="shared" ref="GP645:GP658" si="599">IF(BI645=4,ROUND(O645+X645+Y645+GK645,2)+GX645,0)</f>
        <v>0</v>
      </c>
      <c r="GR645">
        <v>1</v>
      </c>
      <c r="GS645">
        <v>1</v>
      </c>
      <c r="GT645">
        <v>0</v>
      </c>
      <c r="GU645" t="s">
        <v>3</v>
      </c>
      <c r="GV645">
        <f t="shared" ref="GV645:GV658" si="600">ROUND((GT645),6)</f>
        <v>0</v>
      </c>
      <c r="GW645">
        <v>1</v>
      </c>
      <c r="GX645">
        <f t="shared" ref="GX645:GX658" si="601">ROUND(HC645*I645,2)</f>
        <v>0</v>
      </c>
      <c r="HA645">
        <v>0</v>
      </c>
      <c r="HB645">
        <v>0</v>
      </c>
      <c r="HC645">
        <f t="shared" ref="HC645:HC658" si="602">GV645*GW645</f>
        <v>0</v>
      </c>
      <c r="HE645" t="s">
        <v>26</v>
      </c>
      <c r="HF645" t="s">
        <v>122</v>
      </c>
      <c r="HM645" t="s">
        <v>3</v>
      </c>
      <c r="IK645">
        <v>0</v>
      </c>
    </row>
    <row r="646" spans="1:245" x14ac:dyDescent="0.2">
      <c r="A646">
        <v>17</v>
      </c>
      <c r="B646">
        <v>1</v>
      </c>
      <c r="E646" t="s">
        <v>785</v>
      </c>
      <c r="F646" t="s">
        <v>118</v>
      </c>
      <c r="G646" t="s">
        <v>786</v>
      </c>
      <c r="H646" t="s">
        <v>169</v>
      </c>
      <c r="I646">
        <v>1</v>
      </c>
      <c r="J646">
        <v>0</v>
      </c>
      <c r="K646">
        <v>1</v>
      </c>
      <c r="O646">
        <f t="shared" si="563"/>
        <v>55273.26</v>
      </c>
      <c r="P646">
        <f t="shared" si="564"/>
        <v>55273.26</v>
      </c>
      <c r="Q646">
        <f t="shared" si="565"/>
        <v>0</v>
      </c>
      <c r="R646">
        <f t="shared" si="566"/>
        <v>0</v>
      </c>
      <c r="S646">
        <f t="shared" si="567"/>
        <v>0</v>
      </c>
      <c r="T646">
        <f t="shared" si="568"/>
        <v>0</v>
      </c>
      <c r="U646">
        <f t="shared" si="569"/>
        <v>0</v>
      </c>
      <c r="V646">
        <f t="shared" si="570"/>
        <v>0</v>
      </c>
      <c r="W646">
        <f t="shared" si="571"/>
        <v>0</v>
      </c>
      <c r="X646">
        <f t="shared" si="572"/>
        <v>0</v>
      </c>
      <c r="Y646">
        <f t="shared" si="573"/>
        <v>0</v>
      </c>
      <c r="AA646">
        <v>42938047</v>
      </c>
      <c r="AB646">
        <f t="shared" si="574"/>
        <v>8718.18</v>
      </c>
      <c r="AC646">
        <f t="shared" si="575"/>
        <v>8718.18</v>
      </c>
      <c r="AD646">
        <f t="shared" si="576"/>
        <v>0</v>
      </c>
      <c r="AE646">
        <f t="shared" si="577"/>
        <v>0</v>
      </c>
      <c r="AF646">
        <f t="shared" si="578"/>
        <v>0</v>
      </c>
      <c r="AG646">
        <f t="shared" si="579"/>
        <v>0</v>
      </c>
      <c r="AH646">
        <f t="shared" si="580"/>
        <v>0</v>
      </c>
      <c r="AI646">
        <f t="shared" si="581"/>
        <v>0</v>
      </c>
      <c r="AJ646">
        <f t="shared" si="582"/>
        <v>0</v>
      </c>
      <c r="AK646">
        <v>8718.18</v>
      </c>
      <c r="AL646">
        <v>8718.18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1</v>
      </c>
      <c r="AW646">
        <v>1</v>
      </c>
      <c r="AZ646">
        <v>1</v>
      </c>
      <c r="BA646">
        <v>1</v>
      </c>
      <c r="BB646">
        <v>1</v>
      </c>
      <c r="BC646">
        <v>6.34</v>
      </c>
      <c r="BD646" t="s">
        <v>3</v>
      </c>
      <c r="BE646" t="s">
        <v>3</v>
      </c>
      <c r="BF646" t="s">
        <v>3</v>
      </c>
      <c r="BG646" t="s">
        <v>3</v>
      </c>
      <c r="BH646">
        <v>3</v>
      </c>
      <c r="BI646">
        <v>1</v>
      </c>
      <c r="BJ646" t="s">
        <v>3</v>
      </c>
      <c r="BM646">
        <v>400002</v>
      </c>
      <c r="BN646">
        <v>0</v>
      </c>
      <c r="BO646" t="s">
        <v>3</v>
      </c>
      <c r="BP646">
        <v>0</v>
      </c>
      <c r="BQ646">
        <v>202</v>
      </c>
      <c r="BR646">
        <v>0</v>
      </c>
      <c r="BS646">
        <v>1</v>
      </c>
      <c r="BT646">
        <v>1</v>
      </c>
      <c r="BU646">
        <v>1</v>
      </c>
      <c r="BV646">
        <v>1</v>
      </c>
      <c r="BW646">
        <v>1</v>
      </c>
      <c r="BX646">
        <v>1</v>
      </c>
      <c r="BY646" t="s">
        <v>3</v>
      </c>
      <c r="BZ646">
        <v>0</v>
      </c>
      <c r="CA646">
        <v>0</v>
      </c>
      <c r="CB646" t="s">
        <v>3</v>
      </c>
      <c r="CE646">
        <v>30</v>
      </c>
      <c r="CF646">
        <v>0</v>
      </c>
      <c r="CG646">
        <v>0</v>
      </c>
      <c r="CM646">
        <v>0</v>
      </c>
      <c r="CN646" t="s">
        <v>3</v>
      </c>
      <c r="CO646">
        <v>0</v>
      </c>
      <c r="CP646">
        <f t="shared" si="583"/>
        <v>55273.26</v>
      </c>
      <c r="CQ646">
        <f t="shared" si="584"/>
        <v>55273.26</v>
      </c>
      <c r="CR646">
        <f t="shared" si="585"/>
        <v>0</v>
      </c>
      <c r="CS646">
        <f t="shared" si="586"/>
        <v>0</v>
      </c>
      <c r="CT646">
        <f t="shared" si="587"/>
        <v>0</v>
      </c>
      <c r="CU646">
        <f t="shared" si="588"/>
        <v>0</v>
      </c>
      <c r="CV646">
        <f t="shared" si="589"/>
        <v>0</v>
      </c>
      <c r="CW646">
        <f t="shared" si="590"/>
        <v>0</v>
      </c>
      <c r="CX646">
        <f t="shared" si="591"/>
        <v>0</v>
      </c>
      <c r="CY646">
        <f t="shared" si="592"/>
        <v>0</v>
      </c>
      <c r="CZ646">
        <f t="shared" si="593"/>
        <v>0</v>
      </c>
      <c r="DC646" t="s">
        <v>3</v>
      </c>
      <c r="DD646" t="s">
        <v>3</v>
      </c>
      <c r="DE646" t="s">
        <v>3</v>
      </c>
      <c r="DF646" t="s">
        <v>3</v>
      </c>
      <c r="DG646" t="s">
        <v>3</v>
      </c>
      <c r="DH646" t="s">
        <v>3</v>
      </c>
      <c r="DI646" t="s">
        <v>3</v>
      </c>
      <c r="DJ646" t="s">
        <v>3</v>
      </c>
      <c r="DK646" t="s">
        <v>3</v>
      </c>
      <c r="DL646" t="s">
        <v>3</v>
      </c>
      <c r="DM646" t="s">
        <v>3</v>
      </c>
      <c r="DN646">
        <v>0</v>
      </c>
      <c r="DO646">
        <v>0</v>
      </c>
      <c r="DP646">
        <v>1</v>
      </c>
      <c r="DQ646">
        <v>1</v>
      </c>
      <c r="DU646">
        <v>1010</v>
      </c>
      <c r="DV646" t="s">
        <v>169</v>
      </c>
      <c r="DW646" t="s">
        <v>169</v>
      </c>
      <c r="DX646">
        <v>1</v>
      </c>
      <c r="DZ646" t="s">
        <v>3</v>
      </c>
      <c r="EA646" t="s">
        <v>3</v>
      </c>
      <c r="EB646" t="s">
        <v>3</v>
      </c>
      <c r="EC646" t="s">
        <v>3</v>
      </c>
      <c r="EE646">
        <v>43090149</v>
      </c>
      <c r="EF646">
        <v>202</v>
      </c>
      <c r="EG646" t="s">
        <v>346</v>
      </c>
      <c r="EH646">
        <v>0</v>
      </c>
      <c r="EI646" t="s">
        <v>3</v>
      </c>
      <c r="EJ646">
        <v>1</v>
      </c>
      <c r="EK646">
        <v>400002</v>
      </c>
      <c r="EL646" t="s">
        <v>347</v>
      </c>
      <c r="EM646" t="s">
        <v>346</v>
      </c>
      <c r="EO646" t="s">
        <v>3</v>
      </c>
      <c r="EQ646">
        <v>0</v>
      </c>
      <c r="ER646">
        <v>55360.5</v>
      </c>
      <c r="ES646">
        <v>8718.18</v>
      </c>
      <c r="ET646">
        <v>0</v>
      </c>
      <c r="EU646">
        <v>0</v>
      </c>
      <c r="EV646">
        <v>0</v>
      </c>
      <c r="EW646">
        <v>0</v>
      </c>
      <c r="EX646">
        <v>0</v>
      </c>
      <c r="EY646">
        <v>0</v>
      </c>
      <c r="EZ646">
        <v>5</v>
      </c>
      <c r="FC646">
        <v>1</v>
      </c>
      <c r="FD646">
        <v>18</v>
      </c>
      <c r="FF646">
        <v>65130</v>
      </c>
      <c r="FQ646">
        <v>0</v>
      </c>
      <c r="FR646">
        <f t="shared" si="594"/>
        <v>0</v>
      </c>
      <c r="FS646">
        <v>0</v>
      </c>
      <c r="FX646">
        <v>0</v>
      </c>
      <c r="FY646">
        <v>0</v>
      </c>
      <c r="GA646" t="s">
        <v>787</v>
      </c>
      <c r="GD646">
        <v>0</v>
      </c>
      <c r="GF646">
        <v>-2077036545</v>
      </c>
      <c r="GG646">
        <v>2</v>
      </c>
      <c r="GH646">
        <v>3</v>
      </c>
      <c r="GI646">
        <v>3</v>
      </c>
      <c r="GJ646">
        <v>0</v>
      </c>
      <c r="GK646">
        <f>ROUND(R646*(R12)/100,2)</f>
        <v>0</v>
      </c>
      <c r="GL646">
        <f t="shared" si="595"/>
        <v>0</v>
      </c>
      <c r="GM646">
        <f t="shared" si="596"/>
        <v>55273.26</v>
      </c>
      <c r="GN646">
        <f t="shared" si="597"/>
        <v>55273.26</v>
      </c>
      <c r="GO646">
        <f t="shared" si="598"/>
        <v>0</v>
      </c>
      <c r="GP646">
        <f t="shared" si="599"/>
        <v>0</v>
      </c>
      <c r="GR646">
        <v>1</v>
      </c>
      <c r="GS646">
        <v>1</v>
      </c>
      <c r="GT646">
        <v>0</v>
      </c>
      <c r="GU646" t="s">
        <v>3</v>
      </c>
      <c r="GV646">
        <f t="shared" si="600"/>
        <v>0</v>
      </c>
      <c r="GW646">
        <v>1</v>
      </c>
      <c r="GX646">
        <f t="shared" si="601"/>
        <v>0</v>
      </c>
      <c r="HA646">
        <v>0</v>
      </c>
      <c r="HB646">
        <v>0</v>
      </c>
      <c r="HC646">
        <f t="shared" si="602"/>
        <v>0</v>
      </c>
      <c r="HE646" t="s">
        <v>26</v>
      </c>
      <c r="HF646" t="s">
        <v>122</v>
      </c>
      <c r="HM646" t="s">
        <v>3</v>
      </c>
      <c r="IK646">
        <v>0</v>
      </c>
    </row>
    <row r="647" spans="1:245" x14ac:dyDescent="0.2">
      <c r="A647">
        <v>17</v>
      </c>
      <c r="B647">
        <v>1</v>
      </c>
      <c r="E647" t="s">
        <v>788</v>
      </c>
      <c r="F647" t="s">
        <v>118</v>
      </c>
      <c r="G647" t="s">
        <v>789</v>
      </c>
      <c r="H647" t="s">
        <v>169</v>
      </c>
      <c r="I647">
        <v>2</v>
      </c>
      <c r="J647">
        <v>0</v>
      </c>
      <c r="K647">
        <v>2</v>
      </c>
      <c r="O647">
        <f t="shared" si="563"/>
        <v>118113.06</v>
      </c>
      <c r="P647">
        <f t="shared" si="564"/>
        <v>118113.06</v>
      </c>
      <c r="Q647">
        <f t="shared" si="565"/>
        <v>0</v>
      </c>
      <c r="R647">
        <f t="shared" si="566"/>
        <v>0</v>
      </c>
      <c r="S647">
        <f t="shared" si="567"/>
        <v>0</v>
      </c>
      <c r="T647">
        <f t="shared" si="568"/>
        <v>0</v>
      </c>
      <c r="U647">
        <f t="shared" si="569"/>
        <v>0</v>
      </c>
      <c r="V647">
        <f t="shared" si="570"/>
        <v>0</v>
      </c>
      <c r="W647">
        <f t="shared" si="571"/>
        <v>0</v>
      </c>
      <c r="X647">
        <f t="shared" si="572"/>
        <v>0</v>
      </c>
      <c r="Y647">
        <f t="shared" si="573"/>
        <v>0</v>
      </c>
      <c r="AA647">
        <v>42938047</v>
      </c>
      <c r="AB647">
        <f t="shared" si="574"/>
        <v>9314.91</v>
      </c>
      <c r="AC647">
        <f t="shared" si="575"/>
        <v>9314.91</v>
      </c>
      <c r="AD647">
        <f t="shared" si="576"/>
        <v>0</v>
      </c>
      <c r="AE647">
        <f t="shared" si="577"/>
        <v>0</v>
      </c>
      <c r="AF647">
        <f t="shared" si="578"/>
        <v>0</v>
      </c>
      <c r="AG647">
        <f t="shared" si="579"/>
        <v>0</v>
      </c>
      <c r="AH647">
        <f t="shared" si="580"/>
        <v>0</v>
      </c>
      <c r="AI647">
        <f t="shared" si="581"/>
        <v>0</v>
      </c>
      <c r="AJ647">
        <f t="shared" si="582"/>
        <v>0</v>
      </c>
      <c r="AK647">
        <v>9314.91</v>
      </c>
      <c r="AL647">
        <v>9314.91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1</v>
      </c>
      <c r="AW647">
        <v>1</v>
      </c>
      <c r="AZ647">
        <v>1</v>
      </c>
      <c r="BA647">
        <v>1</v>
      </c>
      <c r="BB647">
        <v>1</v>
      </c>
      <c r="BC647">
        <v>6.34</v>
      </c>
      <c r="BD647" t="s">
        <v>3</v>
      </c>
      <c r="BE647" t="s">
        <v>3</v>
      </c>
      <c r="BF647" t="s">
        <v>3</v>
      </c>
      <c r="BG647" t="s">
        <v>3</v>
      </c>
      <c r="BH647">
        <v>3</v>
      </c>
      <c r="BI647">
        <v>1</v>
      </c>
      <c r="BJ647" t="s">
        <v>3</v>
      </c>
      <c r="BM647">
        <v>400002</v>
      </c>
      <c r="BN647">
        <v>0</v>
      </c>
      <c r="BO647" t="s">
        <v>3</v>
      </c>
      <c r="BP647">
        <v>0</v>
      </c>
      <c r="BQ647">
        <v>202</v>
      </c>
      <c r="BR647">
        <v>0</v>
      </c>
      <c r="BS647">
        <v>1</v>
      </c>
      <c r="BT647">
        <v>1</v>
      </c>
      <c r="BU647">
        <v>1</v>
      </c>
      <c r="BV647">
        <v>1</v>
      </c>
      <c r="BW647">
        <v>1</v>
      </c>
      <c r="BX647">
        <v>1</v>
      </c>
      <c r="BY647" t="s">
        <v>3</v>
      </c>
      <c r="BZ647">
        <v>0</v>
      </c>
      <c r="CA647">
        <v>0</v>
      </c>
      <c r="CB647" t="s">
        <v>3</v>
      </c>
      <c r="CE647">
        <v>30</v>
      </c>
      <c r="CF647">
        <v>0</v>
      </c>
      <c r="CG647">
        <v>0</v>
      </c>
      <c r="CM647">
        <v>0</v>
      </c>
      <c r="CN647" t="s">
        <v>3</v>
      </c>
      <c r="CO647">
        <v>0</v>
      </c>
      <c r="CP647">
        <f t="shared" si="583"/>
        <v>118113.06</v>
      </c>
      <c r="CQ647">
        <f t="shared" si="584"/>
        <v>59056.53</v>
      </c>
      <c r="CR647">
        <f t="shared" si="585"/>
        <v>0</v>
      </c>
      <c r="CS647">
        <f t="shared" si="586"/>
        <v>0</v>
      </c>
      <c r="CT647">
        <f t="shared" si="587"/>
        <v>0</v>
      </c>
      <c r="CU647">
        <f t="shared" si="588"/>
        <v>0</v>
      </c>
      <c r="CV647">
        <f t="shared" si="589"/>
        <v>0</v>
      </c>
      <c r="CW647">
        <f t="shared" si="590"/>
        <v>0</v>
      </c>
      <c r="CX647">
        <f t="shared" si="591"/>
        <v>0</v>
      </c>
      <c r="CY647">
        <f t="shared" si="592"/>
        <v>0</v>
      </c>
      <c r="CZ647">
        <f t="shared" si="593"/>
        <v>0</v>
      </c>
      <c r="DC647" t="s">
        <v>3</v>
      </c>
      <c r="DD647" t="s">
        <v>3</v>
      </c>
      <c r="DE647" t="s">
        <v>3</v>
      </c>
      <c r="DF647" t="s">
        <v>3</v>
      </c>
      <c r="DG647" t="s">
        <v>3</v>
      </c>
      <c r="DH647" t="s">
        <v>3</v>
      </c>
      <c r="DI647" t="s">
        <v>3</v>
      </c>
      <c r="DJ647" t="s">
        <v>3</v>
      </c>
      <c r="DK647" t="s">
        <v>3</v>
      </c>
      <c r="DL647" t="s">
        <v>3</v>
      </c>
      <c r="DM647" t="s">
        <v>3</v>
      </c>
      <c r="DN647">
        <v>0</v>
      </c>
      <c r="DO647">
        <v>0</v>
      </c>
      <c r="DP647">
        <v>1</v>
      </c>
      <c r="DQ647">
        <v>1</v>
      </c>
      <c r="DU647">
        <v>1010</v>
      </c>
      <c r="DV647" t="s">
        <v>169</v>
      </c>
      <c r="DW647" t="s">
        <v>790</v>
      </c>
      <c r="DX647">
        <v>1</v>
      </c>
      <c r="DZ647" t="s">
        <v>3</v>
      </c>
      <c r="EA647" t="s">
        <v>3</v>
      </c>
      <c r="EB647" t="s">
        <v>3</v>
      </c>
      <c r="EC647" t="s">
        <v>3</v>
      </c>
      <c r="EE647">
        <v>43090149</v>
      </c>
      <c r="EF647">
        <v>202</v>
      </c>
      <c r="EG647" t="s">
        <v>346</v>
      </c>
      <c r="EH647">
        <v>0</v>
      </c>
      <c r="EI647" t="s">
        <v>3</v>
      </c>
      <c r="EJ647">
        <v>1</v>
      </c>
      <c r="EK647">
        <v>400002</v>
      </c>
      <c r="EL647" t="s">
        <v>347</v>
      </c>
      <c r="EM647" t="s">
        <v>346</v>
      </c>
      <c r="EO647" t="s">
        <v>3</v>
      </c>
      <c r="EQ647">
        <v>0</v>
      </c>
      <c r="ER647">
        <v>9314.91</v>
      </c>
      <c r="ES647">
        <v>9314.91</v>
      </c>
      <c r="ET647">
        <v>0</v>
      </c>
      <c r="EU647">
        <v>0</v>
      </c>
      <c r="EV647">
        <v>0</v>
      </c>
      <c r="EW647">
        <v>0</v>
      </c>
      <c r="EX647">
        <v>0</v>
      </c>
      <c r="EY647">
        <v>0</v>
      </c>
      <c r="EZ647">
        <v>5</v>
      </c>
      <c r="FC647">
        <v>1</v>
      </c>
      <c r="FD647">
        <v>18</v>
      </c>
      <c r="FF647">
        <v>69478.2</v>
      </c>
      <c r="FQ647">
        <v>0</v>
      </c>
      <c r="FR647">
        <f t="shared" si="594"/>
        <v>0</v>
      </c>
      <c r="FS647">
        <v>0</v>
      </c>
      <c r="FX647">
        <v>0</v>
      </c>
      <c r="FY647">
        <v>0</v>
      </c>
      <c r="GA647" t="s">
        <v>791</v>
      </c>
      <c r="GD647">
        <v>0</v>
      </c>
      <c r="GF647">
        <v>1143779581</v>
      </c>
      <c r="GG647">
        <v>2</v>
      </c>
      <c r="GH647">
        <v>3</v>
      </c>
      <c r="GI647">
        <v>3</v>
      </c>
      <c r="GJ647">
        <v>0</v>
      </c>
      <c r="GK647">
        <f>ROUND(R647*(R12)/100,2)</f>
        <v>0</v>
      </c>
      <c r="GL647">
        <f t="shared" si="595"/>
        <v>0</v>
      </c>
      <c r="GM647">
        <f t="shared" si="596"/>
        <v>118113.06</v>
      </c>
      <c r="GN647">
        <f t="shared" si="597"/>
        <v>118113.06</v>
      </c>
      <c r="GO647">
        <f t="shared" si="598"/>
        <v>0</v>
      </c>
      <c r="GP647">
        <f t="shared" si="599"/>
        <v>0</v>
      </c>
      <c r="GR647">
        <v>1</v>
      </c>
      <c r="GS647">
        <v>1</v>
      </c>
      <c r="GT647">
        <v>0</v>
      </c>
      <c r="GU647" t="s">
        <v>3</v>
      </c>
      <c r="GV647">
        <f t="shared" si="600"/>
        <v>0</v>
      </c>
      <c r="GW647">
        <v>1</v>
      </c>
      <c r="GX647">
        <f t="shared" si="601"/>
        <v>0</v>
      </c>
      <c r="HA647">
        <v>0</v>
      </c>
      <c r="HB647">
        <v>0</v>
      </c>
      <c r="HC647">
        <f t="shared" si="602"/>
        <v>0</v>
      </c>
      <c r="HE647" t="s">
        <v>26</v>
      </c>
      <c r="HF647" t="s">
        <v>122</v>
      </c>
      <c r="HM647" t="s">
        <v>3</v>
      </c>
      <c r="IK647">
        <v>0</v>
      </c>
    </row>
    <row r="648" spans="1:245" x14ac:dyDescent="0.2">
      <c r="A648">
        <v>17</v>
      </c>
      <c r="B648">
        <v>1</v>
      </c>
      <c r="E648" t="s">
        <v>792</v>
      </c>
      <c r="F648" t="s">
        <v>118</v>
      </c>
      <c r="G648" t="s">
        <v>793</v>
      </c>
      <c r="H648" t="s">
        <v>136</v>
      </c>
      <c r="I648">
        <v>30</v>
      </c>
      <c r="J648">
        <v>0</v>
      </c>
      <c r="K648">
        <v>30</v>
      </c>
      <c r="O648">
        <f t="shared" si="563"/>
        <v>3545.33</v>
      </c>
      <c r="P648">
        <f t="shared" si="564"/>
        <v>3545.33</v>
      </c>
      <c r="Q648">
        <f t="shared" si="565"/>
        <v>0</v>
      </c>
      <c r="R648">
        <f t="shared" si="566"/>
        <v>0</v>
      </c>
      <c r="S648">
        <f t="shared" si="567"/>
        <v>0</v>
      </c>
      <c r="T648">
        <f t="shared" si="568"/>
        <v>0</v>
      </c>
      <c r="U648">
        <f t="shared" si="569"/>
        <v>0</v>
      </c>
      <c r="V648">
        <f t="shared" si="570"/>
        <v>0</v>
      </c>
      <c r="W648">
        <f t="shared" si="571"/>
        <v>0</v>
      </c>
      <c r="X648">
        <f t="shared" si="572"/>
        <v>0</v>
      </c>
      <c r="Y648">
        <f t="shared" si="573"/>
        <v>0</v>
      </c>
      <c r="AA648">
        <v>42938047</v>
      </c>
      <c r="AB648">
        <f t="shared" si="574"/>
        <v>18.64</v>
      </c>
      <c r="AC648">
        <f t="shared" si="575"/>
        <v>18.64</v>
      </c>
      <c r="AD648">
        <f t="shared" si="576"/>
        <v>0</v>
      </c>
      <c r="AE648">
        <f t="shared" si="577"/>
        <v>0</v>
      </c>
      <c r="AF648">
        <f t="shared" si="578"/>
        <v>0</v>
      </c>
      <c r="AG648">
        <f t="shared" si="579"/>
        <v>0</v>
      </c>
      <c r="AH648">
        <f t="shared" si="580"/>
        <v>0</v>
      </c>
      <c r="AI648">
        <f t="shared" si="581"/>
        <v>0</v>
      </c>
      <c r="AJ648">
        <f t="shared" si="582"/>
        <v>0</v>
      </c>
      <c r="AK648">
        <v>18.64</v>
      </c>
      <c r="AL648">
        <v>18.64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1</v>
      </c>
      <c r="AW648">
        <v>1</v>
      </c>
      <c r="AZ648">
        <v>1</v>
      </c>
      <c r="BA648">
        <v>1</v>
      </c>
      <c r="BB648">
        <v>1</v>
      </c>
      <c r="BC648">
        <v>6.34</v>
      </c>
      <c r="BD648" t="s">
        <v>3</v>
      </c>
      <c r="BE648" t="s">
        <v>3</v>
      </c>
      <c r="BF648" t="s">
        <v>3</v>
      </c>
      <c r="BG648" t="s">
        <v>3</v>
      </c>
      <c r="BH648">
        <v>3</v>
      </c>
      <c r="BI648">
        <v>1</v>
      </c>
      <c r="BJ648" t="s">
        <v>3</v>
      </c>
      <c r="BM648">
        <v>400002</v>
      </c>
      <c r="BN648">
        <v>0</v>
      </c>
      <c r="BO648" t="s">
        <v>3</v>
      </c>
      <c r="BP648">
        <v>0</v>
      </c>
      <c r="BQ648">
        <v>202</v>
      </c>
      <c r="BR648">
        <v>0</v>
      </c>
      <c r="BS648">
        <v>1</v>
      </c>
      <c r="BT648">
        <v>1</v>
      </c>
      <c r="BU648">
        <v>1</v>
      </c>
      <c r="BV648">
        <v>1</v>
      </c>
      <c r="BW648">
        <v>1</v>
      </c>
      <c r="BX648">
        <v>1</v>
      </c>
      <c r="BY648" t="s">
        <v>3</v>
      </c>
      <c r="BZ648">
        <v>0</v>
      </c>
      <c r="CA648">
        <v>0</v>
      </c>
      <c r="CB648" t="s">
        <v>3</v>
      </c>
      <c r="CE648">
        <v>30</v>
      </c>
      <c r="CF648">
        <v>0</v>
      </c>
      <c r="CG648">
        <v>0</v>
      </c>
      <c r="CM648">
        <v>0</v>
      </c>
      <c r="CN648" t="s">
        <v>3</v>
      </c>
      <c r="CO648">
        <v>0</v>
      </c>
      <c r="CP648">
        <f t="shared" si="583"/>
        <v>3545.33</v>
      </c>
      <c r="CQ648">
        <f t="shared" si="584"/>
        <v>118.18</v>
      </c>
      <c r="CR648">
        <f t="shared" si="585"/>
        <v>0</v>
      </c>
      <c r="CS648">
        <f t="shared" si="586"/>
        <v>0</v>
      </c>
      <c r="CT648">
        <f t="shared" si="587"/>
        <v>0</v>
      </c>
      <c r="CU648">
        <f t="shared" si="588"/>
        <v>0</v>
      </c>
      <c r="CV648">
        <f t="shared" si="589"/>
        <v>0</v>
      </c>
      <c r="CW648">
        <f t="shared" si="590"/>
        <v>0</v>
      </c>
      <c r="CX648">
        <f t="shared" si="591"/>
        <v>0</v>
      </c>
      <c r="CY648">
        <f t="shared" si="592"/>
        <v>0</v>
      </c>
      <c r="CZ648">
        <f t="shared" si="593"/>
        <v>0</v>
      </c>
      <c r="DC648" t="s">
        <v>3</v>
      </c>
      <c r="DD648" t="s">
        <v>3</v>
      </c>
      <c r="DE648" t="s">
        <v>3</v>
      </c>
      <c r="DF648" t="s">
        <v>3</v>
      </c>
      <c r="DG648" t="s">
        <v>3</v>
      </c>
      <c r="DH648" t="s">
        <v>3</v>
      </c>
      <c r="DI648" t="s">
        <v>3</v>
      </c>
      <c r="DJ648" t="s">
        <v>3</v>
      </c>
      <c r="DK648" t="s">
        <v>3</v>
      </c>
      <c r="DL648" t="s">
        <v>3</v>
      </c>
      <c r="DM648" t="s">
        <v>3</v>
      </c>
      <c r="DN648">
        <v>0</v>
      </c>
      <c r="DO648">
        <v>0</v>
      </c>
      <c r="DP648">
        <v>1</v>
      </c>
      <c r="DQ648">
        <v>1</v>
      </c>
      <c r="DU648">
        <v>1003</v>
      </c>
      <c r="DV648" t="s">
        <v>136</v>
      </c>
      <c r="DW648" t="s">
        <v>136</v>
      </c>
      <c r="DX648">
        <v>1</v>
      </c>
      <c r="DZ648" t="s">
        <v>3</v>
      </c>
      <c r="EA648" t="s">
        <v>3</v>
      </c>
      <c r="EB648" t="s">
        <v>3</v>
      </c>
      <c r="EC648" t="s">
        <v>3</v>
      </c>
      <c r="EE648">
        <v>43090149</v>
      </c>
      <c r="EF648">
        <v>202</v>
      </c>
      <c r="EG648" t="s">
        <v>346</v>
      </c>
      <c r="EH648">
        <v>0</v>
      </c>
      <c r="EI648" t="s">
        <v>3</v>
      </c>
      <c r="EJ648">
        <v>1</v>
      </c>
      <c r="EK648">
        <v>400002</v>
      </c>
      <c r="EL648" t="s">
        <v>347</v>
      </c>
      <c r="EM648" t="s">
        <v>346</v>
      </c>
      <c r="EO648" t="s">
        <v>3</v>
      </c>
      <c r="EQ648">
        <v>0</v>
      </c>
      <c r="ER648">
        <v>118.14999999999999</v>
      </c>
      <c r="ES648">
        <v>18.64</v>
      </c>
      <c r="ET648">
        <v>0</v>
      </c>
      <c r="EU648">
        <v>0</v>
      </c>
      <c r="EV648">
        <v>0</v>
      </c>
      <c r="EW648">
        <v>0</v>
      </c>
      <c r="EX648">
        <v>0</v>
      </c>
      <c r="EY648">
        <v>0</v>
      </c>
      <c r="EZ648">
        <v>5</v>
      </c>
      <c r="FC648">
        <v>1</v>
      </c>
      <c r="FD648">
        <v>18</v>
      </c>
      <c r="FF648">
        <v>139</v>
      </c>
      <c r="FQ648">
        <v>0</v>
      </c>
      <c r="FR648">
        <f t="shared" si="594"/>
        <v>0</v>
      </c>
      <c r="FS648">
        <v>0</v>
      </c>
      <c r="FX648">
        <v>0</v>
      </c>
      <c r="FY648">
        <v>0</v>
      </c>
      <c r="GA648" t="s">
        <v>794</v>
      </c>
      <c r="GD648">
        <v>0</v>
      </c>
      <c r="GF648">
        <v>396382243</v>
      </c>
      <c r="GG648">
        <v>2</v>
      </c>
      <c r="GH648">
        <v>3</v>
      </c>
      <c r="GI648">
        <v>3</v>
      </c>
      <c r="GJ648">
        <v>0</v>
      </c>
      <c r="GK648">
        <f>ROUND(R648*(R12)/100,2)</f>
        <v>0</v>
      </c>
      <c r="GL648">
        <f t="shared" si="595"/>
        <v>0</v>
      </c>
      <c r="GM648">
        <f t="shared" si="596"/>
        <v>3545.33</v>
      </c>
      <c r="GN648">
        <f t="shared" si="597"/>
        <v>3545.33</v>
      </c>
      <c r="GO648">
        <f t="shared" si="598"/>
        <v>0</v>
      </c>
      <c r="GP648">
        <f t="shared" si="599"/>
        <v>0</v>
      </c>
      <c r="GR648">
        <v>1</v>
      </c>
      <c r="GS648">
        <v>1</v>
      </c>
      <c r="GT648">
        <v>0</v>
      </c>
      <c r="GU648" t="s">
        <v>3</v>
      </c>
      <c r="GV648">
        <f t="shared" si="600"/>
        <v>0</v>
      </c>
      <c r="GW648">
        <v>1</v>
      </c>
      <c r="GX648">
        <f t="shared" si="601"/>
        <v>0</v>
      </c>
      <c r="HA648">
        <v>0</v>
      </c>
      <c r="HB648">
        <v>0</v>
      </c>
      <c r="HC648">
        <f t="shared" si="602"/>
        <v>0</v>
      </c>
      <c r="HE648" t="s">
        <v>26</v>
      </c>
      <c r="HF648" t="s">
        <v>122</v>
      </c>
      <c r="HM648" t="s">
        <v>3</v>
      </c>
      <c r="IK648">
        <v>0</v>
      </c>
    </row>
    <row r="649" spans="1:245" x14ac:dyDescent="0.2">
      <c r="A649">
        <v>17</v>
      </c>
      <c r="B649">
        <v>1</v>
      </c>
      <c r="E649" t="s">
        <v>795</v>
      </c>
      <c r="F649" t="s">
        <v>118</v>
      </c>
      <c r="G649" t="s">
        <v>796</v>
      </c>
      <c r="H649" t="s">
        <v>136</v>
      </c>
      <c r="I649">
        <v>30</v>
      </c>
      <c r="J649">
        <v>0</v>
      </c>
      <c r="K649">
        <v>30</v>
      </c>
      <c r="O649">
        <f t="shared" si="563"/>
        <v>12825.19</v>
      </c>
      <c r="P649">
        <f t="shared" si="564"/>
        <v>12825.19</v>
      </c>
      <c r="Q649">
        <f t="shared" si="565"/>
        <v>0</v>
      </c>
      <c r="R649">
        <f t="shared" si="566"/>
        <v>0</v>
      </c>
      <c r="S649">
        <f t="shared" si="567"/>
        <v>0</v>
      </c>
      <c r="T649">
        <f t="shared" si="568"/>
        <v>0</v>
      </c>
      <c r="U649">
        <f t="shared" si="569"/>
        <v>0</v>
      </c>
      <c r="V649">
        <f t="shared" si="570"/>
        <v>0</v>
      </c>
      <c r="W649">
        <f t="shared" si="571"/>
        <v>0</v>
      </c>
      <c r="X649">
        <f t="shared" si="572"/>
        <v>0</v>
      </c>
      <c r="Y649">
        <f t="shared" si="573"/>
        <v>0</v>
      </c>
      <c r="AA649">
        <v>42938047</v>
      </c>
      <c r="AB649">
        <f t="shared" si="574"/>
        <v>67.430000000000007</v>
      </c>
      <c r="AC649">
        <f t="shared" si="575"/>
        <v>67.430000000000007</v>
      </c>
      <c r="AD649">
        <f t="shared" si="576"/>
        <v>0</v>
      </c>
      <c r="AE649">
        <f t="shared" si="577"/>
        <v>0</v>
      </c>
      <c r="AF649">
        <f t="shared" si="578"/>
        <v>0</v>
      </c>
      <c r="AG649">
        <f t="shared" si="579"/>
        <v>0</v>
      </c>
      <c r="AH649">
        <f t="shared" si="580"/>
        <v>0</v>
      </c>
      <c r="AI649">
        <f t="shared" si="581"/>
        <v>0</v>
      </c>
      <c r="AJ649">
        <f t="shared" si="582"/>
        <v>0</v>
      </c>
      <c r="AK649">
        <v>67.429999999999993</v>
      </c>
      <c r="AL649">
        <v>67.429999999999993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1</v>
      </c>
      <c r="AW649">
        <v>1</v>
      </c>
      <c r="AZ649">
        <v>1</v>
      </c>
      <c r="BA649">
        <v>1</v>
      </c>
      <c r="BB649">
        <v>1</v>
      </c>
      <c r="BC649">
        <v>6.34</v>
      </c>
      <c r="BD649" t="s">
        <v>3</v>
      </c>
      <c r="BE649" t="s">
        <v>3</v>
      </c>
      <c r="BF649" t="s">
        <v>3</v>
      </c>
      <c r="BG649" t="s">
        <v>3</v>
      </c>
      <c r="BH649">
        <v>3</v>
      </c>
      <c r="BI649">
        <v>1</v>
      </c>
      <c r="BJ649" t="s">
        <v>3</v>
      </c>
      <c r="BM649">
        <v>400002</v>
      </c>
      <c r="BN649">
        <v>0</v>
      </c>
      <c r="BO649" t="s">
        <v>3</v>
      </c>
      <c r="BP649">
        <v>0</v>
      </c>
      <c r="BQ649">
        <v>202</v>
      </c>
      <c r="BR649">
        <v>0</v>
      </c>
      <c r="BS649">
        <v>1</v>
      </c>
      <c r="BT649">
        <v>1</v>
      </c>
      <c r="BU649">
        <v>1</v>
      </c>
      <c r="BV649">
        <v>1</v>
      </c>
      <c r="BW649">
        <v>1</v>
      </c>
      <c r="BX649">
        <v>1</v>
      </c>
      <c r="BY649" t="s">
        <v>3</v>
      </c>
      <c r="BZ649">
        <v>0</v>
      </c>
      <c r="CA649">
        <v>0</v>
      </c>
      <c r="CB649" t="s">
        <v>3</v>
      </c>
      <c r="CE649">
        <v>30</v>
      </c>
      <c r="CF649">
        <v>0</v>
      </c>
      <c r="CG649">
        <v>0</v>
      </c>
      <c r="CM649">
        <v>0</v>
      </c>
      <c r="CN649" t="s">
        <v>3</v>
      </c>
      <c r="CO649">
        <v>0</v>
      </c>
      <c r="CP649">
        <f t="shared" si="583"/>
        <v>12825.19</v>
      </c>
      <c r="CQ649">
        <f t="shared" si="584"/>
        <v>427.51</v>
      </c>
      <c r="CR649">
        <f t="shared" si="585"/>
        <v>0</v>
      </c>
      <c r="CS649">
        <f t="shared" si="586"/>
        <v>0</v>
      </c>
      <c r="CT649">
        <f t="shared" si="587"/>
        <v>0</v>
      </c>
      <c r="CU649">
        <f t="shared" si="588"/>
        <v>0</v>
      </c>
      <c r="CV649">
        <f t="shared" si="589"/>
        <v>0</v>
      </c>
      <c r="CW649">
        <f t="shared" si="590"/>
        <v>0</v>
      </c>
      <c r="CX649">
        <f t="shared" si="591"/>
        <v>0</v>
      </c>
      <c r="CY649">
        <f t="shared" si="592"/>
        <v>0</v>
      </c>
      <c r="CZ649">
        <f t="shared" si="593"/>
        <v>0</v>
      </c>
      <c r="DC649" t="s">
        <v>3</v>
      </c>
      <c r="DD649" t="s">
        <v>3</v>
      </c>
      <c r="DE649" t="s">
        <v>3</v>
      </c>
      <c r="DF649" t="s">
        <v>3</v>
      </c>
      <c r="DG649" t="s">
        <v>3</v>
      </c>
      <c r="DH649" t="s">
        <v>3</v>
      </c>
      <c r="DI649" t="s">
        <v>3</v>
      </c>
      <c r="DJ649" t="s">
        <v>3</v>
      </c>
      <c r="DK649" t="s">
        <v>3</v>
      </c>
      <c r="DL649" t="s">
        <v>3</v>
      </c>
      <c r="DM649" t="s">
        <v>3</v>
      </c>
      <c r="DN649">
        <v>0</v>
      </c>
      <c r="DO649">
        <v>0</v>
      </c>
      <c r="DP649">
        <v>1</v>
      </c>
      <c r="DQ649">
        <v>1</v>
      </c>
      <c r="DU649">
        <v>1003</v>
      </c>
      <c r="DV649" t="s">
        <v>136</v>
      </c>
      <c r="DW649" t="s">
        <v>136</v>
      </c>
      <c r="DX649">
        <v>1</v>
      </c>
      <c r="DZ649" t="s">
        <v>3</v>
      </c>
      <c r="EA649" t="s">
        <v>3</v>
      </c>
      <c r="EB649" t="s">
        <v>3</v>
      </c>
      <c r="EC649" t="s">
        <v>3</v>
      </c>
      <c r="EE649">
        <v>43090149</v>
      </c>
      <c r="EF649">
        <v>202</v>
      </c>
      <c r="EG649" t="s">
        <v>346</v>
      </c>
      <c r="EH649">
        <v>0</v>
      </c>
      <c r="EI649" t="s">
        <v>3</v>
      </c>
      <c r="EJ649">
        <v>1</v>
      </c>
      <c r="EK649">
        <v>400002</v>
      </c>
      <c r="EL649" t="s">
        <v>347</v>
      </c>
      <c r="EM649" t="s">
        <v>346</v>
      </c>
      <c r="EO649" t="s">
        <v>3</v>
      </c>
      <c r="EQ649">
        <v>0</v>
      </c>
      <c r="ER649">
        <v>67.429999999999993</v>
      </c>
      <c r="ES649">
        <v>67.429999999999993</v>
      </c>
      <c r="ET649">
        <v>0</v>
      </c>
      <c r="EU649">
        <v>0</v>
      </c>
      <c r="EV649">
        <v>0</v>
      </c>
      <c r="EW649">
        <v>0</v>
      </c>
      <c r="EX649">
        <v>0</v>
      </c>
      <c r="EY649">
        <v>0</v>
      </c>
      <c r="EZ649">
        <v>5</v>
      </c>
      <c r="FC649">
        <v>1</v>
      </c>
      <c r="FD649">
        <v>18</v>
      </c>
      <c r="FF649">
        <v>503</v>
      </c>
      <c r="FQ649">
        <v>0</v>
      </c>
      <c r="FR649">
        <f t="shared" si="594"/>
        <v>0</v>
      </c>
      <c r="FS649">
        <v>0</v>
      </c>
      <c r="FX649">
        <v>0</v>
      </c>
      <c r="FY649">
        <v>0</v>
      </c>
      <c r="GA649" t="s">
        <v>797</v>
      </c>
      <c r="GD649">
        <v>0</v>
      </c>
      <c r="GF649">
        <v>1720417541</v>
      </c>
      <c r="GG649">
        <v>2</v>
      </c>
      <c r="GH649">
        <v>3</v>
      </c>
      <c r="GI649">
        <v>3</v>
      </c>
      <c r="GJ649">
        <v>0</v>
      </c>
      <c r="GK649">
        <f>ROUND(R649*(R12)/100,2)</f>
        <v>0</v>
      </c>
      <c r="GL649">
        <f t="shared" si="595"/>
        <v>0</v>
      </c>
      <c r="GM649">
        <f t="shared" si="596"/>
        <v>12825.19</v>
      </c>
      <c r="GN649">
        <f t="shared" si="597"/>
        <v>12825.19</v>
      </c>
      <c r="GO649">
        <f t="shared" si="598"/>
        <v>0</v>
      </c>
      <c r="GP649">
        <f t="shared" si="599"/>
        <v>0</v>
      </c>
      <c r="GR649">
        <v>1</v>
      </c>
      <c r="GS649">
        <v>1</v>
      </c>
      <c r="GT649">
        <v>0</v>
      </c>
      <c r="GU649" t="s">
        <v>3</v>
      </c>
      <c r="GV649">
        <f t="shared" si="600"/>
        <v>0</v>
      </c>
      <c r="GW649">
        <v>1</v>
      </c>
      <c r="GX649">
        <f t="shared" si="601"/>
        <v>0</v>
      </c>
      <c r="HA649">
        <v>0</v>
      </c>
      <c r="HB649">
        <v>0</v>
      </c>
      <c r="HC649">
        <f t="shared" si="602"/>
        <v>0</v>
      </c>
      <c r="HE649" t="s">
        <v>26</v>
      </c>
      <c r="HF649" t="s">
        <v>122</v>
      </c>
      <c r="HM649" t="s">
        <v>3</v>
      </c>
      <c r="IK649">
        <v>0</v>
      </c>
    </row>
    <row r="650" spans="1:245" x14ac:dyDescent="0.2">
      <c r="A650">
        <v>17</v>
      </c>
      <c r="B650">
        <v>1</v>
      </c>
      <c r="E650" t="s">
        <v>798</v>
      </c>
      <c r="F650" t="s">
        <v>118</v>
      </c>
      <c r="G650" t="s">
        <v>799</v>
      </c>
      <c r="H650" t="s">
        <v>169</v>
      </c>
      <c r="I650">
        <v>1</v>
      </c>
      <c r="J650">
        <v>0</v>
      </c>
      <c r="K650">
        <v>1</v>
      </c>
      <c r="O650">
        <f t="shared" si="563"/>
        <v>1160.28</v>
      </c>
      <c r="P650">
        <f t="shared" si="564"/>
        <v>1160.28</v>
      </c>
      <c r="Q650">
        <f t="shared" si="565"/>
        <v>0</v>
      </c>
      <c r="R650">
        <f t="shared" si="566"/>
        <v>0</v>
      </c>
      <c r="S650">
        <f t="shared" si="567"/>
        <v>0</v>
      </c>
      <c r="T650">
        <f t="shared" si="568"/>
        <v>0</v>
      </c>
      <c r="U650">
        <f t="shared" si="569"/>
        <v>0</v>
      </c>
      <c r="V650">
        <f t="shared" si="570"/>
        <v>0</v>
      </c>
      <c r="W650">
        <f t="shared" si="571"/>
        <v>0</v>
      </c>
      <c r="X650">
        <f t="shared" si="572"/>
        <v>0</v>
      </c>
      <c r="Y650">
        <f t="shared" si="573"/>
        <v>0</v>
      </c>
      <c r="AA650">
        <v>42938047</v>
      </c>
      <c r="AB650">
        <f t="shared" si="574"/>
        <v>183.01</v>
      </c>
      <c r="AC650">
        <f t="shared" si="575"/>
        <v>183.01</v>
      </c>
      <c r="AD650">
        <f t="shared" si="576"/>
        <v>0</v>
      </c>
      <c r="AE650">
        <f t="shared" si="577"/>
        <v>0</v>
      </c>
      <c r="AF650">
        <f t="shared" si="578"/>
        <v>0</v>
      </c>
      <c r="AG650">
        <f t="shared" si="579"/>
        <v>0</v>
      </c>
      <c r="AH650">
        <f t="shared" si="580"/>
        <v>0</v>
      </c>
      <c r="AI650">
        <f t="shared" si="581"/>
        <v>0</v>
      </c>
      <c r="AJ650">
        <f t="shared" si="582"/>
        <v>0</v>
      </c>
      <c r="AK650">
        <v>183.01</v>
      </c>
      <c r="AL650">
        <v>183.01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1</v>
      </c>
      <c r="AW650">
        <v>1</v>
      </c>
      <c r="AZ650">
        <v>1</v>
      </c>
      <c r="BA650">
        <v>1</v>
      </c>
      <c r="BB650">
        <v>1</v>
      </c>
      <c r="BC650">
        <v>6.34</v>
      </c>
      <c r="BD650" t="s">
        <v>3</v>
      </c>
      <c r="BE650" t="s">
        <v>3</v>
      </c>
      <c r="BF650" t="s">
        <v>3</v>
      </c>
      <c r="BG650" t="s">
        <v>3</v>
      </c>
      <c r="BH650">
        <v>3</v>
      </c>
      <c r="BI650">
        <v>1</v>
      </c>
      <c r="BJ650" t="s">
        <v>3</v>
      </c>
      <c r="BM650">
        <v>400002</v>
      </c>
      <c r="BN650">
        <v>0</v>
      </c>
      <c r="BO650" t="s">
        <v>3</v>
      </c>
      <c r="BP650">
        <v>0</v>
      </c>
      <c r="BQ650">
        <v>202</v>
      </c>
      <c r="BR650">
        <v>0</v>
      </c>
      <c r="BS650">
        <v>1</v>
      </c>
      <c r="BT650">
        <v>1</v>
      </c>
      <c r="BU650">
        <v>1</v>
      </c>
      <c r="BV650">
        <v>1</v>
      </c>
      <c r="BW650">
        <v>1</v>
      </c>
      <c r="BX650">
        <v>1</v>
      </c>
      <c r="BY650" t="s">
        <v>3</v>
      </c>
      <c r="BZ650">
        <v>0</v>
      </c>
      <c r="CA650">
        <v>0</v>
      </c>
      <c r="CB650" t="s">
        <v>3</v>
      </c>
      <c r="CE650">
        <v>30</v>
      </c>
      <c r="CF650">
        <v>0</v>
      </c>
      <c r="CG650">
        <v>0</v>
      </c>
      <c r="CM650">
        <v>0</v>
      </c>
      <c r="CN650" t="s">
        <v>3</v>
      </c>
      <c r="CO650">
        <v>0</v>
      </c>
      <c r="CP650">
        <f t="shared" si="583"/>
        <v>1160.28</v>
      </c>
      <c r="CQ650">
        <f t="shared" si="584"/>
        <v>1160.28</v>
      </c>
      <c r="CR650">
        <f t="shared" si="585"/>
        <v>0</v>
      </c>
      <c r="CS650">
        <f t="shared" si="586"/>
        <v>0</v>
      </c>
      <c r="CT650">
        <f t="shared" si="587"/>
        <v>0</v>
      </c>
      <c r="CU650">
        <f t="shared" si="588"/>
        <v>0</v>
      </c>
      <c r="CV650">
        <f t="shared" si="589"/>
        <v>0</v>
      </c>
      <c r="CW650">
        <f t="shared" si="590"/>
        <v>0</v>
      </c>
      <c r="CX650">
        <f t="shared" si="591"/>
        <v>0</v>
      </c>
      <c r="CY650">
        <f t="shared" si="592"/>
        <v>0</v>
      </c>
      <c r="CZ650">
        <f t="shared" si="593"/>
        <v>0</v>
      </c>
      <c r="DC650" t="s">
        <v>3</v>
      </c>
      <c r="DD650" t="s">
        <v>3</v>
      </c>
      <c r="DE650" t="s">
        <v>3</v>
      </c>
      <c r="DF650" t="s">
        <v>3</v>
      </c>
      <c r="DG650" t="s">
        <v>3</v>
      </c>
      <c r="DH650" t="s">
        <v>3</v>
      </c>
      <c r="DI650" t="s">
        <v>3</v>
      </c>
      <c r="DJ650" t="s">
        <v>3</v>
      </c>
      <c r="DK650" t="s">
        <v>3</v>
      </c>
      <c r="DL650" t="s">
        <v>3</v>
      </c>
      <c r="DM650" t="s">
        <v>3</v>
      </c>
      <c r="DN650">
        <v>0</v>
      </c>
      <c r="DO650">
        <v>0</v>
      </c>
      <c r="DP650">
        <v>1</v>
      </c>
      <c r="DQ650">
        <v>1</v>
      </c>
      <c r="DU650">
        <v>1010</v>
      </c>
      <c r="DV650" t="s">
        <v>169</v>
      </c>
      <c r="DW650" t="s">
        <v>169</v>
      </c>
      <c r="DX650">
        <v>1</v>
      </c>
      <c r="DZ650" t="s">
        <v>3</v>
      </c>
      <c r="EA650" t="s">
        <v>3</v>
      </c>
      <c r="EB650" t="s">
        <v>3</v>
      </c>
      <c r="EC650" t="s">
        <v>3</v>
      </c>
      <c r="EE650">
        <v>43090149</v>
      </c>
      <c r="EF650">
        <v>202</v>
      </c>
      <c r="EG650" t="s">
        <v>346</v>
      </c>
      <c r="EH650">
        <v>0</v>
      </c>
      <c r="EI650" t="s">
        <v>3</v>
      </c>
      <c r="EJ650">
        <v>1</v>
      </c>
      <c r="EK650">
        <v>400002</v>
      </c>
      <c r="EL650" t="s">
        <v>347</v>
      </c>
      <c r="EM650" t="s">
        <v>346</v>
      </c>
      <c r="EO650" t="s">
        <v>3</v>
      </c>
      <c r="EQ650">
        <v>0</v>
      </c>
      <c r="ER650">
        <v>183.01</v>
      </c>
      <c r="ES650">
        <v>183.01</v>
      </c>
      <c r="ET650">
        <v>0</v>
      </c>
      <c r="EU650">
        <v>0</v>
      </c>
      <c r="EV650">
        <v>0</v>
      </c>
      <c r="EW650">
        <v>0</v>
      </c>
      <c r="EX650">
        <v>0</v>
      </c>
      <c r="EY650">
        <v>0</v>
      </c>
      <c r="EZ650">
        <v>5</v>
      </c>
      <c r="FC650">
        <v>1</v>
      </c>
      <c r="FD650">
        <v>18</v>
      </c>
      <c r="FF650">
        <v>1365</v>
      </c>
      <c r="FQ650">
        <v>0</v>
      </c>
      <c r="FR650">
        <f t="shared" si="594"/>
        <v>0</v>
      </c>
      <c r="FS650">
        <v>0</v>
      </c>
      <c r="FX650">
        <v>0</v>
      </c>
      <c r="FY650">
        <v>0</v>
      </c>
      <c r="GA650" t="s">
        <v>800</v>
      </c>
      <c r="GD650">
        <v>0</v>
      </c>
      <c r="GF650">
        <v>-1389626675</v>
      </c>
      <c r="GG650">
        <v>2</v>
      </c>
      <c r="GH650">
        <v>3</v>
      </c>
      <c r="GI650">
        <v>3</v>
      </c>
      <c r="GJ650">
        <v>0</v>
      </c>
      <c r="GK650">
        <f>ROUND(R650*(R12)/100,2)</f>
        <v>0</v>
      </c>
      <c r="GL650">
        <f t="shared" si="595"/>
        <v>0</v>
      </c>
      <c r="GM650">
        <f t="shared" si="596"/>
        <v>1160.28</v>
      </c>
      <c r="GN650">
        <f t="shared" si="597"/>
        <v>1160.28</v>
      </c>
      <c r="GO650">
        <f t="shared" si="598"/>
        <v>0</v>
      </c>
      <c r="GP650">
        <f t="shared" si="599"/>
        <v>0</v>
      </c>
      <c r="GR650">
        <v>1</v>
      </c>
      <c r="GS650">
        <v>1</v>
      </c>
      <c r="GT650">
        <v>0</v>
      </c>
      <c r="GU650" t="s">
        <v>3</v>
      </c>
      <c r="GV650">
        <f t="shared" si="600"/>
        <v>0</v>
      </c>
      <c r="GW650">
        <v>1</v>
      </c>
      <c r="GX650">
        <f t="shared" si="601"/>
        <v>0</v>
      </c>
      <c r="HA650">
        <v>0</v>
      </c>
      <c r="HB650">
        <v>0</v>
      </c>
      <c r="HC650">
        <f t="shared" si="602"/>
        <v>0</v>
      </c>
      <c r="HE650" t="s">
        <v>26</v>
      </c>
      <c r="HF650" t="s">
        <v>122</v>
      </c>
      <c r="HM650" t="s">
        <v>3</v>
      </c>
      <c r="IK650">
        <v>0</v>
      </c>
    </row>
    <row r="651" spans="1:245" x14ac:dyDescent="0.2">
      <c r="A651">
        <v>17</v>
      </c>
      <c r="B651">
        <v>1</v>
      </c>
      <c r="E651" t="s">
        <v>801</v>
      </c>
      <c r="F651" t="s">
        <v>118</v>
      </c>
      <c r="G651" t="s">
        <v>802</v>
      </c>
      <c r="H651" t="s">
        <v>169</v>
      </c>
      <c r="I651">
        <v>1</v>
      </c>
      <c r="J651">
        <v>0</v>
      </c>
      <c r="K651">
        <v>1</v>
      </c>
      <c r="O651">
        <f t="shared" si="563"/>
        <v>3276.7</v>
      </c>
      <c r="P651">
        <f t="shared" si="564"/>
        <v>3276.7</v>
      </c>
      <c r="Q651">
        <f t="shared" si="565"/>
        <v>0</v>
      </c>
      <c r="R651">
        <f t="shared" si="566"/>
        <v>0</v>
      </c>
      <c r="S651">
        <f t="shared" si="567"/>
        <v>0</v>
      </c>
      <c r="T651">
        <f t="shared" si="568"/>
        <v>0</v>
      </c>
      <c r="U651">
        <f t="shared" si="569"/>
        <v>0</v>
      </c>
      <c r="V651">
        <f t="shared" si="570"/>
        <v>0</v>
      </c>
      <c r="W651">
        <f t="shared" si="571"/>
        <v>0</v>
      </c>
      <c r="X651">
        <f t="shared" si="572"/>
        <v>0</v>
      </c>
      <c r="Y651">
        <f t="shared" si="573"/>
        <v>0</v>
      </c>
      <c r="AA651">
        <v>42938047</v>
      </c>
      <c r="AB651">
        <f t="shared" si="574"/>
        <v>516.83000000000004</v>
      </c>
      <c r="AC651">
        <f t="shared" si="575"/>
        <v>516.83000000000004</v>
      </c>
      <c r="AD651">
        <f t="shared" si="576"/>
        <v>0</v>
      </c>
      <c r="AE651">
        <f t="shared" si="577"/>
        <v>0</v>
      </c>
      <c r="AF651">
        <f t="shared" si="578"/>
        <v>0</v>
      </c>
      <c r="AG651">
        <f t="shared" si="579"/>
        <v>0</v>
      </c>
      <c r="AH651">
        <f t="shared" si="580"/>
        <v>0</v>
      </c>
      <c r="AI651">
        <f t="shared" si="581"/>
        <v>0</v>
      </c>
      <c r="AJ651">
        <f t="shared" si="582"/>
        <v>0</v>
      </c>
      <c r="AK651">
        <v>516.83000000000004</v>
      </c>
      <c r="AL651">
        <v>516.83000000000004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1</v>
      </c>
      <c r="AW651">
        <v>1</v>
      </c>
      <c r="AZ651">
        <v>1</v>
      </c>
      <c r="BA651">
        <v>1</v>
      </c>
      <c r="BB651">
        <v>1</v>
      </c>
      <c r="BC651">
        <v>6.34</v>
      </c>
      <c r="BD651" t="s">
        <v>3</v>
      </c>
      <c r="BE651" t="s">
        <v>3</v>
      </c>
      <c r="BF651" t="s">
        <v>3</v>
      </c>
      <c r="BG651" t="s">
        <v>3</v>
      </c>
      <c r="BH651">
        <v>3</v>
      </c>
      <c r="BI651">
        <v>1</v>
      </c>
      <c r="BJ651" t="s">
        <v>3</v>
      </c>
      <c r="BM651">
        <v>400002</v>
      </c>
      <c r="BN651">
        <v>0</v>
      </c>
      <c r="BO651" t="s">
        <v>3</v>
      </c>
      <c r="BP651">
        <v>0</v>
      </c>
      <c r="BQ651">
        <v>202</v>
      </c>
      <c r="BR651">
        <v>0</v>
      </c>
      <c r="BS651">
        <v>1</v>
      </c>
      <c r="BT651">
        <v>1</v>
      </c>
      <c r="BU651">
        <v>1</v>
      </c>
      <c r="BV651">
        <v>1</v>
      </c>
      <c r="BW651">
        <v>1</v>
      </c>
      <c r="BX651">
        <v>1</v>
      </c>
      <c r="BY651" t="s">
        <v>3</v>
      </c>
      <c r="BZ651">
        <v>0</v>
      </c>
      <c r="CA651">
        <v>0</v>
      </c>
      <c r="CB651" t="s">
        <v>3</v>
      </c>
      <c r="CE651">
        <v>30</v>
      </c>
      <c r="CF651">
        <v>0</v>
      </c>
      <c r="CG651">
        <v>0</v>
      </c>
      <c r="CM651">
        <v>0</v>
      </c>
      <c r="CN651" t="s">
        <v>3</v>
      </c>
      <c r="CO651">
        <v>0</v>
      </c>
      <c r="CP651">
        <f t="shared" si="583"/>
        <v>3276.7</v>
      </c>
      <c r="CQ651">
        <f t="shared" si="584"/>
        <v>3276.7</v>
      </c>
      <c r="CR651">
        <f t="shared" si="585"/>
        <v>0</v>
      </c>
      <c r="CS651">
        <f t="shared" si="586"/>
        <v>0</v>
      </c>
      <c r="CT651">
        <f t="shared" si="587"/>
        <v>0</v>
      </c>
      <c r="CU651">
        <f t="shared" si="588"/>
        <v>0</v>
      </c>
      <c r="CV651">
        <f t="shared" si="589"/>
        <v>0</v>
      </c>
      <c r="CW651">
        <f t="shared" si="590"/>
        <v>0</v>
      </c>
      <c r="CX651">
        <f t="shared" si="591"/>
        <v>0</v>
      </c>
      <c r="CY651">
        <f t="shared" si="592"/>
        <v>0</v>
      </c>
      <c r="CZ651">
        <f t="shared" si="593"/>
        <v>0</v>
      </c>
      <c r="DC651" t="s">
        <v>3</v>
      </c>
      <c r="DD651" t="s">
        <v>3</v>
      </c>
      <c r="DE651" t="s">
        <v>3</v>
      </c>
      <c r="DF651" t="s">
        <v>3</v>
      </c>
      <c r="DG651" t="s">
        <v>3</v>
      </c>
      <c r="DH651" t="s">
        <v>3</v>
      </c>
      <c r="DI651" t="s">
        <v>3</v>
      </c>
      <c r="DJ651" t="s">
        <v>3</v>
      </c>
      <c r="DK651" t="s">
        <v>3</v>
      </c>
      <c r="DL651" t="s">
        <v>3</v>
      </c>
      <c r="DM651" t="s">
        <v>3</v>
      </c>
      <c r="DN651">
        <v>0</v>
      </c>
      <c r="DO651">
        <v>0</v>
      </c>
      <c r="DP651">
        <v>1</v>
      </c>
      <c r="DQ651">
        <v>1</v>
      </c>
      <c r="DU651">
        <v>1010</v>
      </c>
      <c r="DV651" t="s">
        <v>169</v>
      </c>
      <c r="DW651" t="s">
        <v>169</v>
      </c>
      <c r="DX651">
        <v>1</v>
      </c>
      <c r="DZ651" t="s">
        <v>3</v>
      </c>
      <c r="EA651" t="s">
        <v>3</v>
      </c>
      <c r="EB651" t="s">
        <v>3</v>
      </c>
      <c r="EC651" t="s">
        <v>3</v>
      </c>
      <c r="EE651">
        <v>43090149</v>
      </c>
      <c r="EF651">
        <v>202</v>
      </c>
      <c r="EG651" t="s">
        <v>346</v>
      </c>
      <c r="EH651">
        <v>0</v>
      </c>
      <c r="EI651" t="s">
        <v>3</v>
      </c>
      <c r="EJ651">
        <v>1</v>
      </c>
      <c r="EK651">
        <v>400002</v>
      </c>
      <c r="EL651" t="s">
        <v>347</v>
      </c>
      <c r="EM651" t="s">
        <v>346</v>
      </c>
      <c r="EO651" t="s">
        <v>3</v>
      </c>
      <c r="EQ651">
        <v>0</v>
      </c>
      <c r="ER651">
        <v>516.83000000000004</v>
      </c>
      <c r="ES651">
        <v>516.83000000000004</v>
      </c>
      <c r="ET651">
        <v>0</v>
      </c>
      <c r="EU651">
        <v>0</v>
      </c>
      <c r="EV651">
        <v>0</v>
      </c>
      <c r="EW651">
        <v>0</v>
      </c>
      <c r="EX651">
        <v>0</v>
      </c>
      <c r="EY651">
        <v>0</v>
      </c>
      <c r="EZ651">
        <v>5</v>
      </c>
      <c r="FC651">
        <v>1</v>
      </c>
      <c r="FD651">
        <v>18</v>
      </c>
      <c r="FF651">
        <v>3855</v>
      </c>
      <c r="FQ651">
        <v>0</v>
      </c>
      <c r="FR651">
        <f t="shared" si="594"/>
        <v>0</v>
      </c>
      <c r="FS651">
        <v>0</v>
      </c>
      <c r="FX651">
        <v>0</v>
      </c>
      <c r="FY651">
        <v>0</v>
      </c>
      <c r="GA651" t="s">
        <v>803</v>
      </c>
      <c r="GD651">
        <v>0</v>
      </c>
      <c r="GF651">
        <v>583369248</v>
      </c>
      <c r="GG651">
        <v>2</v>
      </c>
      <c r="GH651">
        <v>3</v>
      </c>
      <c r="GI651">
        <v>3</v>
      </c>
      <c r="GJ651">
        <v>0</v>
      </c>
      <c r="GK651">
        <f>ROUND(R651*(R12)/100,2)</f>
        <v>0</v>
      </c>
      <c r="GL651">
        <f t="shared" si="595"/>
        <v>0</v>
      </c>
      <c r="GM651">
        <f t="shared" si="596"/>
        <v>3276.7</v>
      </c>
      <c r="GN651">
        <f t="shared" si="597"/>
        <v>3276.7</v>
      </c>
      <c r="GO651">
        <f t="shared" si="598"/>
        <v>0</v>
      </c>
      <c r="GP651">
        <f t="shared" si="599"/>
        <v>0</v>
      </c>
      <c r="GR651">
        <v>1</v>
      </c>
      <c r="GS651">
        <v>1</v>
      </c>
      <c r="GT651">
        <v>0</v>
      </c>
      <c r="GU651" t="s">
        <v>3</v>
      </c>
      <c r="GV651">
        <f t="shared" si="600"/>
        <v>0</v>
      </c>
      <c r="GW651">
        <v>1</v>
      </c>
      <c r="GX651">
        <f t="shared" si="601"/>
        <v>0</v>
      </c>
      <c r="HA651">
        <v>0</v>
      </c>
      <c r="HB651">
        <v>0</v>
      </c>
      <c r="HC651">
        <f t="shared" si="602"/>
        <v>0</v>
      </c>
      <c r="HE651" t="s">
        <v>26</v>
      </c>
      <c r="HF651" t="s">
        <v>122</v>
      </c>
      <c r="HM651" t="s">
        <v>3</v>
      </c>
      <c r="IK651">
        <v>0</v>
      </c>
    </row>
    <row r="652" spans="1:245" x14ac:dyDescent="0.2">
      <c r="A652">
        <v>17</v>
      </c>
      <c r="B652">
        <v>1</v>
      </c>
      <c r="E652" t="s">
        <v>804</v>
      </c>
      <c r="F652" t="s">
        <v>118</v>
      </c>
      <c r="G652" t="s">
        <v>805</v>
      </c>
      <c r="H652" t="s">
        <v>169</v>
      </c>
      <c r="I652">
        <v>2</v>
      </c>
      <c r="J652">
        <v>0</v>
      </c>
      <c r="K652">
        <v>2</v>
      </c>
      <c r="O652">
        <f t="shared" si="563"/>
        <v>669.88</v>
      </c>
      <c r="P652">
        <f t="shared" si="564"/>
        <v>669.88</v>
      </c>
      <c r="Q652">
        <f t="shared" si="565"/>
        <v>0</v>
      </c>
      <c r="R652">
        <f t="shared" si="566"/>
        <v>0</v>
      </c>
      <c r="S652">
        <f t="shared" si="567"/>
        <v>0</v>
      </c>
      <c r="T652">
        <f t="shared" si="568"/>
        <v>0</v>
      </c>
      <c r="U652">
        <f t="shared" si="569"/>
        <v>0</v>
      </c>
      <c r="V652">
        <f t="shared" si="570"/>
        <v>0</v>
      </c>
      <c r="W652">
        <f t="shared" si="571"/>
        <v>0</v>
      </c>
      <c r="X652">
        <f t="shared" si="572"/>
        <v>0</v>
      </c>
      <c r="Y652">
        <f t="shared" si="573"/>
        <v>0</v>
      </c>
      <c r="AA652">
        <v>42938047</v>
      </c>
      <c r="AB652">
        <f t="shared" si="574"/>
        <v>52.83</v>
      </c>
      <c r="AC652">
        <f t="shared" si="575"/>
        <v>52.83</v>
      </c>
      <c r="AD652">
        <f t="shared" si="576"/>
        <v>0</v>
      </c>
      <c r="AE652">
        <f t="shared" si="577"/>
        <v>0</v>
      </c>
      <c r="AF652">
        <f t="shared" si="578"/>
        <v>0</v>
      </c>
      <c r="AG652">
        <f t="shared" si="579"/>
        <v>0</v>
      </c>
      <c r="AH652">
        <f t="shared" si="580"/>
        <v>0</v>
      </c>
      <c r="AI652">
        <f t="shared" si="581"/>
        <v>0</v>
      </c>
      <c r="AJ652">
        <f t="shared" si="582"/>
        <v>0</v>
      </c>
      <c r="AK652">
        <v>52.83</v>
      </c>
      <c r="AL652">
        <v>52.83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1</v>
      </c>
      <c r="AW652">
        <v>1</v>
      </c>
      <c r="AZ652">
        <v>1</v>
      </c>
      <c r="BA652">
        <v>1</v>
      </c>
      <c r="BB652">
        <v>1</v>
      </c>
      <c r="BC652">
        <v>6.34</v>
      </c>
      <c r="BD652" t="s">
        <v>3</v>
      </c>
      <c r="BE652" t="s">
        <v>3</v>
      </c>
      <c r="BF652" t="s">
        <v>3</v>
      </c>
      <c r="BG652" t="s">
        <v>3</v>
      </c>
      <c r="BH652">
        <v>3</v>
      </c>
      <c r="BI652">
        <v>1</v>
      </c>
      <c r="BJ652" t="s">
        <v>3</v>
      </c>
      <c r="BM652">
        <v>400002</v>
      </c>
      <c r="BN652">
        <v>0</v>
      </c>
      <c r="BO652" t="s">
        <v>3</v>
      </c>
      <c r="BP652">
        <v>0</v>
      </c>
      <c r="BQ652">
        <v>202</v>
      </c>
      <c r="BR652">
        <v>0</v>
      </c>
      <c r="BS652">
        <v>1</v>
      </c>
      <c r="BT652">
        <v>1</v>
      </c>
      <c r="BU652">
        <v>1</v>
      </c>
      <c r="BV652">
        <v>1</v>
      </c>
      <c r="BW652">
        <v>1</v>
      </c>
      <c r="BX652">
        <v>1</v>
      </c>
      <c r="BY652" t="s">
        <v>3</v>
      </c>
      <c r="BZ652">
        <v>0</v>
      </c>
      <c r="CA652">
        <v>0</v>
      </c>
      <c r="CB652" t="s">
        <v>3</v>
      </c>
      <c r="CE652">
        <v>30</v>
      </c>
      <c r="CF652">
        <v>0</v>
      </c>
      <c r="CG652">
        <v>0</v>
      </c>
      <c r="CM652">
        <v>0</v>
      </c>
      <c r="CN652" t="s">
        <v>3</v>
      </c>
      <c r="CO652">
        <v>0</v>
      </c>
      <c r="CP652">
        <f t="shared" si="583"/>
        <v>669.88</v>
      </c>
      <c r="CQ652">
        <f t="shared" si="584"/>
        <v>334.94</v>
      </c>
      <c r="CR652">
        <f t="shared" si="585"/>
        <v>0</v>
      </c>
      <c r="CS652">
        <f t="shared" si="586"/>
        <v>0</v>
      </c>
      <c r="CT652">
        <f t="shared" si="587"/>
        <v>0</v>
      </c>
      <c r="CU652">
        <f t="shared" si="588"/>
        <v>0</v>
      </c>
      <c r="CV652">
        <f t="shared" si="589"/>
        <v>0</v>
      </c>
      <c r="CW652">
        <f t="shared" si="590"/>
        <v>0</v>
      </c>
      <c r="CX652">
        <f t="shared" si="591"/>
        <v>0</v>
      </c>
      <c r="CY652">
        <f t="shared" si="592"/>
        <v>0</v>
      </c>
      <c r="CZ652">
        <f t="shared" si="593"/>
        <v>0</v>
      </c>
      <c r="DC652" t="s">
        <v>3</v>
      </c>
      <c r="DD652" t="s">
        <v>3</v>
      </c>
      <c r="DE652" t="s">
        <v>3</v>
      </c>
      <c r="DF652" t="s">
        <v>3</v>
      </c>
      <c r="DG652" t="s">
        <v>3</v>
      </c>
      <c r="DH652" t="s">
        <v>3</v>
      </c>
      <c r="DI652" t="s">
        <v>3</v>
      </c>
      <c r="DJ652" t="s">
        <v>3</v>
      </c>
      <c r="DK652" t="s">
        <v>3</v>
      </c>
      <c r="DL652" t="s">
        <v>3</v>
      </c>
      <c r="DM652" t="s">
        <v>3</v>
      </c>
      <c r="DN652">
        <v>0</v>
      </c>
      <c r="DO652">
        <v>0</v>
      </c>
      <c r="DP652">
        <v>1</v>
      </c>
      <c r="DQ652">
        <v>1</v>
      </c>
      <c r="DU652">
        <v>1010</v>
      </c>
      <c r="DV652" t="s">
        <v>169</v>
      </c>
      <c r="DW652" t="s">
        <v>169</v>
      </c>
      <c r="DX652">
        <v>1</v>
      </c>
      <c r="DZ652" t="s">
        <v>3</v>
      </c>
      <c r="EA652" t="s">
        <v>3</v>
      </c>
      <c r="EB652" t="s">
        <v>3</v>
      </c>
      <c r="EC652" t="s">
        <v>3</v>
      </c>
      <c r="EE652">
        <v>43090149</v>
      </c>
      <c r="EF652">
        <v>202</v>
      </c>
      <c r="EG652" t="s">
        <v>346</v>
      </c>
      <c r="EH652">
        <v>0</v>
      </c>
      <c r="EI652" t="s">
        <v>3</v>
      </c>
      <c r="EJ652">
        <v>1</v>
      </c>
      <c r="EK652">
        <v>400002</v>
      </c>
      <c r="EL652" t="s">
        <v>347</v>
      </c>
      <c r="EM652" t="s">
        <v>346</v>
      </c>
      <c r="EO652" t="s">
        <v>3</v>
      </c>
      <c r="EQ652">
        <v>0</v>
      </c>
      <c r="ER652">
        <v>52.83</v>
      </c>
      <c r="ES652">
        <v>52.83</v>
      </c>
      <c r="ET652">
        <v>0</v>
      </c>
      <c r="EU652">
        <v>0</v>
      </c>
      <c r="EV652">
        <v>0</v>
      </c>
      <c r="EW652">
        <v>0</v>
      </c>
      <c r="EX652">
        <v>0</v>
      </c>
      <c r="EY652">
        <v>0</v>
      </c>
      <c r="EZ652">
        <v>5</v>
      </c>
      <c r="FC652">
        <v>1</v>
      </c>
      <c r="FD652">
        <v>18</v>
      </c>
      <c r="FF652">
        <v>394</v>
      </c>
      <c r="FQ652">
        <v>0</v>
      </c>
      <c r="FR652">
        <f t="shared" si="594"/>
        <v>0</v>
      </c>
      <c r="FS652">
        <v>0</v>
      </c>
      <c r="FX652">
        <v>0</v>
      </c>
      <c r="FY652">
        <v>0</v>
      </c>
      <c r="GA652" t="s">
        <v>806</v>
      </c>
      <c r="GD652">
        <v>0</v>
      </c>
      <c r="GF652">
        <v>-1658253544</v>
      </c>
      <c r="GG652">
        <v>2</v>
      </c>
      <c r="GH652">
        <v>3</v>
      </c>
      <c r="GI652">
        <v>3</v>
      </c>
      <c r="GJ652">
        <v>0</v>
      </c>
      <c r="GK652">
        <f>ROUND(R652*(R12)/100,2)</f>
        <v>0</v>
      </c>
      <c r="GL652">
        <f t="shared" si="595"/>
        <v>0</v>
      </c>
      <c r="GM652">
        <f t="shared" si="596"/>
        <v>669.88</v>
      </c>
      <c r="GN652">
        <f t="shared" si="597"/>
        <v>669.88</v>
      </c>
      <c r="GO652">
        <f t="shared" si="598"/>
        <v>0</v>
      </c>
      <c r="GP652">
        <f t="shared" si="599"/>
        <v>0</v>
      </c>
      <c r="GR652">
        <v>1</v>
      </c>
      <c r="GS652">
        <v>1</v>
      </c>
      <c r="GT652">
        <v>0</v>
      </c>
      <c r="GU652" t="s">
        <v>3</v>
      </c>
      <c r="GV652">
        <f t="shared" si="600"/>
        <v>0</v>
      </c>
      <c r="GW652">
        <v>1</v>
      </c>
      <c r="GX652">
        <f t="shared" si="601"/>
        <v>0</v>
      </c>
      <c r="HA652">
        <v>0</v>
      </c>
      <c r="HB652">
        <v>0</v>
      </c>
      <c r="HC652">
        <f t="shared" si="602"/>
        <v>0</v>
      </c>
      <c r="HE652" t="s">
        <v>26</v>
      </c>
      <c r="HF652" t="s">
        <v>122</v>
      </c>
      <c r="HM652" t="s">
        <v>3</v>
      </c>
      <c r="IK652">
        <v>0</v>
      </c>
    </row>
    <row r="653" spans="1:245" x14ac:dyDescent="0.2">
      <c r="A653">
        <v>17</v>
      </c>
      <c r="B653">
        <v>1</v>
      </c>
      <c r="E653" t="s">
        <v>807</v>
      </c>
      <c r="F653" t="s">
        <v>808</v>
      </c>
      <c r="G653" t="s">
        <v>809</v>
      </c>
      <c r="H653" t="s">
        <v>810</v>
      </c>
      <c r="I653">
        <v>0.03</v>
      </c>
      <c r="J653">
        <v>0</v>
      </c>
      <c r="K653">
        <v>0.03</v>
      </c>
      <c r="O653">
        <f t="shared" si="563"/>
        <v>1115.6199999999999</v>
      </c>
      <c r="P653">
        <f t="shared" si="564"/>
        <v>1115.6199999999999</v>
      </c>
      <c r="Q653">
        <f t="shared" si="565"/>
        <v>0</v>
      </c>
      <c r="R653">
        <f t="shared" si="566"/>
        <v>0</v>
      </c>
      <c r="S653">
        <f t="shared" si="567"/>
        <v>0</v>
      </c>
      <c r="T653">
        <f t="shared" si="568"/>
        <v>0</v>
      </c>
      <c r="U653">
        <f t="shared" si="569"/>
        <v>0</v>
      </c>
      <c r="V653">
        <f t="shared" si="570"/>
        <v>0</v>
      </c>
      <c r="W653">
        <f t="shared" si="571"/>
        <v>0</v>
      </c>
      <c r="X653">
        <f t="shared" si="572"/>
        <v>0</v>
      </c>
      <c r="Y653">
        <f t="shared" si="573"/>
        <v>0</v>
      </c>
      <c r="AA653">
        <v>42938047</v>
      </c>
      <c r="AB653">
        <f t="shared" si="574"/>
        <v>3973.1</v>
      </c>
      <c r="AC653">
        <f t="shared" si="575"/>
        <v>3973.1</v>
      </c>
      <c r="AD653">
        <f t="shared" si="576"/>
        <v>0</v>
      </c>
      <c r="AE653">
        <f t="shared" si="577"/>
        <v>0</v>
      </c>
      <c r="AF653">
        <f t="shared" si="578"/>
        <v>0</v>
      </c>
      <c r="AG653">
        <f t="shared" si="579"/>
        <v>0</v>
      </c>
      <c r="AH653">
        <f t="shared" si="580"/>
        <v>0</v>
      </c>
      <c r="AI653">
        <f t="shared" si="581"/>
        <v>0</v>
      </c>
      <c r="AJ653">
        <f t="shared" si="582"/>
        <v>0</v>
      </c>
      <c r="AK653">
        <v>3973.1</v>
      </c>
      <c r="AL653">
        <v>3973.1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1</v>
      </c>
      <c r="AW653">
        <v>1</v>
      </c>
      <c r="AZ653">
        <v>1</v>
      </c>
      <c r="BA653">
        <v>1</v>
      </c>
      <c r="BB653">
        <v>1</v>
      </c>
      <c r="BC653">
        <v>9.36</v>
      </c>
      <c r="BD653" t="s">
        <v>3</v>
      </c>
      <c r="BE653" t="s">
        <v>3</v>
      </c>
      <c r="BF653" t="s">
        <v>3</v>
      </c>
      <c r="BG653" t="s">
        <v>3</v>
      </c>
      <c r="BH653">
        <v>3</v>
      </c>
      <c r="BI653">
        <v>2</v>
      </c>
      <c r="BJ653" t="s">
        <v>811</v>
      </c>
      <c r="BM653">
        <v>1618</v>
      </c>
      <c r="BN653">
        <v>0</v>
      </c>
      <c r="BO653" t="s">
        <v>808</v>
      </c>
      <c r="BP653">
        <v>1</v>
      </c>
      <c r="BQ653">
        <v>201</v>
      </c>
      <c r="BR653">
        <v>0</v>
      </c>
      <c r="BS653">
        <v>1</v>
      </c>
      <c r="BT653">
        <v>1</v>
      </c>
      <c r="BU653">
        <v>1</v>
      </c>
      <c r="BV653">
        <v>1</v>
      </c>
      <c r="BW653">
        <v>1</v>
      </c>
      <c r="BX653">
        <v>1</v>
      </c>
      <c r="BY653" t="s">
        <v>3</v>
      </c>
      <c r="BZ653">
        <v>0</v>
      </c>
      <c r="CA653">
        <v>0</v>
      </c>
      <c r="CB653" t="s">
        <v>3</v>
      </c>
      <c r="CE653">
        <v>30</v>
      </c>
      <c r="CF653">
        <v>0</v>
      </c>
      <c r="CG653">
        <v>0</v>
      </c>
      <c r="CM653">
        <v>0</v>
      </c>
      <c r="CN653" t="s">
        <v>3</v>
      </c>
      <c r="CO653">
        <v>0</v>
      </c>
      <c r="CP653">
        <f t="shared" si="583"/>
        <v>1115.6199999999999</v>
      </c>
      <c r="CQ653">
        <f t="shared" si="584"/>
        <v>37188.22</v>
      </c>
      <c r="CR653">
        <f t="shared" si="585"/>
        <v>0</v>
      </c>
      <c r="CS653">
        <f t="shared" si="586"/>
        <v>0</v>
      </c>
      <c r="CT653">
        <f t="shared" si="587"/>
        <v>0</v>
      </c>
      <c r="CU653">
        <f t="shared" si="588"/>
        <v>0</v>
      </c>
      <c r="CV653">
        <f t="shared" si="589"/>
        <v>0</v>
      </c>
      <c r="CW653">
        <f t="shared" si="590"/>
        <v>0</v>
      </c>
      <c r="CX653">
        <f t="shared" si="591"/>
        <v>0</v>
      </c>
      <c r="CY653">
        <f t="shared" si="592"/>
        <v>0</v>
      </c>
      <c r="CZ653">
        <f t="shared" si="593"/>
        <v>0</v>
      </c>
      <c r="DC653" t="s">
        <v>3</v>
      </c>
      <c r="DD653" t="s">
        <v>3</v>
      </c>
      <c r="DE653" t="s">
        <v>3</v>
      </c>
      <c r="DF653" t="s">
        <v>3</v>
      </c>
      <c r="DG653" t="s">
        <v>3</v>
      </c>
      <c r="DH653" t="s">
        <v>3</v>
      </c>
      <c r="DI653" t="s">
        <v>3</v>
      </c>
      <c r="DJ653" t="s">
        <v>3</v>
      </c>
      <c r="DK653" t="s">
        <v>3</v>
      </c>
      <c r="DL653" t="s">
        <v>3</v>
      </c>
      <c r="DM653" t="s">
        <v>3</v>
      </c>
      <c r="DN653">
        <v>0</v>
      </c>
      <c r="DO653">
        <v>0</v>
      </c>
      <c r="DP653">
        <v>1</v>
      </c>
      <c r="DQ653">
        <v>1</v>
      </c>
      <c r="DU653">
        <v>1003</v>
      </c>
      <c r="DV653" t="s">
        <v>810</v>
      </c>
      <c r="DW653" t="s">
        <v>810</v>
      </c>
      <c r="DX653">
        <v>1000</v>
      </c>
      <c r="DZ653" t="s">
        <v>3</v>
      </c>
      <c r="EA653" t="s">
        <v>3</v>
      </c>
      <c r="EB653" t="s">
        <v>3</v>
      </c>
      <c r="EC653" t="s">
        <v>3</v>
      </c>
      <c r="EE653">
        <v>43089696</v>
      </c>
      <c r="EF653">
        <v>201</v>
      </c>
      <c r="EG653" t="s">
        <v>812</v>
      </c>
      <c r="EH653">
        <v>0</v>
      </c>
      <c r="EI653" t="s">
        <v>3</v>
      </c>
      <c r="EJ653">
        <v>2</v>
      </c>
      <c r="EK653">
        <v>1618</v>
      </c>
      <c r="EL653" t="s">
        <v>813</v>
      </c>
      <c r="EM653" t="s">
        <v>814</v>
      </c>
      <c r="EO653" t="s">
        <v>3</v>
      </c>
      <c r="EQ653">
        <v>0</v>
      </c>
      <c r="ER653">
        <v>3973.1</v>
      </c>
      <c r="ES653">
        <v>3973.1</v>
      </c>
      <c r="ET653">
        <v>0</v>
      </c>
      <c r="EU653">
        <v>0</v>
      </c>
      <c r="EV653">
        <v>0</v>
      </c>
      <c r="EW653">
        <v>0</v>
      </c>
      <c r="EX653">
        <v>0</v>
      </c>
      <c r="EY653">
        <v>0</v>
      </c>
      <c r="FQ653">
        <v>0</v>
      </c>
      <c r="FR653">
        <f t="shared" si="594"/>
        <v>0</v>
      </c>
      <c r="FS653">
        <v>0</v>
      </c>
      <c r="FX653">
        <v>0</v>
      </c>
      <c r="FY653">
        <v>0</v>
      </c>
      <c r="GA653" t="s">
        <v>3</v>
      </c>
      <c r="GD653">
        <v>0</v>
      </c>
      <c r="GF653">
        <v>2047251595</v>
      </c>
      <c r="GG653">
        <v>2</v>
      </c>
      <c r="GH653">
        <v>1</v>
      </c>
      <c r="GI653">
        <v>2</v>
      </c>
      <c r="GJ653">
        <v>0</v>
      </c>
      <c r="GK653">
        <f>ROUND(R653*(R12)/100,2)</f>
        <v>0</v>
      </c>
      <c r="GL653">
        <f t="shared" si="595"/>
        <v>0</v>
      </c>
      <c r="GM653">
        <f t="shared" si="596"/>
        <v>1115.6199999999999</v>
      </c>
      <c r="GN653">
        <f t="shared" si="597"/>
        <v>0</v>
      </c>
      <c r="GO653">
        <f t="shared" si="598"/>
        <v>1115.6199999999999</v>
      </c>
      <c r="GP653">
        <f t="shared" si="599"/>
        <v>0</v>
      </c>
      <c r="GR653">
        <v>0</v>
      </c>
      <c r="GS653">
        <v>3</v>
      </c>
      <c r="GT653">
        <v>0</v>
      </c>
      <c r="GU653" t="s">
        <v>3</v>
      </c>
      <c r="GV653">
        <f t="shared" si="600"/>
        <v>0</v>
      </c>
      <c r="GW653">
        <v>1</v>
      </c>
      <c r="GX653">
        <f t="shared" si="601"/>
        <v>0</v>
      </c>
      <c r="HA653">
        <v>0</v>
      </c>
      <c r="HB653">
        <v>0</v>
      </c>
      <c r="HC653">
        <f t="shared" si="602"/>
        <v>0</v>
      </c>
      <c r="HE653" t="s">
        <v>3</v>
      </c>
      <c r="HF653" t="s">
        <v>3</v>
      </c>
      <c r="HM653" t="s">
        <v>3</v>
      </c>
      <c r="IK653">
        <v>0</v>
      </c>
    </row>
    <row r="654" spans="1:245" x14ac:dyDescent="0.2">
      <c r="A654">
        <v>17</v>
      </c>
      <c r="B654">
        <v>1</v>
      </c>
      <c r="E654" t="s">
        <v>815</v>
      </c>
      <c r="F654" t="s">
        <v>816</v>
      </c>
      <c r="G654" t="s">
        <v>817</v>
      </c>
      <c r="H654" t="s">
        <v>169</v>
      </c>
      <c r="I654">
        <v>1</v>
      </c>
      <c r="J654">
        <v>0</v>
      </c>
      <c r="K654">
        <v>1</v>
      </c>
      <c r="O654">
        <f t="shared" si="563"/>
        <v>7032.18</v>
      </c>
      <c r="P654">
        <f t="shared" si="564"/>
        <v>7032.18</v>
      </c>
      <c r="Q654">
        <f t="shared" si="565"/>
        <v>0</v>
      </c>
      <c r="R654">
        <f t="shared" si="566"/>
        <v>0</v>
      </c>
      <c r="S654">
        <f t="shared" si="567"/>
        <v>0</v>
      </c>
      <c r="T654">
        <f t="shared" si="568"/>
        <v>0</v>
      </c>
      <c r="U654">
        <f t="shared" si="569"/>
        <v>0</v>
      </c>
      <c r="V654">
        <f t="shared" si="570"/>
        <v>0</v>
      </c>
      <c r="W654">
        <f t="shared" si="571"/>
        <v>0</v>
      </c>
      <c r="X654">
        <f t="shared" si="572"/>
        <v>0</v>
      </c>
      <c r="Y654">
        <f t="shared" si="573"/>
        <v>0</v>
      </c>
      <c r="AA654">
        <v>42938047</v>
      </c>
      <c r="AB654">
        <f t="shared" si="574"/>
        <v>2400.06</v>
      </c>
      <c r="AC654">
        <f t="shared" si="575"/>
        <v>2400.06</v>
      </c>
      <c r="AD654">
        <f t="shared" si="576"/>
        <v>0</v>
      </c>
      <c r="AE654">
        <f t="shared" si="577"/>
        <v>0</v>
      </c>
      <c r="AF654">
        <f t="shared" si="578"/>
        <v>0</v>
      </c>
      <c r="AG654">
        <f t="shared" si="579"/>
        <v>0</v>
      </c>
      <c r="AH654">
        <f t="shared" si="580"/>
        <v>0</v>
      </c>
      <c r="AI654">
        <f t="shared" si="581"/>
        <v>0</v>
      </c>
      <c r="AJ654">
        <f t="shared" si="582"/>
        <v>0</v>
      </c>
      <c r="AK654">
        <v>2400.06</v>
      </c>
      <c r="AL654">
        <v>2400.06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1</v>
      </c>
      <c r="AW654">
        <v>1</v>
      </c>
      <c r="AZ654">
        <v>1</v>
      </c>
      <c r="BA654">
        <v>1</v>
      </c>
      <c r="BB654">
        <v>1</v>
      </c>
      <c r="BC654">
        <v>2.93</v>
      </c>
      <c r="BD654" t="s">
        <v>3</v>
      </c>
      <c r="BE654" t="s">
        <v>3</v>
      </c>
      <c r="BF654" t="s">
        <v>3</v>
      </c>
      <c r="BG654" t="s">
        <v>3</v>
      </c>
      <c r="BH654">
        <v>3</v>
      </c>
      <c r="BI654">
        <v>2</v>
      </c>
      <c r="BJ654" t="s">
        <v>818</v>
      </c>
      <c r="BM654">
        <v>1618</v>
      </c>
      <c r="BN654">
        <v>0</v>
      </c>
      <c r="BO654" t="s">
        <v>816</v>
      </c>
      <c r="BP654">
        <v>1</v>
      </c>
      <c r="BQ654">
        <v>201</v>
      </c>
      <c r="BR654">
        <v>0</v>
      </c>
      <c r="BS654">
        <v>1</v>
      </c>
      <c r="BT654">
        <v>1</v>
      </c>
      <c r="BU654">
        <v>1</v>
      </c>
      <c r="BV654">
        <v>1</v>
      </c>
      <c r="BW654">
        <v>1</v>
      </c>
      <c r="BX654">
        <v>1</v>
      </c>
      <c r="BY654" t="s">
        <v>3</v>
      </c>
      <c r="BZ654">
        <v>0</v>
      </c>
      <c r="CA654">
        <v>0</v>
      </c>
      <c r="CB654" t="s">
        <v>3</v>
      </c>
      <c r="CE654">
        <v>30</v>
      </c>
      <c r="CF654">
        <v>0</v>
      </c>
      <c r="CG654">
        <v>0</v>
      </c>
      <c r="CM654">
        <v>0</v>
      </c>
      <c r="CN654" t="s">
        <v>3</v>
      </c>
      <c r="CO654">
        <v>0</v>
      </c>
      <c r="CP654">
        <f t="shared" si="583"/>
        <v>7032.18</v>
      </c>
      <c r="CQ654">
        <f t="shared" si="584"/>
        <v>7032.18</v>
      </c>
      <c r="CR654">
        <f t="shared" si="585"/>
        <v>0</v>
      </c>
      <c r="CS654">
        <f t="shared" si="586"/>
        <v>0</v>
      </c>
      <c r="CT654">
        <f t="shared" si="587"/>
        <v>0</v>
      </c>
      <c r="CU654">
        <f t="shared" si="588"/>
        <v>0</v>
      </c>
      <c r="CV654">
        <f t="shared" si="589"/>
        <v>0</v>
      </c>
      <c r="CW654">
        <f t="shared" si="590"/>
        <v>0</v>
      </c>
      <c r="CX654">
        <f t="shared" si="591"/>
        <v>0</v>
      </c>
      <c r="CY654">
        <f t="shared" si="592"/>
        <v>0</v>
      </c>
      <c r="CZ654">
        <f t="shared" si="593"/>
        <v>0</v>
      </c>
      <c r="DC654" t="s">
        <v>3</v>
      </c>
      <c r="DD654" t="s">
        <v>3</v>
      </c>
      <c r="DE654" t="s">
        <v>3</v>
      </c>
      <c r="DF654" t="s">
        <v>3</v>
      </c>
      <c r="DG654" t="s">
        <v>3</v>
      </c>
      <c r="DH654" t="s">
        <v>3</v>
      </c>
      <c r="DI654" t="s">
        <v>3</v>
      </c>
      <c r="DJ654" t="s">
        <v>3</v>
      </c>
      <c r="DK654" t="s">
        <v>3</v>
      </c>
      <c r="DL654" t="s">
        <v>3</v>
      </c>
      <c r="DM654" t="s">
        <v>3</v>
      </c>
      <c r="DN654">
        <v>0</v>
      </c>
      <c r="DO654">
        <v>0</v>
      </c>
      <c r="DP654">
        <v>1</v>
      </c>
      <c r="DQ654">
        <v>1</v>
      </c>
      <c r="DU654">
        <v>1010</v>
      </c>
      <c r="DV654" t="s">
        <v>169</v>
      </c>
      <c r="DW654" t="s">
        <v>169</v>
      </c>
      <c r="DX654">
        <v>1</v>
      </c>
      <c r="DZ654" t="s">
        <v>3</v>
      </c>
      <c r="EA654" t="s">
        <v>3</v>
      </c>
      <c r="EB654" t="s">
        <v>3</v>
      </c>
      <c r="EC654" t="s">
        <v>3</v>
      </c>
      <c r="EE654">
        <v>43089696</v>
      </c>
      <c r="EF654">
        <v>201</v>
      </c>
      <c r="EG654" t="s">
        <v>812</v>
      </c>
      <c r="EH654">
        <v>0</v>
      </c>
      <c r="EI654" t="s">
        <v>3</v>
      </c>
      <c r="EJ654">
        <v>2</v>
      </c>
      <c r="EK654">
        <v>1618</v>
      </c>
      <c r="EL654" t="s">
        <v>813</v>
      </c>
      <c r="EM654" t="s">
        <v>814</v>
      </c>
      <c r="EO654" t="s">
        <v>3</v>
      </c>
      <c r="EQ654">
        <v>0</v>
      </c>
      <c r="ER654">
        <v>2400.06</v>
      </c>
      <c r="ES654">
        <v>2400.06</v>
      </c>
      <c r="ET654">
        <v>0</v>
      </c>
      <c r="EU654">
        <v>0</v>
      </c>
      <c r="EV654">
        <v>0</v>
      </c>
      <c r="EW654">
        <v>0</v>
      </c>
      <c r="EX654">
        <v>0</v>
      </c>
      <c r="EY654">
        <v>0</v>
      </c>
      <c r="FQ654">
        <v>0</v>
      </c>
      <c r="FR654">
        <f t="shared" si="594"/>
        <v>0</v>
      </c>
      <c r="FS654">
        <v>0</v>
      </c>
      <c r="FX654">
        <v>0</v>
      </c>
      <c r="FY654">
        <v>0</v>
      </c>
      <c r="GA654" t="s">
        <v>3</v>
      </c>
      <c r="GD654">
        <v>0</v>
      </c>
      <c r="GF654">
        <v>591473698</v>
      </c>
      <c r="GG654">
        <v>2</v>
      </c>
      <c r="GH654">
        <v>1</v>
      </c>
      <c r="GI654">
        <v>2</v>
      </c>
      <c r="GJ654">
        <v>0</v>
      </c>
      <c r="GK654">
        <f>ROUND(R654*(R12)/100,2)</f>
        <v>0</v>
      </c>
      <c r="GL654">
        <f t="shared" si="595"/>
        <v>0</v>
      </c>
      <c r="GM654">
        <f t="shared" si="596"/>
        <v>7032.18</v>
      </c>
      <c r="GN654">
        <f t="shared" si="597"/>
        <v>0</v>
      </c>
      <c r="GO654">
        <f t="shared" si="598"/>
        <v>7032.18</v>
      </c>
      <c r="GP654">
        <f t="shared" si="599"/>
        <v>0</v>
      </c>
      <c r="GR654">
        <v>0</v>
      </c>
      <c r="GS654">
        <v>3</v>
      </c>
      <c r="GT654">
        <v>0</v>
      </c>
      <c r="GU654" t="s">
        <v>3</v>
      </c>
      <c r="GV654">
        <f t="shared" si="600"/>
        <v>0</v>
      </c>
      <c r="GW654">
        <v>1</v>
      </c>
      <c r="GX654">
        <f t="shared" si="601"/>
        <v>0</v>
      </c>
      <c r="HA654">
        <v>0</v>
      </c>
      <c r="HB654">
        <v>0</v>
      </c>
      <c r="HC654">
        <f t="shared" si="602"/>
        <v>0</v>
      </c>
      <c r="HE654" t="s">
        <v>3</v>
      </c>
      <c r="HF654" t="s">
        <v>3</v>
      </c>
      <c r="HM654" t="s">
        <v>3</v>
      </c>
      <c r="IK654">
        <v>0</v>
      </c>
    </row>
    <row r="655" spans="1:245" x14ac:dyDescent="0.2">
      <c r="A655">
        <v>17</v>
      </c>
      <c r="B655">
        <v>1</v>
      </c>
      <c r="E655" t="s">
        <v>819</v>
      </c>
      <c r="F655" t="s">
        <v>118</v>
      </c>
      <c r="G655" t="s">
        <v>820</v>
      </c>
      <c r="H655" t="s">
        <v>131</v>
      </c>
      <c r="I655">
        <v>25</v>
      </c>
      <c r="J655">
        <v>0</v>
      </c>
      <c r="K655">
        <v>25</v>
      </c>
      <c r="O655">
        <f t="shared" si="563"/>
        <v>24480.33</v>
      </c>
      <c r="P655">
        <f t="shared" si="564"/>
        <v>24480.33</v>
      </c>
      <c r="Q655">
        <f t="shared" si="565"/>
        <v>0</v>
      </c>
      <c r="R655">
        <f t="shared" si="566"/>
        <v>0</v>
      </c>
      <c r="S655">
        <f t="shared" si="567"/>
        <v>0</v>
      </c>
      <c r="T655">
        <f t="shared" si="568"/>
        <v>0</v>
      </c>
      <c r="U655">
        <f t="shared" si="569"/>
        <v>0</v>
      </c>
      <c r="V655">
        <f t="shared" si="570"/>
        <v>0</v>
      </c>
      <c r="W655">
        <f t="shared" si="571"/>
        <v>0</v>
      </c>
      <c r="X655">
        <f t="shared" si="572"/>
        <v>0</v>
      </c>
      <c r="Y655">
        <f t="shared" si="573"/>
        <v>0</v>
      </c>
      <c r="AA655">
        <v>42938047</v>
      </c>
      <c r="AB655">
        <f t="shared" si="574"/>
        <v>154.44999999999999</v>
      </c>
      <c r="AC655">
        <f t="shared" si="575"/>
        <v>154.44999999999999</v>
      </c>
      <c r="AD655">
        <f t="shared" si="576"/>
        <v>0</v>
      </c>
      <c r="AE655">
        <f t="shared" si="577"/>
        <v>0</v>
      </c>
      <c r="AF655">
        <f t="shared" si="578"/>
        <v>0</v>
      </c>
      <c r="AG655">
        <f t="shared" si="579"/>
        <v>0</v>
      </c>
      <c r="AH655">
        <f t="shared" si="580"/>
        <v>0</v>
      </c>
      <c r="AI655">
        <f t="shared" si="581"/>
        <v>0</v>
      </c>
      <c r="AJ655">
        <f t="shared" si="582"/>
        <v>0</v>
      </c>
      <c r="AK655">
        <v>154.44999999999999</v>
      </c>
      <c r="AL655">
        <v>154.44999999999999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1</v>
      </c>
      <c r="AW655">
        <v>1</v>
      </c>
      <c r="AZ655">
        <v>1</v>
      </c>
      <c r="BA655">
        <v>1</v>
      </c>
      <c r="BB655">
        <v>1</v>
      </c>
      <c r="BC655">
        <v>6.34</v>
      </c>
      <c r="BD655" t="s">
        <v>3</v>
      </c>
      <c r="BE655" t="s">
        <v>3</v>
      </c>
      <c r="BF655" t="s">
        <v>3</v>
      </c>
      <c r="BG655" t="s">
        <v>3</v>
      </c>
      <c r="BH655">
        <v>3</v>
      </c>
      <c r="BI655">
        <v>1</v>
      </c>
      <c r="BJ655" t="s">
        <v>3</v>
      </c>
      <c r="BM655">
        <v>400002</v>
      </c>
      <c r="BN655">
        <v>0</v>
      </c>
      <c r="BO655" t="s">
        <v>3</v>
      </c>
      <c r="BP655">
        <v>0</v>
      </c>
      <c r="BQ655">
        <v>202</v>
      </c>
      <c r="BR655">
        <v>0</v>
      </c>
      <c r="BS655">
        <v>1</v>
      </c>
      <c r="BT655">
        <v>1</v>
      </c>
      <c r="BU655">
        <v>1</v>
      </c>
      <c r="BV655">
        <v>1</v>
      </c>
      <c r="BW655">
        <v>1</v>
      </c>
      <c r="BX655">
        <v>1</v>
      </c>
      <c r="BY655" t="s">
        <v>3</v>
      </c>
      <c r="BZ655">
        <v>0</v>
      </c>
      <c r="CA655">
        <v>0</v>
      </c>
      <c r="CB655" t="s">
        <v>3</v>
      </c>
      <c r="CE655">
        <v>30</v>
      </c>
      <c r="CF655">
        <v>0</v>
      </c>
      <c r="CG655">
        <v>0</v>
      </c>
      <c r="CM655">
        <v>0</v>
      </c>
      <c r="CN655" t="s">
        <v>3</v>
      </c>
      <c r="CO655">
        <v>0</v>
      </c>
      <c r="CP655">
        <f t="shared" si="583"/>
        <v>24480.33</v>
      </c>
      <c r="CQ655">
        <f t="shared" si="584"/>
        <v>979.21</v>
      </c>
      <c r="CR655">
        <f t="shared" si="585"/>
        <v>0</v>
      </c>
      <c r="CS655">
        <f t="shared" si="586"/>
        <v>0</v>
      </c>
      <c r="CT655">
        <f t="shared" si="587"/>
        <v>0</v>
      </c>
      <c r="CU655">
        <f t="shared" si="588"/>
        <v>0</v>
      </c>
      <c r="CV655">
        <f t="shared" si="589"/>
        <v>0</v>
      </c>
      <c r="CW655">
        <f t="shared" si="590"/>
        <v>0</v>
      </c>
      <c r="CX655">
        <f t="shared" si="591"/>
        <v>0</v>
      </c>
      <c r="CY655">
        <f t="shared" si="592"/>
        <v>0</v>
      </c>
      <c r="CZ655">
        <f t="shared" si="593"/>
        <v>0</v>
      </c>
      <c r="DC655" t="s">
        <v>3</v>
      </c>
      <c r="DD655" t="s">
        <v>3</v>
      </c>
      <c r="DE655" t="s">
        <v>3</v>
      </c>
      <c r="DF655" t="s">
        <v>3</v>
      </c>
      <c r="DG655" t="s">
        <v>3</v>
      </c>
      <c r="DH655" t="s">
        <v>3</v>
      </c>
      <c r="DI655" t="s">
        <v>3</v>
      </c>
      <c r="DJ655" t="s">
        <v>3</v>
      </c>
      <c r="DK655" t="s">
        <v>3</v>
      </c>
      <c r="DL655" t="s">
        <v>3</v>
      </c>
      <c r="DM655" t="s">
        <v>3</v>
      </c>
      <c r="DN655">
        <v>0</v>
      </c>
      <c r="DO655">
        <v>0</v>
      </c>
      <c r="DP655">
        <v>1</v>
      </c>
      <c r="DQ655">
        <v>1</v>
      </c>
      <c r="DU655">
        <v>1009</v>
      </c>
      <c r="DV655" t="s">
        <v>131</v>
      </c>
      <c r="DW655" t="s">
        <v>131</v>
      </c>
      <c r="DX655">
        <v>1</v>
      </c>
      <c r="DZ655" t="s">
        <v>3</v>
      </c>
      <c r="EA655" t="s">
        <v>3</v>
      </c>
      <c r="EB655" t="s">
        <v>3</v>
      </c>
      <c r="EC655" t="s">
        <v>3</v>
      </c>
      <c r="EE655">
        <v>43090149</v>
      </c>
      <c r="EF655">
        <v>202</v>
      </c>
      <c r="EG655" t="s">
        <v>346</v>
      </c>
      <c r="EH655">
        <v>0</v>
      </c>
      <c r="EI655" t="s">
        <v>3</v>
      </c>
      <c r="EJ655">
        <v>1</v>
      </c>
      <c r="EK655">
        <v>400002</v>
      </c>
      <c r="EL655" t="s">
        <v>347</v>
      </c>
      <c r="EM655" t="s">
        <v>346</v>
      </c>
      <c r="EO655" t="s">
        <v>3</v>
      </c>
      <c r="EQ655">
        <v>0</v>
      </c>
      <c r="ER655">
        <v>154.44999999999999</v>
      </c>
      <c r="ES655">
        <v>154.44999999999999</v>
      </c>
      <c r="ET655">
        <v>0</v>
      </c>
      <c r="EU655">
        <v>0</v>
      </c>
      <c r="EV655">
        <v>0</v>
      </c>
      <c r="EW655">
        <v>0</v>
      </c>
      <c r="EX655">
        <v>0</v>
      </c>
      <c r="EY655">
        <v>0</v>
      </c>
      <c r="EZ655">
        <v>5</v>
      </c>
      <c r="FC655">
        <v>1</v>
      </c>
      <c r="FD655">
        <v>18</v>
      </c>
      <c r="FF655">
        <v>1152</v>
      </c>
      <c r="FQ655">
        <v>0</v>
      </c>
      <c r="FR655">
        <f t="shared" si="594"/>
        <v>0</v>
      </c>
      <c r="FS655">
        <v>0</v>
      </c>
      <c r="FX655">
        <v>0</v>
      </c>
      <c r="FY655">
        <v>0</v>
      </c>
      <c r="GA655" t="s">
        <v>821</v>
      </c>
      <c r="GD655">
        <v>0</v>
      </c>
      <c r="GF655">
        <v>-1254330187</v>
      </c>
      <c r="GG655">
        <v>2</v>
      </c>
      <c r="GH655">
        <v>3</v>
      </c>
      <c r="GI655">
        <v>3</v>
      </c>
      <c r="GJ655">
        <v>0</v>
      </c>
      <c r="GK655">
        <f>ROUND(R655*(R12)/100,2)</f>
        <v>0</v>
      </c>
      <c r="GL655">
        <f t="shared" si="595"/>
        <v>0</v>
      </c>
      <c r="GM655">
        <f t="shared" si="596"/>
        <v>24480.33</v>
      </c>
      <c r="GN655">
        <f t="shared" si="597"/>
        <v>24480.33</v>
      </c>
      <c r="GO655">
        <f t="shared" si="598"/>
        <v>0</v>
      </c>
      <c r="GP655">
        <f t="shared" si="599"/>
        <v>0</v>
      </c>
      <c r="GR655">
        <v>1</v>
      </c>
      <c r="GS655">
        <v>1</v>
      </c>
      <c r="GT655">
        <v>0</v>
      </c>
      <c r="GU655" t="s">
        <v>3</v>
      </c>
      <c r="GV655">
        <f t="shared" si="600"/>
        <v>0</v>
      </c>
      <c r="GW655">
        <v>1</v>
      </c>
      <c r="GX655">
        <f t="shared" si="601"/>
        <v>0</v>
      </c>
      <c r="HA655">
        <v>0</v>
      </c>
      <c r="HB655">
        <v>0</v>
      </c>
      <c r="HC655">
        <f t="shared" si="602"/>
        <v>0</v>
      </c>
      <c r="HE655" t="s">
        <v>26</v>
      </c>
      <c r="HF655" t="s">
        <v>122</v>
      </c>
      <c r="HM655" t="s">
        <v>3</v>
      </c>
      <c r="IK655">
        <v>0</v>
      </c>
    </row>
    <row r="656" spans="1:245" x14ac:dyDescent="0.2">
      <c r="A656">
        <v>17</v>
      </c>
      <c r="B656">
        <v>1</v>
      </c>
      <c r="E656" t="s">
        <v>822</v>
      </c>
      <c r="F656" t="s">
        <v>118</v>
      </c>
      <c r="G656" t="s">
        <v>823</v>
      </c>
      <c r="H656" t="s">
        <v>131</v>
      </c>
      <c r="I656">
        <v>10</v>
      </c>
      <c r="J656">
        <v>0</v>
      </c>
      <c r="K656">
        <v>10</v>
      </c>
      <c r="O656">
        <f t="shared" si="563"/>
        <v>42142.61</v>
      </c>
      <c r="P656">
        <f t="shared" si="564"/>
        <v>42142.61</v>
      </c>
      <c r="Q656">
        <f t="shared" si="565"/>
        <v>0</v>
      </c>
      <c r="R656">
        <f t="shared" si="566"/>
        <v>0</v>
      </c>
      <c r="S656">
        <f t="shared" si="567"/>
        <v>0</v>
      </c>
      <c r="T656">
        <f t="shared" si="568"/>
        <v>0</v>
      </c>
      <c r="U656">
        <f t="shared" si="569"/>
        <v>0</v>
      </c>
      <c r="V656">
        <f t="shared" si="570"/>
        <v>0</v>
      </c>
      <c r="W656">
        <f t="shared" si="571"/>
        <v>0</v>
      </c>
      <c r="X656">
        <f t="shared" si="572"/>
        <v>0</v>
      </c>
      <c r="Y656">
        <f t="shared" si="573"/>
        <v>0</v>
      </c>
      <c r="AA656">
        <v>42938047</v>
      </c>
      <c r="AB656">
        <f t="shared" si="574"/>
        <v>664.71</v>
      </c>
      <c r="AC656">
        <f t="shared" si="575"/>
        <v>664.71</v>
      </c>
      <c r="AD656">
        <f t="shared" si="576"/>
        <v>0</v>
      </c>
      <c r="AE656">
        <f t="shared" si="577"/>
        <v>0</v>
      </c>
      <c r="AF656">
        <f t="shared" si="578"/>
        <v>0</v>
      </c>
      <c r="AG656">
        <f t="shared" si="579"/>
        <v>0</v>
      </c>
      <c r="AH656">
        <f t="shared" si="580"/>
        <v>0</v>
      </c>
      <c r="AI656">
        <f t="shared" si="581"/>
        <v>0</v>
      </c>
      <c r="AJ656">
        <f t="shared" si="582"/>
        <v>0</v>
      </c>
      <c r="AK656">
        <v>664.70999999999992</v>
      </c>
      <c r="AL656">
        <v>664.70999999999992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1</v>
      </c>
      <c r="AW656">
        <v>1</v>
      </c>
      <c r="AZ656">
        <v>1</v>
      </c>
      <c r="BA656">
        <v>1</v>
      </c>
      <c r="BB656">
        <v>1</v>
      </c>
      <c r="BC656">
        <v>6.34</v>
      </c>
      <c r="BD656" t="s">
        <v>3</v>
      </c>
      <c r="BE656" t="s">
        <v>3</v>
      </c>
      <c r="BF656" t="s">
        <v>3</v>
      </c>
      <c r="BG656" t="s">
        <v>3</v>
      </c>
      <c r="BH656">
        <v>3</v>
      </c>
      <c r="BI656">
        <v>1</v>
      </c>
      <c r="BJ656" t="s">
        <v>3</v>
      </c>
      <c r="BM656">
        <v>400002</v>
      </c>
      <c r="BN656">
        <v>0</v>
      </c>
      <c r="BO656" t="s">
        <v>3</v>
      </c>
      <c r="BP656">
        <v>0</v>
      </c>
      <c r="BQ656">
        <v>202</v>
      </c>
      <c r="BR656">
        <v>0</v>
      </c>
      <c r="BS656">
        <v>1</v>
      </c>
      <c r="BT656">
        <v>1</v>
      </c>
      <c r="BU656">
        <v>1</v>
      </c>
      <c r="BV656">
        <v>1</v>
      </c>
      <c r="BW656">
        <v>1</v>
      </c>
      <c r="BX656">
        <v>1</v>
      </c>
      <c r="BY656" t="s">
        <v>3</v>
      </c>
      <c r="BZ656">
        <v>0</v>
      </c>
      <c r="CA656">
        <v>0</v>
      </c>
      <c r="CB656" t="s">
        <v>3</v>
      </c>
      <c r="CE656">
        <v>30</v>
      </c>
      <c r="CF656">
        <v>0</v>
      </c>
      <c r="CG656">
        <v>0</v>
      </c>
      <c r="CM656">
        <v>0</v>
      </c>
      <c r="CN656" t="s">
        <v>3</v>
      </c>
      <c r="CO656">
        <v>0</v>
      </c>
      <c r="CP656">
        <f t="shared" si="583"/>
        <v>42142.61</v>
      </c>
      <c r="CQ656">
        <f t="shared" si="584"/>
        <v>4214.26</v>
      </c>
      <c r="CR656">
        <f t="shared" si="585"/>
        <v>0</v>
      </c>
      <c r="CS656">
        <f t="shared" si="586"/>
        <v>0</v>
      </c>
      <c r="CT656">
        <f t="shared" si="587"/>
        <v>0</v>
      </c>
      <c r="CU656">
        <f t="shared" si="588"/>
        <v>0</v>
      </c>
      <c r="CV656">
        <f t="shared" si="589"/>
        <v>0</v>
      </c>
      <c r="CW656">
        <f t="shared" si="590"/>
        <v>0</v>
      </c>
      <c r="CX656">
        <f t="shared" si="591"/>
        <v>0</v>
      </c>
      <c r="CY656">
        <f t="shared" si="592"/>
        <v>0</v>
      </c>
      <c r="CZ656">
        <f t="shared" si="593"/>
        <v>0</v>
      </c>
      <c r="DC656" t="s">
        <v>3</v>
      </c>
      <c r="DD656" t="s">
        <v>3</v>
      </c>
      <c r="DE656" t="s">
        <v>3</v>
      </c>
      <c r="DF656" t="s">
        <v>3</v>
      </c>
      <c r="DG656" t="s">
        <v>3</v>
      </c>
      <c r="DH656" t="s">
        <v>3</v>
      </c>
      <c r="DI656" t="s">
        <v>3</v>
      </c>
      <c r="DJ656" t="s">
        <v>3</v>
      </c>
      <c r="DK656" t="s">
        <v>3</v>
      </c>
      <c r="DL656" t="s">
        <v>3</v>
      </c>
      <c r="DM656" t="s">
        <v>3</v>
      </c>
      <c r="DN656">
        <v>0</v>
      </c>
      <c r="DO656">
        <v>0</v>
      </c>
      <c r="DP656">
        <v>1</v>
      </c>
      <c r="DQ656">
        <v>1</v>
      </c>
      <c r="DU656">
        <v>1009</v>
      </c>
      <c r="DV656" t="s">
        <v>131</v>
      </c>
      <c r="DW656" t="s">
        <v>131</v>
      </c>
      <c r="DX656">
        <v>1</v>
      </c>
      <c r="DZ656" t="s">
        <v>3</v>
      </c>
      <c r="EA656" t="s">
        <v>3</v>
      </c>
      <c r="EB656" t="s">
        <v>3</v>
      </c>
      <c r="EC656" t="s">
        <v>3</v>
      </c>
      <c r="EE656">
        <v>43090149</v>
      </c>
      <c r="EF656">
        <v>202</v>
      </c>
      <c r="EG656" t="s">
        <v>346</v>
      </c>
      <c r="EH656">
        <v>0</v>
      </c>
      <c r="EI656" t="s">
        <v>3</v>
      </c>
      <c r="EJ656">
        <v>1</v>
      </c>
      <c r="EK656">
        <v>400002</v>
      </c>
      <c r="EL656" t="s">
        <v>347</v>
      </c>
      <c r="EM656" t="s">
        <v>346</v>
      </c>
      <c r="EO656" t="s">
        <v>3</v>
      </c>
      <c r="EQ656">
        <v>0</v>
      </c>
      <c r="ER656">
        <v>664.70999999999992</v>
      </c>
      <c r="ES656">
        <v>664.70999999999992</v>
      </c>
      <c r="ET656">
        <v>0</v>
      </c>
      <c r="EU656">
        <v>0</v>
      </c>
      <c r="EV656">
        <v>0</v>
      </c>
      <c r="EW656">
        <v>0</v>
      </c>
      <c r="EX656">
        <v>0</v>
      </c>
      <c r="EY656">
        <v>0</v>
      </c>
      <c r="EZ656">
        <v>5</v>
      </c>
      <c r="FC656">
        <v>1</v>
      </c>
      <c r="FD656">
        <v>18</v>
      </c>
      <c r="FF656">
        <v>4958</v>
      </c>
      <c r="FQ656">
        <v>0</v>
      </c>
      <c r="FR656">
        <f t="shared" si="594"/>
        <v>0</v>
      </c>
      <c r="FS656">
        <v>0</v>
      </c>
      <c r="FX656">
        <v>0</v>
      </c>
      <c r="FY656">
        <v>0</v>
      </c>
      <c r="GA656" t="s">
        <v>824</v>
      </c>
      <c r="GD656">
        <v>0</v>
      </c>
      <c r="GF656">
        <v>-1225188378</v>
      </c>
      <c r="GG656">
        <v>2</v>
      </c>
      <c r="GH656">
        <v>3</v>
      </c>
      <c r="GI656">
        <v>3</v>
      </c>
      <c r="GJ656">
        <v>0</v>
      </c>
      <c r="GK656">
        <f>ROUND(R656*(R12)/100,2)</f>
        <v>0</v>
      </c>
      <c r="GL656">
        <f t="shared" si="595"/>
        <v>0</v>
      </c>
      <c r="GM656">
        <f t="shared" si="596"/>
        <v>42142.61</v>
      </c>
      <c r="GN656">
        <f t="shared" si="597"/>
        <v>42142.61</v>
      </c>
      <c r="GO656">
        <f t="shared" si="598"/>
        <v>0</v>
      </c>
      <c r="GP656">
        <f t="shared" si="599"/>
        <v>0</v>
      </c>
      <c r="GR656">
        <v>1</v>
      </c>
      <c r="GS656">
        <v>1</v>
      </c>
      <c r="GT656">
        <v>0</v>
      </c>
      <c r="GU656" t="s">
        <v>3</v>
      </c>
      <c r="GV656">
        <f t="shared" si="600"/>
        <v>0</v>
      </c>
      <c r="GW656">
        <v>1</v>
      </c>
      <c r="GX656">
        <f t="shared" si="601"/>
        <v>0</v>
      </c>
      <c r="HA656">
        <v>0</v>
      </c>
      <c r="HB656">
        <v>0</v>
      </c>
      <c r="HC656">
        <f t="shared" si="602"/>
        <v>0</v>
      </c>
      <c r="HE656" t="s">
        <v>26</v>
      </c>
      <c r="HF656" t="s">
        <v>122</v>
      </c>
      <c r="HM656" t="s">
        <v>3</v>
      </c>
      <c r="IK656">
        <v>0</v>
      </c>
    </row>
    <row r="657" spans="1:245" x14ac:dyDescent="0.2">
      <c r="A657">
        <v>17</v>
      </c>
      <c r="B657">
        <v>1</v>
      </c>
      <c r="E657" t="s">
        <v>825</v>
      </c>
      <c r="F657" t="s">
        <v>118</v>
      </c>
      <c r="G657" t="s">
        <v>805</v>
      </c>
      <c r="H657" t="s">
        <v>169</v>
      </c>
      <c r="I657">
        <v>2</v>
      </c>
      <c r="J657">
        <v>0</v>
      </c>
      <c r="K657">
        <v>2</v>
      </c>
      <c r="O657">
        <f t="shared" si="563"/>
        <v>669.88</v>
      </c>
      <c r="P657">
        <f t="shared" si="564"/>
        <v>669.88</v>
      </c>
      <c r="Q657">
        <f t="shared" si="565"/>
        <v>0</v>
      </c>
      <c r="R657">
        <f t="shared" si="566"/>
        <v>0</v>
      </c>
      <c r="S657">
        <f t="shared" si="567"/>
        <v>0</v>
      </c>
      <c r="T657">
        <f t="shared" si="568"/>
        <v>0</v>
      </c>
      <c r="U657">
        <f t="shared" si="569"/>
        <v>0</v>
      </c>
      <c r="V657">
        <f t="shared" si="570"/>
        <v>0</v>
      </c>
      <c r="W657">
        <f t="shared" si="571"/>
        <v>0</v>
      </c>
      <c r="X657">
        <f t="shared" si="572"/>
        <v>0</v>
      </c>
      <c r="Y657">
        <f t="shared" si="573"/>
        <v>0</v>
      </c>
      <c r="AA657">
        <v>42938047</v>
      </c>
      <c r="AB657">
        <f t="shared" si="574"/>
        <v>52.83</v>
      </c>
      <c r="AC657">
        <f t="shared" si="575"/>
        <v>52.83</v>
      </c>
      <c r="AD657">
        <f t="shared" si="576"/>
        <v>0</v>
      </c>
      <c r="AE657">
        <f t="shared" si="577"/>
        <v>0</v>
      </c>
      <c r="AF657">
        <f t="shared" si="578"/>
        <v>0</v>
      </c>
      <c r="AG657">
        <f t="shared" si="579"/>
        <v>0</v>
      </c>
      <c r="AH657">
        <f t="shared" si="580"/>
        <v>0</v>
      </c>
      <c r="AI657">
        <f t="shared" si="581"/>
        <v>0</v>
      </c>
      <c r="AJ657">
        <f t="shared" si="582"/>
        <v>0</v>
      </c>
      <c r="AK657">
        <v>52.83</v>
      </c>
      <c r="AL657">
        <v>52.83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1</v>
      </c>
      <c r="AW657">
        <v>1</v>
      </c>
      <c r="AZ657">
        <v>1</v>
      </c>
      <c r="BA657">
        <v>1</v>
      </c>
      <c r="BB657">
        <v>1</v>
      </c>
      <c r="BC657">
        <v>6.34</v>
      </c>
      <c r="BD657" t="s">
        <v>3</v>
      </c>
      <c r="BE657" t="s">
        <v>3</v>
      </c>
      <c r="BF657" t="s">
        <v>3</v>
      </c>
      <c r="BG657" t="s">
        <v>3</v>
      </c>
      <c r="BH657">
        <v>3</v>
      </c>
      <c r="BI657">
        <v>1</v>
      </c>
      <c r="BJ657" t="s">
        <v>3</v>
      </c>
      <c r="BM657">
        <v>400002</v>
      </c>
      <c r="BN657">
        <v>0</v>
      </c>
      <c r="BO657" t="s">
        <v>3</v>
      </c>
      <c r="BP657">
        <v>0</v>
      </c>
      <c r="BQ657">
        <v>202</v>
      </c>
      <c r="BR657">
        <v>0</v>
      </c>
      <c r="BS657">
        <v>1</v>
      </c>
      <c r="BT657">
        <v>1</v>
      </c>
      <c r="BU657">
        <v>1</v>
      </c>
      <c r="BV657">
        <v>1</v>
      </c>
      <c r="BW657">
        <v>1</v>
      </c>
      <c r="BX657">
        <v>1</v>
      </c>
      <c r="BY657" t="s">
        <v>3</v>
      </c>
      <c r="BZ657">
        <v>0</v>
      </c>
      <c r="CA657">
        <v>0</v>
      </c>
      <c r="CB657" t="s">
        <v>3</v>
      </c>
      <c r="CE657">
        <v>30</v>
      </c>
      <c r="CF657">
        <v>0</v>
      </c>
      <c r="CG657">
        <v>0</v>
      </c>
      <c r="CM657">
        <v>0</v>
      </c>
      <c r="CN657" t="s">
        <v>3</v>
      </c>
      <c r="CO657">
        <v>0</v>
      </c>
      <c r="CP657">
        <f t="shared" si="583"/>
        <v>669.88</v>
      </c>
      <c r="CQ657">
        <f t="shared" si="584"/>
        <v>334.94</v>
      </c>
      <c r="CR657">
        <f t="shared" si="585"/>
        <v>0</v>
      </c>
      <c r="CS657">
        <f t="shared" si="586"/>
        <v>0</v>
      </c>
      <c r="CT657">
        <f t="shared" si="587"/>
        <v>0</v>
      </c>
      <c r="CU657">
        <f t="shared" si="588"/>
        <v>0</v>
      </c>
      <c r="CV657">
        <f t="shared" si="589"/>
        <v>0</v>
      </c>
      <c r="CW657">
        <f t="shared" si="590"/>
        <v>0</v>
      </c>
      <c r="CX657">
        <f t="shared" si="591"/>
        <v>0</v>
      </c>
      <c r="CY657">
        <f t="shared" si="592"/>
        <v>0</v>
      </c>
      <c r="CZ657">
        <f t="shared" si="593"/>
        <v>0</v>
      </c>
      <c r="DC657" t="s">
        <v>3</v>
      </c>
      <c r="DD657" t="s">
        <v>3</v>
      </c>
      <c r="DE657" t="s">
        <v>3</v>
      </c>
      <c r="DF657" t="s">
        <v>3</v>
      </c>
      <c r="DG657" t="s">
        <v>3</v>
      </c>
      <c r="DH657" t="s">
        <v>3</v>
      </c>
      <c r="DI657" t="s">
        <v>3</v>
      </c>
      <c r="DJ657" t="s">
        <v>3</v>
      </c>
      <c r="DK657" t="s">
        <v>3</v>
      </c>
      <c r="DL657" t="s">
        <v>3</v>
      </c>
      <c r="DM657" t="s">
        <v>3</v>
      </c>
      <c r="DN657">
        <v>0</v>
      </c>
      <c r="DO657">
        <v>0</v>
      </c>
      <c r="DP657">
        <v>1</v>
      </c>
      <c r="DQ657">
        <v>1</v>
      </c>
      <c r="DU657">
        <v>1010</v>
      </c>
      <c r="DV657" t="s">
        <v>169</v>
      </c>
      <c r="DW657" t="s">
        <v>169</v>
      </c>
      <c r="DX657">
        <v>1</v>
      </c>
      <c r="DZ657" t="s">
        <v>3</v>
      </c>
      <c r="EA657" t="s">
        <v>3</v>
      </c>
      <c r="EB657" t="s">
        <v>3</v>
      </c>
      <c r="EC657" t="s">
        <v>3</v>
      </c>
      <c r="EE657">
        <v>43090149</v>
      </c>
      <c r="EF657">
        <v>202</v>
      </c>
      <c r="EG657" t="s">
        <v>346</v>
      </c>
      <c r="EH657">
        <v>0</v>
      </c>
      <c r="EI657" t="s">
        <v>3</v>
      </c>
      <c r="EJ657">
        <v>1</v>
      </c>
      <c r="EK657">
        <v>400002</v>
      </c>
      <c r="EL657" t="s">
        <v>347</v>
      </c>
      <c r="EM657" t="s">
        <v>346</v>
      </c>
      <c r="EO657" t="s">
        <v>3</v>
      </c>
      <c r="EQ657">
        <v>0</v>
      </c>
      <c r="ER657">
        <v>52.83</v>
      </c>
      <c r="ES657">
        <v>52.83</v>
      </c>
      <c r="ET657">
        <v>0</v>
      </c>
      <c r="EU657">
        <v>0</v>
      </c>
      <c r="EV657">
        <v>0</v>
      </c>
      <c r="EW657">
        <v>0</v>
      </c>
      <c r="EX657">
        <v>0</v>
      </c>
      <c r="EY657">
        <v>0</v>
      </c>
      <c r="EZ657">
        <v>5</v>
      </c>
      <c r="FC657">
        <v>1</v>
      </c>
      <c r="FD657">
        <v>18</v>
      </c>
      <c r="FF657">
        <v>394</v>
      </c>
      <c r="FQ657">
        <v>0</v>
      </c>
      <c r="FR657">
        <f t="shared" si="594"/>
        <v>0</v>
      </c>
      <c r="FS657">
        <v>0</v>
      </c>
      <c r="FX657">
        <v>0</v>
      </c>
      <c r="FY657">
        <v>0</v>
      </c>
      <c r="GA657" t="s">
        <v>806</v>
      </c>
      <c r="GD657">
        <v>0</v>
      </c>
      <c r="GF657">
        <v>-1658253544</v>
      </c>
      <c r="GG657">
        <v>2</v>
      </c>
      <c r="GH657">
        <v>3</v>
      </c>
      <c r="GI657">
        <v>3</v>
      </c>
      <c r="GJ657">
        <v>0</v>
      </c>
      <c r="GK657">
        <f>ROUND(R657*(R12)/100,2)</f>
        <v>0</v>
      </c>
      <c r="GL657">
        <f t="shared" si="595"/>
        <v>0</v>
      </c>
      <c r="GM657">
        <f t="shared" si="596"/>
        <v>669.88</v>
      </c>
      <c r="GN657">
        <f t="shared" si="597"/>
        <v>669.88</v>
      </c>
      <c r="GO657">
        <f t="shared" si="598"/>
        <v>0</v>
      </c>
      <c r="GP657">
        <f t="shared" si="599"/>
        <v>0</v>
      </c>
      <c r="GR657">
        <v>1</v>
      </c>
      <c r="GS657">
        <v>1</v>
      </c>
      <c r="GT657">
        <v>0</v>
      </c>
      <c r="GU657" t="s">
        <v>3</v>
      </c>
      <c r="GV657">
        <f t="shared" si="600"/>
        <v>0</v>
      </c>
      <c r="GW657">
        <v>1</v>
      </c>
      <c r="GX657">
        <f t="shared" si="601"/>
        <v>0</v>
      </c>
      <c r="HA657">
        <v>0</v>
      </c>
      <c r="HB657">
        <v>0</v>
      </c>
      <c r="HC657">
        <f t="shared" si="602"/>
        <v>0</v>
      </c>
      <c r="HE657" t="s">
        <v>26</v>
      </c>
      <c r="HF657" t="s">
        <v>122</v>
      </c>
      <c r="HM657" t="s">
        <v>3</v>
      </c>
      <c r="IK657">
        <v>0</v>
      </c>
    </row>
    <row r="658" spans="1:245" x14ac:dyDescent="0.2">
      <c r="A658">
        <v>17</v>
      </c>
      <c r="B658">
        <v>1</v>
      </c>
      <c r="E658" t="s">
        <v>826</v>
      </c>
      <c r="F658" t="s">
        <v>118</v>
      </c>
      <c r="G658" t="s">
        <v>827</v>
      </c>
      <c r="H658" t="s">
        <v>828</v>
      </c>
      <c r="I658">
        <v>1</v>
      </c>
      <c r="J658">
        <v>0</v>
      </c>
      <c r="K658">
        <v>1</v>
      </c>
      <c r="O658">
        <f t="shared" si="563"/>
        <v>12749.99</v>
      </c>
      <c r="P658">
        <f t="shared" si="564"/>
        <v>12749.99</v>
      </c>
      <c r="Q658">
        <f t="shared" si="565"/>
        <v>0</v>
      </c>
      <c r="R658">
        <f t="shared" si="566"/>
        <v>0</v>
      </c>
      <c r="S658">
        <f t="shared" si="567"/>
        <v>0</v>
      </c>
      <c r="T658">
        <f t="shared" si="568"/>
        <v>0</v>
      </c>
      <c r="U658">
        <f t="shared" si="569"/>
        <v>0</v>
      </c>
      <c r="V658">
        <f t="shared" si="570"/>
        <v>0</v>
      </c>
      <c r="W658">
        <f t="shared" si="571"/>
        <v>0</v>
      </c>
      <c r="X658">
        <f t="shared" si="572"/>
        <v>0</v>
      </c>
      <c r="Y658">
        <f t="shared" si="573"/>
        <v>0</v>
      </c>
      <c r="AA658">
        <v>42938047</v>
      </c>
      <c r="AB658">
        <f t="shared" si="574"/>
        <v>2011.04</v>
      </c>
      <c r="AC658">
        <f t="shared" si="575"/>
        <v>2011.04</v>
      </c>
      <c r="AD658">
        <f t="shared" si="576"/>
        <v>0</v>
      </c>
      <c r="AE658">
        <f t="shared" si="577"/>
        <v>0</v>
      </c>
      <c r="AF658">
        <f t="shared" si="578"/>
        <v>0</v>
      </c>
      <c r="AG658">
        <f t="shared" si="579"/>
        <v>0</v>
      </c>
      <c r="AH658">
        <f t="shared" si="580"/>
        <v>0</v>
      </c>
      <c r="AI658">
        <f t="shared" si="581"/>
        <v>0</v>
      </c>
      <c r="AJ658">
        <f t="shared" si="582"/>
        <v>0</v>
      </c>
      <c r="AK658">
        <v>2011.04</v>
      </c>
      <c r="AL658">
        <v>2011.04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1</v>
      </c>
      <c r="AW658">
        <v>1</v>
      </c>
      <c r="AZ658">
        <v>1</v>
      </c>
      <c r="BA658">
        <v>1</v>
      </c>
      <c r="BB658">
        <v>1</v>
      </c>
      <c r="BC658">
        <v>6.34</v>
      </c>
      <c r="BD658" t="s">
        <v>3</v>
      </c>
      <c r="BE658" t="s">
        <v>3</v>
      </c>
      <c r="BF658" t="s">
        <v>3</v>
      </c>
      <c r="BG658" t="s">
        <v>3</v>
      </c>
      <c r="BH658">
        <v>3</v>
      </c>
      <c r="BI658">
        <v>1</v>
      </c>
      <c r="BJ658" t="s">
        <v>3</v>
      </c>
      <c r="BM658">
        <v>400002</v>
      </c>
      <c r="BN658">
        <v>0</v>
      </c>
      <c r="BO658" t="s">
        <v>3</v>
      </c>
      <c r="BP658">
        <v>0</v>
      </c>
      <c r="BQ658">
        <v>202</v>
      </c>
      <c r="BR658">
        <v>0</v>
      </c>
      <c r="BS658">
        <v>1</v>
      </c>
      <c r="BT658">
        <v>1</v>
      </c>
      <c r="BU658">
        <v>1</v>
      </c>
      <c r="BV658">
        <v>1</v>
      </c>
      <c r="BW658">
        <v>1</v>
      </c>
      <c r="BX658">
        <v>1</v>
      </c>
      <c r="BY658" t="s">
        <v>3</v>
      </c>
      <c r="BZ658">
        <v>0</v>
      </c>
      <c r="CA658">
        <v>0</v>
      </c>
      <c r="CB658" t="s">
        <v>3</v>
      </c>
      <c r="CE658">
        <v>30</v>
      </c>
      <c r="CF658">
        <v>0</v>
      </c>
      <c r="CG658">
        <v>0</v>
      </c>
      <c r="CM658">
        <v>0</v>
      </c>
      <c r="CN658" t="s">
        <v>3</v>
      </c>
      <c r="CO658">
        <v>0</v>
      </c>
      <c r="CP658">
        <f t="shared" si="583"/>
        <v>12749.99</v>
      </c>
      <c r="CQ658">
        <f t="shared" si="584"/>
        <v>12749.99</v>
      </c>
      <c r="CR658">
        <f t="shared" si="585"/>
        <v>0</v>
      </c>
      <c r="CS658">
        <f t="shared" si="586"/>
        <v>0</v>
      </c>
      <c r="CT658">
        <f t="shared" si="587"/>
        <v>0</v>
      </c>
      <c r="CU658">
        <f t="shared" si="588"/>
        <v>0</v>
      </c>
      <c r="CV658">
        <f t="shared" si="589"/>
        <v>0</v>
      </c>
      <c r="CW658">
        <f t="shared" si="590"/>
        <v>0</v>
      </c>
      <c r="CX658">
        <f t="shared" si="591"/>
        <v>0</v>
      </c>
      <c r="CY658">
        <f t="shared" si="592"/>
        <v>0</v>
      </c>
      <c r="CZ658">
        <f t="shared" si="593"/>
        <v>0</v>
      </c>
      <c r="DC658" t="s">
        <v>3</v>
      </c>
      <c r="DD658" t="s">
        <v>3</v>
      </c>
      <c r="DE658" t="s">
        <v>3</v>
      </c>
      <c r="DF658" t="s">
        <v>3</v>
      </c>
      <c r="DG658" t="s">
        <v>3</v>
      </c>
      <c r="DH658" t="s">
        <v>3</v>
      </c>
      <c r="DI658" t="s">
        <v>3</v>
      </c>
      <c r="DJ658" t="s">
        <v>3</v>
      </c>
      <c r="DK658" t="s">
        <v>3</v>
      </c>
      <c r="DL658" t="s">
        <v>3</v>
      </c>
      <c r="DM658" t="s">
        <v>3</v>
      </c>
      <c r="DN658">
        <v>0</v>
      </c>
      <c r="DO658">
        <v>0</v>
      </c>
      <c r="DP658">
        <v>1</v>
      </c>
      <c r="DQ658">
        <v>1</v>
      </c>
      <c r="DU658">
        <v>1013</v>
      </c>
      <c r="DV658" t="s">
        <v>828</v>
      </c>
      <c r="DW658" t="s">
        <v>828</v>
      </c>
      <c r="DX658">
        <v>1</v>
      </c>
      <c r="DZ658" t="s">
        <v>3</v>
      </c>
      <c r="EA658" t="s">
        <v>3</v>
      </c>
      <c r="EB658" t="s">
        <v>3</v>
      </c>
      <c r="EC658" t="s">
        <v>3</v>
      </c>
      <c r="EE658">
        <v>43090149</v>
      </c>
      <c r="EF658">
        <v>202</v>
      </c>
      <c r="EG658" t="s">
        <v>346</v>
      </c>
      <c r="EH658">
        <v>0</v>
      </c>
      <c r="EI658" t="s">
        <v>3</v>
      </c>
      <c r="EJ658">
        <v>1</v>
      </c>
      <c r="EK658">
        <v>400002</v>
      </c>
      <c r="EL658" t="s">
        <v>347</v>
      </c>
      <c r="EM658" t="s">
        <v>346</v>
      </c>
      <c r="EO658" t="s">
        <v>3</v>
      </c>
      <c r="EQ658">
        <v>0</v>
      </c>
      <c r="ER658">
        <v>2011.04</v>
      </c>
      <c r="ES658">
        <v>2011.04</v>
      </c>
      <c r="ET658">
        <v>0</v>
      </c>
      <c r="EU658">
        <v>0</v>
      </c>
      <c r="EV658">
        <v>0</v>
      </c>
      <c r="EW658">
        <v>0</v>
      </c>
      <c r="EX658">
        <v>0</v>
      </c>
      <c r="EY658">
        <v>0</v>
      </c>
      <c r="EZ658">
        <v>5</v>
      </c>
      <c r="FC658">
        <v>1</v>
      </c>
      <c r="FD658">
        <v>18</v>
      </c>
      <c r="FF658">
        <v>15000</v>
      </c>
      <c r="FQ658">
        <v>0</v>
      </c>
      <c r="FR658">
        <f t="shared" si="594"/>
        <v>0</v>
      </c>
      <c r="FS658">
        <v>0</v>
      </c>
      <c r="FX658">
        <v>0</v>
      </c>
      <c r="FY658">
        <v>0</v>
      </c>
      <c r="GA658" t="s">
        <v>829</v>
      </c>
      <c r="GD658">
        <v>0</v>
      </c>
      <c r="GF658">
        <v>-2001524052</v>
      </c>
      <c r="GG658">
        <v>2</v>
      </c>
      <c r="GH658">
        <v>3</v>
      </c>
      <c r="GI658">
        <v>3</v>
      </c>
      <c r="GJ658">
        <v>0</v>
      </c>
      <c r="GK658">
        <f>ROUND(R658*(R12)/100,2)</f>
        <v>0</v>
      </c>
      <c r="GL658">
        <f t="shared" si="595"/>
        <v>0</v>
      </c>
      <c r="GM658">
        <f t="shared" si="596"/>
        <v>12749.99</v>
      </c>
      <c r="GN658">
        <f t="shared" si="597"/>
        <v>12749.99</v>
      </c>
      <c r="GO658">
        <f t="shared" si="598"/>
        <v>0</v>
      </c>
      <c r="GP658">
        <f t="shared" si="599"/>
        <v>0</v>
      </c>
      <c r="GR658">
        <v>1</v>
      </c>
      <c r="GS658">
        <v>1</v>
      </c>
      <c r="GT658">
        <v>0</v>
      </c>
      <c r="GU658" t="s">
        <v>3</v>
      </c>
      <c r="GV658">
        <f t="shared" si="600"/>
        <v>0</v>
      </c>
      <c r="GW658">
        <v>1</v>
      </c>
      <c r="GX658">
        <f t="shared" si="601"/>
        <v>0</v>
      </c>
      <c r="HA658">
        <v>0</v>
      </c>
      <c r="HB658">
        <v>0</v>
      </c>
      <c r="HC658">
        <f t="shared" si="602"/>
        <v>0</v>
      </c>
      <c r="HE658" t="s">
        <v>26</v>
      </c>
      <c r="HF658" t="s">
        <v>122</v>
      </c>
      <c r="HM658" t="s">
        <v>3</v>
      </c>
      <c r="IK658">
        <v>0</v>
      </c>
    </row>
    <row r="660" spans="1:245" x14ac:dyDescent="0.2">
      <c r="A660" s="2">
        <v>51</v>
      </c>
      <c r="B660" s="2">
        <f>B641</f>
        <v>1</v>
      </c>
      <c r="C660" s="2">
        <f>A641</f>
        <v>5</v>
      </c>
      <c r="D660" s="2">
        <f>ROW(A641)</f>
        <v>641</v>
      </c>
      <c r="E660" s="2"/>
      <c r="F660" s="2" t="str">
        <f>IF(F641&lt;&gt;"",F641,"")</f>
        <v>Новый подраздел</v>
      </c>
      <c r="G660" s="2" t="str">
        <f>IF(G641&lt;&gt;"",G641,"")</f>
        <v>Оборудование системы фильтрации</v>
      </c>
      <c r="H660" s="2">
        <v>0</v>
      </c>
      <c r="I660" s="2"/>
      <c r="J660" s="2"/>
      <c r="K660" s="2"/>
      <c r="L660" s="2"/>
      <c r="M660" s="2"/>
      <c r="N660" s="2"/>
      <c r="O660" s="2">
        <f t="shared" ref="O660:T660" si="603">ROUND(AB660,2)</f>
        <v>573754.28</v>
      </c>
      <c r="P660" s="2">
        <f t="shared" si="603"/>
        <v>573754.28</v>
      </c>
      <c r="Q660" s="2">
        <f t="shared" si="603"/>
        <v>0</v>
      </c>
      <c r="R660" s="2">
        <f t="shared" si="603"/>
        <v>0</v>
      </c>
      <c r="S660" s="2">
        <f t="shared" si="603"/>
        <v>0</v>
      </c>
      <c r="T660" s="2">
        <f t="shared" si="603"/>
        <v>0</v>
      </c>
      <c r="U660" s="2">
        <f>AH660</f>
        <v>0</v>
      </c>
      <c r="V660" s="2">
        <f>AI660</f>
        <v>0</v>
      </c>
      <c r="W660" s="2">
        <f>ROUND(AJ660,2)</f>
        <v>0</v>
      </c>
      <c r="X660" s="2">
        <f>ROUND(AK660,2)</f>
        <v>0</v>
      </c>
      <c r="Y660" s="2">
        <f>ROUND(AL660,2)</f>
        <v>0</v>
      </c>
      <c r="Z660" s="2"/>
      <c r="AA660" s="2"/>
      <c r="AB660" s="2">
        <f>ROUND(SUMIF(AA645:AA658,"=42938047",O645:O658),2)</f>
        <v>573754.28</v>
      </c>
      <c r="AC660" s="2">
        <f>ROUND(SUMIF(AA645:AA658,"=42938047",P645:P658),2)</f>
        <v>573754.28</v>
      </c>
      <c r="AD660" s="2">
        <f>ROUND(SUMIF(AA645:AA658,"=42938047",Q645:Q658),2)</f>
        <v>0</v>
      </c>
      <c r="AE660" s="2">
        <f>ROUND(SUMIF(AA645:AA658,"=42938047",R645:R658),2)</f>
        <v>0</v>
      </c>
      <c r="AF660" s="2">
        <f>ROUND(SUMIF(AA645:AA658,"=42938047",S645:S658),2)</f>
        <v>0</v>
      </c>
      <c r="AG660" s="2">
        <f>ROUND(SUMIF(AA645:AA658,"=42938047",T645:T658),2)</f>
        <v>0</v>
      </c>
      <c r="AH660" s="2">
        <f>SUMIF(AA645:AA658,"=42938047",U645:U658)</f>
        <v>0</v>
      </c>
      <c r="AI660" s="2">
        <f>SUMIF(AA645:AA658,"=42938047",V645:V658)</f>
        <v>0</v>
      </c>
      <c r="AJ660" s="2">
        <f>ROUND(SUMIF(AA645:AA658,"=42938047",W645:W658),2)</f>
        <v>0</v>
      </c>
      <c r="AK660" s="2">
        <f>ROUND(SUMIF(AA645:AA658,"=42938047",X645:X658),2)</f>
        <v>0</v>
      </c>
      <c r="AL660" s="2">
        <f>ROUND(SUMIF(AA645:AA658,"=42938047",Y645:Y658),2)</f>
        <v>0</v>
      </c>
      <c r="AM660" s="2"/>
      <c r="AN660" s="2"/>
      <c r="AO660" s="2">
        <f t="shared" ref="AO660:BD660" si="604">ROUND(BX660,2)</f>
        <v>0</v>
      </c>
      <c r="AP660" s="2">
        <f t="shared" si="604"/>
        <v>0</v>
      </c>
      <c r="AQ660" s="2">
        <f t="shared" si="604"/>
        <v>0</v>
      </c>
      <c r="AR660" s="2">
        <f t="shared" si="604"/>
        <v>573754.28</v>
      </c>
      <c r="AS660" s="2">
        <f t="shared" si="604"/>
        <v>565606.48</v>
      </c>
      <c r="AT660" s="2">
        <f t="shared" si="604"/>
        <v>8147.8</v>
      </c>
      <c r="AU660" s="2">
        <f t="shared" si="604"/>
        <v>0</v>
      </c>
      <c r="AV660" s="2">
        <f t="shared" si="604"/>
        <v>573754.28</v>
      </c>
      <c r="AW660" s="2">
        <f t="shared" si="604"/>
        <v>573754.28</v>
      </c>
      <c r="AX660" s="2">
        <f t="shared" si="604"/>
        <v>0</v>
      </c>
      <c r="AY660" s="2">
        <f t="shared" si="604"/>
        <v>573754.28</v>
      </c>
      <c r="AZ660" s="2">
        <f t="shared" si="604"/>
        <v>0</v>
      </c>
      <c r="BA660" s="2">
        <f t="shared" si="604"/>
        <v>0</v>
      </c>
      <c r="BB660" s="2">
        <f t="shared" si="604"/>
        <v>0</v>
      </c>
      <c r="BC660" s="2">
        <f t="shared" si="604"/>
        <v>0</v>
      </c>
      <c r="BD660" s="2">
        <f t="shared" si="604"/>
        <v>0</v>
      </c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>
        <f>ROUND(SUMIF(AA645:AA658,"=42938047",FQ645:FQ658),2)</f>
        <v>0</v>
      </c>
      <c r="BY660" s="2">
        <f>ROUND(SUMIF(AA645:AA658,"=42938047",FR645:FR658),2)</f>
        <v>0</v>
      </c>
      <c r="BZ660" s="2">
        <f>ROUND(SUMIF(AA645:AA658,"=42938047",GL645:GL658),2)</f>
        <v>0</v>
      </c>
      <c r="CA660" s="2">
        <f>ROUND(SUMIF(AA645:AA658,"=42938047",GM645:GM658),2)</f>
        <v>573754.28</v>
      </c>
      <c r="CB660" s="2">
        <f>ROUND(SUMIF(AA645:AA658,"=42938047",GN645:GN658),2)</f>
        <v>565606.48</v>
      </c>
      <c r="CC660" s="2">
        <f>ROUND(SUMIF(AA645:AA658,"=42938047",GO645:GO658),2)</f>
        <v>8147.8</v>
      </c>
      <c r="CD660" s="2">
        <f>ROUND(SUMIF(AA645:AA658,"=42938047",GP645:GP658),2)</f>
        <v>0</v>
      </c>
      <c r="CE660" s="2">
        <f>AC660-BX660</f>
        <v>573754.28</v>
      </c>
      <c r="CF660" s="2">
        <f>AC660-BY660</f>
        <v>573754.28</v>
      </c>
      <c r="CG660" s="2">
        <f>BX660-BZ660</f>
        <v>0</v>
      </c>
      <c r="CH660" s="2">
        <f>AC660-BX660-BY660+BZ660</f>
        <v>573754.28</v>
      </c>
      <c r="CI660" s="2">
        <f>BY660-BZ660</f>
        <v>0</v>
      </c>
      <c r="CJ660" s="2">
        <f>ROUND(SUMIF(AA645:AA658,"=42938047",GX645:GX658),2)</f>
        <v>0</v>
      </c>
      <c r="CK660" s="2">
        <f>ROUND(SUMIF(AA645:AA658,"=42938047",GY645:GY658),2)</f>
        <v>0</v>
      </c>
      <c r="CL660" s="2">
        <f>ROUND(SUMIF(AA645:AA658,"=42938047",GZ645:GZ658),2)</f>
        <v>0</v>
      </c>
      <c r="CM660" s="2">
        <f>ROUND(SUMIF(AA645:AA658,"=42938047",HD645:HD658),2)</f>
        <v>0</v>
      </c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  <c r="DE660" s="2"/>
      <c r="DF660" s="2"/>
      <c r="DG660" s="3"/>
      <c r="DH660" s="3"/>
      <c r="DI660" s="3"/>
      <c r="DJ660" s="3"/>
      <c r="DK660" s="3"/>
      <c r="DL660" s="3"/>
      <c r="DM660" s="3"/>
      <c r="DN660" s="3"/>
      <c r="DO660" s="3"/>
      <c r="DP660" s="3"/>
      <c r="DQ660" s="3"/>
      <c r="DR660" s="3"/>
      <c r="DS660" s="3"/>
      <c r="DT660" s="3"/>
      <c r="DU660" s="3"/>
      <c r="DV660" s="3"/>
      <c r="DW660" s="3"/>
      <c r="DX660" s="3"/>
      <c r="DY660" s="3"/>
      <c r="DZ660" s="3"/>
      <c r="EA660" s="3"/>
      <c r="EB660" s="3"/>
      <c r="EC660" s="3"/>
      <c r="ED660" s="3"/>
      <c r="EE660" s="3"/>
      <c r="EF660" s="3"/>
      <c r="EG660" s="3"/>
      <c r="EH660" s="3"/>
      <c r="EI660" s="3"/>
      <c r="EJ660" s="3"/>
      <c r="EK660" s="3"/>
      <c r="EL660" s="3"/>
      <c r="EM660" s="3"/>
      <c r="EN660" s="3"/>
      <c r="EO660" s="3"/>
      <c r="EP660" s="3"/>
      <c r="EQ660" s="3"/>
      <c r="ER660" s="3"/>
      <c r="ES660" s="3"/>
      <c r="ET660" s="3"/>
      <c r="EU660" s="3"/>
      <c r="EV660" s="3"/>
      <c r="EW660" s="3"/>
      <c r="EX660" s="3"/>
      <c r="EY660" s="3"/>
      <c r="EZ660" s="3"/>
      <c r="FA660" s="3"/>
      <c r="FB660" s="3"/>
      <c r="FC660" s="3"/>
      <c r="FD660" s="3"/>
      <c r="FE660" s="3"/>
      <c r="FF660" s="3"/>
      <c r="FG660" s="3"/>
      <c r="FH660" s="3"/>
      <c r="FI660" s="3"/>
      <c r="FJ660" s="3"/>
      <c r="FK660" s="3"/>
      <c r="FL660" s="3"/>
      <c r="FM660" s="3"/>
      <c r="FN660" s="3"/>
      <c r="FO660" s="3"/>
      <c r="FP660" s="3"/>
      <c r="FQ660" s="3"/>
      <c r="FR660" s="3"/>
      <c r="FS660" s="3"/>
      <c r="FT660" s="3"/>
      <c r="FU660" s="3"/>
      <c r="FV660" s="3"/>
      <c r="FW660" s="3"/>
      <c r="FX660" s="3"/>
      <c r="FY660" s="3"/>
      <c r="FZ660" s="3"/>
      <c r="GA660" s="3"/>
      <c r="GB660" s="3"/>
      <c r="GC660" s="3"/>
      <c r="GD660" s="3"/>
      <c r="GE660" s="3"/>
      <c r="GF660" s="3"/>
      <c r="GG660" s="3"/>
      <c r="GH660" s="3"/>
      <c r="GI660" s="3"/>
      <c r="GJ660" s="3"/>
      <c r="GK660" s="3"/>
      <c r="GL660" s="3"/>
      <c r="GM660" s="3"/>
      <c r="GN660" s="3"/>
      <c r="GO660" s="3"/>
      <c r="GP660" s="3"/>
      <c r="GQ660" s="3"/>
      <c r="GR660" s="3"/>
      <c r="GS660" s="3"/>
      <c r="GT660" s="3"/>
      <c r="GU660" s="3"/>
      <c r="GV660" s="3"/>
      <c r="GW660" s="3"/>
      <c r="GX660" s="3">
        <v>0</v>
      </c>
    </row>
    <row r="662" spans="1:245" x14ac:dyDescent="0.2">
      <c r="A662" s="4">
        <v>50</v>
      </c>
      <c r="B662" s="4">
        <v>0</v>
      </c>
      <c r="C662" s="4">
        <v>0</v>
      </c>
      <c r="D662" s="4">
        <v>1</v>
      </c>
      <c r="E662" s="4">
        <v>201</v>
      </c>
      <c r="F662" s="4">
        <f>ROUND(Source!O660,O662)</f>
        <v>573754.28</v>
      </c>
      <c r="G662" s="4" t="s">
        <v>213</v>
      </c>
      <c r="H662" s="4" t="s">
        <v>214</v>
      </c>
      <c r="I662" s="4"/>
      <c r="J662" s="4"/>
      <c r="K662" s="4">
        <v>201</v>
      </c>
      <c r="L662" s="4">
        <v>1</v>
      </c>
      <c r="M662" s="4">
        <v>3</v>
      </c>
      <c r="N662" s="4" t="s">
        <v>3</v>
      </c>
      <c r="O662" s="4">
        <v>2</v>
      </c>
      <c r="P662" s="4"/>
      <c r="Q662" s="4"/>
      <c r="R662" s="4"/>
      <c r="S662" s="4"/>
      <c r="T662" s="4"/>
      <c r="U662" s="4"/>
      <c r="V662" s="4"/>
      <c r="W662" s="4"/>
    </row>
    <row r="663" spans="1:245" x14ac:dyDescent="0.2">
      <c r="A663" s="4">
        <v>50</v>
      </c>
      <c r="B663" s="4">
        <v>0</v>
      </c>
      <c r="C663" s="4">
        <v>0</v>
      </c>
      <c r="D663" s="4">
        <v>1</v>
      </c>
      <c r="E663" s="4">
        <v>202</v>
      </c>
      <c r="F663" s="4">
        <f>ROUND(Source!P660,O663)</f>
        <v>573754.28</v>
      </c>
      <c r="G663" s="4" t="s">
        <v>215</v>
      </c>
      <c r="H663" s="4" t="s">
        <v>216</v>
      </c>
      <c r="I663" s="4"/>
      <c r="J663" s="4"/>
      <c r="K663" s="4">
        <v>202</v>
      </c>
      <c r="L663" s="4">
        <v>2</v>
      </c>
      <c r="M663" s="4">
        <v>3</v>
      </c>
      <c r="N663" s="4" t="s">
        <v>3</v>
      </c>
      <c r="O663" s="4">
        <v>2</v>
      </c>
      <c r="P663" s="4"/>
      <c r="Q663" s="4"/>
      <c r="R663" s="4"/>
      <c r="S663" s="4"/>
      <c r="T663" s="4"/>
      <c r="U663" s="4"/>
      <c r="V663" s="4"/>
      <c r="W663" s="4"/>
    </row>
    <row r="664" spans="1:245" x14ac:dyDescent="0.2">
      <c r="A664" s="4">
        <v>50</v>
      </c>
      <c r="B664" s="4">
        <v>0</v>
      </c>
      <c r="C664" s="4">
        <v>0</v>
      </c>
      <c r="D664" s="4">
        <v>1</v>
      </c>
      <c r="E664" s="4">
        <v>222</v>
      </c>
      <c r="F664" s="4">
        <f>ROUND(Source!AO660,O664)</f>
        <v>0</v>
      </c>
      <c r="G664" s="4" t="s">
        <v>217</v>
      </c>
      <c r="H664" s="4" t="s">
        <v>218</v>
      </c>
      <c r="I664" s="4"/>
      <c r="J664" s="4"/>
      <c r="K664" s="4">
        <v>222</v>
      </c>
      <c r="L664" s="4">
        <v>3</v>
      </c>
      <c r="M664" s="4">
        <v>3</v>
      </c>
      <c r="N664" s="4" t="s">
        <v>3</v>
      </c>
      <c r="O664" s="4">
        <v>2</v>
      </c>
      <c r="P664" s="4"/>
      <c r="Q664" s="4"/>
      <c r="R664" s="4"/>
      <c r="S664" s="4"/>
      <c r="T664" s="4"/>
      <c r="U664" s="4"/>
      <c r="V664" s="4"/>
      <c r="W664" s="4"/>
    </row>
    <row r="665" spans="1:245" x14ac:dyDescent="0.2">
      <c r="A665" s="4">
        <v>50</v>
      </c>
      <c r="B665" s="4">
        <v>0</v>
      </c>
      <c r="C665" s="4">
        <v>0</v>
      </c>
      <c r="D665" s="4">
        <v>1</v>
      </c>
      <c r="E665" s="4">
        <v>225</v>
      </c>
      <c r="F665" s="4">
        <f>ROUND(Source!AV660,O665)</f>
        <v>573754.28</v>
      </c>
      <c r="G665" s="4" t="s">
        <v>219</v>
      </c>
      <c r="H665" s="4" t="s">
        <v>220</v>
      </c>
      <c r="I665" s="4"/>
      <c r="J665" s="4"/>
      <c r="K665" s="4">
        <v>225</v>
      </c>
      <c r="L665" s="4">
        <v>4</v>
      </c>
      <c r="M665" s="4">
        <v>3</v>
      </c>
      <c r="N665" s="4" t="s">
        <v>3</v>
      </c>
      <c r="O665" s="4">
        <v>2</v>
      </c>
      <c r="P665" s="4"/>
      <c r="Q665" s="4"/>
      <c r="R665" s="4"/>
      <c r="S665" s="4"/>
      <c r="T665" s="4"/>
      <c r="U665" s="4"/>
      <c r="V665" s="4"/>
      <c r="W665" s="4"/>
    </row>
    <row r="666" spans="1:245" x14ac:dyDescent="0.2">
      <c r="A666" s="4">
        <v>50</v>
      </c>
      <c r="B666" s="4">
        <v>0</v>
      </c>
      <c r="C666" s="4">
        <v>0</v>
      </c>
      <c r="D666" s="4">
        <v>1</v>
      </c>
      <c r="E666" s="4">
        <v>226</v>
      </c>
      <c r="F666" s="4">
        <f>ROUND(Source!AW660,O666)</f>
        <v>573754.28</v>
      </c>
      <c r="G666" s="4" t="s">
        <v>221</v>
      </c>
      <c r="H666" s="4" t="s">
        <v>222</v>
      </c>
      <c r="I666" s="4"/>
      <c r="J666" s="4"/>
      <c r="K666" s="4">
        <v>226</v>
      </c>
      <c r="L666" s="4">
        <v>5</v>
      </c>
      <c r="M666" s="4">
        <v>3</v>
      </c>
      <c r="N666" s="4" t="s">
        <v>3</v>
      </c>
      <c r="O666" s="4">
        <v>2</v>
      </c>
      <c r="P666" s="4"/>
      <c r="Q666" s="4"/>
      <c r="R666" s="4"/>
      <c r="S666" s="4"/>
      <c r="T666" s="4"/>
      <c r="U666" s="4"/>
      <c r="V666" s="4"/>
      <c r="W666" s="4"/>
    </row>
    <row r="667" spans="1:245" x14ac:dyDescent="0.2">
      <c r="A667" s="4">
        <v>50</v>
      </c>
      <c r="B667" s="4">
        <v>0</v>
      </c>
      <c r="C667" s="4">
        <v>0</v>
      </c>
      <c r="D667" s="4">
        <v>1</v>
      </c>
      <c r="E667" s="4">
        <v>227</v>
      </c>
      <c r="F667" s="4">
        <f>ROUND(Source!AX660,O667)</f>
        <v>0</v>
      </c>
      <c r="G667" s="4" t="s">
        <v>223</v>
      </c>
      <c r="H667" s="4" t="s">
        <v>224</v>
      </c>
      <c r="I667" s="4"/>
      <c r="J667" s="4"/>
      <c r="K667" s="4">
        <v>227</v>
      </c>
      <c r="L667" s="4">
        <v>6</v>
      </c>
      <c r="M667" s="4">
        <v>3</v>
      </c>
      <c r="N667" s="4" t="s">
        <v>3</v>
      </c>
      <c r="O667" s="4">
        <v>2</v>
      </c>
      <c r="P667" s="4"/>
      <c r="Q667" s="4"/>
      <c r="R667" s="4"/>
      <c r="S667" s="4"/>
      <c r="T667" s="4"/>
      <c r="U667" s="4"/>
      <c r="V667" s="4"/>
      <c r="W667" s="4"/>
    </row>
    <row r="668" spans="1:245" x14ac:dyDescent="0.2">
      <c r="A668" s="4">
        <v>50</v>
      </c>
      <c r="B668" s="4">
        <v>0</v>
      </c>
      <c r="C668" s="4">
        <v>0</v>
      </c>
      <c r="D668" s="4">
        <v>1</v>
      </c>
      <c r="E668" s="4">
        <v>228</v>
      </c>
      <c r="F668" s="4">
        <f>ROUND(Source!AY660,O668)</f>
        <v>573754.28</v>
      </c>
      <c r="G668" s="4" t="s">
        <v>225</v>
      </c>
      <c r="H668" s="4" t="s">
        <v>226</v>
      </c>
      <c r="I668" s="4"/>
      <c r="J668" s="4"/>
      <c r="K668" s="4">
        <v>228</v>
      </c>
      <c r="L668" s="4">
        <v>7</v>
      </c>
      <c r="M668" s="4">
        <v>3</v>
      </c>
      <c r="N668" s="4" t="s">
        <v>3</v>
      </c>
      <c r="O668" s="4">
        <v>2</v>
      </c>
      <c r="P668" s="4"/>
      <c r="Q668" s="4"/>
      <c r="R668" s="4"/>
      <c r="S668" s="4"/>
      <c r="T668" s="4"/>
      <c r="U668" s="4"/>
      <c r="V668" s="4"/>
      <c r="W668" s="4"/>
    </row>
    <row r="669" spans="1:245" x14ac:dyDescent="0.2">
      <c r="A669" s="4">
        <v>50</v>
      </c>
      <c r="B669" s="4">
        <v>0</v>
      </c>
      <c r="C669" s="4">
        <v>0</v>
      </c>
      <c r="D669" s="4">
        <v>1</v>
      </c>
      <c r="E669" s="4">
        <v>216</v>
      </c>
      <c r="F669" s="4">
        <f>ROUND(Source!AP660,O669)</f>
        <v>0</v>
      </c>
      <c r="G669" s="4" t="s">
        <v>227</v>
      </c>
      <c r="H669" s="4" t="s">
        <v>228</v>
      </c>
      <c r="I669" s="4"/>
      <c r="J669" s="4"/>
      <c r="K669" s="4">
        <v>216</v>
      </c>
      <c r="L669" s="4">
        <v>8</v>
      </c>
      <c r="M669" s="4">
        <v>3</v>
      </c>
      <c r="N669" s="4" t="s">
        <v>3</v>
      </c>
      <c r="O669" s="4">
        <v>2</v>
      </c>
      <c r="P669" s="4"/>
      <c r="Q669" s="4"/>
      <c r="R669" s="4"/>
      <c r="S669" s="4"/>
      <c r="T669" s="4"/>
      <c r="U669" s="4"/>
      <c r="V669" s="4"/>
      <c r="W669" s="4"/>
    </row>
    <row r="670" spans="1:245" x14ac:dyDescent="0.2">
      <c r="A670" s="4">
        <v>50</v>
      </c>
      <c r="B670" s="4">
        <v>0</v>
      </c>
      <c r="C670" s="4">
        <v>0</v>
      </c>
      <c r="D670" s="4">
        <v>1</v>
      </c>
      <c r="E670" s="4">
        <v>223</v>
      </c>
      <c r="F670" s="4">
        <f>ROUND(Source!AQ660,O670)</f>
        <v>0</v>
      </c>
      <c r="G670" s="4" t="s">
        <v>229</v>
      </c>
      <c r="H670" s="4" t="s">
        <v>230</v>
      </c>
      <c r="I670" s="4"/>
      <c r="J670" s="4"/>
      <c r="K670" s="4">
        <v>223</v>
      </c>
      <c r="L670" s="4">
        <v>9</v>
      </c>
      <c r="M670" s="4">
        <v>3</v>
      </c>
      <c r="N670" s="4" t="s">
        <v>3</v>
      </c>
      <c r="O670" s="4">
        <v>2</v>
      </c>
      <c r="P670" s="4"/>
      <c r="Q670" s="4"/>
      <c r="R670" s="4"/>
      <c r="S670" s="4"/>
      <c r="T670" s="4"/>
      <c r="U670" s="4"/>
      <c r="V670" s="4"/>
      <c r="W670" s="4"/>
    </row>
    <row r="671" spans="1:245" x14ac:dyDescent="0.2">
      <c r="A671" s="4">
        <v>50</v>
      </c>
      <c r="B671" s="4">
        <v>0</v>
      </c>
      <c r="C671" s="4">
        <v>0</v>
      </c>
      <c r="D671" s="4">
        <v>1</v>
      </c>
      <c r="E671" s="4">
        <v>229</v>
      </c>
      <c r="F671" s="4">
        <f>ROUND(Source!AZ660,O671)</f>
        <v>0</v>
      </c>
      <c r="G671" s="4" t="s">
        <v>231</v>
      </c>
      <c r="H671" s="4" t="s">
        <v>232</v>
      </c>
      <c r="I671" s="4"/>
      <c r="J671" s="4"/>
      <c r="K671" s="4">
        <v>229</v>
      </c>
      <c r="L671" s="4">
        <v>10</v>
      </c>
      <c r="M671" s="4">
        <v>3</v>
      </c>
      <c r="N671" s="4" t="s">
        <v>3</v>
      </c>
      <c r="O671" s="4">
        <v>2</v>
      </c>
      <c r="P671" s="4"/>
      <c r="Q671" s="4"/>
      <c r="R671" s="4"/>
      <c r="S671" s="4"/>
      <c r="T671" s="4"/>
      <c r="U671" s="4"/>
      <c r="V671" s="4"/>
      <c r="W671" s="4"/>
    </row>
    <row r="672" spans="1:245" x14ac:dyDescent="0.2">
      <c r="A672" s="4">
        <v>50</v>
      </c>
      <c r="B672" s="4">
        <v>0</v>
      </c>
      <c r="C672" s="4">
        <v>0</v>
      </c>
      <c r="D672" s="4">
        <v>1</v>
      </c>
      <c r="E672" s="4">
        <v>203</v>
      </c>
      <c r="F672" s="4">
        <f>ROUND(Source!Q660,O672)</f>
        <v>0</v>
      </c>
      <c r="G672" s="4" t="s">
        <v>233</v>
      </c>
      <c r="H672" s="4" t="s">
        <v>234</v>
      </c>
      <c r="I672" s="4"/>
      <c r="J672" s="4"/>
      <c r="K672" s="4">
        <v>203</v>
      </c>
      <c r="L672" s="4">
        <v>11</v>
      </c>
      <c r="M672" s="4">
        <v>3</v>
      </c>
      <c r="N672" s="4" t="s">
        <v>3</v>
      </c>
      <c r="O672" s="4">
        <v>2</v>
      </c>
      <c r="P672" s="4"/>
      <c r="Q672" s="4"/>
      <c r="R672" s="4"/>
      <c r="S672" s="4"/>
      <c r="T672" s="4"/>
      <c r="U672" s="4"/>
      <c r="V672" s="4"/>
      <c r="W672" s="4"/>
    </row>
    <row r="673" spans="1:23" x14ac:dyDescent="0.2">
      <c r="A673" s="4">
        <v>50</v>
      </c>
      <c r="B673" s="4">
        <v>0</v>
      </c>
      <c r="C673" s="4">
        <v>0</v>
      </c>
      <c r="D673" s="4">
        <v>1</v>
      </c>
      <c r="E673" s="4">
        <v>231</v>
      </c>
      <c r="F673" s="4">
        <f>ROUND(Source!BB660,O673)</f>
        <v>0</v>
      </c>
      <c r="G673" s="4" t="s">
        <v>235</v>
      </c>
      <c r="H673" s="4" t="s">
        <v>236</v>
      </c>
      <c r="I673" s="4"/>
      <c r="J673" s="4"/>
      <c r="K673" s="4">
        <v>231</v>
      </c>
      <c r="L673" s="4">
        <v>12</v>
      </c>
      <c r="M673" s="4">
        <v>3</v>
      </c>
      <c r="N673" s="4" t="s">
        <v>3</v>
      </c>
      <c r="O673" s="4">
        <v>2</v>
      </c>
      <c r="P673" s="4"/>
      <c r="Q673" s="4"/>
      <c r="R673" s="4"/>
      <c r="S673" s="4"/>
      <c r="T673" s="4"/>
      <c r="U673" s="4"/>
      <c r="V673" s="4"/>
      <c r="W673" s="4"/>
    </row>
    <row r="674" spans="1:23" x14ac:dyDescent="0.2">
      <c r="A674" s="4">
        <v>50</v>
      </c>
      <c r="B674" s="4">
        <v>0</v>
      </c>
      <c r="C674" s="4">
        <v>0</v>
      </c>
      <c r="D674" s="4">
        <v>1</v>
      </c>
      <c r="E674" s="4">
        <v>204</v>
      </c>
      <c r="F674" s="4">
        <f>ROUND(Source!R660,O674)</f>
        <v>0</v>
      </c>
      <c r="G674" s="4" t="s">
        <v>237</v>
      </c>
      <c r="H674" s="4" t="s">
        <v>238</v>
      </c>
      <c r="I674" s="4"/>
      <c r="J674" s="4"/>
      <c r="K674" s="4">
        <v>204</v>
      </c>
      <c r="L674" s="4">
        <v>13</v>
      </c>
      <c r="M674" s="4">
        <v>3</v>
      </c>
      <c r="N674" s="4" t="s">
        <v>3</v>
      </c>
      <c r="O674" s="4">
        <v>2</v>
      </c>
      <c r="P674" s="4"/>
      <c r="Q674" s="4"/>
      <c r="R674" s="4"/>
      <c r="S674" s="4"/>
      <c r="T674" s="4"/>
      <c r="U674" s="4"/>
      <c r="V674" s="4"/>
      <c r="W674" s="4"/>
    </row>
    <row r="675" spans="1:23" x14ac:dyDescent="0.2">
      <c r="A675" s="4">
        <v>50</v>
      </c>
      <c r="B675" s="4">
        <v>0</v>
      </c>
      <c r="C675" s="4">
        <v>0</v>
      </c>
      <c r="D675" s="4">
        <v>1</v>
      </c>
      <c r="E675" s="4">
        <v>205</v>
      </c>
      <c r="F675" s="4">
        <f>ROUND(Source!S660,O675)</f>
        <v>0</v>
      </c>
      <c r="G675" s="4" t="s">
        <v>239</v>
      </c>
      <c r="H675" s="4" t="s">
        <v>240</v>
      </c>
      <c r="I675" s="4"/>
      <c r="J675" s="4"/>
      <c r="K675" s="4">
        <v>205</v>
      </c>
      <c r="L675" s="4">
        <v>14</v>
      </c>
      <c r="M675" s="4">
        <v>3</v>
      </c>
      <c r="N675" s="4" t="s">
        <v>3</v>
      </c>
      <c r="O675" s="4">
        <v>2</v>
      </c>
      <c r="P675" s="4"/>
      <c r="Q675" s="4"/>
      <c r="R675" s="4"/>
      <c r="S675" s="4"/>
      <c r="T675" s="4"/>
      <c r="U675" s="4"/>
      <c r="V675" s="4"/>
      <c r="W675" s="4"/>
    </row>
    <row r="676" spans="1:23" x14ac:dyDescent="0.2">
      <c r="A676" s="4">
        <v>50</v>
      </c>
      <c r="B676" s="4">
        <v>0</v>
      </c>
      <c r="C676" s="4">
        <v>0</v>
      </c>
      <c r="D676" s="4">
        <v>1</v>
      </c>
      <c r="E676" s="4">
        <v>232</v>
      </c>
      <c r="F676" s="4">
        <f>ROUND(Source!BC660,O676)</f>
        <v>0</v>
      </c>
      <c r="G676" s="4" t="s">
        <v>241</v>
      </c>
      <c r="H676" s="4" t="s">
        <v>242</v>
      </c>
      <c r="I676" s="4"/>
      <c r="J676" s="4"/>
      <c r="K676" s="4">
        <v>232</v>
      </c>
      <c r="L676" s="4">
        <v>15</v>
      </c>
      <c r="M676" s="4">
        <v>3</v>
      </c>
      <c r="N676" s="4" t="s">
        <v>3</v>
      </c>
      <c r="O676" s="4">
        <v>2</v>
      </c>
      <c r="P676" s="4"/>
      <c r="Q676" s="4"/>
      <c r="R676" s="4"/>
      <c r="S676" s="4"/>
      <c r="T676" s="4"/>
      <c r="U676" s="4"/>
      <c r="V676" s="4"/>
      <c r="W676" s="4"/>
    </row>
    <row r="677" spans="1:23" x14ac:dyDescent="0.2">
      <c r="A677" s="4">
        <v>50</v>
      </c>
      <c r="B677" s="4">
        <v>0</v>
      </c>
      <c r="C677" s="4">
        <v>0</v>
      </c>
      <c r="D677" s="4">
        <v>1</v>
      </c>
      <c r="E677" s="4">
        <v>214</v>
      </c>
      <c r="F677" s="4">
        <f>ROUND(Source!AS660,O677)</f>
        <v>565606.48</v>
      </c>
      <c r="G677" s="4" t="s">
        <v>243</v>
      </c>
      <c r="H677" s="4" t="s">
        <v>244</v>
      </c>
      <c r="I677" s="4"/>
      <c r="J677" s="4"/>
      <c r="K677" s="4">
        <v>214</v>
      </c>
      <c r="L677" s="4">
        <v>16</v>
      </c>
      <c r="M677" s="4">
        <v>3</v>
      </c>
      <c r="N677" s="4" t="s">
        <v>3</v>
      </c>
      <c r="O677" s="4">
        <v>2</v>
      </c>
      <c r="P677" s="4"/>
      <c r="Q677" s="4"/>
      <c r="R677" s="4"/>
      <c r="S677" s="4"/>
      <c r="T677" s="4"/>
      <c r="U677" s="4"/>
      <c r="V677" s="4"/>
      <c r="W677" s="4"/>
    </row>
    <row r="678" spans="1:23" x14ac:dyDescent="0.2">
      <c r="A678" s="4">
        <v>50</v>
      </c>
      <c r="B678" s="4">
        <v>0</v>
      </c>
      <c r="C678" s="4">
        <v>0</v>
      </c>
      <c r="D678" s="4">
        <v>1</v>
      </c>
      <c r="E678" s="4">
        <v>215</v>
      </c>
      <c r="F678" s="4">
        <f>ROUND(Source!AT660,O678)</f>
        <v>8147.8</v>
      </c>
      <c r="G678" s="4" t="s">
        <v>245</v>
      </c>
      <c r="H678" s="4" t="s">
        <v>246</v>
      </c>
      <c r="I678" s="4"/>
      <c r="J678" s="4"/>
      <c r="K678" s="4">
        <v>215</v>
      </c>
      <c r="L678" s="4">
        <v>17</v>
      </c>
      <c r="M678" s="4">
        <v>3</v>
      </c>
      <c r="N678" s="4" t="s">
        <v>3</v>
      </c>
      <c r="O678" s="4">
        <v>2</v>
      </c>
      <c r="P678" s="4"/>
      <c r="Q678" s="4"/>
      <c r="R678" s="4"/>
      <c r="S678" s="4"/>
      <c r="T678" s="4"/>
      <c r="U678" s="4"/>
      <c r="V678" s="4"/>
      <c r="W678" s="4"/>
    </row>
    <row r="679" spans="1:23" x14ac:dyDescent="0.2">
      <c r="A679" s="4">
        <v>50</v>
      </c>
      <c r="B679" s="4">
        <v>0</v>
      </c>
      <c r="C679" s="4">
        <v>0</v>
      </c>
      <c r="D679" s="4">
        <v>1</v>
      </c>
      <c r="E679" s="4">
        <v>217</v>
      </c>
      <c r="F679" s="4">
        <f>ROUND(Source!AU660,O679)</f>
        <v>0</v>
      </c>
      <c r="G679" s="4" t="s">
        <v>247</v>
      </c>
      <c r="H679" s="4" t="s">
        <v>248</v>
      </c>
      <c r="I679" s="4"/>
      <c r="J679" s="4"/>
      <c r="K679" s="4">
        <v>217</v>
      </c>
      <c r="L679" s="4">
        <v>18</v>
      </c>
      <c r="M679" s="4">
        <v>3</v>
      </c>
      <c r="N679" s="4" t="s">
        <v>3</v>
      </c>
      <c r="O679" s="4">
        <v>2</v>
      </c>
      <c r="P679" s="4"/>
      <c r="Q679" s="4"/>
      <c r="R679" s="4"/>
      <c r="S679" s="4"/>
      <c r="T679" s="4"/>
      <c r="U679" s="4"/>
      <c r="V679" s="4"/>
      <c r="W679" s="4"/>
    </row>
    <row r="680" spans="1:23" x14ac:dyDescent="0.2">
      <c r="A680" s="4">
        <v>50</v>
      </c>
      <c r="B680" s="4">
        <v>0</v>
      </c>
      <c r="C680" s="4">
        <v>0</v>
      </c>
      <c r="D680" s="4">
        <v>1</v>
      </c>
      <c r="E680" s="4">
        <v>230</v>
      </c>
      <c r="F680" s="4">
        <f>ROUND(Source!BA660,O680)</f>
        <v>0</v>
      </c>
      <c r="G680" s="4" t="s">
        <v>249</v>
      </c>
      <c r="H680" s="4" t="s">
        <v>250</v>
      </c>
      <c r="I680" s="4"/>
      <c r="J680" s="4"/>
      <c r="K680" s="4">
        <v>230</v>
      </c>
      <c r="L680" s="4">
        <v>19</v>
      </c>
      <c r="M680" s="4">
        <v>3</v>
      </c>
      <c r="N680" s="4" t="s">
        <v>3</v>
      </c>
      <c r="O680" s="4">
        <v>2</v>
      </c>
      <c r="P680" s="4"/>
      <c r="Q680" s="4"/>
      <c r="R680" s="4"/>
      <c r="S680" s="4"/>
      <c r="T680" s="4"/>
      <c r="U680" s="4"/>
      <c r="V680" s="4"/>
      <c r="W680" s="4"/>
    </row>
    <row r="681" spans="1:23" x14ac:dyDescent="0.2">
      <c r="A681" s="4">
        <v>50</v>
      </c>
      <c r="B681" s="4">
        <v>0</v>
      </c>
      <c r="C681" s="4">
        <v>0</v>
      </c>
      <c r="D681" s="4">
        <v>1</v>
      </c>
      <c r="E681" s="4">
        <v>206</v>
      </c>
      <c r="F681" s="4">
        <f>ROUND(Source!T660,O681)</f>
        <v>0</v>
      </c>
      <c r="G681" s="4" t="s">
        <v>251</v>
      </c>
      <c r="H681" s="4" t="s">
        <v>252</v>
      </c>
      <c r="I681" s="4"/>
      <c r="J681" s="4"/>
      <c r="K681" s="4">
        <v>206</v>
      </c>
      <c r="L681" s="4">
        <v>20</v>
      </c>
      <c r="M681" s="4">
        <v>3</v>
      </c>
      <c r="N681" s="4" t="s">
        <v>3</v>
      </c>
      <c r="O681" s="4">
        <v>2</v>
      </c>
      <c r="P681" s="4"/>
      <c r="Q681" s="4"/>
      <c r="R681" s="4"/>
      <c r="S681" s="4"/>
      <c r="T681" s="4"/>
      <c r="U681" s="4"/>
      <c r="V681" s="4"/>
      <c r="W681" s="4"/>
    </row>
    <row r="682" spans="1:23" x14ac:dyDescent="0.2">
      <c r="A682" s="4">
        <v>50</v>
      </c>
      <c r="B682" s="4">
        <v>0</v>
      </c>
      <c r="C682" s="4">
        <v>0</v>
      </c>
      <c r="D682" s="4">
        <v>1</v>
      </c>
      <c r="E682" s="4">
        <v>207</v>
      </c>
      <c r="F682" s="4">
        <f>Source!U660</f>
        <v>0</v>
      </c>
      <c r="G682" s="4" t="s">
        <v>253</v>
      </c>
      <c r="H682" s="4" t="s">
        <v>254</v>
      </c>
      <c r="I682" s="4"/>
      <c r="J682" s="4"/>
      <c r="K682" s="4">
        <v>207</v>
      </c>
      <c r="L682" s="4">
        <v>21</v>
      </c>
      <c r="M682" s="4">
        <v>3</v>
      </c>
      <c r="N682" s="4" t="s">
        <v>3</v>
      </c>
      <c r="O682" s="4">
        <v>-1</v>
      </c>
      <c r="P682" s="4"/>
      <c r="Q682" s="4"/>
      <c r="R682" s="4"/>
      <c r="S682" s="4"/>
      <c r="T682" s="4"/>
      <c r="U682" s="4"/>
      <c r="V682" s="4"/>
      <c r="W682" s="4"/>
    </row>
    <row r="683" spans="1:23" x14ac:dyDescent="0.2">
      <c r="A683" s="4">
        <v>50</v>
      </c>
      <c r="B683" s="4">
        <v>0</v>
      </c>
      <c r="C683" s="4">
        <v>0</v>
      </c>
      <c r="D683" s="4">
        <v>1</v>
      </c>
      <c r="E683" s="4">
        <v>208</v>
      </c>
      <c r="F683" s="4">
        <f>Source!V660</f>
        <v>0</v>
      </c>
      <c r="G683" s="4" t="s">
        <v>255</v>
      </c>
      <c r="H683" s="4" t="s">
        <v>256</v>
      </c>
      <c r="I683" s="4"/>
      <c r="J683" s="4"/>
      <c r="K683" s="4">
        <v>208</v>
      </c>
      <c r="L683" s="4">
        <v>22</v>
      </c>
      <c r="M683" s="4">
        <v>3</v>
      </c>
      <c r="N683" s="4" t="s">
        <v>3</v>
      </c>
      <c r="O683" s="4">
        <v>-1</v>
      </c>
      <c r="P683" s="4"/>
      <c r="Q683" s="4"/>
      <c r="R683" s="4"/>
      <c r="S683" s="4"/>
      <c r="T683" s="4"/>
      <c r="U683" s="4"/>
      <c r="V683" s="4"/>
      <c r="W683" s="4"/>
    </row>
    <row r="684" spans="1:23" x14ac:dyDescent="0.2">
      <c r="A684" s="4">
        <v>50</v>
      </c>
      <c r="B684" s="4">
        <v>0</v>
      </c>
      <c r="C684" s="4">
        <v>0</v>
      </c>
      <c r="D684" s="4">
        <v>1</v>
      </c>
      <c r="E684" s="4">
        <v>209</v>
      </c>
      <c r="F684" s="4">
        <f>ROUND(Source!W660,O684)</f>
        <v>0</v>
      </c>
      <c r="G684" s="4" t="s">
        <v>257</v>
      </c>
      <c r="H684" s="4" t="s">
        <v>258</v>
      </c>
      <c r="I684" s="4"/>
      <c r="J684" s="4"/>
      <c r="K684" s="4">
        <v>209</v>
      </c>
      <c r="L684" s="4">
        <v>23</v>
      </c>
      <c r="M684" s="4">
        <v>3</v>
      </c>
      <c r="N684" s="4" t="s">
        <v>3</v>
      </c>
      <c r="O684" s="4">
        <v>2</v>
      </c>
      <c r="P684" s="4"/>
      <c r="Q684" s="4"/>
      <c r="R684" s="4"/>
      <c r="S684" s="4"/>
      <c r="T684" s="4"/>
      <c r="U684" s="4"/>
      <c r="V684" s="4"/>
      <c r="W684" s="4"/>
    </row>
    <row r="685" spans="1:23" x14ac:dyDescent="0.2">
      <c r="A685" s="4">
        <v>50</v>
      </c>
      <c r="B685" s="4">
        <v>0</v>
      </c>
      <c r="C685" s="4">
        <v>0</v>
      </c>
      <c r="D685" s="4">
        <v>1</v>
      </c>
      <c r="E685" s="4">
        <v>233</v>
      </c>
      <c r="F685" s="4">
        <f>ROUND(Source!BD660,O685)</f>
        <v>0</v>
      </c>
      <c r="G685" s="4" t="s">
        <v>259</v>
      </c>
      <c r="H685" s="4" t="s">
        <v>260</v>
      </c>
      <c r="I685" s="4"/>
      <c r="J685" s="4"/>
      <c r="K685" s="4">
        <v>233</v>
      </c>
      <c r="L685" s="4">
        <v>24</v>
      </c>
      <c r="M685" s="4">
        <v>3</v>
      </c>
      <c r="N685" s="4" t="s">
        <v>3</v>
      </c>
      <c r="O685" s="4">
        <v>2</v>
      </c>
      <c r="P685" s="4"/>
      <c r="Q685" s="4"/>
      <c r="R685" s="4"/>
      <c r="S685" s="4"/>
      <c r="T685" s="4"/>
      <c r="U685" s="4"/>
      <c r="V685" s="4"/>
      <c r="W685" s="4"/>
    </row>
    <row r="686" spans="1:23" x14ac:dyDescent="0.2">
      <c r="A686" s="4">
        <v>50</v>
      </c>
      <c r="B686" s="4">
        <v>0</v>
      </c>
      <c r="C686" s="4">
        <v>0</v>
      </c>
      <c r="D686" s="4">
        <v>1</v>
      </c>
      <c r="E686" s="4">
        <v>210</v>
      </c>
      <c r="F686" s="4">
        <f>ROUND(Source!X660,O686)</f>
        <v>0</v>
      </c>
      <c r="G686" s="4" t="s">
        <v>261</v>
      </c>
      <c r="H686" s="4" t="s">
        <v>262</v>
      </c>
      <c r="I686" s="4"/>
      <c r="J686" s="4"/>
      <c r="K686" s="4">
        <v>210</v>
      </c>
      <c r="L686" s="4">
        <v>25</v>
      </c>
      <c r="M686" s="4">
        <v>3</v>
      </c>
      <c r="N686" s="4" t="s">
        <v>3</v>
      </c>
      <c r="O686" s="4">
        <v>2</v>
      </c>
      <c r="P686" s="4"/>
      <c r="Q686" s="4"/>
      <c r="R686" s="4"/>
      <c r="S686" s="4"/>
      <c r="T686" s="4"/>
      <c r="U686" s="4"/>
      <c r="V686" s="4"/>
      <c r="W686" s="4"/>
    </row>
    <row r="687" spans="1:23" x14ac:dyDescent="0.2">
      <c r="A687" s="4">
        <v>50</v>
      </c>
      <c r="B687" s="4">
        <v>0</v>
      </c>
      <c r="C687" s="4">
        <v>0</v>
      </c>
      <c r="D687" s="4">
        <v>1</v>
      </c>
      <c r="E687" s="4">
        <v>211</v>
      </c>
      <c r="F687" s="4">
        <f>ROUND(Source!Y660,O687)</f>
        <v>0</v>
      </c>
      <c r="G687" s="4" t="s">
        <v>263</v>
      </c>
      <c r="H687" s="4" t="s">
        <v>264</v>
      </c>
      <c r="I687" s="4"/>
      <c r="J687" s="4"/>
      <c r="K687" s="4">
        <v>211</v>
      </c>
      <c r="L687" s="4">
        <v>26</v>
      </c>
      <c r="M687" s="4">
        <v>3</v>
      </c>
      <c r="N687" s="4" t="s">
        <v>3</v>
      </c>
      <c r="O687" s="4">
        <v>2</v>
      </c>
      <c r="P687" s="4"/>
      <c r="Q687" s="4"/>
      <c r="R687" s="4"/>
      <c r="S687" s="4"/>
      <c r="T687" s="4"/>
      <c r="U687" s="4"/>
      <c r="V687" s="4"/>
      <c r="W687" s="4"/>
    </row>
    <row r="688" spans="1:23" x14ac:dyDescent="0.2">
      <c r="A688" s="4">
        <v>50</v>
      </c>
      <c r="B688" s="4">
        <v>0</v>
      </c>
      <c r="C688" s="4">
        <v>0</v>
      </c>
      <c r="D688" s="4">
        <v>1</v>
      </c>
      <c r="E688" s="4">
        <v>224</v>
      </c>
      <c r="F688" s="4">
        <f>ROUND(Source!AR660,O688)</f>
        <v>573754.28</v>
      </c>
      <c r="G688" s="4" t="s">
        <v>265</v>
      </c>
      <c r="H688" s="4" t="s">
        <v>266</v>
      </c>
      <c r="I688" s="4"/>
      <c r="J688" s="4"/>
      <c r="K688" s="4">
        <v>224</v>
      </c>
      <c r="L688" s="4">
        <v>27</v>
      </c>
      <c r="M688" s="4">
        <v>3</v>
      </c>
      <c r="N688" s="4" t="s">
        <v>3</v>
      </c>
      <c r="O688" s="4">
        <v>2</v>
      </c>
      <c r="P688" s="4"/>
      <c r="Q688" s="4"/>
      <c r="R688" s="4"/>
      <c r="S688" s="4"/>
      <c r="T688" s="4"/>
      <c r="U688" s="4"/>
      <c r="V688" s="4"/>
      <c r="W688" s="4"/>
    </row>
    <row r="690" spans="1:245" x14ac:dyDescent="0.2">
      <c r="A690" s="1">
        <v>5</v>
      </c>
      <c r="B690" s="1">
        <v>1</v>
      </c>
      <c r="C690" s="1"/>
      <c r="D690" s="1">
        <f>ROW(A702)</f>
        <v>702</v>
      </c>
      <c r="E690" s="1"/>
      <c r="F690" s="1" t="s">
        <v>596</v>
      </c>
      <c r="G690" s="1" t="s">
        <v>830</v>
      </c>
      <c r="H690" s="1" t="s">
        <v>3</v>
      </c>
      <c r="I690" s="1">
        <v>0</v>
      </c>
      <c r="J690" s="1"/>
      <c r="K690" s="1">
        <v>-1</v>
      </c>
      <c r="L690" s="1"/>
      <c r="M690" s="1" t="s">
        <v>3</v>
      </c>
      <c r="N690" s="1"/>
      <c r="O690" s="1"/>
      <c r="P690" s="1"/>
      <c r="Q690" s="1"/>
      <c r="R690" s="1"/>
      <c r="S690" s="1">
        <v>0</v>
      </c>
      <c r="T690" s="1"/>
      <c r="U690" s="1" t="s">
        <v>3</v>
      </c>
      <c r="V690" s="1">
        <v>0</v>
      </c>
      <c r="W690" s="1"/>
      <c r="X690" s="1"/>
      <c r="Y690" s="1"/>
      <c r="Z690" s="1"/>
      <c r="AA690" s="1"/>
      <c r="AB690" s="1" t="s">
        <v>3</v>
      </c>
      <c r="AC690" s="1" t="s">
        <v>3</v>
      </c>
      <c r="AD690" s="1" t="s">
        <v>3</v>
      </c>
      <c r="AE690" s="1" t="s">
        <v>3</v>
      </c>
      <c r="AF690" s="1" t="s">
        <v>3</v>
      </c>
      <c r="AG690" s="1" t="s">
        <v>3</v>
      </c>
      <c r="AH690" s="1"/>
      <c r="AI690" s="1"/>
      <c r="AJ690" s="1"/>
      <c r="AK690" s="1"/>
      <c r="AL690" s="1"/>
      <c r="AM690" s="1"/>
      <c r="AN690" s="1"/>
      <c r="AO690" s="1"/>
      <c r="AP690" s="1" t="s">
        <v>3</v>
      </c>
      <c r="AQ690" s="1" t="s">
        <v>3</v>
      </c>
      <c r="AR690" s="1" t="s">
        <v>3</v>
      </c>
      <c r="AS690" s="1"/>
      <c r="AT690" s="1"/>
      <c r="AU690" s="1"/>
      <c r="AV690" s="1"/>
      <c r="AW690" s="1"/>
      <c r="AX690" s="1"/>
      <c r="AY690" s="1"/>
      <c r="AZ690" s="1" t="s">
        <v>3</v>
      </c>
      <c r="BA690" s="1"/>
      <c r="BB690" s="1" t="s">
        <v>3</v>
      </c>
      <c r="BC690" s="1" t="s">
        <v>3</v>
      </c>
      <c r="BD690" s="1" t="s">
        <v>3</v>
      </c>
      <c r="BE690" s="1" t="s">
        <v>3</v>
      </c>
      <c r="BF690" s="1" t="s">
        <v>3</v>
      </c>
      <c r="BG690" s="1" t="s">
        <v>3</v>
      </c>
      <c r="BH690" s="1" t="s">
        <v>3</v>
      </c>
      <c r="BI690" s="1" t="s">
        <v>3</v>
      </c>
      <c r="BJ690" s="1" t="s">
        <v>3</v>
      </c>
      <c r="BK690" s="1" t="s">
        <v>3</v>
      </c>
      <c r="BL690" s="1" t="s">
        <v>3</v>
      </c>
      <c r="BM690" s="1" t="s">
        <v>3</v>
      </c>
      <c r="BN690" s="1" t="s">
        <v>3</v>
      </c>
      <c r="BO690" s="1" t="s">
        <v>3</v>
      </c>
      <c r="BP690" s="1" t="s">
        <v>3</v>
      </c>
      <c r="BQ690" s="1"/>
      <c r="BR690" s="1"/>
      <c r="BS690" s="1"/>
      <c r="BT690" s="1"/>
      <c r="BU690" s="1"/>
      <c r="BV690" s="1"/>
      <c r="BW690" s="1"/>
      <c r="BX690" s="1">
        <v>0</v>
      </c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>
        <v>0</v>
      </c>
    </row>
    <row r="692" spans="1:245" x14ac:dyDescent="0.2">
      <c r="A692" s="2">
        <v>52</v>
      </c>
      <c r="B692" s="2">
        <f t="shared" ref="B692:G692" si="605">B702</f>
        <v>1</v>
      </c>
      <c r="C692" s="2">
        <f t="shared" si="605"/>
        <v>5</v>
      </c>
      <c r="D692" s="2">
        <f t="shared" si="605"/>
        <v>690</v>
      </c>
      <c r="E692" s="2">
        <f t="shared" si="605"/>
        <v>0</v>
      </c>
      <c r="F692" s="2" t="str">
        <f t="shared" si="605"/>
        <v>Новый подраздел</v>
      </c>
      <c r="G692" s="2" t="str">
        <f t="shared" si="605"/>
        <v>Водные и прибрежные растения (контейнерные)</v>
      </c>
      <c r="H692" s="2"/>
      <c r="I692" s="2"/>
      <c r="J692" s="2"/>
      <c r="K692" s="2"/>
      <c r="L692" s="2"/>
      <c r="M692" s="2"/>
      <c r="N692" s="2"/>
      <c r="O692" s="2">
        <f t="shared" ref="O692:AT692" si="606">O702</f>
        <v>283052.13</v>
      </c>
      <c r="P692" s="2">
        <f t="shared" si="606"/>
        <v>195680.12</v>
      </c>
      <c r="Q692" s="2">
        <f t="shared" si="606"/>
        <v>19843.310000000001</v>
      </c>
      <c r="R692" s="2">
        <f t="shared" si="606"/>
        <v>3319.92</v>
      </c>
      <c r="S692" s="2">
        <f t="shared" si="606"/>
        <v>67528.7</v>
      </c>
      <c r="T692" s="2">
        <f t="shared" si="606"/>
        <v>0</v>
      </c>
      <c r="U692" s="2">
        <f t="shared" si="606"/>
        <v>212.51999999999998</v>
      </c>
      <c r="V692" s="2">
        <f t="shared" si="606"/>
        <v>0</v>
      </c>
      <c r="W692" s="2">
        <f t="shared" si="606"/>
        <v>0</v>
      </c>
      <c r="X692" s="2">
        <f t="shared" si="606"/>
        <v>60775.83</v>
      </c>
      <c r="Y692" s="2">
        <f t="shared" si="606"/>
        <v>27686.77</v>
      </c>
      <c r="Z692" s="2">
        <f t="shared" si="606"/>
        <v>0</v>
      </c>
      <c r="AA692" s="2">
        <f t="shared" si="606"/>
        <v>0</v>
      </c>
      <c r="AB692" s="2">
        <f t="shared" si="606"/>
        <v>283052.13</v>
      </c>
      <c r="AC692" s="2">
        <f t="shared" si="606"/>
        <v>195680.12</v>
      </c>
      <c r="AD692" s="2">
        <f t="shared" si="606"/>
        <v>19843.310000000001</v>
      </c>
      <c r="AE692" s="2">
        <f t="shared" si="606"/>
        <v>3319.92</v>
      </c>
      <c r="AF692" s="2">
        <f t="shared" si="606"/>
        <v>67528.7</v>
      </c>
      <c r="AG692" s="2">
        <f t="shared" si="606"/>
        <v>0</v>
      </c>
      <c r="AH692" s="2">
        <f t="shared" si="606"/>
        <v>212.51999999999998</v>
      </c>
      <c r="AI692" s="2">
        <f t="shared" si="606"/>
        <v>0</v>
      </c>
      <c r="AJ692" s="2">
        <f t="shared" si="606"/>
        <v>0</v>
      </c>
      <c r="AK692" s="2">
        <f t="shared" si="606"/>
        <v>60775.83</v>
      </c>
      <c r="AL692" s="2">
        <f t="shared" si="606"/>
        <v>27686.77</v>
      </c>
      <c r="AM692" s="2">
        <f t="shared" si="606"/>
        <v>0</v>
      </c>
      <c r="AN692" s="2">
        <f t="shared" si="606"/>
        <v>0</v>
      </c>
      <c r="AO692" s="2">
        <f t="shared" si="606"/>
        <v>0</v>
      </c>
      <c r="AP692" s="2">
        <f t="shared" si="606"/>
        <v>0</v>
      </c>
      <c r="AQ692" s="2">
        <f t="shared" si="606"/>
        <v>0</v>
      </c>
      <c r="AR692" s="2">
        <f t="shared" si="606"/>
        <v>376727</v>
      </c>
      <c r="AS692" s="2">
        <f t="shared" si="606"/>
        <v>376727</v>
      </c>
      <c r="AT692" s="2">
        <f t="shared" si="606"/>
        <v>0</v>
      </c>
      <c r="AU692" s="2">
        <f t="shared" ref="AU692:BZ692" si="607">AU702</f>
        <v>0</v>
      </c>
      <c r="AV692" s="2">
        <f t="shared" si="607"/>
        <v>195680.12</v>
      </c>
      <c r="AW692" s="2">
        <f t="shared" si="607"/>
        <v>195680.12</v>
      </c>
      <c r="AX692" s="2">
        <f t="shared" si="607"/>
        <v>0</v>
      </c>
      <c r="AY692" s="2">
        <f t="shared" si="607"/>
        <v>195680.12</v>
      </c>
      <c r="AZ692" s="2">
        <f t="shared" si="607"/>
        <v>0</v>
      </c>
      <c r="BA692" s="2">
        <f t="shared" si="607"/>
        <v>0</v>
      </c>
      <c r="BB692" s="2">
        <f t="shared" si="607"/>
        <v>0</v>
      </c>
      <c r="BC692" s="2">
        <f t="shared" si="607"/>
        <v>0</v>
      </c>
      <c r="BD692" s="2">
        <f t="shared" si="607"/>
        <v>0</v>
      </c>
      <c r="BE692" s="2">
        <f t="shared" si="607"/>
        <v>0</v>
      </c>
      <c r="BF692" s="2">
        <f t="shared" si="607"/>
        <v>0</v>
      </c>
      <c r="BG692" s="2">
        <f t="shared" si="607"/>
        <v>0</v>
      </c>
      <c r="BH692" s="2">
        <f t="shared" si="607"/>
        <v>0</v>
      </c>
      <c r="BI692" s="2">
        <f t="shared" si="607"/>
        <v>0</v>
      </c>
      <c r="BJ692" s="2">
        <f t="shared" si="607"/>
        <v>0</v>
      </c>
      <c r="BK692" s="2">
        <f t="shared" si="607"/>
        <v>0</v>
      </c>
      <c r="BL692" s="2">
        <f t="shared" si="607"/>
        <v>0</v>
      </c>
      <c r="BM692" s="2">
        <f t="shared" si="607"/>
        <v>0</v>
      </c>
      <c r="BN692" s="2">
        <f t="shared" si="607"/>
        <v>0</v>
      </c>
      <c r="BO692" s="2">
        <f t="shared" si="607"/>
        <v>0</v>
      </c>
      <c r="BP692" s="2">
        <f t="shared" si="607"/>
        <v>0</v>
      </c>
      <c r="BQ692" s="2">
        <f t="shared" si="607"/>
        <v>0</v>
      </c>
      <c r="BR692" s="2">
        <f t="shared" si="607"/>
        <v>0</v>
      </c>
      <c r="BS692" s="2">
        <f t="shared" si="607"/>
        <v>0</v>
      </c>
      <c r="BT692" s="2">
        <f t="shared" si="607"/>
        <v>0</v>
      </c>
      <c r="BU692" s="2">
        <f t="shared" si="607"/>
        <v>0</v>
      </c>
      <c r="BV692" s="2">
        <f t="shared" si="607"/>
        <v>0</v>
      </c>
      <c r="BW692" s="2">
        <f t="shared" si="607"/>
        <v>0</v>
      </c>
      <c r="BX692" s="2">
        <f t="shared" si="607"/>
        <v>0</v>
      </c>
      <c r="BY692" s="2">
        <f t="shared" si="607"/>
        <v>0</v>
      </c>
      <c r="BZ692" s="2">
        <f t="shared" si="607"/>
        <v>0</v>
      </c>
      <c r="CA692" s="2">
        <f t="shared" ref="CA692:DF692" si="608">CA702</f>
        <v>376727</v>
      </c>
      <c r="CB692" s="2">
        <f t="shared" si="608"/>
        <v>376727</v>
      </c>
      <c r="CC692" s="2">
        <f t="shared" si="608"/>
        <v>0</v>
      </c>
      <c r="CD692" s="2">
        <f t="shared" si="608"/>
        <v>0</v>
      </c>
      <c r="CE692" s="2">
        <f t="shared" si="608"/>
        <v>195680.12</v>
      </c>
      <c r="CF692" s="2">
        <f t="shared" si="608"/>
        <v>195680.12</v>
      </c>
      <c r="CG692" s="2">
        <f t="shared" si="608"/>
        <v>0</v>
      </c>
      <c r="CH692" s="2">
        <f t="shared" si="608"/>
        <v>195680.12</v>
      </c>
      <c r="CI692" s="2">
        <f t="shared" si="608"/>
        <v>0</v>
      </c>
      <c r="CJ692" s="2">
        <f t="shared" si="608"/>
        <v>0</v>
      </c>
      <c r="CK692" s="2">
        <f t="shared" si="608"/>
        <v>0</v>
      </c>
      <c r="CL692" s="2">
        <f t="shared" si="608"/>
        <v>0</v>
      </c>
      <c r="CM692" s="2">
        <f t="shared" si="608"/>
        <v>0</v>
      </c>
      <c r="CN692" s="2">
        <f t="shared" si="608"/>
        <v>0</v>
      </c>
      <c r="CO692" s="2">
        <f t="shared" si="608"/>
        <v>0</v>
      </c>
      <c r="CP692" s="2">
        <f t="shared" si="608"/>
        <v>0</v>
      </c>
      <c r="CQ692" s="2">
        <f t="shared" si="608"/>
        <v>0</v>
      </c>
      <c r="CR692" s="2">
        <f t="shared" si="608"/>
        <v>0</v>
      </c>
      <c r="CS692" s="2">
        <f t="shared" si="608"/>
        <v>0</v>
      </c>
      <c r="CT692" s="2">
        <f t="shared" si="608"/>
        <v>0</v>
      </c>
      <c r="CU692" s="2">
        <f t="shared" si="608"/>
        <v>0</v>
      </c>
      <c r="CV692" s="2">
        <f t="shared" si="608"/>
        <v>0</v>
      </c>
      <c r="CW692" s="2">
        <f t="shared" si="608"/>
        <v>0</v>
      </c>
      <c r="CX692" s="2">
        <f t="shared" si="608"/>
        <v>0</v>
      </c>
      <c r="CY692" s="2">
        <f t="shared" si="608"/>
        <v>0</v>
      </c>
      <c r="CZ692" s="2">
        <f t="shared" si="608"/>
        <v>0</v>
      </c>
      <c r="DA692" s="2">
        <f t="shared" si="608"/>
        <v>0</v>
      </c>
      <c r="DB692" s="2">
        <f t="shared" si="608"/>
        <v>0</v>
      </c>
      <c r="DC692" s="2">
        <f t="shared" si="608"/>
        <v>0</v>
      </c>
      <c r="DD692" s="2">
        <f t="shared" si="608"/>
        <v>0</v>
      </c>
      <c r="DE692" s="2">
        <f t="shared" si="608"/>
        <v>0</v>
      </c>
      <c r="DF692" s="2">
        <f t="shared" si="608"/>
        <v>0</v>
      </c>
      <c r="DG692" s="3">
        <f t="shared" ref="DG692:EL692" si="609">DG702</f>
        <v>0</v>
      </c>
      <c r="DH692" s="3">
        <f t="shared" si="609"/>
        <v>0</v>
      </c>
      <c r="DI692" s="3">
        <f t="shared" si="609"/>
        <v>0</v>
      </c>
      <c r="DJ692" s="3">
        <f t="shared" si="609"/>
        <v>0</v>
      </c>
      <c r="DK692" s="3">
        <f t="shared" si="609"/>
        <v>0</v>
      </c>
      <c r="DL692" s="3">
        <f t="shared" si="609"/>
        <v>0</v>
      </c>
      <c r="DM692" s="3">
        <f t="shared" si="609"/>
        <v>0</v>
      </c>
      <c r="DN692" s="3">
        <f t="shared" si="609"/>
        <v>0</v>
      </c>
      <c r="DO692" s="3">
        <f t="shared" si="609"/>
        <v>0</v>
      </c>
      <c r="DP692" s="3">
        <f t="shared" si="609"/>
        <v>0</v>
      </c>
      <c r="DQ692" s="3">
        <f t="shared" si="609"/>
        <v>0</v>
      </c>
      <c r="DR692" s="3">
        <f t="shared" si="609"/>
        <v>0</v>
      </c>
      <c r="DS692" s="3">
        <f t="shared" si="609"/>
        <v>0</v>
      </c>
      <c r="DT692" s="3">
        <f t="shared" si="609"/>
        <v>0</v>
      </c>
      <c r="DU692" s="3">
        <f t="shared" si="609"/>
        <v>0</v>
      </c>
      <c r="DV692" s="3">
        <f t="shared" si="609"/>
        <v>0</v>
      </c>
      <c r="DW692" s="3">
        <f t="shared" si="609"/>
        <v>0</v>
      </c>
      <c r="DX692" s="3">
        <f t="shared" si="609"/>
        <v>0</v>
      </c>
      <c r="DY692" s="3">
        <f t="shared" si="609"/>
        <v>0</v>
      </c>
      <c r="DZ692" s="3">
        <f t="shared" si="609"/>
        <v>0</v>
      </c>
      <c r="EA692" s="3">
        <f t="shared" si="609"/>
        <v>0</v>
      </c>
      <c r="EB692" s="3">
        <f t="shared" si="609"/>
        <v>0</v>
      </c>
      <c r="EC692" s="3">
        <f t="shared" si="609"/>
        <v>0</v>
      </c>
      <c r="ED692" s="3">
        <f t="shared" si="609"/>
        <v>0</v>
      </c>
      <c r="EE692" s="3">
        <f t="shared" si="609"/>
        <v>0</v>
      </c>
      <c r="EF692" s="3">
        <f t="shared" si="609"/>
        <v>0</v>
      </c>
      <c r="EG692" s="3">
        <f t="shared" si="609"/>
        <v>0</v>
      </c>
      <c r="EH692" s="3">
        <f t="shared" si="609"/>
        <v>0</v>
      </c>
      <c r="EI692" s="3">
        <f t="shared" si="609"/>
        <v>0</v>
      </c>
      <c r="EJ692" s="3">
        <f t="shared" si="609"/>
        <v>0</v>
      </c>
      <c r="EK692" s="3">
        <f t="shared" si="609"/>
        <v>0</v>
      </c>
      <c r="EL692" s="3">
        <f t="shared" si="609"/>
        <v>0</v>
      </c>
      <c r="EM692" s="3">
        <f t="shared" ref="EM692:FR692" si="610">EM702</f>
        <v>0</v>
      </c>
      <c r="EN692" s="3">
        <f t="shared" si="610"/>
        <v>0</v>
      </c>
      <c r="EO692" s="3">
        <f t="shared" si="610"/>
        <v>0</v>
      </c>
      <c r="EP692" s="3">
        <f t="shared" si="610"/>
        <v>0</v>
      </c>
      <c r="EQ692" s="3">
        <f t="shared" si="610"/>
        <v>0</v>
      </c>
      <c r="ER692" s="3">
        <f t="shared" si="610"/>
        <v>0</v>
      </c>
      <c r="ES692" s="3">
        <f t="shared" si="610"/>
        <v>0</v>
      </c>
      <c r="ET692" s="3">
        <f t="shared" si="610"/>
        <v>0</v>
      </c>
      <c r="EU692" s="3">
        <f t="shared" si="610"/>
        <v>0</v>
      </c>
      <c r="EV692" s="3">
        <f t="shared" si="610"/>
        <v>0</v>
      </c>
      <c r="EW692" s="3">
        <f t="shared" si="610"/>
        <v>0</v>
      </c>
      <c r="EX692" s="3">
        <f t="shared" si="610"/>
        <v>0</v>
      </c>
      <c r="EY692" s="3">
        <f t="shared" si="610"/>
        <v>0</v>
      </c>
      <c r="EZ692" s="3">
        <f t="shared" si="610"/>
        <v>0</v>
      </c>
      <c r="FA692" s="3">
        <f t="shared" si="610"/>
        <v>0</v>
      </c>
      <c r="FB692" s="3">
        <f t="shared" si="610"/>
        <v>0</v>
      </c>
      <c r="FC692" s="3">
        <f t="shared" si="610"/>
        <v>0</v>
      </c>
      <c r="FD692" s="3">
        <f t="shared" si="610"/>
        <v>0</v>
      </c>
      <c r="FE692" s="3">
        <f t="shared" si="610"/>
        <v>0</v>
      </c>
      <c r="FF692" s="3">
        <f t="shared" si="610"/>
        <v>0</v>
      </c>
      <c r="FG692" s="3">
        <f t="shared" si="610"/>
        <v>0</v>
      </c>
      <c r="FH692" s="3">
        <f t="shared" si="610"/>
        <v>0</v>
      </c>
      <c r="FI692" s="3">
        <f t="shared" si="610"/>
        <v>0</v>
      </c>
      <c r="FJ692" s="3">
        <f t="shared" si="610"/>
        <v>0</v>
      </c>
      <c r="FK692" s="3">
        <f t="shared" si="610"/>
        <v>0</v>
      </c>
      <c r="FL692" s="3">
        <f t="shared" si="610"/>
        <v>0</v>
      </c>
      <c r="FM692" s="3">
        <f t="shared" si="610"/>
        <v>0</v>
      </c>
      <c r="FN692" s="3">
        <f t="shared" si="610"/>
        <v>0</v>
      </c>
      <c r="FO692" s="3">
        <f t="shared" si="610"/>
        <v>0</v>
      </c>
      <c r="FP692" s="3">
        <f t="shared" si="610"/>
        <v>0</v>
      </c>
      <c r="FQ692" s="3">
        <f t="shared" si="610"/>
        <v>0</v>
      </c>
      <c r="FR692" s="3">
        <f t="shared" si="610"/>
        <v>0</v>
      </c>
      <c r="FS692" s="3">
        <f t="shared" ref="FS692:GX692" si="611">FS702</f>
        <v>0</v>
      </c>
      <c r="FT692" s="3">
        <f t="shared" si="611"/>
        <v>0</v>
      </c>
      <c r="FU692" s="3">
        <f t="shared" si="611"/>
        <v>0</v>
      </c>
      <c r="FV692" s="3">
        <f t="shared" si="611"/>
        <v>0</v>
      </c>
      <c r="FW692" s="3">
        <f t="shared" si="611"/>
        <v>0</v>
      </c>
      <c r="FX692" s="3">
        <f t="shared" si="611"/>
        <v>0</v>
      </c>
      <c r="FY692" s="3">
        <f t="shared" si="611"/>
        <v>0</v>
      </c>
      <c r="FZ692" s="3">
        <f t="shared" si="611"/>
        <v>0</v>
      </c>
      <c r="GA692" s="3">
        <f t="shared" si="611"/>
        <v>0</v>
      </c>
      <c r="GB692" s="3">
        <f t="shared" si="611"/>
        <v>0</v>
      </c>
      <c r="GC692" s="3">
        <f t="shared" si="611"/>
        <v>0</v>
      </c>
      <c r="GD692" s="3">
        <f t="shared" si="611"/>
        <v>0</v>
      </c>
      <c r="GE692" s="3">
        <f t="shared" si="611"/>
        <v>0</v>
      </c>
      <c r="GF692" s="3">
        <f t="shared" si="611"/>
        <v>0</v>
      </c>
      <c r="GG692" s="3">
        <f t="shared" si="611"/>
        <v>0</v>
      </c>
      <c r="GH692" s="3">
        <f t="shared" si="611"/>
        <v>0</v>
      </c>
      <c r="GI692" s="3">
        <f t="shared" si="611"/>
        <v>0</v>
      </c>
      <c r="GJ692" s="3">
        <f t="shared" si="611"/>
        <v>0</v>
      </c>
      <c r="GK692" s="3">
        <f t="shared" si="611"/>
        <v>0</v>
      </c>
      <c r="GL692" s="3">
        <f t="shared" si="611"/>
        <v>0</v>
      </c>
      <c r="GM692" s="3">
        <f t="shared" si="611"/>
        <v>0</v>
      </c>
      <c r="GN692" s="3">
        <f t="shared" si="611"/>
        <v>0</v>
      </c>
      <c r="GO692" s="3">
        <f t="shared" si="611"/>
        <v>0</v>
      </c>
      <c r="GP692" s="3">
        <f t="shared" si="611"/>
        <v>0</v>
      </c>
      <c r="GQ692" s="3">
        <f t="shared" si="611"/>
        <v>0</v>
      </c>
      <c r="GR692" s="3">
        <f t="shared" si="611"/>
        <v>0</v>
      </c>
      <c r="GS692" s="3">
        <f t="shared" si="611"/>
        <v>0</v>
      </c>
      <c r="GT692" s="3">
        <f t="shared" si="611"/>
        <v>0</v>
      </c>
      <c r="GU692" s="3">
        <f t="shared" si="611"/>
        <v>0</v>
      </c>
      <c r="GV692" s="3">
        <f t="shared" si="611"/>
        <v>0</v>
      </c>
      <c r="GW692" s="3">
        <f t="shared" si="611"/>
        <v>0</v>
      </c>
      <c r="GX692" s="3">
        <f t="shared" si="611"/>
        <v>0</v>
      </c>
    </row>
    <row r="694" spans="1:245" x14ac:dyDescent="0.2">
      <c r="A694">
        <v>17</v>
      </c>
      <c r="B694">
        <v>1</v>
      </c>
      <c r="C694">
        <f>ROW(SmtRes!A410)</f>
        <v>410</v>
      </c>
      <c r="D694">
        <f>ROW(EtalonRes!A403)</f>
        <v>403</v>
      </c>
      <c r="E694" t="s">
        <v>831</v>
      </c>
      <c r="F694" t="s">
        <v>832</v>
      </c>
      <c r="G694" t="s">
        <v>833</v>
      </c>
      <c r="H694" t="s">
        <v>834</v>
      </c>
      <c r="I694">
        <f>ROUND(300/10,9)</f>
        <v>30</v>
      </c>
      <c r="J694">
        <v>0</v>
      </c>
      <c r="K694">
        <f>ROUND(300/10,9)</f>
        <v>30</v>
      </c>
      <c r="O694">
        <f t="shared" ref="O694:O700" si="612">ROUND(CP694,2)</f>
        <v>88537.76</v>
      </c>
      <c r="P694">
        <f t="shared" ref="P694:P700" si="613">ROUND((ROUND((AC694*AW694*I694),2)*BC694),2)</f>
        <v>1165.75</v>
      </c>
      <c r="Q694">
        <f>(ROUND((ROUND((((ET694*1.25))*AV694*I694),2)*BB694),2)+ROUND((ROUND(((AE694-((EU694*1.25)))*AV694*I694),2)*BS694),2))</f>
        <v>19843.310000000001</v>
      </c>
      <c r="R694">
        <f t="shared" ref="R694:R700" si="614">ROUND((ROUND((AE694*AV694*I694),2)*BS694),2)</f>
        <v>3319.92</v>
      </c>
      <c r="S694">
        <f t="shared" ref="S694:S700" si="615">ROUND((ROUND((AF694*AV694*I694),2)*BA694),2)</f>
        <v>67528.7</v>
      </c>
      <c r="T694">
        <f t="shared" ref="T694:T700" si="616">ROUND(CU694*I694,2)</f>
        <v>0</v>
      </c>
      <c r="U694">
        <f t="shared" ref="U694:U700" si="617">CV694*I694</f>
        <v>212.51999999999998</v>
      </c>
      <c r="V694">
        <f t="shared" ref="V694:V700" si="618">CW694*I694</f>
        <v>0</v>
      </c>
      <c r="W694">
        <f t="shared" ref="W694:W700" si="619">ROUND(CX694*I694,2)</f>
        <v>0</v>
      </c>
      <c r="X694">
        <f t="shared" ref="X694:Y700" si="620">ROUND(CY694,2)</f>
        <v>60775.83</v>
      </c>
      <c r="Y694">
        <f t="shared" si="620"/>
        <v>27686.77</v>
      </c>
      <c r="AA694">
        <v>42938047</v>
      </c>
      <c r="AB694">
        <f t="shared" ref="AB694:AB700" si="621">ROUND((AC694+AD694+AF694),6)</f>
        <v>176.21600000000001</v>
      </c>
      <c r="AC694">
        <f t="shared" ref="AC694:AC700" si="622">ROUND((ES694),6)</f>
        <v>7.56</v>
      </c>
      <c r="AD694">
        <f>ROUND(((((ET694*1.25))-((EU694*1.25)))+AE694),6)</f>
        <v>80.174999999999997</v>
      </c>
      <c r="AE694">
        <f>ROUND(((EU694*1.25)),6)</f>
        <v>4.3499999999999996</v>
      </c>
      <c r="AF694">
        <f>ROUND(((EV694*1.15)),6)</f>
        <v>88.480999999999995</v>
      </c>
      <c r="AG694">
        <f t="shared" ref="AG694:AG700" si="623">ROUND((AP694),6)</f>
        <v>0</v>
      </c>
      <c r="AH694">
        <f>((EW694*1.15))</f>
        <v>7.0839999999999996</v>
      </c>
      <c r="AI694">
        <f>((EX694*1.25))</f>
        <v>0</v>
      </c>
      <c r="AJ694">
        <f t="shared" ref="AJ694:AJ700" si="624">(AS694)</f>
        <v>0</v>
      </c>
      <c r="AK694">
        <v>148.63999999999999</v>
      </c>
      <c r="AL694">
        <v>7.56</v>
      </c>
      <c r="AM694">
        <v>64.14</v>
      </c>
      <c r="AN694">
        <v>3.48</v>
      </c>
      <c r="AO694">
        <v>76.94</v>
      </c>
      <c r="AP694">
        <v>0</v>
      </c>
      <c r="AQ694">
        <v>6.16</v>
      </c>
      <c r="AR694">
        <v>0</v>
      </c>
      <c r="AS694">
        <v>0</v>
      </c>
      <c r="AT694">
        <v>90</v>
      </c>
      <c r="AU694">
        <v>41</v>
      </c>
      <c r="AV694">
        <v>1</v>
      </c>
      <c r="AW694">
        <v>1</v>
      </c>
      <c r="AZ694">
        <v>1</v>
      </c>
      <c r="BA694">
        <v>25.44</v>
      </c>
      <c r="BB694">
        <v>8.25</v>
      </c>
      <c r="BC694">
        <v>5.14</v>
      </c>
      <c r="BD694" t="s">
        <v>3</v>
      </c>
      <c r="BE694" t="s">
        <v>3</v>
      </c>
      <c r="BF694" t="s">
        <v>3</v>
      </c>
      <c r="BG694" t="s">
        <v>3</v>
      </c>
      <c r="BH694">
        <v>0</v>
      </c>
      <c r="BI694">
        <v>1</v>
      </c>
      <c r="BJ694" t="s">
        <v>835</v>
      </c>
      <c r="BM694">
        <v>292</v>
      </c>
      <c r="BN694">
        <v>0</v>
      </c>
      <c r="BO694" t="s">
        <v>832</v>
      </c>
      <c r="BP694">
        <v>1</v>
      </c>
      <c r="BQ694">
        <v>30</v>
      </c>
      <c r="BR694">
        <v>0</v>
      </c>
      <c r="BS694">
        <v>25.44</v>
      </c>
      <c r="BT694">
        <v>1</v>
      </c>
      <c r="BU694">
        <v>1</v>
      </c>
      <c r="BV694">
        <v>1</v>
      </c>
      <c r="BW694">
        <v>1</v>
      </c>
      <c r="BX694">
        <v>1</v>
      </c>
      <c r="BY694" t="s">
        <v>3</v>
      </c>
      <c r="BZ694">
        <v>90</v>
      </c>
      <c r="CA694">
        <v>41</v>
      </c>
      <c r="CB694" t="s">
        <v>3</v>
      </c>
      <c r="CE694">
        <v>30</v>
      </c>
      <c r="CF694">
        <v>0</v>
      </c>
      <c r="CG694">
        <v>0</v>
      </c>
      <c r="CM694">
        <v>0</v>
      </c>
      <c r="CN694" t="s">
        <v>1584</v>
      </c>
      <c r="CO694">
        <v>0</v>
      </c>
      <c r="CP694">
        <f t="shared" ref="CP694:CP700" si="625">(P694+Q694+S694)</f>
        <v>88537.76</v>
      </c>
      <c r="CQ694">
        <f t="shared" ref="CQ694:CQ700" si="626">ROUND((ROUND((AC694*AW694*1),2)*BC694),2)</f>
        <v>38.86</v>
      </c>
      <c r="CR694">
        <f>(ROUND((ROUND((((ET694*1.25))*AV694*1),2)*BB694),2)+ROUND((ROUND(((AE694-((EU694*1.25)))*AV694*1),2)*BS694),2))</f>
        <v>661.49</v>
      </c>
      <c r="CS694">
        <f t="shared" ref="CS694:CS700" si="627">ROUND((ROUND((AE694*AV694*1),2)*BS694),2)</f>
        <v>110.66</v>
      </c>
      <c r="CT694">
        <f t="shared" ref="CT694:CT700" si="628">ROUND((ROUND((AF694*AV694*1),2)*BA694),2)</f>
        <v>2250.9299999999998</v>
      </c>
      <c r="CU694">
        <f t="shared" ref="CU694:CU700" si="629">AG694</f>
        <v>0</v>
      </c>
      <c r="CV694">
        <f t="shared" ref="CV694:CV700" si="630">(AH694*AV694)</f>
        <v>7.0839999999999996</v>
      </c>
      <c r="CW694">
        <f t="shared" ref="CW694:CX700" si="631">AI694</f>
        <v>0</v>
      </c>
      <c r="CX694">
        <f t="shared" si="631"/>
        <v>0</v>
      </c>
      <c r="CY694">
        <f t="shared" ref="CY694:CY700" si="632">S694*(BZ694/100)</f>
        <v>60775.83</v>
      </c>
      <c r="CZ694">
        <f t="shared" ref="CZ694:CZ700" si="633">S694*(CA694/100)</f>
        <v>27686.766999999996</v>
      </c>
      <c r="DC694" t="s">
        <v>3</v>
      </c>
      <c r="DD694" t="s">
        <v>3</v>
      </c>
      <c r="DE694" t="s">
        <v>20</v>
      </c>
      <c r="DF694" t="s">
        <v>20</v>
      </c>
      <c r="DG694" t="s">
        <v>21</v>
      </c>
      <c r="DH694" t="s">
        <v>3</v>
      </c>
      <c r="DI694" t="s">
        <v>21</v>
      </c>
      <c r="DJ694" t="s">
        <v>20</v>
      </c>
      <c r="DK694" t="s">
        <v>3</v>
      </c>
      <c r="DL694" t="s">
        <v>3</v>
      </c>
      <c r="DM694" t="s">
        <v>3</v>
      </c>
      <c r="DN694">
        <v>156</v>
      </c>
      <c r="DO694">
        <v>84</v>
      </c>
      <c r="DP694">
        <v>1</v>
      </c>
      <c r="DQ694">
        <v>1</v>
      </c>
      <c r="DU694">
        <v>1013</v>
      </c>
      <c r="DV694" t="s">
        <v>834</v>
      </c>
      <c r="DW694" t="s">
        <v>834</v>
      </c>
      <c r="DX694">
        <v>1</v>
      </c>
      <c r="DZ694" t="s">
        <v>3</v>
      </c>
      <c r="EA694" t="s">
        <v>3</v>
      </c>
      <c r="EB694" t="s">
        <v>3</v>
      </c>
      <c r="EC694" t="s">
        <v>3</v>
      </c>
      <c r="EE694">
        <v>43088370</v>
      </c>
      <c r="EF694">
        <v>30</v>
      </c>
      <c r="EG694" t="s">
        <v>22</v>
      </c>
      <c r="EH694">
        <v>0</v>
      </c>
      <c r="EI694" t="s">
        <v>3</v>
      </c>
      <c r="EJ694">
        <v>1</v>
      </c>
      <c r="EK694">
        <v>292</v>
      </c>
      <c r="EL694" t="s">
        <v>23</v>
      </c>
      <c r="EM694" t="s">
        <v>24</v>
      </c>
      <c r="EO694" t="s">
        <v>59</v>
      </c>
      <c r="EQ694">
        <v>0</v>
      </c>
      <c r="ER694">
        <v>148.63999999999999</v>
      </c>
      <c r="ES694">
        <v>7.56</v>
      </c>
      <c r="ET694">
        <v>64.14</v>
      </c>
      <c r="EU694">
        <v>3.48</v>
      </c>
      <c r="EV694">
        <v>76.94</v>
      </c>
      <c r="EW694">
        <v>6.16</v>
      </c>
      <c r="EX694">
        <v>0</v>
      </c>
      <c r="EY694">
        <v>0</v>
      </c>
      <c r="FQ694">
        <v>0</v>
      </c>
      <c r="FR694">
        <f t="shared" ref="FR694:FR700" si="634">ROUND(IF(AND(BH694=3,BI694=3),P694,0),2)</f>
        <v>0</v>
      </c>
      <c r="FS694">
        <v>0</v>
      </c>
      <c r="FX694">
        <v>156</v>
      </c>
      <c r="FY694">
        <v>84</v>
      </c>
      <c r="GA694" t="s">
        <v>3</v>
      </c>
      <c r="GD694">
        <v>0</v>
      </c>
      <c r="GF694">
        <v>-1169628556</v>
      </c>
      <c r="GG694">
        <v>2</v>
      </c>
      <c r="GH694">
        <v>1</v>
      </c>
      <c r="GI694">
        <v>2</v>
      </c>
      <c r="GJ694">
        <v>0</v>
      </c>
      <c r="GK694">
        <f>ROUND(R694*(R12)/100,2)</f>
        <v>5212.2700000000004</v>
      </c>
      <c r="GL694">
        <f t="shared" ref="GL694:GL700" si="635">ROUND(IF(AND(BH694=3,BI694=3,FS694&lt;&gt;0),P694,0),2)</f>
        <v>0</v>
      </c>
      <c r="GM694">
        <f t="shared" ref="GM694:GM700" si="636">ROUND(O694+X694+Y694+GK694,2)+GX694</f>
        <v>182212.63</v>
      </c>
      <c r="GN694">
        <f t="shared" ref="GN694:GN700" si="637">IF(OR(BI694=0,BI694=1),ROUND(O694+X694+Y694+GK694,2),0)</f>
        <v>182212.63</v>
      </c>
      <c r="GO694">
        <f t="shared" ref="GO694:GO700" si="638">IF(BI694=2,ROUND(O694+X694+Y694+GK694,2),0)</f>
        <v>0</v>
      </c>
      <c r="GP694">
        <f t="shared" ref="GP694:GP700" si="639">IF(BI694=4,ROUND(O694+X694+Y694+GK694,2)+GX694,0)</f>
        <v>0</v>
      </c>
      <c r="GR694">
        <v>0</v>
      </c>
      <c r="GS694">
        <v>3</v>
      </c>
      <c r="GT694">
        <v>0</v>
      </c>
      <c r="GU694" t="s">
        <v>3</v>
      </c>
      <c r="GV694">
        <f t="shared" ref="GV694:GV700" si="640">ROUND((GT694),6)</f>
        <v>0</v>
      </c>
      <c r="GW694">
        <v>1</v>
      </c>
      <c r="GX694">
        <f t="shared" ref="GX694:GX700" si="641">ROUND(HC694*I694,2)</f>
        <v>0</v>
      </c>
      <c r="HA694">
        <v>0</v>
      </c>
      <c r="HB694">
        <v>0</v>
      </c>
      <c r="HC694">
        <f t="shared" ref="HC694:HC700" si="642">GV694*GW694</f>
        <v>0</v>
      </c>
      <c r="HE694" t="s">
        <v>3</v>
      </c>
      <c r="HF694" t="s">
        <v>3</v>
      </c>
      <c r="HM694" t="s">
        <v>3</v>
      </c>
      <c r="IK694">
        <v>0</v>
      </c>
    </row>
    <row r="695" spans="1:245" x14ac:dyDescent="0.2">
      <c r="A695">
        <v>18</v>
      </c>
      <c r="B695">
        <v>1</v>
      </c>
      <c r="C695">
        <v>405</v>
      </c>
      <c r="E695" t="s">
        <v>836</v>
      </c>
      <c r="F695" t="s">
        <v>118</v>
      </c>
      <c r="G695" t="s">
        <v>837</v>
      </c>
      <c r="H695" t="s">
        <v>169</v>
      </c>
      <c r="I695">
        <f>I694*J695</f>
        <v>150</v>
      </c>
      <c r="J695">
        <v>5</v>
      </c>
      <c r="K695">
        <v>5</v>
      </c>
      <c r="O695">
        <f t="shared" si="612"/>
        <v>51002.13</v>
      </c>
      <c r="P695">
        <f t="shared" si="613"/>
        <v>51002.13</v>
      </c>
      <c r="Q695">
        <f t="shared" ref="Q695:Q700" si="643">(ROUND((ROUND(((ET695)*AV695*I695),2)*BB695),2)+ROUND((ROUND(((AE695-(EU695))*AV695*I695),2)*BS695),2))</f>
        <v>0</v>
      </c>
      <c r="R695">
        <f t="shared" si="614"/>
        <v>0</v>
      </c>
      <c r="S695">
        <f t="shared" si="615"/>
        <v>0</v>
      </c>
      <c r="T695">
        <f t="shared" si="616"/>
        <v>0</v>
      </c>
      <c r="U695">
        <f t="shared" si="617"/>
        <v>0</v>
      </c>
      <c r="V695">
        <f t="shared" si="618"/>
        <v>0</v>
      </c>
      <c r="W695">
        <f t="shared" si="619"/>
        <v>0</v>
      </c>
      <c r="X695">
        <f t="shared" si="620"/>
        <v>0</v>
      </c>
      <c r="Y695">
        <f t="shared" si="620"/>
        <v>0</v>
      </c>
      <c r="AA695">
        <v>42938047</v>
      </c>
      <c r="AB695">
        <f t="shared" si="621"/>
        <v>53.63</v>
      </c>
      <c r="AC695">
        <f t="shared" si="622"/>
        <v>53.63</v>
      </c>
      <c r="AD695">
        <f t="shared" ref="AD695:AD700" si="644">ROUND((((ET695)-(EU695))+AE695),6)</f>
        <v>0</v>
      </c>
      <c r="AE695">
        <f t="shared" ref="AE695:AF700" si="645">ROUND((EU695),6)</f>
        <v>0</v>
      </c>
      <c r="AF695">
        <f t="shared" si="645"/>
        <v>0</v>
      </c>
      <c r="AG695">
        <f t="shared" si="623"/>
        <v>0</v>
      </c>
      <c r="AH695">
        <f t="shared" ref="AH695:AI700" si="646">(EW695)</f>
        <v>0</v>
      </c>
      <c r="AI695">
        <f t="shared" si="646"/>
        <v>0</v>
      </c>
      <c r="AJ695">
        <f t="shared" si="624"/>
        <v>0</v>
      </c>
      <c r="AK695">
        <v>53.629999999999995</v>
      </c>
      <c r="AL695">
        <v>53.629999999999995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1</v>
      </c>
      <c r="AW695">
        <v>1</v>
      </c>
      <c r="AZ695">
        <v>1</v>
      </c>
      <c r="BA695">
        <v>1</v>
      </c>
      <c r="BB695">
        <v>1</v>
      </c>
      <c r="BC695">
        <v>6.34</v>
      </c>
      <c r="BD695" t="s">
        <v>3</v>
      </c>
      <c r="BE695" t="s">
        <v>3</v>
      </c>
      <c r="BF695" t="s">
        <v>3</v>
      </c>
      <c r="BG695" t="s">
        <v>3</v>
      </c>
      <c r="BH695">
        <v>3</v>
      </c>
      <c r="BI695">
        <v>1</v>
      </c>
      <c r="BJ695" t="s">
        <v>3</v>
      </c>
      <c r="BM695">
        <v>292</v>
      </c>
      <c r="BN695">
        <v>0</v>
      </c>
      <c r="BO695" t="s">
        <v>3</v>
      </c>
      <c r="BP695">
        <v>0</v>
      </c>
      <c r="BQ695">
        <v>30</v>
      </c>
      <c r="BR695">
        <v>0</v>
      </c>
      <c r="BS695">
        <v>1</v>
      </c>
      <c r="BT695">
        <v>1</v>
      </c>
      <c r="BU695">
        <v>1</v>
      </c>
      <c r="BV695">
        <v>1</v>
      </c>
      <c r="BW695">
        <v>1</v>
      </c>
      <c r="BX695">
        <v>1</v>
      </c>
      <c r="BY695" t="s">
        <v>3</v>
      </c>
      <c r="BZ695">
        <v>0</v>
      </c>
      <c r="CA695">
        <v>0</v>
      </c>
      <c r="CB695" t="s">
        <v>3</v>
      </c>
      <c r="CE695">
        <v>30</v>
      </c>
      <c r="CF695">
        <v>0</v>
      </c>
      <c r="CG695">
        <v>0</v>
      </c>
      <c r="CM695">
        <v>0</v>
      </c>
      <c r="CN695" t="s">
        <v>3</v>
      </c>
      <c r="CO695">
        <v>0</v>
      </c>
      <c r="CP695">
        <f t="shared" si="625"/>
        <v>51002.13</v>
      </c>
      <c r="CQ695">
        <f t="shared" si="626"/>
        <v>340.01</v>
      </c>
      <c r="CR695">
        <f t="shared" ref="CR695:CR700" si="647">(ROUND((ROUND(((ET695)*AV695*1),2)*BB695),2)+ROUND((ROUND(((AE695-(EU695))*AV695*1),2)*BS695),2))</f>
        <v>0</v>
      </c>
      <c r="CS695">
        <f t="shared" si="627"/>
        <v>0</v>
      </c>
      <c r="CT695">
        <f t="shared" si="628"/>
        <v>0</v>
      </c>
      <c r="CU695">
        <f t="shared" si="629"/>
        <v>0</v>
      </c>
      <c r="CV695">
        <f t="shared" si="630"/>
        <v>0</v>
      </c>
      <c r="CW695">
        <f t="shared" si="631"/>
        <v>0</v>
      </c>
      <c r="CX695">
        <f t="shared" si="631"/>
        <v>0</v>
      </c>
      <c r="CY695">
        <f t="shared" si="632"/>
        <v>0</v>
      </c>
      <c r="CZ695">
        <f t="shared" si="633"/>
        <v>0</v>
      </c>
      <c r="DC695" t="s">
        <v>3</v>
      </c>
      <c r="DD695" t="s">
        <v>3</v>
      </c>
      <c r="DE695" t="s">
        <v>3</v>
      </c>
      <c r="DF695" t="s">
        <v>3</v>
      </c>
      <c r="DG695" t="s">
        <v>3</v>
      </c>
      <c r="DH695" t="s">
        <v>3</v>
      </c>
      <c r="DI695" t="s">
        <v>3</v>
      </c>
      <c r="DJ695" t="s">
        <v>3</v>
      </c>
      <c r="DK695" t="s">
        <v>3</v>
      </c>
      <c r="DL695" t="s">
        <v>3</v>
      </c>
      <c r="DM695" t="s">
        <v>3</v>
      </c>
      <c r="DN695">
        <v>156</v>
      </c>
      <c r="DO695">
        <v>84</v>
      </c>
      <c r="DP695">
        <v>1</v>
      </c>
      <c r="DQ695">
        <v>1</v>
      </c>
      <c r="DU695">
        <v>1010</v>
      </c>
      <c r="DV695" t="s">
        <v>169</v>
      </c>
      <c r="DW695" t="s">
        <v>169</v>
      </c>
      <c r="DX695">
        <v>1</v>
      </c>
      <c r="DZ695" t="s">
        <v>3</v>
      </c>
      <c r="EA695" t="s">
        <v>3</v>
      </c>
      <c r="EB695" t="s">
        <v>3</v>
      </c>
      <c r="EC695" t="s">
        <v>3</v>
      </c>
      <c r="EE695">
        <v>43088370</v>
      </c>
      <c r="EF695">
        <v>30</v>
      </c>
      <c r="EG695" t="s">
        <v>22</v>
      </c>
      <c r="EH695">
        <v>0</v>
      </c>
      <c r="EI695" t="s">
        <v>3</v>
      </c>
      <c r="EJ695">
        <v>1</v>
      </c>
      <c r="EK695">
        <v>292</v>
      </c>
      <c r="EL695" t="s">
        <v>23</v>
      </c>
      <c r="EM695" t="s">
        <v>24</v>
      </c>
      <c r="EO695" t="s">
        <v>3</v>
      </c>
      <c r="EQ695">
        <v>0</v>
      </c>
      <c r="ER695">
        <v>53.629999999999995</v>
      </c>
      <c r="ES695">
        <v>53.629999999999995</v>
      </c>
      <c r="ET695">
        <v>0</v>
      </c>
      <c r="EU695">
        <v>0</v>
      </c>
      <c r="EV695">
        <v>0</v>
      </c>
      <c r="EW695">
        <v>0</v>
      </c>
      <c r="EX695">
        <v>0</v>
      </c>
      <c r="EZ695">
        <v>5</v>
      </c>
      <c r="FC695">
        <v>1</v>
      </c>
      <c r="FD695">
        <v>18</v>
      </c>
      <c r="FF695">
        <v>400</v>
      </c>
      <c r="FQ695">
        <v>0</v>
      </c>
      <c r="FR695">
        <f t="shared" si="634"/>
        <v>0</v>
      </c>
      <c r="FS695">
        <v>0</v>
      </c>
      <c r="FX695">
        <v>156</v>
      </c>
      <c r="FY695">
        <v>84</v>
      </c>
      <c r="GA695" t="s">
        <v>140</v>
      </c>
      <c r="GD695">
        <v>0</v>
      </c>
      <c r="GF695">
        <v>-714054163</v>
      </c>
      <c r="GG695">
        <v>2</v>
      </c>
      <c r="GH695">
        <v>3</v>
      </c>
      <c r="GI695">
        <v>3</v>
      </c>
      <c r="GJ695">
        <v>0</v>
      </c>
      <c r="GK695">
        <f>ROUND(R695*(R12)/100,2)</f>
        <v>0</v>
      </c>
      <c r="GL695">
        <f t="shared" si="635"/>
        <v>0</v>
      </c>
      <c r="GM695">
        <f t="shared" si="636"/>
        <v>51002.13</v>
      </c>
      <c r="GN695">
        <f t="shared" si="637"/>
        <v>51002.13</v>
      </c>
      <c r="GO695">
        <f t="shared" si="638"/>
        <v>0</v>
      </c>
      <c r="GP695">
        <f t="shared" si="639"/>
        <v>0</v>
      </c>
      <c r="GR695">
        <v>1</v>
      </c>
      <c r="GS695">
        <v>1</v>
      </c>
      <c r="GT695">
        <v>0</v>
      </c>
      <c r="GU695" t="s">
        <v>3</v>
      </c>
      <c r="GV695">
        <f t="shared" si="640"/>
        <v>0</v>
      </c>
      <c r="GW695">
        <v>1</v>
      </c>
      <c r="GX695">
        <f t="shared" si="641"/>
        <v>0</v>
      </c>
      <c r="HA695">
        <v>0</v>
      </c>
      <c r="HB695">
        <v>0</v>
      </c>
      <c r="HC695">
        <f t="shared" si="642"/>
        <v>0</v>
      </c>
      <c r="HE695" t="s">
        <v>26</v>
      </c>
      <c r="HF695" t="s">
        <v>122</v>
      </c>
      <c r="HM695" t="s">
        <v>3</v>
      </c>
      <c r="IK695">
        <v>0</v>
      </c>
    </row>
    <row r="696" spans="1:245" x14ac:dyDescent="0.2">
      <c r="A696">
        <v>18</v>
      </c>
      <c r="B696">
        <v>1</v>
      </c>
      <c r="C696">
        <v>406</v>
      </c>
      <c r="E696" t="s">
        <v>838</v>
      </c>
      <c r="F696" t="s">
        <v>118</v>
      </c>
      <c r="G696" t="s">
        <v>839</v>
      </c>
      <c r="H696" t="s">
        <v>169</v>
      </c>
      <c r="I696">
        <f>I694*J696</f>
        <v>10</v>
      </c>
      <c r="J696">
        <v>0.33333333333333331</v>
      </c>
      <c r="K696">
        <v>0.33333299999999999</v>
      </c>
      <c r="O696">
        <f t="shared" si="612"/>
        <v>2966.49</v>
      </c>
      <c r="P696">
        <f t="shared" si="613"/>
        <v>2966.49</v>
      </c>
      <c r="Q696">
        <f t="shared" si="643"/>
        <v>0</v>
      </c>
      <c r="R696">
        <f t="shared" si="614"/>
        <v>0</v>
      </c>
      <c r="S696">
        <f t="shared" si="615"/>
        <v>0</v>
      </c>
      <c r="T696">
        <f t="shared" si="616"/>
        <v>0</v>
      </c>
      <c r="U696">
        <f t="shared" si="617"/>
        <v>0</v>
      </c>
      <c r="V696">
        <f t="shared" si="618"/>
        <v>0</v>
      </c>
      <c r="W696">
        <f t="shared" si="619"/>
        <v>0</v>
      </c>
      <c r="X696">
        <f t="shared" si="620"/>
        <v>0</v>
      </c>
      <c r="Y696">
        <f t="shared" si="620"/>
        <v>0</v>
      </c>
      <c r="AA696">
        <v>42938047</v>
      </c>
      <c r="AB696">
        <f t="shared" si="621"/>
        <v>46.79</v>
      </c>
      <c r="AC696">
        <f t="shared" si="622"/>
        <v>46.79</v>
      </c>
      <c r="AD696">
        <f t="shared" si="644"/>
        <v>0</v>
      </c>
      <c r="AE696">
        <f t="shared" si="645"/>
        <v>0</v>
      </c>
      <c r="AF696">
        <f t="shared" si="645"/>
        <v>0</v>
      </c>
      <c r="AG696">
        <f t="shared" si="623"/>
        <v>0</v>
      </c>
      <c r="AH696">
        <f t="shared" si="646"/>
        <v>0</v>
      </c>
      <c r="AI696">
        <f t="shared" si="646"/>
        <v>0</v>
      </c>
      <c r="AJ696">
        <f t="shared" si="624"/>
        <v>0</v>
      </c>
      <c r="AK696">
        <v>46.79</v>
      </c>
      <c r="AL696">
        <v>46.79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1</v>
      </c>
      <c r="AW696">
        <v>1</v>
      </c>
      <c r="AZ696">
        <v>1</v>
      </c>
      <c r="BA696">
        <v>1</v>
      </c>
      <c r="BB696">
        <v>1</v>
      </c>
      <c r="BC696">
        <v>6.34</v>
      </c>
      <c r="BD696" t="s">
        <v>3</v>
      </c>
      <c r="BE696" t="s">
        <v>3</v>
      </c>
      <c r="BF696" t="s">
        <v>3</v>
      </c>
      <c r="BG696" t="s">
        <v>3</v>
      </c>
      <c r="BH696">
        <v>3</v>
      </c>
      <c r="BI696">
        <v>1</v>
      </c>
      <c r="BJ696" t="s">
        <v>3</v>
      </c>
      <c r="BM696">
        <v>292</v>
      </c>
      <c r="BN696">
        <v>0</v>
      </c>
      <c r="BO696" t="s">
        <v>3</v>
      </c>
      <c r="BP696">
        <v>0</v>
      </c>
      <c r="BQ696">
        <v>30</v>
      </c>
      <c r="BR696">
        <v>0</v>
      </c>
      <c r="BS696">
        <v>1</v>
      </c>
      <c r="BT696">
        <v>1</v>
      </c>
      <c r="BU696">
        <v>1</v>
      </c>
      <c r="BV696">
        <v>1</v>
      </c>
      <c r="BW696">
        <v>1</v>
      </c>
      <c r="BX696">
        <v>1</v>
      </c>
      <c r="BY696" t="s">
        <v>3</v>
      </c>
      <c r="BZ696">
        <v>0</v>
      </c>
      <c r="CA696">
        <v>0</v>
      </c>
      <c r="CB696" t="s">
        <v>3</v>
      </c>
      <c r="CE696">
        <v>30</v>
      </c>
      <c r="CF696">
        <v>0</v>
      </c>
      <c r="CG696">
        <v>0</v>
      </c>
      <c r="CM696">
        <v>0</v>
      </c>
      <c r="CN696" t="s">
        <v>3</v>
      </c>
      <c r="CO696">
        <v>0</v>
      </c>
      <c r="CP696">
        <f t="shared" si="625"/>
        <v>2966.49</v>
      </c>
      <c r="CQ696">
        <f t="shared" si="626"/>
        <v>296.64999999999998</v>
      </c>
      <c r="CR696">
        <f t="shared" si="647"/>
        <v>0</v>
      </c>
      <c r="CS696">
        <f t="shared" si="627"/>
        <v>0</v>
      </c>
      <c r="CT696">
        <f t="shared" si="628"/>
        <v>0</v>
      </c>
      <c r="CU696">
        <f t="shared" si="629"/>
        <v>0</v>
      </c>
      <c r="CV696">
        <f t="shared" si="630"/>
        <v>0</v>
      </c>
      <c r="CW696">
        <f t="shared" si="631"/>
        <v>0</v>
      </c>
      <c r="CX696">
        <f t="shared" si="631"/>
        <v>0</v>
      </c>
      <c r="CY696">
        <f t="shared" si="632"/>
        <v>0</v>
      </c>
      <c r="CZ696">
        <f t="shared" si="633"/>
        <v>0</v>
      </c>
      <c r="DC696" t="s">
        <v>3</v>
      </c>
      <c r="DD696" t="s">
        <v>3</v>
      </c>
      <c r="DE696" t="s">
        <v>3</v>
      </c>
      <c r="DF696" t="s">
        <v>3</v>
      </c>
      <c r="DG696" t="s">
        <v>3</v>
      </c>
      <c r="DH696" t="s">
        <v>3</v>
      </c>
      <c r="DI696" t="s">
        <v>3</v>
      </c>
      <c r="DJ696" t="s">
        <v>3</v>
      </c>
      <c r="DK696" t="s">
        <v>3</v>
      </c>
      <c r="DL696" t="s">
        <v>3</v>
      </c>
      <c r="DM696" t="s">
        <v>3</v>
      </c>
      <c r="DN696">
        <v>156</v>
      </c>
      <c r="DO696">
        <v>84</v>
      </c>
      <c r="DP696">
        <v>1</v>
      </c>
      <c r="DQ696">
        <v>1</v>
      </c>
      <c r="DU696">
        <v>1010</v>
      </c>
      <c r="DV696" t="s">
        <v>169</v>
      </c>
      <c r="DW696" t="s">
        <v>169</v>
      </c>
      <c r="DX696">
        <v>1</v>
      </c>
      <c r="DZ696" t="s">
        <v>3</v>
      </c>
      <c r="EA696" t="s">
        <v>3</v>
      </c>
      <c r="EB696" t="s">
        <v>3</v>
      </c>
      <c r="EC696" t="s">
        <v>3</v>
      </c>
      <c r="EE696">
        <v>43088370</v>
      </c>
      <c r="EF696">
        <v>30</v>
      </c>
      <c r="EG696" t="s">
        <v>22</v>
      </c>
      <c r="EH696">
        <v>0</v>
      </c>
      <c r="EI696" t="s">
        <v>3</v>
      </c>
      <c r="EJ696">
        <v>1</v>
      </c>
      <c r="EK696">
        <v>292</v>
      </c>
      <c r="EL696" t="s">
        <v>23</v>
      </c>
      <c r="EM696" t="s">
        <v>24</v>
      </c>
      <c r="EO696" t="s">
        <v>3</v>
      </c>
      <c r="EQ696">
        <v>0</v>
      </c>
      <c r="ER696">
        <v>46.79</v>
      </c>
      <c r="ES696">
        <v>46.79</v>
      </c>
      <c r="ET696">
        <v>0</v>
      </c>
      <c r="EU696">
        <v>0</v>
      </c>
      <c r="EV696">
        <v>0</v>
      </c>
      <c r="EW696">
        <v>0</v>
      </c>
      <c r="EX696">
        <v>0</v>
      </c>
      <c r="EZ696">
        <v>5</v>
      </c>
      <c r="FC696">
        <v>1</v>
      </c>
      <c r="FD696">
        <v>18</v>
      </c>
      <c r="FF696">
        <v>349</v>
      </c>
      <c r="FQ696">
        <v>0</v>
      </c>
      <c r="FR696">
        <f t="shared" si="634"/>
        <v>0</v>
      </c>
      <c r="FS696">
        <v>0</v>
      </c>
      <c r="FX696">
        <v>156</v>
      </c>
      <c r="FY696">
        <v>84</v>
      </c>
      <c r="GA696" t="s">
        <v>840</v>
      </c>
      <c r="GD696">
        <v>0</v>
      </c>
      <c r="GF696">
        <v>-1529282453</v>
      </c>
      <c r="GG696">
        <v>2</v>
      </c>
      <c r="GH696">
        <v>3</v>
      </c>
      <c r="GI696">
        <v>3</v>
      </c>
      <c r="GJ696">
        <v>0</v>
      </c>
      <c r="GK696">
        <f>ROUND(R696*(R12)/100,2)</f>
        <v>0</v>
      </c>
      <c r="GL696">
        <f t="shared" si="635"/>
        <v>0</v>
      </c>
      <c r="GM696">
        <f t="shared" si="636"/>
        <v>2966.49</v>
      </c>
      <c r="GN696">
        <f t="shared" si="637"/>
        <v>2966.49</v>
      </c>
      <c r="GO696">
        <f t="shared" si="638"/>
        <v>0</v>
      </c>
      <c r="GP696">
        <f t="shared" si="639"/>
        <v>0</v>
      </c>
      <c r="GR696">
        <v>1</v>
      </c>
      <c r="GS696">
        <v>1</v>
      </c>
      <c r="GT696">
        <v>0</v>
      </c>
      <c r="GU696" t="s">
        <v>3</v>
      </c>
      <c r="GV696">
        <f t="shared" si="640"/>
        <v>0</v>
      </c>
      <c r="GW696">
        <v>1</v>
      </c>
      <c r="GX696">
        <f t="shared" si="641"/>
        <v>0</v>
      </c>
      <c r="HA696">
        <v>0</v>
      </c>
      <c r="HB696">
        <v>0</v>
      </c>
      <c r="HC696">
        <f t="shared" si="642"/>
        <v>0</v>
      </c>
      <c r="HE696" t="s">
        <v>26</v>
      </c>
      <c r="HF696" t="s">
        <v>122</v>
      </c>
      <c r="HM696" t="s">
        <v>3</v>
      </c>
      <c r="IK696">
        <v>0</v>
      </c>
    </row>
    <row r="697" spans="1:245" x14ac:dyDescent="0.2">
      <c r="A697">
        <v>18</v>
      </c>
      <c r="B697">
        <v>1</v>
      </c>
      <c r="C697">
        <v>407</v>
      </c>
      <c r="E697" t="s">
        <v>841</v>
      </c>
      <c r="F697" t="s">
        <v>118</v>
      </c>
      <c r="G697" t="s">
        <v>842</v>
      </c>
      <c r="H697" t="s">
        <v>169</v>
      </c>
      <c r="I697">
        <f>I694*J697</f>
        <v>50</v>
      </c>
      <c r="J697">
        <v>1.6666666666666667</v>
      </c>
      <c r="K697">
        <v>1.6666669999999999</v>
      </c>
      <c r="O697">
        <f t="shared" si="612"/>
        <v>21885.68</v>
      </c>
      <c r="P697">
        <f t="shared" si="613"/>
        <v>21885.68</v>
      </c>
      <c r="Q697">
        <f t="shared" si="643"/>
        <v>0</v>
      </c>
      <c r="R697">
        <f t="shared" si="614"/>
        <v>0</v>
      </c>
      <c r="S697">
        <f t="shared" si="615"/>
        <v>0</v>
      </c>
      <c r="T697">
        <f t="shared" si="616"/>
        <v>0</v>
      </c>
      <c r="U697">
        <f t="shared" si="617"/>
        <v>0</v>
      </c>
      <c r="V697">
        <f t="shared" si="618"/>
        <v>0</v>
      </c>
      <c r="W697">
        <f t="shared" si="619"/>
        <v>0</v>
      </c>
      <c r="X697">
        <f t="shared" si="620"/>
        <v>0</v>
      </c>
      <c r="Y697">
        <f t="shared" si="620"/>
        <v>0</v>
      </c>
      <c r="AA697">
        <v>42938047</v>
      </c>
      <c r="AB697">
        <f t="shared" si="621"/>
        <v>69.040000000000006</v>
      </c>
      <c r="AC697">
        <f t="shared" si="622"/>
        <v>69.040000000000006</v>
      </c>
      <c r="AD697">
        <f t="shared" si="644"/>
        <v>0</v>
      </c>
      <c r="AE697">
        <f t="shared" si="645"/>
        <v>0</v>
      </c>
      <c r="AF697">
        <f t="shared" si="645"/>
        <v>0</v>
      </c>
      <c r="AG697">
        <f t="shared" si="623"/>
        <v>0</v>
      </c>
      <c r="AH697">
        <f t="shared" si="646"/>
        <v>0</v>
      </c>
      <c r="AI697">
        <f t="shared" si="646"/>
        <v>0</v>
      </c>
      <c r="AJ697">
        <f t="shared" si="624"/>
        <v>0</v>
      </c>
      <c r="AK697">
        <v>69.039999999999992</v>
      </c>
      <c r="AL697">
        <v>69.039999999999992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1</v>
      </c>
      <c r="AW697">
        <v>1</v>
      </c>
      <c r="AZ697">
        <v>1</v>
      </c>
      <c r="BA697">
        <v>1</v>
      </c>
      <c r="BB697">
        <v>1</v>
      </c>
      <c r="BC697">
        <v>6.34</v>
      </c>
      <c r="BD697" t="s">
        <v>3</v>
      </c>
      <c r="BE697" t="s">
        <v>3</v>
      </c>
      <c r="BF697" t="s">
        <v>3</v>
      </c>
      <c r="BG697" t="s">
        <v>3</v>
      </c>
      <c r="BH697">
        <v>3</v>
      </c>
      <c r="BI697">
        <v>1</v>
      </c>
      <c r="BJ697" t="s">
        <v>3</v>
      </c>
      <c r="BM697">
        <v>292</v>
      </c>
      <c r="BN697">
        <v>0</v>
      </c>
      <c r="BO697" t="s">
        <v>3</v>
      </c>
      <c r="BP697">
        <v>0</v>
      </c>
      <c r="BQ697">
        <v>30</v>
      </c>
      <c r="BR697">
        <v>0</v>
      </c>
      <c r="BS697">
        <v>1</v>
      </c>
      <c r="BT697">
        <v>1</v>
      </c>
      <c r="BU697">
        <v>1</v>
      </c>
      <c r="BV697">
        <v>1</v>
      </c>
      <c r="BW697">
        <v>1</v>
      </c>
      <c r="BX697">
        <v>1</v>
      </c>
      <c r="BY697" t="s">
        <v>3</v>
      </c>
      <c r="BZ697">
        <v>0</v>
      </c>
      <c r="CA697">
        <v>0</v>
      </c>
      <c r="CB697" t="s">
        <v>3</v>
      </c>
      <c r="CE697">
        <v>30</v>
      </c>
      <c r="CF697">
        <v>0</v>
      </c>
      <c r="CG697">
        <v>0</v>
      </c>
      <c r="CM697">
        <v>0</v>
      </c>
      <c r="CN697" t="s">
        <v>3</v>
      </c>
      <c r="CO697">
        <v>0</v>
      </c>
      <c r="CP697">
        <f t="shared" si="625"/>
        <v>21885.68</v>
      </c>
      <c r="CQ697">
        <f t="shared" si="626"/>
        <v>437.71</v>
      </c>
      <c r="CR697">
        <f t="shared" si="647"/>
        <v>0</v>
      </c>
      <c r="CS697">
        <f t="shared" si="627"/>
        <v>0</v>
      </c>
      <c r="CT697">
        <f t="shared" si="628"/>
        <v>0</v>
      </c>
      <c r="CU697">
        <f t="shared" si="629"/>
        <v>0</v>
      </c>
      <c r="CV697">
        <f t="shared" si="630"/>
        <v>0</v>
      </c>
      <c r="CW697">
        <f t="shared" si="631"/>
        <v>0</v>
      </c>
      <c r="CX697">
        <f t="shared" si="631"/>
        <v>0</v>
      </c>
      <c r="CY697">
        <f t="shared" si="632"/>
        <v>0</v>
      </c>
      <c r="CZ697">
        <f t="shared" si="633"/>
        <v>0</v>
      </c>
      <c r="DC697" t="s">
        <v>3</v>
      </c>
      <c r="DD697" t="s">
        <v>3</v>
      </c>
      <c r="DE697" t="s">
        <v>3</v>
      </c>
      <c r="DF697" t="s">
        <v>3</v>
      </c>
      <c r="DG697" t="s">
        <v>3</v>
      </c>
      <c r="DH697" t="s">
        <v>3</v>
      </c>
      <c r="DI697" t="s">
        <v>3</v>
      </c>
      <c r="DJ697" t="s">
        <v>3</v>
      </c>
      <c r="DK697" t="s">
        <v>3</v>
      </c>
      <c r="DL697" t="s">
        <v>3</v>
      </c>
      <c r="DM697" t="s">
        <v>3</v>
      </c>
      <c r="DN697">
        <v>156</v>
      </c>
      <c r="DO697">
        <v>84</v>
      </c>
      <c r="DP697">
        <v>1</v>
      </c>
      <c r="DQ697">
        <v>1</v>
      </c>
      <c r="DU697">
        <v>1010</v>
      </c>
      <c r="DV697" t="s">
        <v>169</v>
      </c>
      <c r="DW697" t="s">
        <v>169</v>
      </c>
      <c r="DX697">
        <v>1</v>
      </c>
      <c r="DZ697" t="s">
        <v>3</v>
      </c>
      <c r="EA697" t="s">
        <v>3</v>
      </c>
      <c r="EB697" t="s">
        <v>3</v>
      </c>
      <c r="EC697" t="s">
        <v>3</v>
      </c>
      <c r="EE697">
        <v>43088370</v>
      </c>
      <c r="EF697">
        <v>30</v>
      </c>
      <c r="EG697" t="s">
        <v>22</v>
      </c>
      <c r="EH697">
        <v>0</v>
      </c>
      <c r="EI697" t="s">
        <v>3</v>
      </c>
      <c r="EJ697">
        <v>1</v>
      </c>
      <c r="EK697">
        <v>292</v>
      </c>
      <c r="EL697" t="s">
        <v>23</v>
      </c>
      <c r="EM697" t="s">
        <v>24</v>
      </c>
      <c r="EO697" t="s">
        <v>3</v>
      </c>
      <c r="EQ697">
        <v>0</v>
      </c>
      <c r="ER697">
        <v>69.039999999999992</v>
      </c>
      <c r="ES697">
        <v>69.039999999999992</v>
      </c>
      <c r="ET697">
        <v>0</v>
      </c>
      <c r="EU697">
        <v>0</v>
      </c>
      <c r="EV697">
        <v>0</v>
      </c>
      <c r="EW697">
        <v>0</v>
      </c>
      <c r="EX697">
        <v>0</v>
      </c>
      <c r="EZ697">
        <v>5</v>
      </c>
      <c r="FC697">
        <v>1</v>
      </c>
      <c r="FD697">
        <v>18</v>
      </c>
      <c r="FF697">
        <v>515</v>
      </c>
      <c r="FQ697">
        <v>0</v>
      </c>
      <c r="FR697">
        <f t="shared" si="634"/>
        <v>0</v>
      </c>
      <c r="FS697">
        <v>0</v>
      </c>
      <c r="FX697">
        <v>156</v>
      </c>
      <c r="FY697">
        <v>84</v>
      </c>
      <c r="GA697" t="s">
        <v>843</v>
      </c>
      <c r="GD697">
        <v>0</v>
      </c>
      <c r="GF697">
        <v>-594865204</v>
      </c>
      <c r="GG697">
        <v>2</v>
      </c>
      <c r="GH697">
        <v>3</v>
      </c>
      <c r="GI697">
        <v>3</v>
      </c>
      <c r="GJ697">
        <v>0</v>
      </c>
      <c r="GK697">
        <f>ROUND(R697*(R12)/100,2)</f>
        <v>0</v>
      </c>
      <c r="GL697">
        <f t="shared" si="635"/>
        <v>0</v>
      </c>
      <c r="GM697">
        <f t="shared" si="636"/>
        <v>21885.68</v>
      </c>
      <c r="GN697">
        <f t="shared" si="637"/>
        <v>21885.68</v>
      </c>
      <c r="GO697">
        <f t="shared" si="638"/>
        <v>0</v>
      </c>
      <c r="GP697">
        <f t="shared" si="639"/>
        <v>0</v>
      </c>
      <c r="GR697">
        <v>1</v>
      </c>
      <c r="GS697">
        <v>1</v>
      </c>
      <c r="GT697">
        <v>0</v>
      </c>
      <c r="GU697" t="s">
        <v>3</v>
      </c>
      <c r="GV697">
        <f t="shared" si="640"/>
        <v>0</v>
      </c>
      <c r="GW697">
        <v>1</v>
      </c>
      <c r="GX697">
        <f t="shared" si="641"/>
        <v>0</v>
      </c>
      <c r="HA697">
        <v>0</v>
      </c>
      <c r="HB697">
        <v>0</v>
      </c>
      <c r="HC697">
        <f t="shared" si="642"/>
        <v>0</v>
      </c>
      <c r="HE697" t="s">
        <v>26</v>
      </c>
      <c r="HF697" t="s">
        <v>122</v>
      </c>
      <c r="HM697" t="s">
        <v>3</v>
      </c>
      <c r="IK697">
        <v>0</v>
      </c>
    </row>
    <row r="698" spans="1:245" x14ac:dyDescent="0.2">
      <c r="A698">
        <v>18</v>
      </c>
      <c r="B698">
        <v>1</v>
      </c>
      <c r="C698">
        <v>409</v>
      </c>
      <c r="E698" t="s">
        <v>844</v>
      </c>
      <c r="F698" t="s">
        <v>118</v>
      </c>
      <c r="G698" t="s">
        <v>845</v>
      </c>
      <c r="H698" t="s">
        <v>169</v>
      </c>
      <c r="I698">
        <f>I694*J698</f>
        <v>50</v>
      </c>
      <c r="J698">
        <v>1.6666666666666667</v>
      </c>
      <c r="K698">
        <v>1.6666669999999999</v>
      </c>
      <c r="O698">
        <f t="shared" si="612"/>
        <v>106248.89</v>
      </c>
      <c r="P698">
        <f t="shared" si="613"/>
        <v>106248.89</v>
      </c>
      <c r="Q698">
        <f t="shared" si="643"/>
        <v>0</v>
      </c>
      <c r="R698">
        <f t="shared" si="614"/>
        <v>0</v>
      </c>
      <c r="S698">
        <f t="shared" si="615"/>
        <v>0</v>
      </c>
      <c r="T698">
        <f t="shared" si="616"/>
        <v>0</v>
      </c>
      <c r="U698">
        <f t="shared" si="617"/>
        <v>0</v>
      </c>
      <c r="V698">
        <f t="shared" si="618"/>
        <v>0</v>
      </c>
      <c r="W698">
        <f t="shared" si="619"/>
        <v>0</v>
      </c>
      <c r="X698">
        <f t="shared" si="620"/>
        <v>0</v>
      </c>
      <c r="Y698">
        <f t="shared" si="620"/>
        <v>0</v>
      </c>
      <c r="AA698">
        <v>42938047</v>
      </c>
      <c r="AB698">
        <f t="shared" si="621"/>
        <v>335.17</v>
      </c>
      <c r="AC698">
        <f t="shared" si="622"/>
        <v>335.17</v>
      </c>
      <c r="AD698">
        <f t="shared" si="644"/>
        <v>0</v>
      </c>
      <c r="AE698">
        <f t="shared" si="645"/>
        <v>0</v>
      </c>
      <c r="AF698">
        <f t="shared" si="645"/>
        <v>0</v>
      </c>
      <c r="AG698">
        <f t="shared" si="623"/>
        <v>0</v>
      </c>
      <c r="AH698">
        <f t="shared" si="646"/>
        <v>0</v>
      </c>
      <c r="AI698">
        <f t="shared" si="646"/>
        <v>0</v>
      </c>
      <c r="AJ698">
        <f t="shared" si="624"/>
        <v>0</v>
      </c>
      <c r="AK698">
        <v>335.17</v>
      </c>
      <c r="AL698">
        <v>335.17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1</v>
      </c>
      <c r="AW698">
        <v>1</v>
      </c>
      <c r="AZ698">
        <v>1</v>
      </c>
      <c r="BA698">
        <v>1</v>
      </c>
      <c r="BB698">
        <v>1</v>
      </c>
      <c r="BC698">
        <v>6.34</v>
      </c>
      <c r="BD698" t="s">
        <v>3</v>
      </c>
      <c r="BE698" t="s">
        <v>3</v>
      </c>
      <c r="BF698" t="s">
        <v>3</v>
      </c>
      <c r="BG698" t="s">
        <v>3</v>
      </c>
      <c r="BH698">
        <v>3</v>
      </c>
      <c r="BI698">
        <v>1</v>
      </c>
      <c r="BJ698" t="s">
        <v>3</v>
      </c>
      <c r="BM698">
        <v>292</v>
      </c>
      <c r="BN698">
        <v>0</v>
      </c>
      <c r="BO698" t="s">
        <v>3</v>
      </c>
      <c r="BP698">
        <v>0</v>
      </c>
      <c r="BQ698">
        <v>30</v>
      </c>
      <c r="BR698">
        <v>0</v>
      </c>
      <c r="BS698">
        <v>1</v>
      </c>
      <c r="BT698">
        <v>1</v>
      </c>
      <c r="BU698">
        <v>1</v>
      </c>
      <c r="BV698">
        <v>1</v>
      </c>
      <c r="BW698">
        <v>1</v>
      </c>
      <c r="BX698">
        <v>1</v>
      </c>
      <c r="BY698" t="s">
        <v>3</v>
      </c>
      <c r="BZ698">
        <v>0</v>
      </c>
      <c r="CA698">
        <v>0</v>
      </c>
      <c r="CB698" t="s">
        <v>3</v>
      </c>
      <c r="CE698">
        <v>30</v>
      </c>
      <c r="CF698">
        <v>0</v>
      </c>
      <c r="CG698">
        <v>0</v>
      </c>
      <c r="CM698">
        <v>0</v>
      </c>
      <c r="CN698" t="s">
        <v>3</v>
      </c>
      <c r="CO698">
        <v>0</v>
      </c>
      <c r="CP698">
        <f t="shared" si="625"/>
        <v>106248.89</v>
      </c>
      <c r="CQ698">
        <f t="shared" si="626"/>
        <v>2124.98</v>
      </c>
      <c r="CR698">
        <f t="shared" si="647"/>
        <v>0</v>
      </c>
      <c r="CS698">
        <f t="shared" si="627"/>
        <v>0</v>
      </c>
      <c r="CT698">
        <f t="shared" si="628"/>
        <v>0</v>
      </c>
      <c r="CU698">
        <f t="shared" si="629"/>
        <v>0</v>
      </c>
      <c r="CV698">
        <f t="shared" si="630"/>
        <v>0</v>
      </c>
      <c r="CW698">
        <f t="shared" si="631"/>
        <v>0</v>
      </c>
      <c r="CX698">
        <f t="shared" si="631"/>
        <v>0</v>
      </c>
      <c r="CY698">
        <f t="shared" si="632"/>
        <v>0</v>
      </c>
      <c r="CZ698">
        <f t="shared" si="633"/>
        <v>0</v>
      </c>
      <c r="DC698" t="s">
        <v>3</v>
      </c>
      <c r="DD698" t="s">
        <v>3</v>
      </c>
      <c r="DE698" t="s">
        <v>3</v>
      </c>
      <c r="DF698" t="s">
        <v>3</v>
      </c>
      <c r="DG698" t="s">
        <v>3</v>
      </c>
      <c r="DH698" t="s">
        <v>3</v>
      </c>
      <c r="DI698" t="s">
        <v>3</v>
      </c>
      <c r="DJ698" t="s">
        <v>3</v>
      </c>
      <c r="DK698" t="s">
        <v>3</v>
      </c>
      <c r="DL698" t="s">
        <v>3</v>
      </c>
      <c r="DM698" t="s">
        <v>3</v>
      </c>
      <c r="DN698">
        <v>156</v>
      </c>
      <c r="DO698">
        <v>84</v>
      </c>
      <c r="DP698">
        <v>1</v>
      </c>
      <c r="DQ698">
        <v>1</v>
      </c>
      <c r="DU698">
        <v>1010</v>
      </c>
      <c r="DV698" t="s">
        <v>169</v>
      </c>
      <c r="DW698" t="s">
        <v>169</v>
      </c>
      <c r="DX698">
        <v>1</v>
      </c>
      <c r="DZ698" t="s">
        <v>3</v>
      </c>
      <c r="EA698" t="s">
        <v>3</v>
      </c>
      <c r="EB698" t="s">
        <v>3</v>
      </c>
      <c r="EC698" t="s">
        <v>3</v>
      </c>
      <c r="EE698">
        <v>43088370</v>
      </c>
      <c r="EF698">
        <v>30</v>
      </c>
      <c r="EG698" t="s">
        <v>22</v>
      </c>
      <c r="EH698">
        <v>0</v>
      </c>
      <c r="EI698" t="s">
        <v>3</v>
      </c>
      <c r="EJ698">
        <v>1</v>
      </c>
      <c r="EK698">
        <v>292</v>
      </c>
      <c r="EL698" t="s">
        <v>23</v>
      </c>
      <c r="EM698" t="s">
        <v>24</v>
      </c>
      <c r="EO698" t="s">
        <v>3</v>
      </c>
      <c r="EQ698">
        <v>0</v>
      </c>
      <c r="ER698">
        <v>335.17</v>
      </c>
      <c r="ES698">
        <v>335.17</v>
      </c>
      <c r="ET698">
        <v>0</v>
      </c>
      <c r="EU698">
        <v>0</v>
      </c>
      <c r="EV698">
        <v>0</v>
      </c>
      <c r="EW698">
        <v>0</v>
      </c>
      <c r="EX698">
        <v>0</v>
      </c>
      <c r="EZ698">
        <v>5</v>
      </c>
      <c r="FC698">
        <v>1</v>
      </c>
      <c r="FD698">
        <v>18</v>
      </c>
      <c r="FF698">
        <v>2500</v>
      </c>
      <c r="FQ698">
        <v>0</v>
      </c>
      <c r="FR698">
        <f t="shared" si="634"/>
        <v>0</v>
      </c>
      <c r="FS698">
        <v>0</v>
      </c>
      <c r="FX698">
        <v>156</v>
      </c>
      <c r="FY698">
        <v>84</v>
      </c>
      <c r="GA698" t="s">
        <v>846</v>
      </c>
      <c r="GD698">
        <v>0</v>
      </c>
      <c r="GF698">
        <v>-1501250304</v>
      </c>
      <c r="GG698">
        <v>2</v>
      </c>
      <c r="GH698">
        <v>3</v>
      </c>
      <c r="GI698">
        <v>3</v>
      </c>
      <c r="GJ698">
        <v>0</v>
      </c>
      <c r="GK698">
        <f>ROUND(R698*(R12)/100,2)</f>
        <v>0</v>
      </c>
      <c r="GL698">
        <f t="shared" si="635"/>
        <v>0</v>
      </c>
      <c r="GM698">
        <f t="shared" si="636"/>
        <v>106248.89</v>
      </c>
      <c r="GN698">
        <f t="shared" si="637"/>
        <v>106248.89</v>
      </c>
      <c r="GO698">
        <f t="shared" si="638"/>
        <v>0</v>
      </c>
      <c r="GP698">
        <f t="shared" si="639"/>
        <v>0</v>
      </c>
      <c r="GR698">
        <v>1</v>
      </c>
      <c r="GS698">
        <v>1</v>
      </c>
      <c r="GT698">
        <v>0</v>
      </c>
      <c r="GU698" t="s">
        <v>3</v>
      </c>
      <c r="GV698">
        <f t="shared" si="640"/>
        <v>0</v>
      </c>
      <c r="GW698">
        <v>1</v>
      </c>
      <c r="GX698">
        <f t="shared" si="641"/>
        <v>0</v>
      </c>
      <c r="HA698">
        <v>0</v>
      </c>
      <c r="HB698">
        <v>0</v>
      </c>
      <c r="HC698">
        <f t="shared" si="642"/>
        <v>0</v>
      </c>
      <c r="HE698" t="s">
        <v>26</v>
      </c>
      <c r="HF698" t="s">
        <v>122</v>
      </c>
      <c r="HM698" t="s">
        <v>3</v>
      </c>
      <c r="IK698">
        <v>0</v>
      </c>
    </row>
    <row r="699" spans="1:245" x14ac:dyDescent="0.2">
      <c r="A699">
        <v>18</v>
      </c>
      <c r="B699">
        <v>1</v>
      </c>
      <c r="C699">
        <v>408</v>
      </c>
      <c r="E699" t="s">
        <v>847</v>
      </c>
      <c r="F699" t="s">
        <v>118</v>
      </c>
      <c r="G699" t="s">
        <v>848</v>
      </c>
      <c r="H699" t="s">
        <v>169</v>
      </c>
      <c r="I699">
        <f>I694*J699</f>
        <v>20</v>
      </c>
      <c r="J699">
        <v>0.66666666666666663</v>
      </c>
      <c r="K699">
        <v>0.66666700000000001</v>
      </c>
      <c r="O699">
        <f t="shared" si="612"/>
        <v>6800.28</v>
      </c>
      <c r="P699">
        <f t="shared" si="613"/>
        <v>6800.28</v>
      </c>
      <c r="Q699">
        <f t="shared" si="643"/>
        <v>0</v>
      </c>
      <c r="R699">
        <f t="shared" si="614"/>
        <v>0</v>
      </c>
      <c r="S699">
        <f t="shared" si="615"/>
        <v>0</v>
      </c>
      <c r="T699">
        <f t="shared" si="616"/>
        <v>0</v>
      </c>
      <c r="U699">
        <f t="shared" si="617"/>
        <v>0</v>
      </c>
      <c r="V699">
        <f t="shared" si="618"/>
        <v>0</v>
      </c>
      <c r="W699">
        <f t="shared" si="619"/>
        <v>0</v>
      </c>
      <c r="X699">
        <f t="shared" si="620"/>
        <v>0</v>
      </c>
      <c r="Y699">
        <f t="shared" si="620"/>
        <v>0</v>
      </c>
      <c r="AA699">
        <v>42938047</v>
      </c>
      <c r="AB699">
        <f t="shared" si="621"/>
        <v>53.63</v>
      </c>
      <c r="AC699">
        <f t="shared" si="622"/>
        <v>53.63</v>
      </c>
      <c r="AD699">
        <f t="shared" si="644"/>
        <v>0</v>
      </c>
      <c r="AE699">
        <f t="shared" si="645"/>
        <v>0</v>
      </c>
      <c r="AF699">
        <f t="shared" si="645"/>
        <v>0</v>
      </c>
      <c r="AG699">
        <f t="shared" si="623"/>
        <v>0</v>
      </c>
      <c r="AH699">
        <f t="shared" si="646"/>
        <v>0</v>
      </c>
      <c r="AI699">
        <f t="shared" si="646"/>
        <v>0</v>
      </c>
      <c r="AJ699">
        <f t="shared" si="624"/>
        <v>0</v>
      </c>
      <c r="AK699">
        <v>53.629999999999995</v>
      </c>
      <c r="AL699">
        <v>53.629999999999995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1</v>
      </c>
      <c r="AW699">
        <v>1</v>
      </c>
      <c r="AZ699">
        <v>1</v>
      </c>
      <c r="BA699">
        <v>1</v>
      </c>
      <c r="BB699">
        <v>1</v>
      </c>
      <c r="BC699">
        <v>6.34</v>
      </c>
      <c r="BD699" t="s">
        <v>3</v>
      </c>
      <c r="BE699" t="s">
        <v>3</v>
      </c>
      <c r="BF699" t="s">
        <v>3</v>
      </c>
      <c r="BG699" t="s">
        <v>3</v>
      </c>
      <c r="BH699">
        <v>3</v>
      </c>
      <c r="BI699">
        <v>1</v>
      </c>
      <c r="BJ699" t="s">
        <v>3</v>
      </c>
      <c r="BM699">
        <v>292</v>
      </c>
      <c r="BN699">
        <v>0</v>
      </c>
      <c r="BO699" t="s">
        <v>3</v>
      </c>
      <c r="BP699">
        <v>0</v>
      </c>
      <c r="BQ699">
        <v>30</v>
      </c>
      <c r="BR699">
        <v>0</v>
      </c>
      <c r="BS699">
        <v>1</v>
      </c>
      <c r="BT699">
        <v>1</v>
      </c>
      <c r="BU699">
        <v>1</v>
      </c>
      <c r="BV699">
        <v>1</v>
      </c>
      <c r="BW699">
        <v>1</v>
      </c>
      <c r="BX699">
        <v>1</v>
      </c>
      <c r="BY699" t="s">
        <v>3</v>
      </c>
      <c r="BZ699">
        <v>0</v>
      </c>
      <c r="CA699">
        <v>0</v>
      </c>
      <c r="CB699" t="s">
        <v>3</v>
      </c>
      <c r="CE699">
        <v>30</v>
      </c>
      <c r="CF699">
        <v>0</v>
      </c>
      <c r="CG699">
        <v>0</v>
      </c>
      <c r="CM699">
        <v>0</v>
      </c>
      <c r="CN699" t="s">
        <v>3</v>
      </c>
      <c r="CO699">
        <v>0</v>
      </c>
      <c r="CP699">
        <f t="shared" si="625"/>
        <v>6800.28</v>
      </c>
      <c r="CQ699">
        <f t="shared" si="626"/>
        <v>340.01</v>
      </c>
      <c r="CR699">
        <f t="shared" si="647"/>
        <v>0</v>
      </c>
      <c r="CS699">
        <f t="shared" si="627"/>
        <v>0</v>
      </c>
      <c r="CT699">
        <f t="shared" si="628"/>
        <v>0</v>
      </c>
      <c r="CU699">
        <f t="shared" si="629"/>
        <v>0</v>
      </c>
      <c r="CV699">
        <f t="shared" si="630"/>
        <v>0</v>
      </c>
      <c r="CW699">
        <f t="shared" si="631"/>
        <v>0</v>
      </c>
      <c r="CX699">
        <f t="shared" si="631"/>
        <v>0</v>
      </c>
      <c r="CY699">
        <f t="shared" si="632"/>
        <v>0</v>
      </c>
      <c r="CZ699">
        <f t="shared" si="633"/>
        <v>0</v>
      </c>
      <c r="DC699" t="s">
        <v>3</v>
      </c>
      <c r="DD699" t="s">
        <v>3</v>
      </c>
      <c r="DE699" t="s">
        <v>3</v>
      </c>
      <c r="DF699" t="s">
        <v>3</v>
      </c>
      <c r="DG699" t="s">
        <v>3</v>
      </c>
      <c r="DH699" t="s">
        <v>3</v>
      </c>
      <c r="DI699" t="s">
        <v>3</v>
      </c>
      <c r="DJ699" t="s">
        <v>3</v>
      </c>
      <c r="DK699" t="s">
        <v>3</v>
      </c>
      <c r="DL699" t="s">
        <v>3</v>
      </c>
      <c r="DM699" t="s">
        <v>3</v>
      </c>
      <c r="DN699">
        <v>156</v>
      </c>
      <c r="DO699">
        <v>84</v>
      </c>
      <c r="DP699">
        <v>1</v>
      </c>
      <c r="DQ699">
        <v>1</v>
      </c>
      <c r="DU699">
        <v>1010</v>
      </c>
      <c r="DV699" t="s">
        <v>169</v>
      </c>
      <c r="DW699" t="s">
        <v>169</v>
      </c>
      <c r="DX699">
        <v>1</v>
      </c>
      <c r="DZ699" t="s">
        <v>3</v>
      </c>
      <c r="EA699" t="s">
        <v>3</v>
      </c>
      <c r="EB699" t="s">
        <v>3</v>
      </c>
      <c r="EC699" t="s">
        <v>3</v>
      </c>
      <c r="EE699">
        <v>43088370</v>
      </c>
      <c r="EF699">
        <v>30</v>
      </c>
      <c r="EG699" t="s">
        <v>22</v>
      </c>
      <c r="EH699">
        <v>0</v>
      </c>
      <c r="EI699" t="s">
        <v>3</v>
      </c>
      <c r="EJ699">
        <v>1</v>
      </c>
      <c r="EK699">
        <v>292</v>
      </c>
      <c r="EL699" t="s">
        <v>23</v>
      </c>
      <c r="EM699" t="s">
        <v>24</v>
      </c>
      <c r="EO699" t="s">
        <v>3</v>
      </c>
      <c r="EQ699">
        <v>0</v>
      </c>
      <c r="ER699">
        <v>53.629999999999995</v>
      </c>
      <c r="ES699">
        <v>53.629999999999995</v>
      </c>
      <c r="ET699">
        <v>0</v>
      </c>
      <c r="EU699">
        <v>0</v>
      </c>
      <c r="EV699">
        <v>0</v>
      </c>
      <c r="EW699">
        <v>0</v>
      </c>
      <c r="EX699">
        <v>0</v>
      </c>
      <c r="EZ699">
        <v>5</v>
      </c>
      <c r="FC699">
        <v>1</v>
      </c>
      <c r="FD699">
        <v>18</v>
      </c>
      <c r="FF699">
        <v>400</v>
      </c>
      <c r="FQ699">
        <v>0</v>
      </c>
      <c r="FR699">
        <f t="shared" si="634"/>
        <v>0</v>
      </c>
      <c r="FS699">
        <v>0</v>
      </c>
      <c r="FX699">
        <v>156</v>
      </c>
      <c r="FY699">
        <v>84</v>
      </c>
      <c r="GA699" t="s">
        <v>140</v>
      </c>
      <c r="GD699">
        <v>0</v>
      </c>
      <c r="GF699">
        <v>742595960</v>
      </c>
      <c r="GG699">
        <v>2</v>
      </c>
      <c r="GH699">
        <v>3</v>
      </c>
      <c r="GI699">
        <v>3</v>
      </c>
      <c r="GJ699">
        <v>0</v>
      </c>
      <c r="GK699">
        <f>ROUND(R699*(R12)/100,2)</f>
        <v>0</v>
      </c>
      <c r="GL699">
        <f t="shared" si="635"/>
        <v>0</v>
      </c>
      <c r="GM699">
        <f t="shared" si="636"/>
        <v>6800.28</v>
      </c>
      <c r="GN699">
        <f t="shared" si="637"/>
        <v>6800.28</v>
      </c>
      <c r="GO699">
        <f t="shared" si="638"/>
        <v>0</v>
      </c>
      <c r="GP699">
        <f t="shared" si="639"/>
        <v>0</v>
      </c>
      <c r="GR699">
        <v>1</v>
      </c>
      <c r="GS699">
        <v>1</v>
      </c>
      <c r="GT699">
        <v>0</v>
      </c>
      <c r="GU699" t="s">
        <v>3</v>
      </c>
      <c r="GV699">
        <f t="shared" si="640"/>
        <v>0</v>
      </c>
      <c r="GW699">
        <v>1</v>
      </c>
      <c r="GX699">
        <f t="shared" si="641"/>
        <v>0</v>
      </c>
      <c r="HA699">
        <v>0</v>
      </c>
      <c r="HB699">
        <v>0</v>
      </c>
      <c r="HC699">
        <f t="shared" si="642"/>
        <v>0</v>
      </c>
      <c r="HE699" t="s">
        <v>26</v>
      </c>
      <c r="HF699" t="s">
        <v>122</v>
      </c>
      <c r="HM699" t="s">
        <v>3</v>
      </c>
      <c r="IK699">
        <v>0</v>
      </c>
    </row>
    <row r="700" spans="1:245" x14ac:dyDescent="0.2">
      <c r="A700">
        <v>18</v>
      </c>
      <c r="B700">
        <v>1</v>
      </c>
      <c r="C700">
        <v>410</v>
      </c>
      <c r="E700" t="s">
        <v>849</v>
      </c>
      <c r="F700" t="s">
        <v>118</v>
      </c>
      <c r="G700" t="s">
        <v>850</v>
      </c>
      <c r="H700" t="s">
        <v>169</v>
      </c>
      <c r="I700">
        <f>I694*J700</f>
        <v>20</v>
      </c>
      <c r="J700">
        <v>0.66666666666666663</v>
      </c>
      <c r="K700">
        <v>0.66666700000000001</v>
      </c>
      <c r="O700">
        <f t="shared" si="612"/>
        <v>5610.9</v>
      </c>
      <c r="P700">
        <f t="shared" si="613"/>
        <v>5610.9</v>
      </c>
      <c r="Q700">
        <f t="shared" si="643"/>
        <v>0</v>
      </c>
      <c r="R700">
        <f t="shared" si="614"/>
        <v>0</v>
      </c>
      <c r="S700">
        <f t="shared" si="615"/>
        <v>0</v>
      </c>
      <c r="T700">
        <f t="shared" si="616"/>
        <v>0</v>
      </c>
      <c r="U700">
        <f t="shared" si="617"/>
        <v>0</v>
      </c>
      <c r="V700">
        <f t="shared" si="618"/>
        <v>0</v>
      </c>
      <c r="W700">
        <f t="shared" si="619"/>
        <v>0</v>
      </c>
      <c r="X700">
        <f t="shared" si="620"/>
        <v>0</v>
      </c>
      <c r="Y700">
        <f t="shared" si="620"/>
        <v>0</v>
      </c>
      <c r="AA700">
        <v>42938047</v>
      </c>
      <c r="AB700">
        <f t="shared" si="621"/>
        <v>44.25</v>
      </c>
      <c r="AC700">
        <f t="shared" si="622"/>
        <v>44.25</v>
      </c>
      <c r="AD700">
        <f t="shared" si="644"/>
        <v>0</v>
      </c>
      <c r="AE700">
        <f t="shared" si="645"/>
        <v>0</v>
      </c>
      <c r="AF700">
        <f t="shared" si="645"/>
        <v>0</v>
      </c>
      <c r="AG700">
        <f t="shared" si="623"/>
        <v>0</v>
      </c>
      <c r="AH700">
        <f t="shared" si="646"/>
        <v>0</v>
      </c>
      <c r="AI700">
        <f t="shared" si="646"/>
        <v>0</v>
      </c>
      <c r="AJ700">
        <f t="shared" si="624"/>
        <v>0</v>
      </c>
      <c r="AK700">
        <v>44.25</v>
      </c>
      <c r="AL700">
        <v>44.25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1</v>
      </c>
      <c r="AW700">
        <v>1</v>
      </c>
      <c r="AZ700">
        <v>1</v>
      </c>
      <c r="BA700">
        <v>1</v>
      </c>
      <c r="BB700">
        <v>1</v>
      </c>
      <c r="BC700">
        <v>6.34</v>
      </c>
      <c r="BD700" t="s">
        <v>3</v>
      </c>
      <c r="BE700" t="s">
        <v>3</v>
      </c>
      <c r="BF700" t="s">
        <v>3</v>
      </c>
      <c r="BG700" t="s">
        <v>3</v>
      </c>
      <c r="BH700">
        <v>3</v>
      </c>
      <c r="BI700">
        <v>1</v>
      </c>
      <c r="BJ700" t="s">
        <v>3</v>
      </c>
      <c r="BM700">
        <v>292</v>
      </c>
      <c r="BN700">
        <v>0</v>
      </c>
      <c r="BO700" t="s">
        <v>3</v>
      </c>
      <c r="BP700">
        <v>0</v>
      </c>
      <c r="BQ700">
        <v>30</v>
      </c>
      <c r="BR700">
        <v>0</v>
      </c>
      <c r="BS700">
        <v>1</v>
      </c>
      <c r="BT700">
        <v>1</v>
      </c>
      <c r="BU700">
        <v>1</v>
      </c>
      <c r="BV700">
        <v>1</v>
      </c>
      <c r="BW700">
        <v>1</v>
      </c>
      <c r="BX700">
        <v>1</v>
      </c>
      <c r="BY700" t="s">
        <v>3</v>
      </c>
      <c r="BZ700">
        <v>0</v>
      </c>
      <c r="CA700">
        <v>0</v>
      </c>
      <c r="CB700" t="s">
        <v>3</v>
      </c>
      <c r="CE700">
        <v>30</v>
      </c>
      <c r="CF700">
        <v>0</v>
      </c>
      <c r="CG700">
        <v>0</v>
      </c>
      <c r="CM700">
        <v>0</v>
      </c>
      <c r="CN700" t="s">
        <v>3</v>
      </c>
      <c r="CO700">
        <v>0</v>
      </c>
      <c r="CP700">
        <f t="shared" si="625"/>
        <v>5610.9</v>
      </c>
      <c r="CQ700">
        <f t="shared" si="626"/>
        <v>280.55</v>
      </c>
      <c r="CR700">
        <f t="shared" si="647"/>
        <v>0</v>
      </c>
      <c r="CS700">
        <f t="shared" si="627"/>
        <v>0</v>
      </c>
      <c r="CT700">
        <f t="shared" si="628"/>
        <v>0</v>
      </c>
      <c r="CU700">
        <f t="shared" si="629"/>
        <v>0</v>
      </c>
      <c r="CV700">
        <f t="shared" si="630"/>
        <v>0</v>
      </c>
      <c r="CW700">
        <f t="shared" si="631"/>
        <v>0</v>
      </c>
      <c r="CX700">
        <f t="shared" si="631"/>
        <v>0</v>
      </c>
      <c r="CY700">
        <f t="shared" si="632"/>
        <v>0</v>
      </c>
      <c r="CZ700">
        <f t="shared" si="633"/>
        <v>0</v>
      </c>
      <c r="DC700" t="s">
        <v>3</v>
      </c>
      <c r="DD700" t="s">
        <v>3</v>
      </c>
      <c r="DE700" t="s">
        <v>3</v>
      </c>
      <c r="DF700" t="s">
        <v>3</v>
      </c>
      <c r="DG700" t="s">
        <v>3</v>
      </c>
      <c r="DH700" t="s">
        <v>3</v>
      </c>
      <c r="DI700" t="s">
        <v>3</v>
      </c>
      <c r="DJ700" t="s">
        <v>3</v>
      </c>
      <c r="DK700" t="s">
        <v>3</v>
      </c>
      <c r="DL700" t="s">
        <v>3</v>
      </c>
      <c r="DM700" t="s">
        <v>3</v>
      </c>
      <c r="DN700">
        <v>156</v>
      </c>
      <c r="DO700">
        <v>84</v>
      </c>
      <c r="DP700">
        <v>1</v>
      </c>
      <c r="DQ700">
        <v>1</v>
      </c>
      <c r="DU700">
        <v>1010</v>
      </c>
      <c r="DV700" t="s">
        <v>169</v>
      </c>
      <c r="DW700" t="s">
        <v>169</v>
      </c>
      <c r="DX700">
        <v>1</v>
      </c>
      <c r="DZ700" t="s">
        <v>3</v>
      </c>
      <c r="EA700" t="s">
        <v>3</v>
      </c>
      <c r="EB700" t="s">
        <v>3</v>
      </c>
      <c r="EC700" t="s">
        <v>3</v>
      </c>
      <c r="EE700">
        <v>43088370</v>
      </c>
      <c r="EF700">
        <v>30</v>
      </c>
      <c r="EG700" t="s">
        <v>22</v>
      </c>
      <c r="EH700">
        <v>0</v>
      </c>
      <c r="EI700" t="s">
        <v>3</v>
      </c>
      <c r="EJ700">
        <v>1</v>
      </c>
      <c r="EK700">
        <v>292</v>
      </c>
      <c r="EL700" t="s">
        <v>23</v>
      </c>
      <c r="EM700" t="s">
        <v>24</v>
      </c>
      <c r="EO700" t="s">
        <v>3</v>
      </c>
      <c r="EQ700">
        <v>0</v>
      </c>
      <c r="ER700">
        <v>44.25</v>
      </c>
      <c r="ES700">
        <v>44.25</v>
      </c>
      <c r="ET700">
        <v>0</v>
      </c>
      <c r="EU700">
        <v>0</v>
      </c>
      <c r="EV700">
        <v>0</v>
      </c>
      <c r="EW700">
        <v>0</v>
      </c>
      <c r="EX700">
        <v>0</v>
      </c>
      <c r="EZ700">
        <v>5</v>
      </c>
      <c r="FC700">
        <v>1</v>
      </c>
      <c r="FD700">
        <v>18</v>
      </c>
      <c r="FF700">
        <v>330</v>
      </c>
      <c r="FQ700">
        <v>0</v>
      </c>
      <c r="FR700">
        <f t="shared" si="634"/>
        <v>0</v>
      </c>
      <c r="FS700">
        <v>0</v>
      </c>
      <c r="FX700">
        <v>156</v>
      </c>
      <c r="FY700">
        <v>84</v>
      </c>
      <c r="GA700" t="s">
        <v>731</v>
      </c>
      <c r="GD700">
        <v>0</v>
      </c>
      <c r="GF700">
        <v>159186133</v>
      </c>
      <c r="GG700">
        <v>2</v>
      </c>
      <c r="GH700">
        <v>3</v>
      </c>
      <c r="GI700">
        <v>3</v>
      </c>
      <c r="GJ700">
        <v>0</v>
      </c>
      <c r="GK700">
        <f>ROUND(R700*(R12)/100,2)</f>
        <v>0</v>
      </c>
      <c r="GL700">
        <f t="shared" si="635"/>
        <v>0</v>
      </c>
      <c r="GM700">
        <f t="shared" si="636"/>
        <v>5610.9</v>
      </c>
      <c r="GN700">
        <f t="shared" si="637"/>
        <v>5610.9</v>
      </c>
      <c r="GO700">
        <f t="shared" si="638"/>
        <v>0</v>
      </c>
      <c r="GP700">
        <f t="shared" si="639"/>
        <v>0</v>
      </c>
      <c r="GR700">
        <v>1</v>
      </c>
      <c r="GS700">
        <v>1</v>
      </c>
      <c r="GT700">
        <v>0</v>
      </c>
      <c r="GU700" t="s">
        <v>3</v>
      </c>
      <c r="GV700">
        <f t="shared" si="640"/>
        <v>0</v>
      </c>
      <c r="GW700">
        <v>1</v>
      </c>
      <c r="GX700">
        <f t="shared" si="641"/>
        <v>0</v>
      </c>
      <c r="HA700">
        <v>0</v>
      </c>
      <c r="HB700">
        <v>0</v>
      </c>
      <c r="HC700">
        <f t="shared" si="642"/>
        <v>0</v>
      </c>
      <c r="HE700" t="s">
        <v>26</v>
      </c>
      <c r="HF700" t="s">
        <v>122</v>
      </c>
      <c r="HM700" t="s">
        <v>3</v>
      </c>
      <c r="IK700">
        <v>0</v>
      </c>
    </row>
    <row r="702" spans="1:245" x14ac:dyDescent="0.2">
      <c r="A702" s="2">
        <v>51</v>
      </c>
      <c r="B702" s="2">
        <f>B690</f>
        <v>1</v>
      </c>
      <c r="C702" s="2">
        <f>A690</f>
        <v>5</v>
      </c>
      <c r="D702" s="2">
        <f>ROW(A690)</f>
        <v>690</v>
      </c>
      <c r="E702" s="2"/>
      <c r="F702" s="2" t="str">
        <f>IF(F690&lt;&gt;"",F690,"")</f>
        <v>Новый подраздел</v>
      </c>
      <c r="G702" s="2" t="str">
        <f>IF(G690&lt;&gt;"",G690,"")</f>
        <v>Водные и прибрежные растения (контейнерные)</v>
      </c>
      <c r="H702" s="2">
        <v>0</v>
      </c>
      <c r="I702" s="2"/>
      <c r="J702" s="2"/>
      <c r="K702" s="2"/>
      <c r="L702" s="2"/>
      <c r="M702" s="2"/>
      <c r="N702" s="2"/>
      <c r="O702" s="2">
        <f t="shared" ref="O702:T702" si="648">ROUND(AB702,2)</f>
        <v>283052.13</v>
      </c>
      <c r="P702" s="2">
        <f t="shared" si="648"/>
        <v>195680.12</v>
      </c>
      <c r="Q702" s="2">
        <f t="shared" si="648"/>
        <v>19843.310000000001</v>
      </c>
      <c r="R702" s="2">
        <f t="shared" si="648"/>
        <v>3319.92</v>
      </c>
      <c r="S702" s="2">
        <f t="shared" si="648"/>
        <v>67528.7</v>
      </c>
      <c r="T702" s="2">
        <f t="shared" si="648"/>
        <v>0</v>
      </c>
      <c r="U702" s="2">
        <f>AH702</f>
        <v>212.51999999999998</v>
      </c>
      <c r="V702" s="2">
        <f>AI702</f>
        <v>0</v>
      </c>
      <c r="W702" s="2">
        <f>ROUND(AJ702,2)</f>
        <v>0</v>
      </c>
      <c r="X702" s="2">
        <f>ROUND(AK702,2)</f>
        <v>60775.83</v>
      </c>
      <c r="Y702" s="2">
        <f>ROUND(AL702,2)</f>
        <v>27686.77</v>
      </c>
      <c r="Z702" s="2"/>
      <c r="AA702" s="2"/>
      <c r="AB702" s="2">
        <f>ROUND(SUMIF(AA694:AA700,"=42938047",O694:O700),2)</f>
        <v>283052.13</v>
      </c>
      <c r="AC702" s="2">
        <f>ROUND(SUMIF(AA694:AA700,"=42938047",P694:P700),2)</f>
        <v>195680.12</v>
      </c>
      <c r="AD702" s="2">
        <f>ROUND(SUMIF(AA694:AA700,"=42938047",Q694:Q700),2)</f>
        <v>19843.310000000001</v>
      </c>
      <c r="AE702" s="2">
        <f>ROUND(SUMIF(AA694:AA700,"=42938047",R694:R700),2)</f>
        <v>3319.92</v>
      </c>
      <c r="AF702" s="2">
        <f>ROUND(SUMIF(AA694:AA700,"=42938047",S694:S700),2)</f>
        <v>67528.7</v>
      </c>
      <c r="AG702" s="2">
        <f>ROUND(SUMIF(AA694:AA700,"=42938047",T694:T700),2)</f>
        <v>0</v>
      </c>
      <c r="AH702" s="2">
        <f>SUMIF(AA694:AA700,"=42938047",U694:U700)</f>
        <v>212.51999999999998</v>
      </c>
      <c r="AI702" s="2">
        <f>SUMIF(AA694:AA700,"=42938047",V694:V700)</f>
        <v>0</v>
      </c>
      <c r="AJ702" s="2">
        <f>ROUND(SUMIF(AA694:AA700,"=42938047",W694:W700),2)</f>
        <v>0</v>
      </c>
      <c r="AK702" s="2">
        <f>ROUND(SUMIF(AA694:AA700,"=42938047",X694:X700),2)</f>
        <v>60775.83</v>
      </c>
      <c r="AL702" s="2">
        <f>ROUND(SUMIF(AA694:AA700,"=42938047",Y694:Y700),2)</f>
        <v>27686.77</v>
      </c>
      <c r="AM702" s="2"/>
      <c r="AN702" s="2"/>
      <c r="AO702" s="2">
        <f t="shared" ref="AO702:BD702" si="649">ROUND(BX702,2)</f>
        <v>0</v>
      </c>
      <c r="AP702" s="2">
        <f t="shared" si="649"/>
        <v>0</v>
      </c>
      <c r="AQ702" s="2">
        <f t="shared" si="649"/>
        <v>0</v>
      </c>
      <c r="AR702" s="2">
        <f t="shared" si="649"/>
        <v>376727</v>
      </c>
      <c r="AS702" s="2">
        <f t="shared" si="649"/>
        <v>376727</v>
      </c>
      <c r="AT702" s="2">
        <f t="shared" si="649"/>
        <v>0</v>
      </c>
      <c r="AU702" s="2">
        <f t="shared" si="649"/>
        <v>0</v>
      </c>
      <c r="AV702" s="2">
        <f t="shared" si="649"/>
        <v>195680.12</v>
      </c>
      <c r="AW702" s="2">
        <f t="shared" si="649"/>
        <v>195680.12</v>
      </c>
      <c r="AX702" s="2">
        <f t="shared" si="649"/>
        <v>0</v>
      </c>
      <c r="AY702" s="2">
        <f t="shared" si="649"/>
        <v>195680.12</v>
      </c>
      <c r="AZ702" s="2">
        <f t="shared" si="649"/>
        <v>0</v>
      </c>
      <c r="BA702" s="2">
        <f t="shared" si="649"/>
        <v>0</v>
      </c>
      <c r="BB702" s="2">
        <f t="shared" si="649"/>
        <v>0</v>
      </c>
      <c r="BC702" s="2">
        <f t="shared" si="649"/>
        <v>0</v>
      </c>
      <c r="BD702" s="2">
        <f t="shared" si="649"/>
        <v>0</v>
      </c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>
        <f>ROUND(SUMIF(AA694:AA700,"=42938047",FQ694:FQ700),2)</f>
        <v>0</v>
      </c>
      <c r="BY702" s="2">
        <f>ROUND(SUMIF(AA694:AA700,"=42938047",FR694:FR700),2)</f>
        <v>0</v>
      </c>
      <c r="BZ702" s="2">
        <f>ROUND(SUMIF(AA694:AA700,"=42938047",GL694:GL700),2)</f>
        <v>0</v>
      </c>
      <c r="CA702" s="2">
        <f>ROUND(SUMIF(AA694:AA700,"=42938047",GM694:GM700),2)</f>
        <v>376727</v>
      </c>
      <c r="CB702" s="2">
        <f>ROUND(SUMIF(AA694:AA700,"=42938047",GN694:GN700),2)</f>
        <v>376727</v>
      </c>
      <c r="CC702" s="2">
        <f>ROUND(SUMIF(AA694:AA700,"=42938047",GO694:GO700),2)</f>
        <v>0</v>
      </c>
      <c r="CD702" s="2">
        <f>ROUND(SUMIF(AA694:AA700,"=42938047",GP694:GP700),2)</f>
        <v>0</v>
      </c>
      <c r="CE702" s="2">
        <f>AC702-BX702</f>
        <v>195680.12</v>
      </c>
      <c r="CF702" s="2">
        <f>AC702-BY702</f>
        <v>195680.12</v>
      </c>
      <c r="CG702" s="2">
        <f>BX702-BZ702</f>
        <v>0</v>
      </c>
      <c r="CH702" s="2">
        <f>AC702-BX702-BY702+BZ702</f>
        <v>195680.12</v>
      </c>
      <c r="CI702" s="2">
        <f>BY702-BZ702</f>
        <v>0</v>
      </c>
      <c r="CJ702" s="2">
        <f>ROUND(SUMIF(AA694:AA700,"=42938047",GX694:GX700),2)</f>
        <v>0</v>
      </c>
      <c r="CK702" s="2">
        <f>ROUND(SUMIF(AA694:AA700,"=42938047",GY694:GY700),2)</f>
        <v>0</v>
      </c>
      <c r="CL702" s="2">
        <f>ROUND(SUMIF(AA694:AA700,"=42938047",GZ694:GZ700),2)</f>
        <v>0</v>
      </c>
      <c r="CM702" s="2">
        <f>ROUND(SUMIF(AA694:AA700,"=42938047",HD694:HD700),2)</f>
        <v>0</v>
      </c>
      <c r="CN702" s="2"/>
      <c r="CO702" s="2"/>
      <c r="CP702" s="2"/>
      <c r="CQ702" s="2"/>
      <c r="CR702" s="2"/>
      <c r="CS702" s="2"/>
      <c r="CT702" s="2"/>
      <c r="CU702" s="2"/>
      <c r="CV702" s="2"/>
      <c r="CW702" s="2"/>
      <c r="CX702" s="2"/>
      <c r="CY702" s="2"/>
      <c r="CZ702" s="2"/>
      <c r="DA702" s="2"/>
      <c r="DB702" s="2"/>
      <c r="DC702" s="2"/>
      <c r="DD702" s="2"/>
      <c r="DE702" s="2"/>
      <c r="DF702" s="2"/>
      <c r="DG702" s="3"/>
      <c r="DH702" s="3"/>
      <c r="DI702" s="3"/>
      <c r="DJ702" s="3"/>
      <c r="DK702" s="3"/>
      <c r="DL702" s="3"/>
      <c r="DM702" s="3"/>
      <c r="DN702" s="3"/>
      <c r="DO702" s="3"/>
      <c r="DP702" s="3"/>
      <c r="DQ702" s="3"/>
      <c r="DR702" s="3"/>
      <c r="DS702" s="3"/>
      <c r="DT702" s="3"/>
      <c r="DU702" s="3"/>
      <c r="DV702" s="3"/>
      <c r="DW702" s="3"/>
      <c r="DX702" s="3"/>
      <c r="DY702" s="3"/>
      <c r="DZ702" s="3"/>
      <c r="EA702" s="3"/>
      <c r="EB702" s="3"/>
      <c r="EC702" s="3"/>
      <c r="ED702" s="3"/>
      <c r="EE702" s="3"/>
      <c r="EF702" s="3"/>
      <c r="EG702" s="3"/>
      <c r="EH702" s="3"/>
      <c r="EI702" s="3"/>
      <c r="EJ702" s="3"/>
      <c r="EK702" s="3"/>
      <c r="EL702" s="3"/>
      <c r="EM702" s="3"/>
      <c r="EN702" s="3"/>
      <c r="EO702" s="3"/>
      <c r="EP702" s="3"/>
      <c r="EQ702" s="3"/>
      <c r="ER702" s="3"/>
      <c r="ES702" s="3"/>
      <c r="ET702" s="3"/>
      <c r="EU702" s="3"/>
      <c r="EV702" s="3"/>
      <c r="EW702" s="3"/>
      <c r="EX702" s="3"/>
      <c r="EY702" s="3"/>
      <c r="EZ702" s="3"/>
      <c r="FA702" s="3"/>
      <c r="FB702" s="3"/>
      <c r="FC702" s="3"/>
      <c r="FD702" s="3"/>
      <c r="FE702" s="3"/>
      <c r="FF702" s="3"/>
      <c r="FG702" s="3"/>
      <c r="FH702" s="3"/>
      <c r="FI702" s="3"/>
      <c r="FJ702" s="3"/>
      <c r="FK702" s="3"/>
      <c r="FL702" s="3"/>
      <c r="FM702" s="3"/>
      <c r="FN702" s="3"/>
      <c r="FO702" s="3"/>
      <c r="FP702" s="3"/>
      <c r="FQ702" s="3"/>
      <c r="FR702" s="3"/>
      <c r="FS702" s="3"/>
      <c r="FT702" s="3"/>
      <c r="FU702" s="3"/>
      <c r="FV702" s="3"/>
      <c r="FW702" s="3"/>
      <c r="FX702" s="3"/>
      <c r="FY702" s="3"/>
      <c r="FZ702" s="3"/>
      <c r="GA702" s="3"/>
      <c r="GB702" s="3"/>
      <c r="GC702" s="3"/>
      <c r="GD702" s="3"/>
      <c r="GE702" s="3"/>
      <c r="GF702" s="3"/>
      <c r="GG702" s="3"/>
      <c r="GH702" s="3"/>
      <c r="GI702" s="3"/>
      <c r="GJ702" s="3"/>
      <c r="GK702" s="3"/>
      <c r="GL702" s="3"/>
      <c r="GM702" s="3"/>
      <c r="GN702" s="3"/>
      <c r="GO702" s="3"/>
      <c r="GP702" s="3"/>
      <c r="GQ702" s="3"/>
      <c r="GR702" s="3"/>
      <c r="GS702" s="3"/>
      <c r="GT702" s="3"/>
      <c r="GU702" s="3"/>
      <c r="GV702" s="3"/>
      <c r="GW702" s="3"/>
      <c r="GX702" s="3">
        <v>0</v>
      </c>
    </row>
    <row r="704" spans="1:245" x14ac:dyDescent="0.2">
      <c r="A704" s="4">
        <v>50</v>
      </c>
      <c r="B704" s="4">
        <v>0</v>
      </c>
      <c r="C704" s="4">
        <v>0</v>
      </c>
      <c r="D704" s="4">
        <v>1</v>
      </c>
      <c r="E704" s="4">
        <v>201</v>
      </c>
      <c r="F704" s="4">
        <f>ROUND(Source!O702,O704)</f>
        <v>283052.13</v>
      </c>
      <c r="G704" s="4" t="s">
        <v>213</v>
      </c>
      <c r="H704" s="4" t="s">
        <v>214</v>
      </c>
      <c r="I704" s="4"/>
      <c r="J704" s="4"/>
      <c r="K704" s="4">
        <v>201</v>
      </c>
      <c r="L704" s="4">
        <v>1</v>
      </c>
      <c r="M704" s="4">
        <v>3</v>
      </c>
      <c r="N704" s="4" t="s">
        <v>3</v>
      </c>
      <c r="O704" s="4">
        <v>2</v>
      </c>
      <c r="P704" s="4"/>
      <c r="Q704" s="4"/>
      <c r="R704" s="4"/>
      <c r="S704" s="4"/>
      <c r="T704" s="4"/>
      <c r="U704" s="4"/>
      <c r="V704" s="4"/>
      <c r="W704" s="4"/>
    </row>
    <row r="705" spans="1:23" x14ac:dyDescent="0.2">
      <c r="A705" s="4">
        <v>50</v>
      </c>
      <c r="B705" s="4">
        <v>0</v>
      </c>
      <c r="C705" s="4">
        <v>0</v>
      </c>
      <c r="D705" s="4">
        <v>1</v>
      </c>
      <c r="E705" s="4">
        <v>202</v>
      </c>
      <c r="F705" s="4">
        <f>ROUND(Source!P702,O705)</f>
        <v>195680.12</v>
      </c>
      <c r="G705" s="4" t="s">
        <v>215</v>
      </c>
      <c r="H705" s="4" t="s">
        <v>216</v>
      </c>
      <c r="I705" s="4"/>
      <c r="J705" s="4"/>
      <c r="K705" s="4">
        <v>202</v>
      </c>
      <c r="L705" s="4">
        <v>2</v>
      </c>
      <c r="M705" s="4">
        <v>3</v>
      </c>
      <c r="N705" s="4" t="s">
        <v>3</v>
      </c>
      <c r="O705" s="4">
        <v>2</v>
      </c>
      <c r="P705" s="4"/>
      <c r="Q705" s="4"/>
      <c r="R705" s="4"/>
      <c r="S705" s="4"/>
      <c r="T705" s="4"/>
      <c r="U705" s="4"/>
      <c r="V705" s="4"/>
      <c r="W705" s="4"/>
    </row>
    <row r="706" spans="1:23" x14ac:dyDescent="0.2">
      <c r="A706" s="4">
        <v>50</v>
      </c>
      <c r="B706" s="4">
        <v>0</v>
      </c>
      <c r="C706" s="4">
        <v>0</v>
      </c>
      <c r="D706" s="4">
        <v>1</v>
      </c>
      <c r="E706" s="4">
        <v>222</v>
      </c>
      <c r="F706" s="4">
        <f>ROUND(Source!AO702,O706)</f>
        <v>0</v>
      </c>
      <c r="G706" s="4" t="s">
        <v>217</v>
      </c>
      <c r="H706" s="4" t="s">
        <v>218</v>
      </c>
      <c r="I706" s="4"/>
      <c r="J706" s="4"/>
      <c r="K706" s="4">
        <v>222</v>
      </c>
      <c r="L706" s="4">
        <v>3</v>
      </c>
      <c r="M706" s="4">
        <v>3</v>
      </c>
      <c r="N706" s="4" t="s">
        <v>3</v>
      </c>
      <c r="O706" s="4">
        <v>2</v>
      </c>
      <c r="P706" s="4"/>
      <c r="Q706" s="4"/>
      <c r="R706" s="4"/>
      <c r="S706" s="4"/>
      <c r="T706" s="4"/>
      <c r="U706" s="4"/>
      <c r="V706" s="4"/>
      <c r="W706" s="4"/>
    </row>
    <row r="707" spans="1:23" x14ac:dyDescent="0.2">
      <c r="A707" s="4">
        <v>50</v>
      </c>
      <c r="B707" s="4">
        <v>0</v>
      </c>
      <c r="C707" s="4">
        <v>0</v>
      </c>
      <c r="D707" s="4">
        <v>1</v>
      </c>
      <c r="E707" s="4">
        <v>225</v>
      </c>
      <c r="F707" s="4">
        <f>ROUND(Source!AV702,O707)</f>
        <v>195680.12</v>
      </c>
      <c r="G707" s="4" t="s">
        <v>219</v>
      </c>
      <c r="H707" s="4" t="s">
        <v>220</v>
      </c>
      <c r="I707" s="4"/>
      <c r="J707" s="4"/>
      <c r="K707" s="4">
        <v>225</v>
      </c>
      <c r="L707" s="4">
        <v>4</v>
      </c>
      <c r="M707" s="4">
        <v>3</v>
      </c>
      <c r="N707" s="4" t="s">
        <v>3</v>
      </c>
      <c r="O707" s="4">
        <v>2</v>
      </c>
      <c r="P707" s="4"/>
      <c r="Q707" s="4"/>
      <c r="R707" s="4"/>
      <c r="S707" s="4"/>
      <c r="T707" s="4"/>
      <c r="U707" s="4"/>
      <c r="V707" s="4"/>
      <c r="W707" s="4"/>
    </row>
    <row r="708" spans="1:23" x14ac:dyDescent="0.2">
      <c r="A708" s="4">
        <v>50</v>
      </c>
      <c r="B708" s="4">
        <v>0</v>
      </c>
      <c r="C708" s="4">
        <v>0</v>
      </c>
      <c r="D708" s="4">
        <v>1</v>
      </c>
      <c r="E708" s="4">
        <v>226</v>
      </c>
      <c r="F708" s="4">
        <f>ROUND(Source!AW702,O708)</f>
        <v>195680.12</v>
      </c>
      <c r="G708" s="4" t="s">
        <v>221</v>
      </c>
      <c r="H708" s="4" t="s">
        <v>222</v>
      </c>
      <c r="I708" s="4"/>
      <c r="J708" s="4"/>
      <c r="K708" s="4">
        <v>226</v>
      </c>
      <c r="L708" s="4">
        <v>5</v>
      </c>
      <c r="M708" s="4">
        <v>3</v>
      </c>
      <c r="N708" s="4" t="s">
        <v>3</v>
      </c>
      <c r="O708" s="4">
        <v>2</v>
      </c>
      <c r="P708" s="4"/>
      <c r="Q708" s="4"/>
      <c r="R708" s="4"/>
      <c r="S708" s="4"/>
      <c r="T708" s="4"/>
      <c r="U708" s="4"/>
      <c r="V708" s="4"/>
      <c r="W708" s="4"/>
    </row>
    <row r="709" spans="1:23" x14ac:dyDescent="0.2">
      <c r="A709" s="4">
        <v>50</v>
      </c>
      <c r="B709" s="4">
        <v>0</v>
      </c>
      <c r="C709" s="4">
        <v>0</v>
      </c>
      <c r="D709" s="4">
        <v>1</v>
      </c>
      <c r="E709" s="4">
        <v>227</v>
      </c>
      <c r="F709" s="4">
        <f>ROUND(Source!AX702,O709)</f>
        <v>0</v>
      </c>
      <c r="G709" s="4" t="s">
        <v>223</v>
      </c>
      <c r="H709" s="4" t="s">
        <v>224</v>
      </c>
      <c r="I709" s="4"/>
      <c r="J709" s="4"/>
      <c r="K709" s="4">
        <v>227</v>
      </c>
      <c r="L709" s="4">
        <v>6</v>
      </c>
      <c r="M709" s="4">
        <v>3</v>
      </c>
      <c r="N709" s="4" t="s">
        <v>3</v>
      </c>
      <c r="O709" s="4">
        <v>2</v>
      </c>
      <c r="P709" s="4"/>
      <c r="Q709" s="4"/>
      <c r="R709" s="4"/>
      <c r="S709" s="4"/>
      <c r="T709" s="4"/>
      <c r="U709" s="4"/>
      <c r="V709" s="4"/>
      <c r="W709" s="4"/>
    </row>
    <row r="710" spans="1:23" x14ac:dyDescent="0.2">
      <c r="A710" s="4">
        <v>50</v>
      </c>
      <c r="B710" s="4">
        <v>0</v>
      </c>
      <c r="C710" s="4">
        <v>0</v>
      </c>
      <c r="D710" s="4">
        <v>1</v>
      </c>
      <c r="E710" s="4">
        <v>228</v>
      </c>
      <c r="F710" s="4">
        <f>ROUND(Source!AY702,O710)</f>
        <v>195680.12</v>
      </c>
      <c r="G710" s="4" t="s">
        <v>225</v>
      </c>
      <c r="H710" s="4" t="s">
        <v>226</v>
      </c>
      <c r="I710" s="4"/>
      <c r="J710" s="4"/>
      <c r="K710" s="4">
        <v>228</v>
      </c>
      <c r="L710" s="4">
        <v>7</v>
      </c>
      <c r="M710" s="4">
        <v>3</v>
      </c>
      <c r="N710" s="4" t="s">
        <v>3</v>
      </c>
      <c r="O710" s="4">
        <v>2</v>
      </c>
      <c r="P710" s="4"/>
      <c r="Q710" s="4"/>
      <c r="R710" s="4"/>
      <c r="S710" s="4"/>
      <c r="T710" s="4"/>
      <c r="U710" s="4"/>
      <c r="V710" s="4"/>
      <c r="W710" s="4"/>
    </row>
    <row r="711" spans="1:23" x14ac:dyDescent="0.2">
      <c r="A711" s="4">
        <v>50</v>
      </c>
      <c r="B711" s="4">
        <v>0</v>
      </c>
      <c r="C711" s="4">
        <v>0</v>
      </c>
      <c r="D711" s="4">
        <v>1</v>
      </c>
      <c r="E711" s="4">
        <v>216</v>
      </c>
      <c r="F711" s="4">
        <f>ROUND(Source!AP702,O711)</f>
        <v>0</v>
      </c>
      <c r="G711" s="4" t="s">
        <v>227</v>
      </c>
      <c r="H711" s="4" t="s">
        <v>228</v>
      </c>
      <c r="I711" s="4"/>
      <c r="J711" s="4"/>
      <c r="K711" s="4">
        <v>216</v>
      </c>
      <c r="L711" s="4">
        <v>8</v>
      </c>
      <c r="M711" s="4">
        <v>3</v>
      </c>
      <c r="N711" s="4" t="s">
        <v>3</v>
      </c>
      <c r="O711" s="4">
        <v>2</v>
      </c>
      <c r="P711" s="4"/>
      <c r="Q711" s="4"/>
      <c r="R711" s="4"/>
      <c r="S711" s="4"/>
      <c r="T711" s="4"/>
      <c r="U711" s="4"/>
      <c r="V711" s="4"/>
      <c r="W711" s="4"/>
    </row>
    <row r="712" spans="1:23" x14ac:dyDescent="0.2">
      <c r="A712" s="4">
        <v>50</v>
      </c>
      <c r="B712" s="4">
        <v>0</v>
      </c>
      <c r="C712" s="4">
        <v>0</v>
      </c>
      <c r="D712" s="4">
        <v>1</v>
      </c>
      <c r="E712" s="4">
        <v>223</v>
      </c>
      <c r="F712" s="4">
        <f>ROUND(Source!AQ702,O712)</f>
        <v>0</v>
      </c>
      <c r="G712" s="4" t="s">
        <v>229</v>
      </c>
      <c r="H712" s="4" t="s">
        <v>230</v>
      </c>
      <c r="I712" s="4"/>
      <c r="J712" s="4"/>
      <c r="K712" s="4">
        <v>223</v>
      </c>
      <c r="L712" s="4">
        <v>9</v>
      </c>
      <c r="M712" s="4">
        <v>3</v>
      </c>
      <c r="N712" s="4" t="s">
        <v>3</v>
      </c>
      <c r="O712" s="4">
        <v>2</v>
      </c>
      <c r="P712" s="4"/>
      <c r="Q712" s="4"/>
      <c r="R712" s="4"/>
      <c r="S712" s="4"/>
      <c r="T712" s="4"/>
      <c r="U712" s="4"/>
      <c r="V712" s="4"/>
      <c r="W712" s="4"/>
    </row>
    <row r="713" spans="1:23" x14ac:dyDescent="0.2">
      <c r="A713" s="4">
        <v>50</v>
      </c>
      <c r="B713" s="4">
        <v>0</v>
      </c>
      <c r="C713" s="4">
        <v>0</v>
      </c>
      <c r="D713" s="4">
        <v>1</v>
      </c>
      <c r="E713" s="4">
        <v>229</v>
      </c>
      <c r="F713" s="4">
        <f>ROUND(Source!AZ702,O713)</f>
        <v>0</v>
      </c>
      <c r="G713" s="4" t="s">
        <v>231</v>
      </c>
      <c r="H713" s="4" t="s">
        <v>232</v>
      </c>
      <c r="I713" s="4"/>
      <c r="J713" s="4"/>
      <c r="K713" s="4">
        <v>229</v>
      </c>
      <c r="L713" s="4">
        <v>10</v>
      </c>
      <c r="M713" s="4">
        <v>3</v>
      </c>
      <c r="N713" s="4" t="s">
        <v>3</v>
      </c>
      <c r="O713" s="4">
        <v>2</v>
      </c>
      <c r="P713" s="4"/>
      <c r="Q713" s="4"/>
      <c r="R713" s="4"/>
      <c r="S713" s="4"/>
      <c r="T713" s="4"/>
      <c r="U713" s="4"/>
      <c r="V713" s="4"/>
      <c r="W713" s="4"/>
    </row>
    <row r="714" spans="1:23" x14ac:dyDescent="0.2">
      <c r="A714" s="4">
        <v>50</v>
      </c>
      <c r="B714" s="4">
        <v>0</v>
      </c>
      <c r="C714" s="4">
        <v>0</v>
      </c>
      <c r="D714" s="4">
        <v>1</v>
      </c>
      <c r="E714" s="4">
        <v>203</v>
      </c>
      <c r="F714" s="4">
        <f>ROUND(Source!Q702,O714)</f>
        <v>19843.310000000001</v>
      </c>
      <c r="G714" s="4" t="s">
        <v>233</v>
      </c>
      <c r="H714" s="4" t="s">
        <v>234</v>
      </c>
      <c r="I714" s="4"/>
      <c r="J714" s="4"/>
      <c r="K714" s="4">
        <v>203</v>
      </c>
      <c r="L714" s="4">
        <v>11</v>
      </c>
      <c r="M714" s="4">
        <v>3</v>
      </c>
      <c r="N714" s="4" t="s">
        <v>3</v>
      </c>
      <c r="O714" s="4">
        <v>2</v>
      </c>
      <c r="P714" s="4"/>
      <c r="Q714" s="4"/>
      <c r="R714" s="4"/>
      <c r="S714" s="4"/>
      <c r="T714" s="4"/>
      <c r="U714" s="4"/>
      <c r="V714" s="4"/>
      <c r="W714" s="4"/>
    </row>
    <row r="715" spans="1:23" x14ac:dyDescent="0.2">
      <c r="A715" s="4">
        <v>50</v>
      </c>
      <c r="B715" s="4">
        <v>0</v>
      </c>
      <c r="C715" s="4">
        <v>0</v>
      </c>
      <c r="D715" s="4">
        <v>1</v>
      </c>
      <c r="E715" s="4">
        <v>231</v>
      </c>
      <c r="F715" s="4">
        <f>ROUND(Source!BB702,O715)</f>
        <v>0</v>
      </c>
      <c r="G715" s="4" t="s">
        <v>235</v>
      </c>
      <c r="H715" s="4" t="s">
        <v>236</v>
      </c>
      <c r="I715" s="4"/>
      <c r="J715" s="4"/>
      <c r="K715" s="4">
        <v>231</v>
      </c>
      <c r="L715" s="4">
        <v>12</v>
      </c>
      <c r="M715" s="4">
        <v>3</v>
      </c>
      <c r="N715" s="4" t="s">
        <v>3</v>
      </c>
      <c r="O715" s="4">
        <v>2</v>
      </c>
      <c r="P715" s="4"/>
      <c r="Q715" s="4"/>
      <c r="R715" s="4"/>
      <c r="S715" s="4"/>
      <c r="T715" s="4"/>
      <c r="U715" s="4"/>
      <c r="V715" s="4"/>
      <c r="W715" s="4"/>
    </row>
    <row r="716" spans="1:23" x14ac:dyDescent="0.2">
      <c r="A716" s="4">
        <v>50</v>
      </c>
      <c r="B716" s="4">
        <v>0</v>
      </c>
      <c r="C716" s="4">
        <v>0</v>
      </c>
      <c r="D716" s="4">
        <v>1</v>
      </c>
      <c r="E716" s="4">
        <v>204</v>
      </c>
      <c r="F716" s="4">
        <f>ROUND(Source!R702,O716)</f>
        <v>3319.92</v>
      </c>
      <c r="G716" s="4" t="s">
        <v>237</v>
      </c>
      <c r="H716" s="4" t="s">
        <v>238</v>
      </c>
      <c r="I716" s="4"/>
      <c r="J716" s="4"/>
      <c r="K716" s="4">
        <v>204</v>
      </c>
      <c r="L716" s="4">
        <v>13</v>
      </c>
      <c r="M716" s="4">
        <v>3</v>
      </c>
      <c r="N716" s="4" t="s">
        <v>3</v>
      </c>
      <c r="O716" s="4">
        <v>2</v>
      </c>
      <c r="P716" s="4"/>
      <c r="Q716" s="4"/>
      <c r="R716" s="4"/>
      <c r="S716" s="4"/>
      <c r="T716" s="4"/>
      <c r="U716" s="4"/>
      <c r="V716" s="4"/>
      <c r="W716" s="4"/>
    </row>
    <row r="717" spans="1:23" x14ac:dyDescent="0.2">
      <c r="A717" s="4">
        <v>50</v>
      </c>
      <c r="B717" s="4">
        <v>0</v>
      </c>
      <c r="C717" s="4">
        <v>0</v>
      </c>
      <c r="D717" s="4">
        <v>1</v>
      </c>
      <c r="E717" s="4">
        <v>205</v>
      </c>
      <c r="F717" s="4">
        <f>ROUND(Source!S702,O717)</f>
        <v>67528.7</v>
      </c>
      <c r="G717" s="4" t="s">
        <v>239</v>
      </c>
      <c r="H717" s="4" t="s">
        <v>240</v>
      </c>
      <c r="I717" s="4"/>
      <c r="J717" s="4"/>
      <c r="K717" s="4">
        <v>205</v>
      </c>
      <c r="L717" s="4">
        <v>14</v>
      </c>
      <c r="M717" s="4">
        <v>3</v>
      </c>
      <c r="N717" s="4" t="s">
        <v>3</v>
      </c>
      <c r="O717" s="4">
        <v>2</v>
      </c>
      <c r="P717" s="4"/>
      <c r="Q717" s="4"/>
      <c r="R717" s="4"/>
      <c r="S717" s="4"/>
      <c r="T717" s="4"/>
      <c r="U717" s="4"/>
      <c r="V717" s="4"/>
      <c r="W717" s="4"/>
    </row>
    <row r="718" spans="1:23" x14ac:dyDescent="0.2">
      <c r="A718" s="4">
        <v>50</v>
      </c>
      <c r="B718" s="4">
        <v>0</v>
      </c>
      <c r="C718" s="4">
        <v>0</v>
      </c>
      <c r="D718" s="4">
        <v>1</v>
      </c>
      <c r="E718" s="4">
        <v>232</v>
      </c>
      <c r="F718" s="4">
        <f>ROUND(Source!BC702,O718)</f>
        <v>0</v>
      </c>
      <c r="G718" s="4" t="s">
        <v>241</v>
      </c>
      <c r="H718" s="4" t="s">
        <v>242</v>
      </c>
      <c r="I718" s="4"/>
      <c r="J718" s="4"/>
      <c r="K718" s="4">
        <v>232</v>
      </c>
      <c r="L718" s="4">
        <v>15</v>
      </c>
      <c r="M718" s="4">
        <v>3</v>
      </c>
      <c r="N718" s="4" t="s">
        <v>3</v>
      </c>
      <c r="O718" s="4">
        <v>2</v>
      </c>
      <c r="P718" s="4"/>
      <c r="Q718" s="4"/>
      <c r="R718" s="4"/>
      <c r="S718" s="4"/>
      <c r="T718" s="4"/>
      <c r="U718" s="4"/>
      <c r="V718" s="4"/>
      <c r="W718" s="4"/>
    </row>
    <row r="719" spans="1:23" x14ac:dyDescent="0.2">
      <c r="A719" s="4">
        <v>50</v>
      </c>
      <c r="B719" s="4">
        <v>0</v>
      </c>
      <c r="C719" s="4">
        <v>0</v>
      </c>
      <c r="D719" s="4">
        <v>1</v>
      </c>
      <c r="E719" s="4">
        <v>214</v>
      </c>
      <c r="F719" s="4">
        <f>ROUND(Source!AS702,O719)</f>
        <v>376727</v>
      </c>
      <c r="G719" s="4" t="s">
        <v>243</v>
      </c>
      <c r="H719" s="4" t="s">
        <v>244</v>
      </c>
      <c r="I719" s="4"/>
      <c r="J719" s="4"/>
      <c r="K719" s="4">
        <v>214</v>
      </c>
      <c r="L719" s="4">
        <v>16</v>
      </c>
      <c r="M719" s="4">
        <v>3</v>
      </c>
      <c r="N719" s="4" t="s">
        <v>3</v>
      </c>
      <c r="O719" s="4">
        <v>2</v>
      </c>
      <c r="P719" s="4"/>
      <c r="Q719" s="4"/>
      <c r="R719" s="4"/>
      <c r="S719" s="4"/>
      <c r="T719" s="4"/>
      <c r="U719" s="4"/>
      <c r="V719" s="4"/>
      <c r="W719" s="4"/>
    </row>
    <row r="720" spans="1:23" x14ac:dyDescent="0.2">
      <c r="A720" s="4">
        <v>50</v>
      </c>
      <c r="B720" s="4">
        <v>0</v>
      </c>
      <c r="C720" s="4">
        <v>0</v>
      </c>
      <c r="D720" s="4">
        <v>1</v>
      </c>
      <c r="E720" s="4">
        <v>215</v>
      </c>
      <c r="F720" s="4">
        <f>ROUND(Source!AT702,O720)</f>
        <v>0</v>
      </c>
      <c r="G720" s="4" t="s">
        <v>245</v>
      </c>
      <c r="H720" s="4" t="s">
        <v>246</v>
      </c>
      <c r="I720" s="4"/>
      <c r="J720" s="4"/>
      <c r="K720" s="4">
        <v>215</v>
      </c>
      <c r="L720" s="4">
        <v>17</v>
      </c>
      <c r="M720" s="4">
        <v>3</v>
      </c>
      <c r="N720" s="4" t="s">
        <v>3</v>
      </c>
      <c r="O720" s="4">
        <v>2</v>
      </c>
      <c r="P720" s="4"/>
      <c r="Q720" s="4"/>
      <c r="R720" s="4"/>
      <c r="S720" s="4"/>
      <c r="T720" s="4"/>
      <c r="U720" s="4"/>
      <c r="V720" s="4"/>
      <c r="W720" s="4"/>
    </row>
    <row r="721" spans="1:206" x14ac:dyDescent="0.2">
      <c r="A721" s="4">
        <v>50</v>
      </c>
      <c r="B721" s="4">
        <v>0</v>
      </c>
      <c r="C721" s="4">
        <v>0</v>
      </c>
      <c r="D721" s="4">
        <v>1</v>
      </c>
      <c r="E721" s="4">
        <v>217</v>
      </c>
      <c r="F721" s="4">
        <f>ROUND(Source!AU702,O721)</f>
        <v>0</v>
      </c>
      <c r="G721" s="4" t="s">
        <v>247</v>
      </c>
      <c r="H721" s="4" t="s">
        <v>248</v>
      </c>
      <c r="I721" s="4"/>
      <c r="J721" s="4"/>
      <c r="K721" s="4">
        <v>217</v>
      </c>
      <c r="L721" s="4">
        <v>18</v>
      </c>
      <c r="M721" s="4">
        <v>3</v>
      </c>
      <c r="N721" s="4" t="s">
        <v>3</v>
      </c>
      <c r="O721" s="4">
        <v>2</v>
      </c>
      <c r="P721" s="4"/>
      <c r="Q721" s="4"/>
      <c r="R721" s="4"/>
      <c r="S721" s="4"/>
      <c r="T721" s="4"/>
      <c r="U721" s="4"/>
      <c r="V721" s="4"/>
      <c r="W721" s="4"/>
    </row>
    <row r="722" spans="1:206" x14ac:dyDescent="0.2">
      <c r="A722" s="4">
        <v>50</v>
      </c>
      <c r="B722" s="4">
        <v>0</v>
      </c>
      <c r="C722" s="4">
        <v>0</v>
      </c>
      <c r="D722" s="4">
        <v>1</v>
      </c>
      <c r="E722" s="4">
        <v>230</v>
      </c>
      <c r="F722" s="4">
        <f>ROUND(Source!BA702,O722)</f>
        <v>0</v>
      </c>
      <c r="G722" s="4" t="s">
        <v>249</v>
      </c>
      <c r="H722" s="4" t="s">
        <v>250</v>
      </c>
      <c r="I722" s="4"/>
      <c r="J722" s="4"/>
      <c r="K722" s="4">
        <v>230</v>
      </c>
      <c r="L722" s="4">
        <v>19</v>
      </c>
      <c r="M722" s="4">
        <v>3</v>
      </c>
      <c r="N722" s="4" t="s">
        <v>3</v>
      </c>
      <c r="O722" s="4">
        <v>2</v>
      </c>
      <c r="P722" s="4"/>
      <c r="Q722" s="4"/>
      <c r="R722" s="4"/>
      <c r="S722" s="4"/>
      <c r="T722" s="4"/>
      <c r="U722" s="4"/>
      <c r="V722" s="4"/>
      <c r="W722" s="4"/>
    </row>
    <row r="723" spans="1:206" x14ac:dyDescent="0.2">
      <c r="A723" s="4">
        <v>50</v>
      </c>
      <c r="B723" s="4">
        <v>0</v>
      </c>
      <c r="C723" s="4">
        <v>0</v>
      </c>
      <c r="D723" s="4">
        <v>1</v>
      </c>
      <c r="E723" s="4">
        <v>206</v>
      </c>
      <c r="F723" s="4">
        <f>ROUND(Source!T702,O723)</f>
        <v>0</v>
      </c>
      <c r="G723" s="4" t="s">
        <v>251</v>
      </c>
      <c r="H723" s="4" t="s">
        <v>252</v>
      </c>
      <c r="I723" s="4"/>
      <c r="J723" s="4"/>
      <c r="K723" s="4">
        <v>206</v>
      </c>
      <c r="L723" s="4">
        <v>20</v>
      </c>
      <c r="M723" s="4">
        <v>3</v>
      </c>
      <c r="N723" s="4" t="s">
        <v>3</v>
      </c>
      <c r="O723" s="4">
        <v>2</v>
      </c>
      <c r="P723" s="4"/>
      <c r="Q723" s="4"/>
      <c r="R723" s="4"/>
      <c r="S723" s="4"/>
      <c r="T723" s="4"/>
      <c r="U723" s="4"/>
      <c r="V723" s="4"/>
      <c r="W723" s="4"/>
    </row>
    <row r="724" spans="1:206" x14ac:dyDescent="0.2">
      <c r="A724" s="4">
        <v>50</v>
      </c>
      <c r="B724" s="4">
        <v>0</v>
      </c>
      <c r="C724" s="4">
        <v>0</v>
      </c>
      <c r="D724" s="4">
        <v>1</v>
      </c>
      <c r="E724" s="4">
        <v>207</v>
      </c>
      <c r="F724" s="4">
        <f>Source!U702</f>
        <v>212.51999999999998</v>
      </c>
      <c r="G724" s="4" t="s">
        <v>253</v>
      </c>
      <c r="H724" s="4" t="s">
        <v>254</v>
      </c>
      <c r="I724" s="4"/>
      <c r="J724" s="4"/>
      <c r="K724" s="4">
        <v>207</v>
      </c>
      <c r="L724" s="4">
        <v>21</v>
      </c>
      <c r="M724" s="4">
        <v>3</v>
      </c>
      <c r="N724" s="4" t="s">
        <v>3</v>
      </c>
      <c r="O724" s="4">
        <v>-1</v>
      </c>
      <c r="P724" s="4"/>
      <c r="Q724" s="4"/>
      <c r="R724" s="4"/>
      <c r="S724" s="4"/>
      <c r="T724" s="4"/>
      <c r="U724" s="4"/>
      <c r="V724" s="4"/>
      <c r="W724" s="4"/>
    </row>
    <row r="725" spans="1:206" x14ac:dyDescent="0.2">
      <c r="A725" s="4">
        <v>50</v>
      </c>
      <c r="B725" s="4">
        <v>0</v>
      </c>
      <c r="C725" s="4">
        <v>0</v>
      </c>
      <c r="D725" s="4">
        <v>1</v>
      </c>
      <c r="E725" s="4">
        <v>208</v>
      </c>
      <c r="F725" s="4">
        <f>Source!V702</f>
        <v>0</v>
      </c>
      <c r="G725" s="4" t="s">
        <v>255</v>
      </c>
      <c r="H725" s="4" t="s">
        <v>256</v>
      </c>
      <c r="I725" s="4"/>
      <c r="J725" s="4"/>
      <c r="K725" s="4">
        <v>208</v>
      </c>
      <c r="L725" s="4">
        <v>22</v>
      </c>
      <c r="M725" s="4">
        <v>3</v>
      </c>
      <c r="N725" s="4" t="s">
        <v>3</v>
      </c>
      <c r="O725" s="4">
        <v>-1</v>
      </c>
      <c r="P725" s="4"/>
      <c r="Q725" s="4"/>
      <c r="R725" s="4"/>
      <c r="S725" s="4"/>
      <c r="T725" s="4"/>
      <c r="U725" s="4"/>
      <c r="V725" s="4"/>
      <c r="W725" s="4"/>
    </row>
    <row r="726" spans="1:206" x14ac:dyDescent="0.2">
      <c r="A726" s="4">
        <v>50</v>
      </c>
      <c r="B726" s="4">
        <v>0</v>
      </c>
      <c r="C726" s="4">
        <v>0</v>
      </c>
      <c r="D726" s="4">
        <v>1</v>
      </c>
      <c r="E726" s="4">
        <v>209</v>
      </c>
      <c r="F726" s="4">
        <f>ROUND(Source!W702,O726)</f>
        <v>0</v>
      </c>
      <c r="G726" s="4" t="s">
        <v>257</v>
      </c>
      <c r="H726" s="4" t="s">
        <v>258</v>
      </c>
      <c r="I726" s="4"/>
      <c r="J726" s="4"/>
      <c r="K726" s="4">
        <v>209</v>
      </c>
      <c r="L726" s="4">
        <v>23</v>
      </c>
      <c r="M726" s="4">
        <v>3</v>
      </c>
      <c r="N726" s="4" t="s">
        <v>3</v>
      </c>
      <c r="O726" s="4">
        <v>2</v>
      </c>
      <c r="P726" s="4"/>
      <c r="Q726" s="4"/>
      <c r="R726" s="4"/>
      <c r="S726" s="4"/>
      <c r="T726" s="4"/>
      <c r="U726" s="4"/>
      <c r="V726" s="4"/>
      <c r="W726" s="4"/>
    </row>
    <row r="727" spans="1:206" x14ac:dyDescent="0.2">
      <c r="A727" s="4">
        <v>50</v>
      </c>
      <c r="B727" s="4">
        <v>0</v>
      </c>
      <c r="C727" s="4">
        <v>0</v>
      </c>
      <c r="D727" s="4">
        <v>1</v>
      </c>
      <c r="E727" s="4">
        <v>233</v>
      </c>
      <c r="F727" s="4">
        <f>ROUND(Source!BD702,O727)</f>
        <v>0</v>
      </c>
      <c r="G727" s="4" t="s">
        <v>259</v>
      </c>
      <c r="H727" s="4" t="s">
        <v>260</v>
      </c>
      <c r="I727" s="4"/>
      <c r="J727" s="4"/>
      <c r="K727" s="4">
        <v>233</v>
      </c>
      <c r="L727" s="4">
        <v>24</v>
      </c>
      <c r="M727" s="4">
        <v>3</v>
      </c>
      <c r="N727" s="4" t="s">
        <v>3</v>
      </c>
      <c r="O727" s="4">
        <v>2</v>
      </c>
      <c r="P727" s="4"/>
      <c r="Q727" s="4"/>
      <c r="R727" s="4"/>
      <c r="S727" s="4"/>
      <c r="T727" s="4"/>
      <c r="U727" s="4"/>
      <c r="V727" s="4"/>
      <c r="W727" s="4"/>
    </row>
    <row r="728" spans="1:206" x14ac:dyDescent="0.2">
      <c r="A728" s="4">
        <v>50</v>
      </c>
      <c r="B728" s="4">
        <v>0</v>
      </c>
      <c r="C728" s="4">
        <v>0</v>
      </c>
      <c r="D728" s="4">
        <v>1</v>
      </c>
      <c r="E728" s="4">
        <v>210</v>
      </c>
      <c r="F728" s="4">
        <f>ROUND(Source!X702,O728)</f>
        <v>60775.83</v>
      </c>
      <c r="G728" s="4" t="s">
        <v>261</v>
      </c>
      <c r="H728" s="4" t="s">
        <v>262</v>
      </c>
      <c r="I728" s="4"/>
      <c r="J728" s="4"/>
      <c r="K728" s="4">
        <v>210</v>
      </c>
      <c r="L728" s="4">
        <v>25</v>
      </c>
      <c r="M728" s="4">
        <v>3</v>
      </c>
      <c r="N728" s="4" t="s">
        <v>3</v>
      </c>
      <c r="O728" s="4">
        <v>2</v>
      </c>
      <c r="P728" s="4"/>
      <c r="Q728" s="4"/>
      <c r="R728" s="4"/>
      <c r="S728" s="4"/>
      <c r="T728" s="4"/>
      <c r="U728" s="4"/>
      <c r="V728" s="4"/>
      <c r="W728" s="4"/>
    </row>
    <row r="729" spans="1:206" x14ac:dyDescent="0.2">
      <c r="A729" s="4">
        <v>50</v>
      </c>
      <c r="B729" s="4">
        <v>0</v>
      </c>
      <c r="C729" s="4">
        <v>0</v>
      </c>
      <c r="D729" s="4">
        <v>1</v>
      </c>
      <c r="E729" s="4">
        <v>211</v>
      </c>
      <c r="F729" s="4">
        <f>ROUND(Source!Y702,O729)</f>
        <v>27686.77</v>
      </c>
      <c r="G729" s="4" t="s">
        <v>263</v>
      </c>
      <c r="H729" s="4" t="s">
        <v>264</v>
      </c>
      <c r="I729" s="4"/>
      <c r="J729" s="4"/>
      <c r="K729" s="4">
        <v>211</v>
      </c>
      <c r="L729" s="4">
        <v>26</v>
      </c>
      <c r="M729" s="4">
        <v>3</v>
      </c>
      <c r="N729" s="4" t="s">
        <v>3</v>
      </c>
      <c r="O729" s="4">
        <v>2</v>
      </c>
      <c r="P729" s="4"/>
      <c r="Q729" s="4"/>
      <c r="R729" s="4"/>
      <c r="S729" s="4"/>
      <c r="T729" s="4"/>
      <c r="U729" s="4"/>
      <c r="V729" s="4"/>
      <c r="W729" s="4"/>
    </row>
    <row r="730" spans="1:206" x14ac:dyDescent="0.2">
      <c r="A730" s="4">
        <v>50</v>
      </c>
      <c r="B730" s="4">
        <v>0</v>
      </c>
      <c r="C730" s="4">
        <v>0</v>
      </c>
      <c r="D730" s="4">
        <v>1</v>
      </c>
      <c r="E730" s="4">
        <v>224</v>
      </c>
      <c r="F730" s="4">
        <f>ROUND(Source!AR702,O730)</f>
        <v>376727</v>
      </c>
      <c r="G730" s="4" t="s">
        <v>265</v>
      </c>
      <c r="H730" s="4" t="s">
        <v>266</v>
      </c>
      <c r="I730" s="4"/>
      <c r="J730" s="4"/>
      <c r="K730" s="4">
        <v>224</v>
      </c>
      <c r="L730" s="4">
        <v>27</v>
      </c>
      <c r="M730" s="4">
        <v>3</v>
      </c>
      <c r="N730" s="4" t="s">
        <v>3</v>
      </c>
      <c r="O730" s="4">
        <v>2</v>
      </c>
      <c r="P730" s="4"/>
      <c r="Q730" s="4"/>
      <c r="R730" s="4"/>
      <c r="S730" s="4"/>
      <c r="T730" s="4"/>
      <c r="U730" s="4"/>
      <c r="V730" s="4"/>
      <c r="W730" s="4"/>
    </row>
    <row r="732" spans="1:206" x14ac:dyDescent="0.2">
      <c r="A732" s="2">
        <v>51</v>
      </c>
      <c r="B732" s="2">
        <f>B582</f>
        <v>1</v>
      </c>
      <c r="C732" s="2">
        <f>A582</f>
        <v>4</v>
      </c>
      <c r="D732" s="2">
        <f>ROW(A582)</f>
        <v>582</v>
      </c>
      <c r="E732" s="2"/>
      <c r="F732" s="2" t="str">
        <f>IF(F582&lt;&gt;"",F582,"")</f>
        <v>Новый раздел</v>
      </c>
      <c r="G732" s="2" t="str">
        <f>IF(G582&lt;&gt;"",G582,"")</f>
        <v>Посадка растений, дренажная система</v>
      </c>
      <c r="H732" s="2">
        <v>0</v>
      </c>
      <c r="I732" s="2"/>
      <c r="J732" s="2"/>
      <c r="K732" s="2"/>
      <c r="L732" s="2"/>
      <c r="M732" s="2"/>
      <c r="N732" s="2"/>
      <c r="O732" s="2">
        <f t="shared" ref="O732:T732" si="650">ROUND(O611+O660+O702+AB732,2)</f>
        <v>1494847.57</v>
      </c>
      <c r="P732" s="2">
        <f t="shared" si="650"/>
        <v>1369133.18</v>
      </c>
      <c r="Q732" s="2">
        <f t="shared" si="650"/>
        <v>25160.5</v>
      </c>
      <c r="R732" s="2">
        <f t="shared" si="650"/>
        <v>4891.3500000000004</v>
      </c>
      <c r="S732" s="2">
        <f t="shared" si="650"/>
        <v>100553.89</v>
      </c>
      <c r="T732" s="2">
        <f t="shared" si="650"/>
        <v>0</v>
      </c>
      <c r="U732" s="2">
        <f>U611+U660+U702+AH732</f>
        <v>325.77199999999993</v>
      </c>
      <c r="V732" s="2">
        <f>V611+V660+V702+AI732</f>
        <v>0</v>
      </c>
      <c r="W732" s="2">
        <f>ROUND(W611+W660+W702+AJ732,2)</f>
        <v>0</v>
      </c>
      <c r="X732" s="2">
        <f>ROUND(X611+X660+X702+AK732,2)</f>
        <v>92274.22</v>
      </c>
      <c r="Y732" s="2">
        <f>ROUND(Y611+Y660+Y702+AL732,2)</f>
        <v>41227.1</v>
      </c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>
        <f t="shared" ref="AO732:BD732" si="651">ROUND(AO611+AO660+AO702+BX732,2)</f>
        <v>0</v>
      </c>
      <c r="AP732" s="2">
        <f t="shared" si="651"/>
        <v>0</v>
      </c>
      <c r="AQ732" s="2">
        <f t="shared" si="651"/>
        <v>0</v>
      </c>
      <c r="AR732" s="2">
        <f t="shared" si="651"/>
        <v>1636028.31</v>
      </c>
      <c r="AS732" s="2">
        <f t="shared" si="651"/>
        <v>1627880.51</v>
      </c>
      <c r="AT732" s="2">
        <f t="shared" si="651"/>
        <v>8147.8</v>
      </c>
      <c r="AU732" s="2">
        <f t="shared" si="651"/>
        <v>0</v>
      </c>
      <c r="AV732" s="2">
        <f t="shared" si="651"/>
        <v>1369133.18</v>
      </c>
      <c r="AW732" s="2">
        <f t="shared" si="651"/>
        <v>1369133.18</v>
      </c>
      <c r="AX732" s="2">
        <f t="shared" si="651"/>
        <v>0</v>
      </c>
      <c r="AY732" s="2">
        <f t="shared" si="651"/>
        <v>1369133.18</v>
      </c>
      <c r="AZ732" s="2">
        <f t="shared" si="651"/>
        <v>0</v>
      </c>
      <c r="BA732" s="2">
        <f t="shared" si="651"/>
        <v>0</v>
      </c>
      <c r="BB732" s="2">
        <f t="shared" si="651"/>
        <v>0</v>
      </c>
      <c r="BC732" s="2">
        <f t="shared" si="651"/>
        <v>0</v>
      </c>
      <c r="BD732" s="2">
        <f t="shared" si="651"/>
        <v>0</v>
      </c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  <c r="CG732" s="2"/>
      <c r="CH732" s="2"/>
      <c r="CI732" s="2"/>
      <c r="CJ732" s="2"/>
      <c r="CK732" s="2"/>
      <c r="CL732" s="2"/>
      <c r="CM732" s="2"/>
      <c r="CN732" s="2"/>
      <c r="CO732" s="2"/>
      <c r="CP732" s="2"/>
      <c r="CQ732" s="2"/>
      <c r="CR732" s="2"/>
      <c r="CS732" s="2"/>
      <c r="CT732" s="2"/>
      <c r="CU732" s="2"/>
      <c r="CV732" s="2"/>
      <c r="CW732" s="2"/>
      <c r="CX732" s="2"/>
      <c r="CY732" s="2"/>
      <c r="CZ732" s="2"/>
      <c r="DA732" s="2"/>
      <c r="DB732" s="2"/>
      <c r="DC732" s="2"/>
      <c r="DD732" s="2"/>
      <c r="DE732" s="2"/>
      <c r="DF732" s="2"/>
      <c r="DG732" s="3"/>
      <c r="DH732" s="3"/>
      <c r="DI732" s="3"/>
      <c r="DJ732" s="3"/>
      <c r="DK732" s="3"/>
      <c r="DL732" s="3"/>
      <c r="DM732" s="3"/>
      <c r="DN732" s="3"/>
      <c r="DO732" s="3"/>
      <c r="DP732" s="3"/>
      <c r="DQ732" s="3"/>
      <c r="DR732" s="3"/>
      <c r="DS732" s="3"/>
      <c r="DT732" s="3"/>
      <c r="DU732" s="3"/>
      <c r="DV732" s="3"/>
      <c r="DW732" s="3"/>
      <c r="DX732" s="3"/>
      <c r="DY732" s="3"/>
      <c r="DZ732" s="3"/>
      <c r="EA732" s="3"/>
      <c r="EB732" s="3"/>
      <c r="EC732" s="3"/>
      <c r="ED732" s="3"/>
      <c r="EE732" s="3"/>
      <c r="EF732" s="3"/>
      <c r="EG732" s="3"/>
      <c r="EH732" s="3"/>
      <c r="EI732" s="3"/>
      <c r="EJ732" s="3"/>
      <c r="EK732" s="3"/>
      <c r="EL732" s="3"/>
      <c r="EM732" s="3"/>
      <c r="EN732" s="3"/>
      <c r="EO732" s="3"/>
      <c r="EP732" s="3"/>
      <c r="EQ732" s="3"/>
      <c r="ER732" s="3"/>
      <c r="ES732" s="3"/>
      <c r="ET732" s="3"/>
      <c r="EU732" s="3"/>
      <c r="EV732" s="3"/>
      <c r="EW732" s="3"/>
      <c r="EX732" s="3"/>
      <c r="EY732" s="3"/>
      <c r="EZ732" s="3"/>
      <c r="FA732" s="3"/>
      <c r="FB732" s="3"/>
      <c r="FC732" s="3"/>
      <c r="FD732" s="3"/>
      <c r="FE732" s="3"/>
      <c r="FF732" s="3"/>
      <c r="FG732" s="3"/>
      <c r="FH732" s="3"/>
      <c r="FI732" s="3"/>
      <c r="FJ732" s="3"/>
      <c r="FK732" s="3"/>
      <c r="FL732" s="3"/>
      <c r="FM732" s="3"/>
      <c r="FN732" s="3"/>
      <c r="FO732" s="3"/>
      <c r="FP732" s="3"/>
      <c r="FQ732" s="3"/>
      <c r="FR732" s="3"/>
      <c r="FS732" s="3"/>
      <c r="FT732" s="3"/>
      <c r="FU732" s="3"/>
      <c r="FV732" s="3"/>
      <c r="FW732" s="3"/>
      <c r="FX732" s="3"/>
      <c r="FY732" s="3"/>
      <c r="FZ732" s="3"/>
      <c r="GA732" s="3"/>
      <c r="GB732" s="3"/>
      <c r="GC732" s="3"/>
      <c r="GD732" s="3"/>
      <c r="GE732" s="3"/>
      <c r="GF732" s="3"/>
      <c r="GG732" s="3"/>
      <c r="GH732" s="3"/>
      <c r="GI732" s="3"/>
      <c r="GJ732" s="3"/>
      <c r="GK732" s="3"/>
      <c r="GL732" s="3"/>
      <c r="GM732" s="3"/>
      <c r="GN732" s="3"/>
      <c r="GO732" s="3"/>
      <c r="GP732" s="3"/>
      <c r="GQ732" s="3"/>
      <c r="GR732" s="3"/>
      <c r="GS732" s="3"/>
      <c r="GT732" s="3"/>
      <c r="GU732" s="3"/>
      <c r="GV732" s="3"/>
      <c r="GW732" s="3"/>
      <c r="GX732" s="3">
        <v>0</v>
      </c>
    </row>
    <row r="734" spans="1:206" x14ac:dyDescent="0.2">
      <c r="A734" s="4">
        <v>50</v>
      </c>
      <c r="B734" s="4">
        <v>0</v>
      </c>
      <c r="C734" s="4">
        <v>0</v>
      </c>
      <c r="D734" s="4">
        <v>1</v>
      </c>
      <c r="E734" s="4">
        <v>201</v>
      </c>
      <c r="F734" s="4">
        <f>ROUND(Source!O732,O734)</f>
        <v>1494847.57</v>
      </c>
      <c r="G734" s="4" t="s">
        <v>213</v>
      </c>
      <c r="H734" s="4" t="s">
        <v>214</v>
      </c>
      <c r="I734" s="4"/>
      <c r="J734" s="4"/>
      <c r="K734" s="4">
        <v>201</v>
      </c>
      <c r="L734" s="4">
        <v>1</v>
      </c>
      <c r="M734" s="4">
        <v>3</v>
      </c>
      <c r="N734" s="4" t="s">
        <v>3</v>
      </c>
      <c r="O734" s="4">
        <v>2</v>
      </c>
      <c r="P734" s="4"/>
      <c r="Q734" s="4"/>
      <c r="R734" s="4"/>
      <c r="S734" s="4"/>
      <c r="T734" s="4"/>
      <c r="U734" s="4"/>
      <c r="V734" s="4"/>
      <c r="W734" s="4"/>
    </row>
    <row r="735" spans="1:206" x14ac:dyDescent="0.2">
      <c r="A735" s="4">
        <v>50</v>
      </c>
      <c r="B735" s="4">
        <v>0</v>
      </c>
      <c r="C735" s="4">
        <v>0</v>
      </c>
      <c r="D735" s="4">
        <v>1</v>
      </c>
      <c r="E735" s="4">
        <v>202</v>
      </c>
      <c r="F735" s="4">
        <f>ROUND(Source!P732,O735)</f>
        <v>1369133.18</v>
      </c>
      <c r="G735" s="4" t="s">
        <v>215</v>
      </c>
      <c r="H735" s="4" t="s">
        <v>216</v>
      </c>
      <c r="I735" s="4"/>
      <c r="J735" s="4"/>
      <c r="K735" s="4">
        <v>202</v>
      </c>
      <c r="L735" s="4">
        <v>2</v>
      </c>
      <c r="M735" s="4">
        <v>3</v>
      </c>
      <c r="N735" s="4" t="s">
        <v>3</v>
      </c>
      <c r="O735" s="4">
        <v>2</v>
      </c>
      <c r="P735" s="4"/>
      <c r="Q735" s="4"/>
      <c r="R735" s="4"/>
      <c r="S735" s="4"/>
      <c r="T735" s="4"/>
      <c r="U735" s="4"/>
      <c r="V735" s="4"/>
      <c r="W735" s="4"/>
    </row>
    <row r="736" spans="1:206" x14ac:dyDescent="0.2">
      <c r="A736" s="4">
        <v>50</v>
      </c>
      <c r="B736" s="4">
        <v>0</v>
      </c>
      <c r="C736" s="4">
        <v>0</v>
      </c>
      <c r="D736" s="4">
        <v>1</v>
      </c>
      <c r="E736" s="4">
        <v>222</v>
      </c>
      <c r="F736" s="4">
        <f>ROUND(Source!AO732,O736)</f>
        <v>0</v>
      </c>
      <c r="G736" s="4" t="s">
        <v>217</v>
      </c>
      <c r="H736" s="4" t="s">
        <v>218</v>
      </c>
      <c r="I736" s="4"/>
      <c r="J736" s="4"/>
      <c r="K736" s="4">
        <v>222</v>
      </c>
      <c r="L736" s="4">
        <v>3</v>
      </c>
      <c r="M736" s="4">
        <v>3</v>
      </c>
      <c r="N736" s="4" t="s">
        <v>3</v>
      </c>
      <c r="O736" s="4">
        <v>2</v>
      </c>
      <c r="P736" s="4"/>
      <c r="Q736" s="4"/>
      <c r="R736" s="4"/>
      <c r="S736" s="4"/>
      <c r="T736" s="4"/>
      <c r="U736" s="4"/>
      <c r="V736" s="4"/>
      <c r="W736" s="4"/>
    </row>
    <row r="737" spans="1:23" x14ac:dyDescent="0.2">
      <c r="A737" s="4">
        <v>50</v>
      </c>
      <c r="B737" s="4">
        <v>0</v>
      </c>
      <c r="C737" s="4">
        <v>0</v>
      </c>
      <c r="D737" s="4">
        <v>1</v>
      </c>
      <c r="E737" s="4">
        <v>225</v>
      </c>
      <c r="F737" s="4">
        <f>ROUND(Source!AV732,O737)</f>
        <v>1369133.18</v>
      </c>
      <c r="G737" s="4" t="s">
        <v>219</v>
      </c>
      <c r="H737" s="4" t="s">
        <v>220</v>
      </c>
      <c r="I737" s="4"/>
      <c r="J737" s="4"/>
      <c r="K737" s="4">
        <v>225</v>
      </c>
      <c r="L737" s="4">
        <v>4</v>
      </c>
      <c r="M737" s="4">
        <v>3</v>
      </c>
      <c r="N737" s="4" t="s">
        <v>3</v>
      </c>
      <c r="O737" s="4">
        <v>2</v>
      </c>
      <c r="P737" s="4"/>
      <c r="Q737" s="4"/>
      <c r="R737" s="4"/>
      <c r="S737" s="4"/>
      <c r="T737" s="4"/>
      <c r="U737" s="4"/>
      <c r="V737" s="4"/>
      <c r="W737" s="4"/>
    </row>
    <row r="738" spans="1:23" x14ac:dyDescent="0.2">
      <c r="A738" s="4">
        <v>50</v>
      </c>
      <c r="B738" s="4">
        <v>0</v>
      </c>
      <c r="C738" s="4">
        <v>0</v>
      </c>
      <c r="D738" s="4">
        <v>1</v>
      </c>
      <c r="E738" s="4">
        <v>226</v>
      </c>
      <c r="F738" s="4">
        <f>ROUND(Source!AW732,O738)</f>
        <v>1369133.18</v>
      </c>
      <c r="G738" s="4" t="s">
        <v>221</v>
      </c>
      <c r="H738" s="4" t="s">
        <v>222</v>
      </c>
      <c r="I738" s="4"/>
      <c r="J738" s="4"/>
      <c r="K738" s="4">
        <v>226</v>
      </c>
      <c r="L738" s="4">
        <v>5</v>
      </c>
      <c r="M738" s="4">
        <v>3</v>
      </c>
      <c r="N738" s="4" t="s">
        <v>3</v>
      </c>
      <c r="O738" s="4">
        <v>2</v>
      </c>
      <c r="P738" s="4"/>
      <c r="Q738" s="4"/>
      <c r="R738" s="4"/>
      <c r="S738" s="4"/>
      <c r="T738" s="4"/>
      <c r="U738" s="4"/>
      <c r="V738" s="4"/>
      <c r="W738" s="4"/>
    </row>
    <row r="739" spans="1:23" x14ac:dyDescent="0.2">
      <c r="A739" s="4">
        <v>50</v>
      </c>
      <c r="B739" s="4">
        <v>0</v>
      </c>
      <c r="C739" s="4">
        <v>0</v>
      </c>
      <c r="D739" s="4">
        <v>1</v>
      </c>
      <c r="E739" s="4">
        <v>227</v>
      </c>
      <c r="F739" s="4">
        <f>ROUND(Source!AX732,O739)</f>
        <v>0</v>
      </c>
      <c r="G739" s="4" t="s">
        <v>223</v>
      </c>
      <c r="H739" s="4" t="s">
        <v>224</v>
      </c>
      <c r="I739" s="4"/>
      <c r="J739" s="4"/>
      <c r="K739" s="4">
        <v>227</v>
      </c>
      <c r="L739" s="4">
        <v>6</v>
      </c>
      <c r="M739" s="4">
        <v>3</v>
      </c>
      <c r="N739" s="4" t="s">
        <v>3</v>
      </c>
      <c r="O739" s="4">
        <v>2</v>
      </c>
      <c r="P739" s="4"/>
      <c r="Q739" s="4"/>
      <c r="R739" s="4"/>
      <c r="S739" s="4"/>
      <c r="T739" s="4"/>
      <c r="U739" s="4"/>
      <c r="V739" s="4"/>
      <c r="W739" s="4"/>
    </row>
    <row r="740" spans="1:23" x14ac:dyDescent="0.2">
      <c r="A740" s="4">
        <v>50</v>
      </c>
      <c r="B740" s="4">
        <v>0</v>
      </c>
      <c r="C740" s="4">
        <v>0</v>
      </c>
      <c r="D740" s="4">
        <v>1</v>
      </c>
      <c r="E740" s="4">
        <v>228</v>
      </c>
      <c r="F740" s="4">
        <f>ROUND(Source!AY732,O740)</f>
        <v>1369133.18</v>
      </c>
      <c r="G740" s="4" t="s">
        <v>225</v>
      </c>
      <c r="H740" s="4" t="s">
        <v>226</v>
      </c>
      <c r="I740" s="4"/>
      <c r="J740" s="4"/>
      <c r="K740" s="4">
        <v>228</v>
      </c>
      <c r="L740" s="4">
        <v>7</v>
      </c>
      <c r="M740" s="4">
        <v>3</v>
      </c>
      <c r="N740" s="4" t="s">
        <v>3</v>
      </c>
      <c r="O740" s="4">
        <v>2</v>
      </c>
      <c r="P740" s="4"/>
      <c r="Q740" s="4"/>
      <c r="R740" s="4"/>
      <c r="S740" s="4"/>
      <c r="T740" s="4"/>
      <c r="U740" s="4"/>
      <c r="V740" s="4"/>
      <c r="W740" s="4"/>
    </row>
    <row r="741" spans="1:23" x14ac:dyDescent="0.2">
      <c r="A741" s="4">
        <v>50</v>
      </c>
      <c r="B741" s="4">
        <v>0</v>
      </c>
      <c r="C741" s="4">
        <v>0</v>
      </c>
      <c r="D741" s="4">
        <v>1</v>
      </c>
      <c r="E741" s="4">
        <v>216</v>
      </c>
      <c r="F741" s="4">
        <f>ROUND(Source!AP732,O741)</f>
        <v>0</v>
      </c>
      <c r="G741" s="4" t="s">
        <v>227</v>
      </c>
      <c r="H741" s="4" t="s">
        <v>228</v>
      </c>
      <c r="I741" s="4"/>
      <c r="J741" s="4"/>
      <c r="K741" s="4">
        <v>216</v>
      </c>
      <c r="L741" s="4">
        <v>8</v>
      </c>
      <c r="M741" s="4">
        <v>3</v>
      </c>
      <c r="N741" s="4" t="s">
        <v>3</v>
      </c>
      <c r="O741" s="4">
        <v>2</v>
      </c>
      <c r="P741" s="4"/>
      <c r="Q741" s="4"/>
      <c r="R741" s="4"/>
      <c r="S741" s="4"/>
      <c r="T741" s="4"/>
      <c r="U741" s="4"/>
      <c r="V741" s="4"/>
      <c r="W741" s="4"/>
    </row>
    <row r="742" spans="1:23" x14ac:dyDescent="0.2">
      <c r="A742" s="4">
        <v>50</v>
      </c>
      <c r="B742" s="4">
        <v>0</v>
      </c>
      <c r="C742" s="4">
        <v>0</v>
      </c>
      <c r="D742" s="4">
        <v>1</v>
      </c>
      <c r="E742" s="4">
        <v>223</v>
      </c>
      <c r="F742" s="4">
        <f>ROUND(Source!AQ732,O742)</f>
        <v>0</v>
      </c>
      <c r="G742" s="4" t="s">
        <v>229</v>
      </c>
      <c r="H742" s="4" t="s">
        <v>230</v>
      </c>
      <c r="I742" s="4"/>
      <c r="J742" s="4"/>
      <c r="K742" s="4">
        <v>223</v>
      </c>
      <c r="L742" s="4">
        <v>9</v>
      </c>
      <c r="M742" s="4">
        <v>3</v>
      </c>
      <c r="N742" s="4" t="s">
        <v>3</v>
      </c>
      <c r="O742" s="4">
        <v>2</v>
      </c>
      <c r="P742" s="4"/>
      <c r="Q742" s="4"/>
      <c r="R742" s="4"/>
      <c r="S742" s="4"/>
      <c r="T742" s="4"/>
      <c r="U742" s="4"/>
      <c r="V742" s="4"/>
      <c r="W742" s="4"/>
    </row>
    <row r="743" spans="1:23" x14ac:dyDescent="0.2">
      <c r="A743" s="4">
        <v>50</v>
      </c>
      <c r="B743" s="4">
        <v>0</v>
      </c>
      <c r="C743" s="4">
        <v>0</v>
      </c>
      <c r="D743" s="4">
        <v>1</v>
      </c>
      <c r="E743" s="4">
        <v>229</v>
      </c>
      <c r="F743" s="4">
        <f>ROUND(Source!AZ732,O743)</f>
        <v>0</v>
      </c>
      <c r="G743" s="4" t="s">
        <v>231</v>
      </c>
      <c r="H743" s="4" t="s">
        <v>232</v>
      </c>
      <c r="I743" s="4"/>
      <c r="J743" s="4"/>
      <c r="K743" s="4">
        <v>229</v>
      </c>
      <c r="L743" s="4">
        <v>10</v>
      </c>
      <c r="M743" s="4">
        <v>3</v>
      </c>
      <c r="N743" s="4" t="s">
        <v>3</v>
      </c>
      <c r="O743" s="4">
        <v>2</v>
      </c>
      <c r="P743" s="4"/>
      <c r="Q743" s="4"/>
      <c r="R743" s="4"/>
      <c r="S743" s="4"/>
      <c r="T743" s="4"/>
      <c r="U743" s="4"/>
      <c r="V743" s="4"/>
      <c r="W743" s="4"/>
    </row>
    <row r="744" spans="1:23" x14ac:dyDescent="0.2">
      <c r="A744" s="4">
        <v>50</v>
      </c>
      <c r="B744" s="4">
        <v>0</v>
      </c>
      <c r="C744" s="4">
        <v>0</v>
      </c>
      <c r="D744" s="4">
        <v>1</v>
      </c>
      <c r="E744" s="4">
        <v>203</v>
      </c>
      <c r="F744" s="4">
        <f>ROUND(Source!Q732,O744)</f>
        <v>25160.5</v>
      </c>
      <c r="G744" s="4" t="s">
        <v>233</v>
      </c>
      <c r="H744" s="4" t="s">
        <v>234</v>
      </c>
      <c r="I744" s="4"/>
      <c r="J744" s="4"/>
      <c r="K744" s="4">
        <v>203</v>
      </c>
      <c r="L744" s="4">
        <v>11</v>
      </c>
      <c r="M744" s="4">
        <v>3</v>
      </c>
      <c r="N744" s="4" t="s">
        <v>3</v>
      </c>
      <c r="O744" s="4">
        <v>2</v>
      </c>
      <c r="P744" s="4"/>
      <c r="Q744" s="4"/>
      <c r="R744" s="4"/>
      <c r="S744" s="4"/>
      <c r="T744" s="4"/>
      <c r="U744" s="4"/>
      <c r="V744" s="4"/>
      <c r="W744" s="4"/>
    </row>
    <row r="745" spans="1:23" x14ac:dyDescent="0.2">
      <c r="A745" s="4">
        <v>50</v>
      </c>
      <c r="B745" s="4">
        <v>0</v>
      </c>
      <c r="C745" s="4">
        <v>0</v>
      </c>
      <c r="D745" s="4">
        <v>1</v>
      </c>
      <c r="E745" s="4">
        <v>231</v>
      </c>
      <c r="F745" s="4">
        <f>ROUND(Source!BB732,O745)</f>
        <v>0</v>
      </c>
      <c r="G745" s="4" t="s">
        <v>235</v>
      </c>
      <c r="H745" s="4" t="s">
        <v>236</v>
      </c>
      <c r="I745" s="4"/>
      <c r="J745" s="4"/>
      <c r="K745" s="4">
        <v>231</v>
      </c>
      <c r="L745" s="4">
        <v>12</v>
      </c>
      <c r="M745" s="4">
        <v>3</v>
      </c>
      <c r="N745" s="4" t="s">
        <v>3</v>
      </c>
      <c r="O745" s="4">
        <v>2</v>
      </c>
      <c r="P745" s="4"/>
      <c r="Q745" s="4"/>
      <c r="R745" s="4"/>
      <c r="S745" s="4"/>
      <c r="T745" s="4"/>
      <c r="U745" s="4"/>
      <c r="V745" s="4"/>
      <c r="W745" s="4"/>
    </row>
    <row r="746" spans="1:23" x14ac:dyDescent="0.2">
      <c r="A746" s="4">
        <v>50</v>
      </c>
      <c r="B746" s="4">
        <v>0</v>
      </c>
      <c r="C746" s="4">
        <v>0</v>
      </c>
      <c r="D746" s="4">
        <v>1</v>
      </c>
      <c r="E746" s="4">
        <v>204</v>
      </c>
      <c r="F746" s="4">
        <f>ROUND(Source!R732,O746)</f>
        <v>4891.3500000000004</v>
      </c>
      <c r="G746" s="4" t="s">
        <v>237</v>
      </c>
      <c r="H746" s="4" t="s">
        <v>238</v>
      </c>
      <c r="I746" s="4"/>
      <c r="J746" s="4"/>
      <c r="K746" s="4">
        <v>204</v>
      </c>
      <c r="L746" s="4">
        <v>13</v>
      </c>
      <c r="M746" s="4">
        <v>3</v>
      </c>
      <c r="N746" s="4" t="s">
        <v>3</v>
      </c>
      <c r="O746" s="4">
        <v>2</v>
      </c>
      <c r="P746" s="4"/>
      <c r="Q746" s="4"/>
      <c r="R746" s="4"/>
      <c r="S746" s="4"/>
      <c r="T746" s="4"/>
      <c r="U746" s="4"/>
      <c r="V746" s="4"/>
      <c r="W746" s="4"/>
    </row>
    <row r="747" spans="1:23" x14ac:dyDescent="0.2">
      <c r="A747" s="4">
        <v>50</v>
      </c>
      <c r="B747" s="4">
        <v>0</v>
      </c>
      <c r="C747" s="4">
        <v>0</v>
      </c>
      <c r="D747" s="4">
        <v>1</v>
      </c>
      <c r="E747" s="4">
        <v>205</v>
      </c>
      <c r="F747" s="4">
        <f>ROUND(Source!S732,O747)</f>
        <v>100553.89</v>
      </c>
      <c r="G747" s="4" t="s">
        <v>239</v>
      </c>
      <c r="H747" s="4" t="s">
        <v>240</v>
      </c>
      <c r="I747" s="4"/>
      <c r="J747" s="4"/>
      <c r="K747" s="4">
        <v>205</v>
      </c>
      <c r="L747" s="4">
        <v>14</v>
      </c>
      <c r="M747" s="4">
        <v>3</v>
      </c>
      <c r="N747" s="4" t="s">
        <v>3</v>
      </c>
      <c r="O747" s="4">
        <v>2</v>
      </c>
      <c r="P747" s="4"/>
      <c r="Q747" s="4"/>
      <c r="R747" s="4"/>
      <c r="S747" s="4"/>
      <c r="T747" s="4"/>
      <c r="U747" s="4"/>
      <c r="V747" s="4"/>
      <c r="W747" s="4"/>
    </row>
    <row r="748" spans="1:23" x14ac:dyDescent="0.2">
      <c r="A748" s="4">
        <v>50</v>
      </c>
      <c r="B748" s="4">
        <v>0</v>
      </c>
      <c r="C748" s="4">
        <v>0</v>
      </c>
      <c r="D748" s="4">
        <v>1</v>
      </c>
      <c r="E748" s="4">
        <v>232</v>
      </c>
      <c r="F748" s="4">
        <f>ROUND(Source!BC732,O748)</f>
        <v>0</v>
      </c>
      <c r="G748" s="4" t="s">
        <v>241</v>
      </c>
      <c r="H748" s="4" t="s">
        <v>242</v>
      </c>
      <c r="I748" s="4"/>
      <c r="J748" s="4"/>
      <c r="K748" s="4">
        <v>232</v>
      </c>
      <c r="L748" s="4">
        <v>15</v>
      </c>
      <c r="M748" s="4">
        <v>3</v>
      </c>
      <c r="N748" s="4" t="s">
        <v>3</v>
      </c>
      <c r="O748" s="4">
        <v>2</v>
      </c>
      <c r="P748" s="4"/>
      <c r="Q748" s="4"/>
      <c r="R748" s="4"/>
      <c r="S748" s="4"/>
      <c r="T748" s="4"/>
      <c r="U748" s="4"/>
      <c r="V748" s="4"/>
      <c r="W748" s="4"/>
    </row>
    <row r="749" spans="1:23" x14ac:dyDescent="0.2">
      <c r="A749" s="4">
        <v>50</v>
      </c>
      <c r="B749" s="4">
        <v>0</v>
      </c>
      <c r="C749" s="4">
        <v>0</v>
      </c>
      <c r="D749" s="4">
        <v>1</v>
      </c>
      <c r="E749" s="4">
        <v>214</v>
      </c>
      <c r="F749" s="4">
        <f>ROUND(Source!AS732,O749)</f>
        <v>1627880.51</v>
      </c>
      <c r="G749" s="4" t="s">
        <v>243</v>
      </c>
      <c r="H749" s="4" t="s">
        <v>244</v>
      </c>
      <c r="I749" s="4"/>
      <c r="J749" s="4"/>
      <c r="K749" s="4">
        <v>214</v>
      </c>
      <c r="L749" s="4">
        <v>16</v>
      </c>
      <c r="M749" s="4">
        <v>3</v>
      </c>
      <c r="N749" s="4" t="s">
        <v>3</v>
      </c>
      <c r="O749" s="4">
        <v>2</v>
      </c>
      <c r="P749" s="4"/>
      <c r="Q749" s="4"/>
      <c r="R749" s="4"/>
      <c r="S749" s="4"/>
      <c r="T749" s="4"/>
      <c r="U749" s="4"/>
      <c r="V749" s="4"/>
      <c r="W749" s="4"/>
    </row>
    <row r="750" spans="1:23" x14ac:dyDescent="0.2">
      <c r="A750" s="4">
        <v>50</v>
      </c>
      <c r="B750" s="4">
        <v>0</v>
      </c>
      <c r="C750" s="4">
        <v>0</v>
      </c>
      <c r="D750" s="4">
        <v>1</v>
      </c>
      <c r="E750" s="4">
        <v>215</v>
      </c>
      <c r="F750" s="4">
        <f>ROUND(Source!AT732,O750)</f>
        <v>8147.8</v>
      </c>
      <c r="G750" s="4" t="s">
        <v>245</v>
      </c>
      <c r="H750" s="4" t="s">
        <v>246</v>
      </c>
      <c r="I750" s="4"/>
      <c r="J750" s="4"/>
      <c r="K750" s="4">
        <v>215</v>
      </c>
      <c r="L750" s="4">
        <v>17</v>
      </c>
      <c r="M750" s="4">
        <v>3</v>
      </c>
      <c r="N750" s="4" t="s">
        <v>3</v>
      </c>
      <c r="O750" s="4">
        <v>2</v>
      </c>
      <c r="P750" s="4"/>
      <c r="Q750" s="4"/>
      <c r="R750" s="4"/>
      <c r="S750" s="4"/>
      <c r="T750" s="4"/>
      <c r="U750" s="4"/>
      <c r="V750" s="4"/>
      <c r="W750" s="4"/>
    </row>
    <row r="751" spans="1:23" x14ac:dyDescent="0.2">
      <c r="A751" s="4">
        <v>50</v>
      </c>
      <c r="B751" s="4">
        <v>0</v>
      </c>
      <c r="C751" s="4">
        <v>0</v>
      </c>
      <c r="D751" s="4">
        <v>1</v>
      </c>
      <c r="E751" s="4">
        <v>217</v>
      </c>
      <c r="F751" s="4">
        <f>ROUND(Source!AU732,O751)</f>
        <v>0</v>
      </c>
      <c r="G751" s="4" t="s">
        <v>247</v>
      </c>
      <c r="H751" s="4" t="s">
        <v>248</v>
      </c>
      <c r="I751" s="4"/>
      <c r="J751" s="4"/>
      <c r="K751" s="4">
        <v>217</v>
      </c>
      <c r="L751" s="4">
        <v>18</v>
      </c>
      <c r="M751" s="4">
        <v>3</v>
      </c>
      <c r="N751" s="4" t="s">
        <v>3</v>
      </c>
      <c r="O751" s="4">
        <v>2</v>
      </c>
      <c r="P751" s="4"/>
      <c r="Q751" s="4"/>
      <c r="R751" s="4"/>
      <c r="S751" s="4"/>
      <c r="T751" s="4"/>
      <c r="U751" s="4"/>
      <c r="V751" s="4"/>
      <c r="W751" s="4"/>
    </row>
    <row r="752" spans="1:23" x14ac:dyDescent="0.2">
      <c r="A752" s="4">
        <v>50</v>
      </c>
      <c r="B752" s="4">
        <v>0</v>
      </c>
      <c r="C752" s="4">
        <v>0</v>
      </c>
      <c r="D752" s="4">
        <v>1</v>
      </c>
      <c r="E752" s="4">
        <v>230</v>
      </c>
      <c r="F752" s="4">
        <f>ROUND(Source!BA732,O752)</f>
        <v>0</v>
      </c>
      <c r="G752" s="4" t="s">
        <v>249</v>
      </c>
      <c r="H752" s="4" t="s">
        <v>250</v>
      </c>
      <c r="I752" s="4"/>
      <c r="J752" s="4"/>
      <c r="K752" s="4">
        <v>230</v>
      </c>
      <c r="L752" s="4">
        <v>19</v>
      </c>
      <c r="M752" s="4">
        <v>3</v>
      </c>
      <c r="N752" s="4" t="s">
        <v>3</v>
      </c>
      <c r="O752" s="4">
        <v>2</v>
      </c>
      <c r="P752" s="4"/>
      <c r="Q752" s="4"/>
      <c r="R752" s="4"/>
      <c r="S752" s="4"/>
      <c r="T752" s="4"/>
      <c r="U752" s="4"/>
      <c r="V752" s="4"/>
      <c r="W752" s="4"/>
    </row>
    <row r="753" spans="1:245" x14ac:dyDescent="0.2">
      <c r="A753" s="4">
        <v>50</v>
      </c>
      <c r="B753" s="4">
        <v>0</v>
      </c>
      <c r="C753" s="4">
        <v>0</v>
      </c>
      <c r="D753" s="4">
        <v>1</v>
      </c>
      <c r="E753" s="4">
        <v>206</v>
      </c>
      <c r="F753" s="4">
        <f>ROUND(Source!T732,O753)</f>
        <v>0</v>
      </c>
      <c r="G753" s="4" t="s">
        <v>251</v>
      </c>
      <c r="H753" s="4" t="s">
        <v>252</v>
      </c>
      <c r="I753" s="4"/>
      <c r="J753" s="4"/>
      <c r="K753" s="4">
        <v>206</v>
      </c>
      <c r="L753" s="4">
        <v>20</v>
      </c>
      <c r="M753" s="4">
        <v>3</v>
      </c>
      <c r="N753" s="4" t="s">
        <v>3</v>
      </c>
      <c r="O753" s="4">
        <v>2</v>
      </c>
      <c r="P753" s="4"/>
      <c r="Q753" s="4"/>
      <c r="R753" s="4"/>
      <c r="S753" s="4"/>
      <c r="T753" s="4"/>
      <c r="U753" s="4"/>
      <c r="V753" s="4"/>
      <c r="W753" s="4"/>
    </row>
    <row r="754" spans="1:245" x14ac:dyDescent="0.2">
      <c r="A754" s="4">
        <v>50</v>
      </c>
      <c r="B754" s="4">
        <v>0</v>
      </c>
      <c r="C754" s="4">
        <v>0</v>
      </c>
      <c r="D754" s="4">
        <v>1</v>
      </c>
      <c r="E754" s="4">
        <v>207</v>
      </c>
      <c r="F754" s="4">
        <f>Source!U732</f>
        <v>325.77199999999993</v>
      </c>
      <c r="G754" s="4" t="s">
        <v>253</v>
      </c>
      <c r="H754" s="4" t="s">
        <v>254</v>
      </c>
      <c r="I754" s="4"/>
      <c r="J754" s="4"/>
      <c r="K754" s="4">
        <v>207</v>
      </c>
      <c r="L754" s="4">
        <v>21</v>
      </c>
      <c r="M754" s="4">
        <v>3</v>
      </c>
      <c r="N754" s="4" t="s">
        <v>3</v>
      </c>
      <c r="O754" s="4">
        <v>-1</v>
      </c>
      <c r="P754" s="4"/>
      <c r="Q754" s="4"/>
      <c r="R754" s="4"/>
      <c r="S754" s="4"/>
      <c r="T754" s="4"/>
      <c r="U754" s="4"/>
      <c r="V754" s="4"/>
      <c r="W754" s="4"/>
    </row>
    <row r="755" spans="1:245" x14ac:dyDescent="0.2">
      <c r="A755" s="4">
        <v>50</v>
      </c>
      <c r="B755" s="4">
        <v>0</v>
      </c>
      <c r="C755" s="4">
        <v>0</v>
      </c>
      <c r="D755" s="4">
        <v>1</v>
      </c>
      <c r="E755" s="4">
        <v>208</v>
      </c>
      <c r="F755" s="4">
        <f>Source!V732</f>
        <v>0</v>
      </c>
      <c r="G755" s="4" t="s">
        <v>255</v>
      </c>
      <c r="H755" s="4" t="s">
        <v>256</v>
      </c>
      <c r="I755" s="4"/>
      <c r="J755" s="4"/>
      <c r="K755" s="4">
        <v>208</v>
      </c>
      <c r="L755" s="4">
        <v>22</v>
      </c>
      <c r="M755" s="4">
        <v>3</v>
      </c>
      <c r="N755" s="4" t="s">
        <v>3</v>
      </c>
      <c r="O755" s="4">
        <v>-1</v>
      </c>
      <c r="P755" s="4"/>
      <c r="Q755" s="4"/>
      <c r="R755" s="4"/>
      <c r="S755" s="4"/>
      <c r="T755" s="4"/>
      <c r="U755" s="4"/>
      <c r="V755" s="4"/>
      <c r="W755" s="4"/>
    </row>
    <row r="756" spans="1:245" x14ac:dyDescent="0.2">
      <c r="A756" s="4">
        <v>50</v>
      </c>
      <c r="B756" s="4">
        <v>0</v>
      </c>
      <c r="C756" s="4">
        <v>0</v>
      </c>
      <c r="D756" s="4">
        <v>1</v>
      </c>
      <c r="E756" s="4">
        <v>209</v>
      </c>
      <c r="F756" s="4">
        <f>ROUND(Source!W732,O756)</f>
        <v>0</v>
      </c>
      <c r="G756" s="4" t="s">
        <v>257</v>
      </c>
      <c r="H756" s="4" t="s">
        <v>258</v>
      </c>
      <c r="I756" s="4"/>
      <c r="J756" s="4"/>
      <c r="K756" s="4">
        <v>209</v>
      </c>
      <c r="L756" s="4">
        <v>23</v>
      </c>
      <c r="M756" s="4">
        <v>3</v>
      </c>
      <c r="N756" s="4" t="s">
        <v>3</v>
      </c>
      <c r="O756" s="4">
        <v>2</v>
      </c>
      <c r="P756" s="4"/>
      <c r="Q756" s="4"/>
      <c r="R756" s="4"/>
      <c r="S756" s="4"/>
      <c r="T756" s="4"/>
      <c r="U756" s="4"/>
      <c r="V756" s="4"/>
      <c r="W756" s="4"/>
    </row>
    <row r="757" spans="1:245" x14ac:dyDescent="0.2">
      <c r="A757" s="4">
        <v>50</v>
      </c>
      <c r="B757" s="4">
        <v>0</v>
      </c>
      <c r="C757" s="4">
        <v>0</v>
      </c>
      <c r="D757" s="4">
        <v>1</v>
      </c>
      <c r="E757" s="4">
        <v>233</v>
      </c>
      <c r="F757" s="4">
        <f>ROUND(Source!BD732,O757)</f>
        <v>0</v>
      </c>
      <c r="G757" s="4" t="s">
        <v>259</v>
      </c>
      <c r="H757" s="4" t="s">
        <v>260</v>
      </c>
      <c r="I757" s="4"/>
      <c r="J757" s="4"/>
      <c r="K757" s="4">
        <v>233</v>
      </c>
      <c r="L757" s="4">
        <v>24</v>
      </c>
      <c r="M757" s="4">
        <v>3</v>
      </c>
      <c r="N757" s="4" t="s">
        <v>3</v>
      </c>
      <c r="O757" s="4">
        <v>2</v>
      </c>
      <c r="P757" s="4"/>
      <c r="Q757" s="4"/>
      <c r="R757" s="4"/>
      <c r="S757" s="4"/>
      <c r="T757" s="4"/>
      <c r="U757" s="4"/>
      <c r="V757" s="4"/>
      <c r="W757" s="4"/>
    </row>
    <row r="758" spans="1:245" x14ac:dyDescent="0.2">
      <c r="A758" s="4">
        <v>50</v>
      </c>
      <c r="B758" s="4">
        <v>0</v>
      </c>
      <c r="C758" s="4">
        <v>0</v>
      </c>
      <c r="D758" s="4">
        <v>1</v>
      </c>
      <c r="E758" s="4">
        <v>210</v>
      </c>
      <c r="F758" s="4">
        <f>ROUND(Source!X732,O758)</f>
        <v>92274.22</v>
      </c>
      <c r="G758" s="4" t="s">
        <v>261</v>
      </c>
      <c r="H758" s="4" t="s">
        <v>262</v>
      </c>
      <c r="I758" s="4"/>
      <c r="J758" s="4"/>
      <c r="K758" s="4">
        <v>210</v>
      </c>
      <c r="L758" s="4">
        <v>25</v>
      </c>
      <c r="M758" s="4">
        <v>3</v>
      </c>
      <c r="N758" s="4" t="s">
        <v>3</v>
      </c>
      <c r="O758" s="4">
        <v>2</v>
      </c>
      <c r="P758" s="4"/>
      <c r="Q758" s="4"/>
      <c r="R758" s="4"/>
      <c r="S758" s="4"/>
      <c r="T758" s="4"/>
      <c r="U758" s="4"/>
      <c r="V758" s="4"/>
      <c r="W758" s="4"/>
    </row>
    <row r="759" spans="1:245" x14ac:dyDescent="0.2">
      <c r="A759" s="4">
        <v>50</v>
      </c>
      <c r="B759" s="4">
        <v>0</v>
      </c>
      <c r="C759" s="4">
        <v>0</v>
      </c>
      <c r="D759" s="4">
        <v>1</v>
      </c>
      <c r="E759" s="4">
        <v>211</v>
      </c>
      <c r="F759" s="4">
        <f>ROUND(Source!Y732,O759)</f>
        <v>41227.1</v>
      </c>
      <c r="G759" s="4" t="s">
        <v>263</v>
      </c>
      <c r="H759" s="4" t="s">
        <v>264</v>
      </c>
      <c r="I759" s="4"/>
      <c r="J759" s="4"/>
      <c r="K759" s="4">
        <v>211</v>
      </c>
      <c r="L759" s="4">
        <v>26</v>
      </c>
      <c r="M759" s="4">
        <v>3</v>
      </c>
      <c r="N759" s="4" t="s">
        <v>3</v>
      </c>
      <c r="O759" s="4">
        <v>2</v>
      </c>
      <c r="P759" s="4"/>
      <c r="Q759" s="4"/>
      <c r="R759" s="4"/>
      <c r="S759" s="4"/>
      <c r="T759" s="4"/>
      <c r="U759" s="4"/>
      <c r="V759" s="4"/>
      <c r="W759" s="4"/>
    </row>
    <row r="760" spans="1:245" x14ac:dyDescent="0.2">
      <c r="A760" s="4">
        <v>50</v>
      </c>
      <c r="B760" s="4">
        <v>0</v>
      </c>
      <c r="C760" s="4">
        <v>0</v>
      </c>
      <c r="D760" s="4">
        <v>1</v>
      </c>
      <c r="E760" s="4">
        <v>224</v>
      </c>
      <c r="F760" s="4">
        <f>ROUND(Source!AR732,O760)</f>
        <v>1636028.31</v>
      </c>
      <c r="G760" s="4" t="s">
        <v>265</v>
      </c>
      <c r="H760" s="4" t="s">
        <v>266</v>
      </c>
      <c r="I760" s="4"/>
      <c r="J760" s="4"/>
      <c r="K760" s="4">
        <v>224</v>
      </c>
      <c r="L760" s="4">
        <v>27</v>
      </c>
      <c r="M760" s="4">
        <v>3</v>
      </c>
      <c r="N760" s="4" t="s">
        <v>3</v>
      </c>
      <c r="O760" s="4">
        <v>2</v>
      </c>
      <c r="P760" s="4"/>
      <c r="Q760" s="4"/>
      <c r="R760" s="4"/>
      <c r="S760" s="4"/>
      <c r="T760" s="4"/>
      <c r="U760" s="4"/>
      <c r="V760" s="4"/>
      <c r="W760" s="4"/>
    </row>
    <row r="762" spans="1:245" x14ac:dyDescent="0.2">
      <c r="A762" s="1">
        <v>4</v>
      </c>
      <c r="B762" s="1">
        <v>1</v>
      </c>
      <c r="C762" s="1"/>
      <c r="D762" s="1">
        <f>ROW(A781)</f>
        <v>781</v>
      </c>
      <c r="E762" s="1"/>
      <c r="F762" s="1" t="s">
        <v>13</v>
      </c>
      <c r="G762" s="1" t="s">
        <v>851</v>
      </c>
      <c r="H762" s="1" t="s">
        <v>3</v>
      </c>
      <c r="I762" s="1">
        <v>0</v>
      </c>
      <c r="J762" s="1"/>
      <c r="K762" s="1">
        <v>-1</v>
      </c>
      <c r="L762" s="1"/>
      <c r="M762" s="1" t="s">
        <v>3</v>
      </c>
      <c r="N762" s="1"/>
      <c r="O762" s="1"/>
      <c r="P762" s="1"/>
      <c r="Q762" s="1"/>
      <c r="R762" s="1"/>
      <c r="S762" s="1">
        <v>0</v>
      </c>
      <c r="T762" s="1"/>
      <c r="U762" s="1" t="s">
        <v>3</v>
      </c>
      <c r="V762" s="1">
        <v>0</v>
      </c>
      <c r="W762" s="1"/>
      <c r="X762" s="1"/>
      <c r="Y762" s="1"/>
      <c r="Z762" s="1"/>
      <c r="AA762" s="1"/>
      <c r="AB762" s="1" t="s">
        <v>3</v>
      </c>
      <c r="AC762" s="1" t="s">
        <v>3</v>
      </c>
      <c r="AD762" s="1" t="s">
        <v>3</v>
      </c>
      <c r="AE762" s="1" t="s">
        <v>3</v>
      </c>
      <c r="AF762" s="1" t="s">
        <v>3</v>
      </c>
      <c r="AG762" s="1" t="s">
        <v>3</v>
      </c>
      <c r="AH762" s="1"/>
      <c r="AI762" s="1"/>
      <c r="AJ762" s="1"/>
      <c r="AK762" s="1"/>
      <c r="AL762" s="1"/>
      <c r="AM762" s="1"/>
      <c r="AN762" s="1"/>
      <c r="AO762" s="1"/>
      <c r="AP762" s="1" t="s">
        <v>3</v>
      </c>
      <c r="AQ762" s="1" t="s">
        <v>3</v>
      </c>
      <c r="AR762" s="1" t="s">
        <v>3</v>
      </c>
      <c r="AS762" s="1"/>
      <c r="AT762" s="1"/>
      <c r="AU762" s="1"/>
      <c r="AV762" s="1"/>
      <c r="AW762" s="1"/>
      <c r="AX762" s="1"/>
      <c r="AY762" s="1"/>
      <c r="AZ762" s="1" t="s">
        <v>3</v>
      </c>
      <c r="BA762" s="1"/>
      <c r="BB762" s="1" t="s">
        <v>3</v>
      </c>
      <c r="BC762" s="1" t="s">
        <v>3</v>
      </c>
      <c r="BD762" s="1" t="s">
        <v>3</v>
      </c>
      <c r="BE762" s="1" t="s">
        <v>3</v>
      </c>
      <c r="BF762" s="1" t="s">
        <v>3</v>
      </c>
      <c r="BG762" s="1" t="s">
        <v>3</v>
      </c>
      <c r="BH762" s="1" t="s">
        <v>3</v>
      </c>
      <c r="BI762" s="1" t="s">
        <v>3</v>
      </c>
      <c r="BJ762" s="1" t="s">
        <v>3</v>
      </c>
      <c r="BK762" s="1" t="s">
        <v>3</v>
      </c>
      <c r="BL762" s="1" t="s">
        <v>3</v>
      </c>
      <c r="BM762" s="1" t="s">
        <v>3</v>
      </c>
      <c r="BN762" s="1" t="s">
        <v>3</v>
      </c>
      <c r="BO762" s="1" t="s">
        <v>3</v>
      </c>
      <c r="BP762" s="1" t="s">
        <v>3</v>
      </c>
      <c r="BQ762" s="1"/>
      <c r="BR762" s="1"/>
      <c r="BS762" s="1"/>
      <c r="BT762" s="1"/>
      <c r="BU762" s="1"/>
      <c r="BV762" s="1"/>
      <c r="BW762" s="1"/>
      <c r="BX762" s="1">
        <v>0</v>
      </c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>
        <v>0</v>
      </c>
    </row>
    <row r="764" spans="1:245" x14ac:dyDescent="0.2">
      <c r="A764" s="2">
        <v>52</v>
      </c>
      <c r="B764" s="2">
        <f t="shared" ref="B764:G764" si="652">B781</f>
        <v>1</v>
      </c>
      <c r="C764" s="2">
        <f t="shared" si="652"/>
        <v>4</v>
      </c>
      <c r="D764" s="2">
        <f t="shared" si="652"/>
        <v>762</v>
      </c>
      <c r="E764" s="2">
        <f t="shared" si="652"/>
        <v>0</v>
      </c>
      <c r="F764" s="2" t="str">
        <f t="shared" si="652"/>
        <v>Новый раздел</v>
      </c>
      <c r="G764" s="2" t="str">
        <f t="shared" si="652"/>
        <v>Замена газона (рулонный) 1669 кв.м (корыто глубиной 20 см)</v>
      </c>
      <c r="H764" s="2"/>
      <c r="I764" s="2"/>
      <c r="J764" s="2"/>
      <c r="K764" s="2"/>
      <c r="L764" s="2"/>
      <c r="M764" s="2"/>
      <c r="N764" s="2"/>
      <c r="O764" s="2">
        <f t="shared" ref="O764:AT764" si="653">O781</f>
        <v>1832454.57</v>
      </c>
      <c r="P764" s="2">
        <f t="shared" si="653"/>
        <v>1209975.3600000001</v>
      </c>
      <c r="Q764" s="2">
        <f t="shared" si="653"/>
        <v>102032.27</v>
      </c>
      <c r="R764" s="2">
        <f t="shared" si="653"/>
        <v>773.63</v>
      </c>
      <c r="S764" s="2">
        <f t="shared" si="653"/>
        <v>520446.94</v>
      </c>
      <c r="T764" s="2">
        <f t="shared" si="653"/>
        <v>0</v>
      </c>
      <c r="U764" s="2">
        <f t="shared" si="653"/>
        <v>1921.79717125</v>
      </c>
      <c r="V764" s="2">
        <f t="shared" si="653"/>
        <v>0</v>
      </c>
      <c r="W764" s="2">
        <f t="shared" si="653"/>
        <v>0</v>
      </c>
      <c r="X764" s="2">
        <f t="shared" si="653"/>
        <v>468402.26</v>
      </c>
      <c r="Y764" s="2">
        <f t="shared" si="653"/>
        <v>213383.26</v>
      </c>
      <c r="Z764" s="2">
        <f t="shared" si="653"/>
        <v>0</v>
      </c>
      <c r="AA764" s="2">
        <f t="shared" si="653"/>
        <v>0</v>
      </c>
      <c r="AB764" s="2">
        <f t="shared" si="653"/>
        <v>1832454.57</v>
      </c>
      <c r="AC764" s="2">
        <f t="shared" si="653"/>
        <v>1209975.3600000001</v>
      </c>
      <c r="AD764" s="2">
        <f t="shared" si="653"/>
        <v>102032.27</v>
      </c>
      <c r="AE764" s="2">
        <f t="shared" si="653"/>
        <v>773.63</v>
      </c>
      <c r="AF764" s="2">
        <f t="shared" si="653"/>
        <v>520446.94</v>
      </c>
      <c r="AG764" s="2">
        <f t="shared" si="653"/>
        <v>0</v>
      </c>
      <c r="AH764" s="2">
        <f t="shared" si="653"/>
        <v>1921.79717125</v>
      </c>
      <c r="AI764" s="2">
        <f t="shared" si="653"/>
        <v>0</v>
      </c>
      <c r="AJ764" s="2">
        <f t="shared" si="653"/>
        <v>0</v>
      </c>
      <c r="AK764" s="2">
        <f t="shared" si="653"/>
        <v>468402.26</v>
      </c>
      <c r="AL764" s="2">
        <f t="shared" si="653"/>
        <v>213383.26</v>
      </c>
      <c r="AM764" s="2">
        <f t="shared" si="653"/>
        <v>0</v>
      </c>
      <c r="AN764" s="2">
        <f t="shared" si="653"/>
        <v>0</v>
      </c>
      <c r="AO764" s="2">
        <f t="shared" si="653"/>
        <v>0</v>
      </c>
      <c r="AP764" s="2">
        <f t="shared" si="653"/>
        <v>0</v>
      </c>
      <c r="AQ764" s="2">
        <f t="shared" si="653"/>
        <v>0</v>
      </c>
      <c r="AR764" s="2">
        <f t="shared" si="653"/>
        <v>2515454.69</v>
      </c>
      <c r="AS764" s="2">
        <f t="shared" si="653"/>
        <v>2415696.81</v>
      </c>
      <c r="AT764" s="2">
        <f t="shared" si="653"/>
        <v>0</v>
      </c>
      <c r="AU764" s="2">
        <f t="shared" ref="AU764:BZ764" si="654">AU781</f>
        <v>99757.88</v>
      </c>
      <c r="AV764" s="2">
        <f t="shared" si="654"/>
        <v>1209975.3600000001</v>
      </c>
      <c r="AW764" s="2">
        <f t="shared" si="654"/>
        <v>1209975.3600000001</v>
      </c>
      <c r="AX764" s="2">
        <f t="shared" si="654"/>
        <v>0</v>
      </c>
      <c r="AY764" s="2">
        <f t="shared" si="654"/>
        <v>1209975.3600000001</v>
      </c>
      <c r="AZ764" s="2">
        <f t="shared" si="654"/>
        <v>0</v>
      </c>
      <c r="BA764" s="2">
        <f t="shared" si="654"/>
        <v>0</v>
      </c>
      <c r="BB764" s="2">
        <f t="shared" si="654"/>
        <v>0</v>
      </c>
      <c r="BC764" s="2">
        <f t="shared" si="654"/>
        <v>0</v>
      </c>
      <c r="BD764" s="2">
        <f t="shared" si="654"/>
        <v>0</v>
      </c>
      <c r="BE764" s="2">
        <f t="shared" si="654"/>
        <v>0</v>
      </c>
      <c r="BF764" s="2">
        <f t="shared" si="654"/>
        <v>0</v>
      </c>
      <c r="BG764" s="2">
        <f t="shared" si="654"/>
        <v>0</v>
      </c>
      <c r="BH764" s="2">
        <f t="shared" si="654"/>
        <v>0</v>
      </c>
      <c r="BI764" s="2">
        <f t="shared" si="654"/>
        <v>0</v>
      </c>
      <c r="BJ764" s="2">
        <f t="shared" si="654"/>
        <v>0</v>
      </c>
      <c r="BK764" s="2">
        <f t="shared" si="654"/>
        <v>0</v>
      </c>
      <c r="BL764" s="2">
        <f t="shared" si="654"/>
        <v>0</v>
      </c>
      <c r="BM764" s="2">
        <f t="shared" si="654"/>
        <v>0</v>
      </c>
      <c r="BN764" s="2">
        <f t="shared" si="654"/>
        <v>0</v>
      </c>
      <c r="BO764" s="2">
        <f t="shared" si="654"/>
        <v>0</v>
      </c>
      <c r="BP764" s="2">
        <f t="shared" si="654"/>
        <v>0</v>
      </c>
      <c r="BQ764" s="2">
        <f t="shared" si="654"/>
        <v>0</v>
      </c>
      <c r="BR764" s="2">
        <f t="shared" si="654"/>
        <v>0</v>
      </c>
      <c r="BS764" s="2">
        <f t="shared" si="654"/>
        <v>0</v>
      </c>
      <c r="BT764" s="2">
        <f t="shared" si="654"/>
        <v>0</v>
      </c>
      <c r="BU764" s="2">
        <f t="shared" si="654"/>
        <v>0</v>
      </c>
      <c r="BV764" s="2">
        <f t="shared" si="654"/>
        <v>0</v>
      </c>
      <c r="BW764" s="2">
        <f t="shared" si="654"/>
        <v>0</v>
      </c>
      <c r="BX764" s="2">
        <f t="shared" si="654"/>
        <v>0</v>
      </c>
      <c r="BY764" s="2">
        <f t="shared" si="654"/>
        <v>0</v>
      </c>
      <c r="BZ764" s="2">
        <f t="shared" si="654"/>
        <v>0</v>
      </c>
      <c r="CA764" s="2">
        <f t="shared" ref="CA764:DF764" si="655">CA781</f>
        <v>2515454.69</v>
      </c>
      <c r="CB764" s="2">
        <f t="shared" si="655"/>
        <v>2415696.81</v>
      </c>
      <c r="CC764" s="2">
        <f t="shared" si="655"/>
        <v>0</v>
      </c>
      <c r="CD764" s="2">
        <f t="shared" si="655"/>
        <v>99757.88</v>
      </c>
      <c r="CE764" s="2">
        <f t="shared" si="655"/>
        <v>1209975.3600000001</v>
      </c>
      <c r="CF764" s="2">
        <f t="shared" si="655"/>
        <v>1209975.3600000001</v>
      </c>
      <c r="CG764" s="2">
        <f t="shared" si="655"/>
        <v>0</v>
      </c>
      <c r="CH764" s="2">
        <f t="shared" si="655"/>
        <v>1209975.3600000001</v>
      </c>
      <c r="CI764" s="2">
        <f t="shared" si="655"/>
        <v>0</v>
      </c>
      <c r="CJ764" s="2">
        <f t="shared" si="655"/>
        <v>0</v>
      </c>
      <c r="CK764" s="2">
        <f t="shared" si="655"/>
        <v>0</v>
      </c>
      <c r="CL764" s="2">
        <f t="shared" si="655"/>
        <v>0</v>
      </c>
      <c r="CM764" s="2">
        <f t="shared" si="655"/>
        <v>0</v>
      </c>
      <c r="CN764" s="2">
        <f t="shared" si="655"/>
        <v>0</v>
      </c>
      <c r="CO764" s="2">
        <f t="shared" si="655"/>
        <v>0</v>
      </c>
      <c r="CP764" s="2">
        <f t="shared" si="655"/>
        <v>0</v>
      </c>
      <c r="CQ764" s="2">
        <f t="shared" si="655"/>
        <v>0</v>
      </c>
      <c r="CR764" s="2">
        <f t="shared" si="655"/>
        <v>0</v>
      </c>
      <c r="CS764" s="2">
        <f t="shared" si="655"/>
        <v>0</v>
      </c>
      <c r="CT764" s="2">
        <f t="shared" si="655"/>
        <v>0</v>
      </c>
      <c r="CU764" s="2">
        <f t="shared" si="655"/>
        <v>0</v>
      </c>
      <c r="CV764" s="2">
        <f t="shared" si="655"/>
        <v>0</v>
      </c>
      <c r="CW764" s="2">
        <f t="shared" si="655"/>
        <v>0</v>
      </c>
      <c r="CX764" s="2">
        <f t="shared" si="655"/>
        <v>0</v>
      </c>
      <c r="CY764" s="2">
        <f t="shared" si="655"/>
        <v>0</v>
      </c>
      <c r="CZ764" s="2">
        <f t="shared" si="655"/>
        <v>0</v>
      </c>
      <c r="DA764" s="2">
        <f t="shared" si="655"/>
        <v>0</v>
      </c>
      <c r="DB764" s="2">
        <f t="shared" si="655"/>
        <v>0</v>
      </c>
      <c r="DC764" s="2">
        <f t="shared" si="655"/>
        <v>0</v>
      </c>
      <c r="DD764" s="2">
        <f t="shared" si="655"/>
        <v>0</v>
      </c>
      <c r="DE764" s="2">
        <f t="shared" si="655"/>
        <v>0</v>
      </c>
      <c r="DF764" s="2">
        <f t="shared" si="655"/>
        <v>0</v>
      </c>
      <c r="DG764" s="3">
        <f t="shared" ref="DG764:EL764" si="656">DG781</f>
        <v>0</v>
      </c>
      <c r="DH764" s="3">
        <f t="shared" si="656"/>
        <v>0</v>
      </c>
      <c r="DI764" s="3">
        <f t="shared" si="656"/>
        <v>0</v>
      </c>
      <c r="DJ764" s="3">
        <f t="shared" si="656"/>
        <v>0</v>
      </c>
      <c r="DK764" s="3">
        <f t="shared" si="656"/>
        <v>0</v>
      </c>
      <c r="DL764" s="3">
        <f t="shared" si="656"/>
        <v>0</v>
      </c>
      <c r="DM764" s="3">
        <f t="shared" si="656"/>
        <v>0</v>
      </c>
      <c r="DN764" s="3">
        <f t="shared" si="656"/>
        <v>0</v>
      </c>
      <c r="DO764" s="3">
        <f t="shared" si="656"/>
        <v>0</v>
      </c>
      <c r="DP764" s="3">
        <f t="shared" si="656"/>
        <v>0</v>
      </c>
      <c r="DQ764" s="3">
        <f t="shared" si="656"/>
        <v>0</v>
      </c>
      <c r="DR764" s="3">
        <f t="shared" si="656"/>
        <v>0</v>
      </c>
      <c r="DS764" s="3">
        <f t="shared" si="656"/>
        <v>0</v>
      </c>
      <c r="DT764" s="3">
        <f t="shared" si="656"/>
        <v>0</v>
      </c>
      <c r="DU764" s="3">
        <f t="shared" si="656"/>
        <v>0</v>
      </c>
      <c r="DV764" s="3">
        <f t="shared" si="656"/>
        <v>0</v>
      </c>
      <c r="DW764" s="3">
        <f t="shared" si="656"/>
        <v>0</v>
      </c>
      <c r="DX764" s="3">
        <f t="shared" si="656"/>
        <v>0</v>
      </c>
      <c r="DY764" s="3">
        <f t="shared" si="656"/>
        <v>0</v>
      </c>
      <c r="DZ764" s="3">
        <f t="shared" si="656"/>
        <v>0</v>
      </c>
      <c r="EA764" s="3">
        <f t="shared" si="656"/>
        <v>0</v>
      </c>
      <c r="EB764" s="3">
        <f t="shared" si="656"/>
        <v>0</v>
      </c>
      <c r="EC764" s="3">
        <f t="shared" si="656"/>
        <v>0</v>
      </c>
      <c r="ED764" s="3">
        <f t="shared" si="656"/>
        <v>0</v>
      </c>
      <c r="EE764" s="3">
        <f t="shared" si="656"/>
        <v>0</v>
      </c>
      <c r="EF764" s="3">
        <f t="shared" si="656"/>
        <v>0</v>
      </c>
      <c r="EG764" s="3">
        <f t="shared" si="656"/>
        <v>0</v>
      </c>
      <c r="EH764" s="3">
        <f t="shared" si="656"/>
        <v>0</v>
      </c>
      <c r="EI764" s="3">
        <f t="shared" si="656"/>
        <v>0</v>
      </c>
      <c r="EJ764" s="3">
        <f t="shared" si="656"/>
        <v>0</v>
      </c>
      <c r="EK764" s="3">
        <f t="shared" si="656"/>
        <v>0</v>
      </c>
      <c r="EL764" s="3">
        <f t="shared" si="656"/>
        <v>0</v>
      </c>
      <c r="EM764" s="3">
        <f t="shared" ref="EM764:FR764" si="657">EM781</f>
        <v>0</v>
      </c>
      <c r="EN764" s="3">
        <f t="shared" si="657"/>
        <v>0</v>
      </c>
      <c r="EO764" s="3">
        <f t="shared" si="657"/>
        <v>0</v>
      </c>
      <c r="EP764" s="3">
        <f t="shared" si="657"/>
        <v>0</v>
      </c>
      <c r="EQ764" s="3">
        <f t="shared" si="657"/>
        <v>0</v>
      </c>
      <c r="ER764" s="3">
        <f t="shared" si="657"/>
        <v>0</v>
      </c>
      <c r="ES764" s="3">
        <f t="shared" si="657"/>
        <v>0</v>
      </c>
      <c r="ET764" s="3">
        <f t="shared" si="657"/>
        <v>0</v>
      </c>
      <c r="EU764" s="3">
        <f t="shared" si="657"/>
        <v>0</v>
      </c>
      <c r="EV764" s="3">
        <f t="shared" si="657"/>
        <v>0</v>
      </c>
      <c r="EW764" s="3">
        <f t="shared" si="657"/>
        <v>0</v>
      </c>
      <c r="EX764" s="3">
        <f t="shared" si="657"/>
        <v>0</v>
      </c>
      <c r="EY764" s="3">
        <f t="shared" si="657"/>
        <v>0</v>
      </c>
      <c r="EZ764" s="3">
        <f t="shared" si="657"/>
        <v>0</v>
      </c>
      <c r="FA764" s="3">
        <f t="shared" si="657"/>
        <v>0</v>
      </c>
      <c r="FB764" s="3">
        <f t="shared" si="657"/>
        <v>0</v>
      </c>
      <c r="FC764" s="3">
        <f t="shared" si="657"/>
        <v>0</v>
      </c>
      <c r="FD764" s="3">
        <f t="shared" si="657"/>
        <v>0</v>
      </c>
      <c r="FE764" s="3">
        <f t="shared" si="657"/>
        <v>0</v>
      </c>
      <c r="FF764" s="3">
        <f t="shared" si="657"/>
        <v>0</v>
      </c>
      <c r="FG764" s="3">
        <f t="shared" si="657"/>
        <v>0</v>
      </c>
      <c r="FH764" s="3">
        <f t="shared" si="657"/>
        <v>0</v>
      </c>
      <c r="FI764" s="3">
        <f t="shared" si="657"/>
        <v>0</v>
      </c>
      <c r="FJ764" s="3">
        <f t="shared" si="657"/>
        <v>0</v>
      </c>
      <c r="FK764" s="3">
        <f t="shared" si="657"/>
        <v>0</v>
      </c>
      <c r="FL764" s="3">
        <f t="shared" si="657"/>
        <v>0</v>
      </c>
      <c r="FM764" s="3">
        <f t="shared" si="657"/>
        <v>0</v>
      </c>
      <c r="FN764" s="3">
        <f t="shared" si="657"/>
        <v>0</v>
      </c>
      <c r="FO764" s="3">
        <f t="shared" si="657"/>
        <v>0</v>
      </c>
      <c r="FP764" s="3">
        <f t="shared" si="657"/>
        <v>0</v>
      </c>
      <c r="FQ764" s="3">
        <f t="shared" si="657"/>
        <v>0</v>
      </c>
      <c r="FR764" s="3">
        <f t="shared" si="657"/>
        <v>0</v>
      </c>
      <c r="FS764" s="3">
        <f t="shared" ref="FS764:GX764" si="658">FS781</f>
        <v>0</v>
      </c>
      <c r="FT764" s="3">
        <f t="shared" si="658"/>
        <v>0</v>
      </c>
      <c r="FU764" s="3">
        <f t="shared" si="658"/>
        <v>0</v>
      </c>
      <c r="FV764" s="3">
        <f t="shared" si="658"/>
        <v>0</v>
      </c>
      <c r="FW764" s="3">
        <f t="shared" si="658"/>
        <v>0</v>
      </c>
      <c r="FX764" s="3">
        <f t="shared" si="658"/>
        <v>0</v>
      </c>
      <c r="FY764" s="3">
        <f t="shared" si="658"/>
        <v>0</v>
      </c>
      <c r="FZ764" s="3">
        <f t="shared" si="658"/>
        <v>0</v>
      </c>
      <c r="GA764" s="3">
        <f t="shared" si="658"/>
        <v>0</v>
      </c>
      <c r="GB764" s="3">
        <f t="shared" si="658"/>
        <v>0</v>
      </c>
      <c r="GC764" s="3">
        <f t="shared" si="658"/>
        <v>0</v>
      </c>
      <c r="GD764" s="3">
        <f t="shared" si="658"/>
        <v>0</v>
      </c>
      <c r="GE764" s="3">
        <f t="shared" si="658"/>
        <v>0</v>
      </c>
      <c r="GF764" s="3">
        <f t="shared" si="658"/>
        <v>0</v>
      </c>
      <c r="GG764" s="3">
        <f t="shared" si="658"/>
        <v>0</v>
      </c>
      <c r="GH764" s="3">
        <f t="shared" si="658"/>
        <v>0</v>
      </c>
      <c r="GI764" s="3">
        <f t="shared" si="658"/>
        <v>0</v>
      </c>
      <c r="GJ764" s="3">
        <f t="shared" si="658"/>
        <v>0</v>
      </c>
      <c r="GK764" s="3">
        <f t="shared" si="658"/>
        <v>0</v>
      </c>
      <c r="GL764" s="3">
        <f t="shared" si="658"/>
        <v>0</v>
      </c>
      <c r="GM764" s="3">
        <f t="shared" si="658"/>
        <v>0</v>
      </c>
      <c r="GN764" s="3">
        <f t="shared" si="658"/>
        <v>0</v>
      </c>
      <c r="GO764" s="3">
        <f t="shared" si="658"/>
        <v>0</v>
      </c>
      <c r="GP764" s="3">
        <f t="shared" si="658"/>
        <v>0</v>
      </c>
      <c r="GQ764" s="3">
        <f t="shared" si="658"/>
        <v>0</v>
      </c>
      <c r="GR764" s="3">
        <f t="shared" si="658"/>
        <v>0</v>
      </c>
      <c r="GS764" s="3">
        <f t="shared" si="658"/>
        <v>0</v>
      </c>
      <c r="GT764" s="3">
        <f t="shared" si="658"/>
        <v>0</v>
      </c>
      <c r="GU764" s="3">
        <f t="shared" si="658"/>
        <v>0</v>
      </c>
      <c r="GV764" s="3">
        <f t="shared" si="658"/>
        <v>0</v>
      </c>
      <c r="GW764" s="3">
        <f t="shared" si="658"/>
        <v>0</v>
      </c>
      <c r="GX764" s="3">
        <f t="shared" si="658"/>
        <v>0</v>
      </c>
    </row>
    <row r="766" spans="1:245" x14ac:dyDescent="0.2">
      <c r="A766">
        <v>17</v>
      </c>
      <c r="B766">
        <v>1</v>
      </c>
      <c r="C766">
        <f>ROW(SmtRes!A411)</f>
        <v>411</v>
      </c>
      <c r="D766">
        <f>ROW(EtalonRes!A404)</f>
        <v>404</v>
      </c>
      <c r="E766" t="s">
        <v>852</v>
      </c>
      <c r="F766" t="s">
        <v>16</v>
      </c>
      <c r="G766" t="s">
        <v>17</v>
      </c>
      <c r="H766" t="s">
        <v>18</v>
      </c>
      <c r="I766">
        <f>ROUND(1669/100,9)</f>
        <v>16.690000000000001</v>
      </c>
      <c r="J766">
        <v>0</v>
      </c>
      <c r="K766">
        <f>ROUND(1669/100,9)</f>
        <v>16.690000000000001</v>
      </c>
      <c r="O766">
        <f t="shared" ref="O766:O779" si="659">ROUND(CP766,2)</f>
        <v>10501.63</v>
      </c>
      <c r="P766">
        <f t="shared" ref="P766:P779" si="660">ROUND((ROUND((AC766*AW766*I766),2)*BC766),2)</f>
        <v>0</v>
      </c>
      <c r="Q766">
        <f>(ROUND((ROUND((((ET766*1.25))*AV766*I766),2)*BB766),2)+ROUND((ROUND(((AE766-((EU766*1.25)))*AV766*I766),2)*BS766),2))</f>
        <v>0</v>
      </c>
      <c r="R766">
        <f t="shared" ref="R766:R779" si="661">ROUND((ROUND((AE766*AV766*I766),2)*BS766),2)</f>
        <v>0</v>
      </c>
      <c r="S766">
        <f t="shared" ref="S766:S779" si="662">ROUND((ROUND((AF766*AV766*I766),2)*BA766),2)</f>
        <v>10501.63</v>
      </c>
      <c r="T766">
        <f t="shared" ref="T766:T779" si="663">ROUND(CU766*I766,2)</f>
        <v>0</v>
      </c>
      <c r="U766">
        <f t="shared" ref="U766:U779" si="664">CV766*I766</f>
        <v>35.555958750000002</v>
      </c>
      <c r="V766">
        <f t="shared" ref="V766:V779" si="665">CW766*I766</f>
        <v>0</v>
      </c>
      <c r="W766">
        <f t="shared" ref="W766:W779" si="666">ROUND(CX766*I766,2)</f>
        <v>0</v>
      </c>
      <c r="X766">
        <f t="shared" ref="X766:X779" si="667">ROUND(CY766,2)</f>
        <v>9451.4699999999993</v>
      </c>
      <c r="Y766">
        <f t="shared" ref="Y766:Y779" si="668">ROUND(CZ766,2)</f>
        <v>4305.67</v>
      </c>
      <c r="AA766">
        <v>42938047</v>
      </c>
      <c r="AB766">
        <f t="shared" ref="AB766:AB779" si="669">ROUND((AC766+AD766+AF766),6)</f>
        <v>24.733625</v>
      </c>
      <c r="AC766">
        <f t="shared" ref="AC766:AC779" si="670">ROUND((ES766),6)</f>
        <v>0</v>
      </c>
      <c r="AD766">
        <f>ROUND(((((ET766*1.25))-((EU766*1.25)))+AE766),6)</f>
        <v>0</v>
      </c>
      <c r="AE766">
        <f>ROUND(((EU766*1.25)),6)</f>
        <v>0</v>
      </c>
      <c r="AF766">
        <f>ROUND((((EV766*0.25)*1.15)),6)</f>
        <v>24.733625</v>
      </c>
      <c r="AG766">
        <f t="shared" ref="AG766:AG779" si="671">ROUND((AP766),6)</f>
        <v>0</v>
      </c>
      <c r="AH766">
        <f>(((EW766*0.25)*1.15))</f>
        <v>2.1303749999999999</v>
      </c>
      <c r="AI766">
        <f>((EX766*1.25))</f>
        <v>0</v>
      </c>
      <c r="AJ766">
        <f t="shared" ref="AJ766:AJ779" si="672">(AS766)</f>
        <v>0</v>
      </c>
      <c r="AK766">
        <v>86.03</v>
      </c>
      <c r="AL766">
        <v>0</v>
      </c>
      <c r="AM766">
        <v>0</v>
      </c>
      <c r="AN766">
        <v>0</v>
      </c>
      <c r="AO766">
        <v>86.03</v>
      </c>
      <c r="AP766">
        <v>0</v>
      </c>
      <c r="AQ766">
        <v>7.41</v>
      </c>
      <c r="AR766">
        <v>0</v>
      </c>
      <c r="AS766">
        <v>0</v>
      </c>
      <c r="AT766">
        <v>90</v>
      </c>
      <c r="AU766">
        <v>41</v>
      </c>
      <c r="AV766">
        <v>1</v>
      </c>
      <c r="AW766">
        <v>1</v>
      </c>
      <c r="AZ766">
        <v>1</v>
      </c>
      <c r="BA766">
        <v>25.44</v>
      </c>
      <c r="BB766">
        <v>1</v>
      </c>
      <c r="BC766">
        <v>1</v>
      </c>
      <c r="BD766" t="s">
        <v>3</v>
      </c>
      <c r="BE766" t="s">
        <v>3</v>
      </c>
      <c r="BF766" t="s">
        <v>3</v>
      </c>
      <c r="BG766" t="s">
        <v>3</v>
      </c>
      <c r="BH766">
        <v>0</v>
      </c>
      <c r="BI766">
        <v>1</v>
      </c>
      <c r="BJ766" t="s">
        <v>19</v>
      </c>
      <c r="BM766">
        <v>292</v>
      </c>
      <c r="BN766">
        <v>0</v>
      </c>
      <c r="BO766" t="s">
        <v>16</v>
      </c>
      <c r="BP766">
        <v>1</v>
      </c>
      <c r="BQ766">
        <v>30</v>
      </c>
      <c r="BR766">
        <v>0</v>
      </c>
      <c r="BS766">
        <v>25.44</v>
      </c>
      <c r="BT766">
        <v>1</v>
      </c>
      <c r="BU766">
        <v>1</v>
      </c>
      <c r="BV766">
        <v>1</v>
      </c>
      <c r="BW766">
        <v>1</v>
      </c>
      <c r="BX766">
        <v>1</v>
      </c>
      <c r="BY766" t="s">
        <v>3</v>
      </c>
      <c r="BZ766">
        <v>90</v>
      </c>
      <c r="CA766">
        <v>41</v>
      </c>
      <c r="CB766" t="s">
        <v>3</v>
      </c>
      <c r="CE766">
        <v>30</v>
      </c>
      <c r="CF766">
        <v>0</v>
      </c>
      <c r="CG766">
        <v>0</v>
      </c>
      <c r="CM766">
        <v>0</v>
      </c>
      <c r="CN766" t="s">
        <v>1584</v>
      </c>
      <c r="CO766">
        <v>0</v>
      </c>
      <c r="CP766">
        <f t="shared" ref="CP766:CP779" si="673">(P766+Q766+S766)</f>
        <v>10501.63</v>
      </c>
      <c r="CQ766">
        <f t="shared" ref="CQ766:CQ779" si="674">ROUND((ROUND((AC766*AW766*1),2)*BC766),2)</f>
        <v>0</v>
      </c>
      <c r="CR766">
        <f>(ROUND((ROUND((((ET766*1.25))*AV766*1),2)*BB766),2)+ROUND((ROUND(((AE766-((EU766*1.25)))*AV766*1),2)*BS766),2))</f>
        <v>0</v>
      </c>
      <c r="CS766">
        <f t="shared" ref="CS766:CS779" si="675">ROUND((ROUND((AE766*AV766*1),2)*BS766),2)</f>
        <v>0</v>
      </c>
      <c r="CT766">
        <f t="shared" ref="CT766:CT779" si="676">ROUND((ROUND((AF766*AV766*1),2)*BA766),2)</f>
        <v>629.13</v>
      </c>
      <c r="CU766">
        <f t="shared" ref="CU766:CU779" si="677">AG766</f>
        <v>0</v>
      </c>
      <c r="CV766">
        <f t="shared" ref="CV766:CV779" si="678">(AH766*AV766)</f>
        <v>2.1303749999999999</v>
      </c>
      <c r="CW766">
        <f t="shared" ref="CW766:CW779" si="679">AI766</f>
        <v>0</v>
      </c>
      <c r="CX766">
        <f t="shared" ref="CX766:CX779" si="680">AJ766</f>
        <v>0</v>
      </c>
      <c r="CY766">
        <f t="shared" ref="CY766:CY779" si="681">S766*(BZ766/100)</f>
        <v>9451.4669999999987</v>
      </c>
      <c r="CZ766">
        <f t="shared" ref="CZ766:CZ779" si="682">S766*(CA766/100)</f>
        <v>4305.6682999999994</v>
      </c>
      <c r="DC766" t="s">
        <v>3</v>
      </c>
      <c r="DD766" t="s">
        <v>3</v>
      </c>
      <c r="DE766" t="s">
        <v>20</v>
      </c>
      <c r="DF766" t="s">
        <v>20</v>
      </c>
      <c r="DG766" t="s">
        <v>65</v>
      </c>
      <c r="DH766" t="s">
        <v>3</v>
      </c>
      <c r="DI766" t="s">
        <v>65</v>
      </c>
      <c r="DJ766" t="s">
        <v>20</v>
      </c>
      <c r="DK766" t="s">
        <v>3</v>
      </c>
      <c r="DL766" t="s">
        <v>3</v>
      </c>
      <c r="DM766" t="s">
        <v>3</v>
      </c>
      <c r="DN766">
        <v>156</v>
      </c>
      <c r="DO766">
        <v>84</v>
      </c>
      <c r="DP766">
        <v>1</v>
      </c>
      <c r="DQ766">
        <v>1</v>
      </c>
      <c r="DU766">
        <v>1005</v>
      </c>
      <c r="DV766" t="s">
        <v>18</v>
      </c>
      <c r="DW766" t="s">
        <v>18</v>
      </c>
      <c r="DX766">
        <v>100</v>
      </c>
      <c r="DZ766" t="s">
        <v>3</v>
      </c>
      <c r="EA766" t="s">
        <v>3</v>
      </c>
      <c r="EB766" t="s">
        <v>3</v>
      </c>
      <c r="EC766" t="s">
        <v>3</v>
      </c>
      <c r="EE766">
        <v>43088370</v>
      </c>
      <c r="EF766">
        <v>30</v>
      </c>
      <c r="EG766" t="s">
        <v>22</v>
      </c>
      <c r="EH766">
        <v>0</v>
      </c>
      <c r="EI766" t="s">
        <v>3</v>
      </c>
      <c r="EJ766">
        <v>1</v>
      </c>
      <c r="EK766">
        <v>292</v>
      </c>
      <c r="EL766" t="s">
        <v>23</v>
      </c>
      <c r="EM766" t="s">
        <v>24</v>
      </c>
      <c r="EO766" t="s">
        <v>59</v>
      </c>
      <c r="EQ766">
        <v>0</v>
      </c>
      <c r="ER766">
        <v>86.03</v>
      </c>
      <c r="ES766">
        <v>0</v>
      </c>
      <c r="ET766">
        <v>0</v>
      </c>
      <c r="EU766">
        <v>0</v>
      </c>
      <c r="EV766">
        <v>86.03</v>
      </c>
      <c r="EW766">
        <v>7.41</v>
      </c>
      <c r="EX766">
        <v>0</v>
      </c>
      <c r="EY766">
        <v>0</v>
      </c>
      <c r="FQ766">
        <v>0</v>
      </c>
      <c r="FR766">
        <f t="shared" ref="FR766:FR779" si="683">ROUND(IF(AND(BH766=3,BI766=3),P766,0),2)</f>
        <v>0</v>
      </c>
      <c r="FS766">
        <v>0</v>
      </c>
      <c r="FX766">
        <v>156</v>
      </c>
      <c r="FY766">
        <v>84</v>
      </c>
      <c r="GA766" t="s">
        <v>3</v>
      </c>
      <c r="GD766">
        <v>0</v>
      </c>
      <c r="GF766">
        <v>-1775387576</v>
      </c>
      <c r="GG766">
        <v>2</v>
      </c>
      <c r="GH766">
        <v>1</v>
      </c>
      <c r="GI766">
        <v>2</v>
      </c>
      <c r="GJ766">
        <v>0</v>
      </c>
      <c r="GK766">
        <f>ROUND(R766*(R12)/100,2)</f>
        <v>0</v>
      </c>
      <c r="GL766">
        <f t="shared" ref="GL766:GL779" si="684">ROUND(IF(AND(BH766=3,BI766=3,FS766&lt;&gt;0),P766,0),2)</f>
        <v>0</v>
      </c>
      <c r="GM766">
        <f t="shared" ref="GM766:GM779" si="685">ROUND(O766+X766+Y766+GK766,2)+GX766</f>
        <v>24258.77</v>
      </c>
      <c r="GN766">
        <f t="shared" ref="GN766:GN779" si="686">IF(OR(BI766=0,BI766=1),ROUND(O766+X766+Y766+GK766,2),0)</f>
        <v>24258.77</v>
      </c>
      <c r="GO766">
        <f t="shared" ref="GO766:GO779" si="687">IF(BI766=2,ROUND(O766+X766+Y766+GK766,2),0)</f>
        <v>0</v>
      </c>
      <c r="GP766">
        <f t="shared" ref="GP766:GP779" si="688">IF(BI766=4,ROUND(O766+X766+Y766+GK766,2)+GX766,0)</f>
        <v>0</v>
      </c>
      <c r="GR766">
        <v>0</v>
      </c>
      <c r="GS766">
        <v>3</v>
      </c>
      <c r="GT766">
        <v>0</v>
      </c>
      <c r="GU766" t="s">
        <v>3</v>
      </c>
      <c r="GV766">
        <f t="shared" ref="GV766:GV779" si="689">ROUND((GT766),6)</f>
        <v>0</v>
      </c>
      <c r="GW766">
        <v>1</v>
      </c>
      <c r="GX766">
        <f t="shared" ref="GX766:GX779" si="690">ROUND(HC766*I766,2)</f>
        <v>0</v>
      </c>
      <c r="HA766">
        <v>0</v>
      </c>
      <c r="HB766">
        <v>0</v>
      </c>
      <c r="HC766">
        <f t="shared" ref="HC766:HC779" si="691">GV766*GW766</f>
        <v>0</v>
      </c>
      <c r="HE766" t="s">
        <v>3</v>
      </c>
      <c r="HF766" t="s">
        <v>3</v>
      </c>
      <c r="HM766" t="s">
        <v>3</v>
      </c>
      <c r="IK766">
        <v>0</v>
      </c>
    </row>
    <row r="767" spans="1:245" x14ac:dyDescent="0.2">
      <c r="A767">
        <v>17</v>
      </c>
      <c r="B767">
        <v>1</v>
      </c>
      <c r="C767">
        <f>ROW(SmtRes!A412)</f>
        <v>412</v>
      </c>
      <c r="D767">
        <f>ROW(EtalonRes!A405)</f>
        <v>405</v>
      </c>
      <c r="E767" t="s">
        <v>853</v>
      </c>
      <c r="F767" t="s">
        <v>357</v>
      </c>
      <c r="G767" t="s">
        <v>854</v>
      </c>
      <c r="H767" t="s">
        <v>358</v>
      </c>
      <c r="I767">
        <v>333.8</v>
      </c>
      <c r="J767">
        <v>0</v>
      </c>
      <c r="K767">
        <v>333.8</v>
      </c>
      <c r="O767">
        <f t="shared" si="659"/>
        <v>243653.13</v>
      </c>
      <c r="P767">
        <f t="shared" si="660"/>
        <v>0</v>
      </c>
      <c r="Q767">
        <f>(ROUND((ROUND((((ET767*1.25))*AV767*I767),2)*BB767),2)+ROUND((ROUND(((AE767-((EU767*1.25)))*AV767*I767),2)*BS767),2))</f>
        <v>0</v>
      </c>
      <c r="R767">
        <f t="shared" si="661"/>
        <v>0</v>
      </c>
      <c r="S767">
        <f t="shared" si="662"/>
        <v>243653.13</v>
      </c>
      <c r="T767">
        <f t="shared" si="663"/>
        <v>0</v>
      </c>
      <c r="U767">
        <f t="shared" si="664"/>
        <v>886.73969999999997</v>
      </c>
      <c r="V767">
        <f t="shared" si="665"/>
        <v>0</v>
      </c>
      <c r="W767">
        <f t="shared" si="666"/>
        <v>0</v>
      </c>
      <c r="X767">
        <f t="shared" si="667"/>
        <v>219287.82</v>
      </c>
      <c r="Y767">
        <f t="shared" si="668"/>
        <v>99897.78</v>
      </c>
      <c r="AA767">
        <v>42938047</v>
      </c>
      <c r="AB767">
        <f t="shared" si="669"/>
        <v>28.692499999999999</v>
      </c>
      <c r="AC767">
        <f t="shared" si="670"/>
        <v>0</v>
      </c>
      <c r="AD767">
        <f>ROUND(((((ET767*1.25))-((EU767*1.25)))+AE767),6)</f>
        <v>0</v>
      </c>
      <c r="AE767">
        <f>ROUND(((EU767*1.25)),6)</f>
        <v>0</v>
      </c>
      <c r="AF767">
        <f>ROUND(((EV767*1.15)),6)</f>
        <v>28.692499999999999</v>
      </c>
      <c r="AG767">
        <f t="shared" si="671"/>
        <v>0</v>
      </c>
      <c r="AH767">
        <f>((EW767*1.15))</f>
        <v>2.6564999999999999</v>
      </c>
      <c r="AI767">
        <f>((EX767*1.25))</f>
        <v>0</v>
      </c>
      <c r="AJ767">
        <f t="shared" si="672"/>
        <v>0</v>
      </c>
      <c r="AK767">
        <v>24.95</v>
      </c>
      <c r="AL767">
        <v>0</v>
      </c>
      <c r="AM767">
        <v>0</v>
      </c>
      <c r="AN767">
        <v>0</v>
      </c>
      <c r="AO767">
        <v>24.95</v>
      </c>
      <c r="AP767">
        <v>0</v>
      </c>
      <c r="AQ767">
        <v>2.31</v>
      </c>
      <c r="AR767">
        <v>0</v>
      </c>
      <c r="AS767">
        <v>0</v>
      </c>
      <c r="AT767">
        <v>90</v>
      </c>
      <c r="AU767">
        <v>41</v>
      </c>
      <c r="AV767">
        <v>1</v>
      </c>
      <c r="AW767">
        <v>1</v>
      </c>
      <c r="AZ767">
        <v>1</v>
      </c>
      <c r="BA767">
        <v>25.44</v>
      </c>
      <c r="BB767">
        <v>1</v>
      </c>
      <c r="BC767">
        <v>1</v>
      </c>
      <c r="BD767" t="s">
        <v>3</v>
      </c>
      <c r="BE767" t="s">
        <v>3</v>
      </c>
      <c r="BF767" t="s">
        <v>3</v>
      </c>
      <c r="BG767" t="s">
        <v>3</v>
      </c>
      <c r="BH767">
        <v>0</v>
      </c>
      <c r="BI767">
        <v>1</v>
      </c>
      <c r="BJ767" t="s">
        <v>359</v>
      </c>
      <c r="BM767">
        <v>295</v>
      </c>
      <c r="BN767">
        <v>0</v>
      </c>
      <c r="BO767" t="s">
        <v>357</v>
      </c>
      <c r="BP767">
        <v>1</v>
      </c>
      <c r="BQ767">
        <v>30</v>
      </c>
      <c r="BR767">
        <v>0</v>
      </c>
      <c r="BS767">
        <v>25.44</v>
      </c>
      <c r="BT767">
        <v>1</v>
      </c>
      <c r="BU767">
        <v>1</v>
      </c>
      <c r="BV767">
        <v>1</v>
      </c>
      <c r="BW767">
        <v>1</v>
      </c>
      <c r="BX767">
        <v>1</v>
      </c>
      <c r="BY767" t="s">
        <v>3</v>
      </c>
      <c r="BZ767">
        <v>90</v>
      </c>
      <c r="CA767">
        <v>41</v>
      </c>
      <c r="CB767" t="s">
        <v>3</v>
      </c>
      <c r="CE767">
        <v>30</v>
      </c>
      <c r="CF767">
        <v>0</v>
      </c>
      <c r="CG767">
        <v>0</v>
      </c>
      <c r="CM767">
        <v>0</v>
      </c>
      <c r="CN767" t="s">
        <v>1584</v>
      </c>
      <c r="CO767">
        <v>0</v>
      </c>
      <c r="CP767">
        <f t="shared" si="673"/>
        <v>243653.13</v>
      </c>
      <c r="CQ767">
        <f t="shared" si="674"/>
        <v>0</v>
      </c>
      <c r="CR767">
        <f>(ROUND((ROUND((((ET767*1.25))*AV767*1),2)*BB767),2)+ROUND((ROUND(((AE767-((EU767*1.25)))*AV767*1),2)*BS767),2))</f>
        <v>0</v>
      </c>
      <c r="CS767">
        <f t="shared" si="675"/>
        <v>0</v>
      </c>
      <c r="CT767">
        <f t="shared" si="676"/>
        <v>729.87</v>
      </c>
      <c r="CU767">
        <f t="shared" si="677"/>
        <v>0</v>
      </c>
      <c r="CV767">
        <f t="shared" si="678"/>
        <v>2.6564999999999999</v>
      </c>
      <c r="CW767">
        <f t="shared" si="679"/>
        <v>0</v>
      </c>
      <c r="CX767">
        <f t="shared" si="680"/>
        <v>0</v>
      </c>
      <c r="CY767">
        <f t="shared" si="681"/>
        <v>219287.81700000001</v>
      </c>
      <c r="CZ767">
        <f t="shared" si="682"/>
        <v>99897.783299999996</v>
      </c>
      <c r="DC767" t="s">
        <v>3</v>
      </c>
      <c r="DD767" t="s">
        <v>3</v>
      </c>
      <c r="DE767" t="s">
        <v>20</v>
      </c>
      <c r="DF767" t="s">
        <v>20</v>
      </c>
      <c r="DG767" t="s">
        <v>21</v>
      </c>
      <c r="DH767" t="s">
        <v>3</v>
      </c>
      <c r="DI767" t="s">
        <v>21</v>
      </c>
      <c r="DJ767" t="s">
        <v>20</v>
      </c>
      <c r="DK767" t="s">
        <v>3</v>
      </c>
      <c r="DL767" t="s">
        <v>3</v>
      </c>
      <c r="DM767" t="s">
        <v>3</v>
      </c>
      <c r="DN767">
        <v>156</v>
      </c>
      <c r="DO767">
        <v>84</v>
      </c>
      <c r="DP767">
        <v>1</v>
      </c>
      <c r="DQ767">
        <v>1</v>
      </c>
      <c r="DU767">
        <v>1013</v>
      </c>
      <c r="DV767" t="s">
        <v>358</v>
      </c>
      <c r="DW767" t="s">
        <v>358</v>
      </c>
      <c r="DX767">
        <v>1</v>
      </c>
      <c r="DZ767" t="s">
        <v>3</v>
      </c>
      <c r="EA767" t="s">
        <v>3</v>
      </c>
      <c r="EB767" t="s">
        <v>3</v>
      </c>
      <c r="EC767" t="s">
        <v>3</v>
      </c>
      <c r="EE767">
        <v>43088373</v>
      </c>
      <c r="EF767">
        <v>30</v>
      </c>
      <c r="EG767" t="s">
        <v>22</v>
      </c>
      <c r="EH767">
        <v>0</v>
      </c>
      <c r="EI767" t="s">
        <v>3</v>
      </c>
      <c r="EJ767">
        <v>1</v>
      </c>
      <c r="EK767">
        <v>295</v>
      </c>
      <c r="EL767" t="s">
        <v>360</v>
      </c>
      <c r="EM767" t="s">
        <v>361</v>
      </c>
      <c r="EO767" t="s">
        <v>59</v>
      </c>
      <c r="EQ767">
        <v>0</v>
      </c>
      <c r="ER767">
        <v>24.95</v>
      </c>
      <c r="ES767">
        <v>0</v>
      </c>
      <c r="ET767">
        <v>0</v>
      </c>
      <c r="EU767">
        <v>0</v>
      </c>
      <c r="EV767">
        <v>24.95</v>
      </c>
      <c r="EW767">
        <v>2.31</v>
      </c>
      <c r="EX767">
        <v>0</v>
      </c>
      <c r="EY767">
        <v>0</v>
      </c>
      <c r="FQ767">
        <v>0</v>
      </c>
      <c r="FR767">
        <f t="shared" si="683"/>
        <v>0</v>
      </c>
      <c r="FS767">
        <v>0</v>
      </c>
      <c r="FX767">
        <v>156</v>
      </c>
      <c r="FY767">
        <v>84</v>
      </c>
      <c r="GA767" t="s">
        <v>3</v>
      </c>
      <c r="GD767">
        <v>0</v>
      </c>
      <c r="GF767">
        <v>-151503251</v>
      </c>
      <c r="GG767">
        <v>2</v>
      </c>
      <c r="GH767">
        <v>1</v>
      </c>
      <c r="GI767">
        <v>2</v>
      </c>
      <c r="GJ767">
        <v>0</v>
      </c>
      <c r="GK767">
        <f>ROUND(R767*(R12)/100,2)</f>
        <v>0</v>
      </c>
      <c r="GL767">
        <f t="shared" si="684"/>
        <v>0</v>
      </c>
      <c r="GM767">
        <f t="shared" si="685"/>
        <v>562838.73</v>
      </c>
      <c r="GN767">
        <f t="shared" si="686"/>
        <v>562838.73</v>
      </c>
      <c r="GO767">
        <f t="shared" si="687"/>
        <v>0</v>
      </c>
      <c r="GP767">
        <f t="shared" si="688"/>
        <v>0</v>
      </c>
      <c r="GR767">
        <v>0</v>
      </c>
      <c r="GS767">
        <v>3</v>
      </c>
      <c r="GT767">
        <v>0</v>
      </c>
      <c r="GU767" t="s">
        <v>3</v>
      </c>
      <c r="GV767">
        <f t="shared" si="689"/>
        <v>0</v>
      </c>
      <c r="GW767">
        <v>1</v>
      </c>
      <c r="GX767">
        <f t="shared" si="690"/>
        <v>0</v>
      </c>
      <c r="HA767">
        <v>0</v>
      </c>
      <c r="HB767">
        <v>0</v>
      </c>
      <c r="HC767">
        <f t="shared" si="691"/>
        <v>0</v>
      </c>
      <c r="HE767" t="s">
        <v>3</v>
      </c>
      <c r="HF767" t="s">
        <v>3</v>
      </c>
      <c r="HM767" t="s">
        <v>3</v>
      </c>
      <c r="IK767">
        <v>0</v>
      </c>
    </row>
    <row r="768" spans="1:245" x14ac:dyDescent="0.2">
      <c r="A768">
        <v>17</v>
      </c>
      <c r="B768">
        <v>1</v>
      </c>
      <c r="C768">
        <f>ROW(SmtRes!A416)</f>
        <v>416</v>
      </c>
      <c r="D768">
        <f>ROW(EtalonRes!A409)</f>
        <v>409</v>
      </c>
      <c r="E768" t="s">
        <v>855</v>
      </c>
      <c r="F768" t="s">
        <v>856</v>
      </c>
      <c r="G768" t="s">
        <v>857</v>
      </c>
      <c r="H768" t="s">
        <v>18</v>
      </c>
      <c r="I768">
        <f>ROUND(1669/100,9)</f>
        <v>16.690000000000001</v>
      </c>
      <c r="J768">
        <v>0</v>
      </c>
      <c r="K768">
        <f>ROUND(1669/100,9)</f>
        <v>16.690000000000001</v>
      </c>
      <c r="O768">
        <f t="shared" si="659"/>
        <v>102856.12</v>
      </c>
      <c r="P768">
        <f t="shared" si="660"/>
        <v>0</v>
      </c>
      <c r="Q768">
        <f>(ROUND((ROUND(((((ET768*0.75)*1.25))*AV768*I768),2)*BB768),2)+ROUND((ROUND(((AE768-(((EU768*0.75)*1.25)))*AV768*I768),2)*BS768),2))</f>
        <v>763.62</v>
      </c>
      <c r="R768">
        <f t="shared" si="661"/>
        <v>258.72000000000003</v>
      </c>
      <c r="S768">
        <f t="shared" si="662"/>
        <v>102092.5</v>
      </c>
      <c r="T768">
        <f t="shared" si="663"/>
        <v>0</v>
      </c>
      <c r="U768">
        <f t="shared" si="664"/>
        <v>385.50144749999998</v>
      </c>
      <c r="V768">
        <f t="shared" si="665"/>
        <v>0</v>
      </c>
      <c r="W768">
        <f t="shared" si="666"/>
        <v>0</v>
      </c>
      <c r="X768">
        <f t="shared" si="667"/>
        <v>91883.25</v>
      </c>
      <c r="Y768">
        <f t="shared" si="668"/>
        <v>41857.93</v>
      </c>
      <c r="AA768">
        <v>42938047</v>
      </c>
      <c r="AB768">
        <f t="shared" si="669"/>
        <v>245.1165</v>
      </c>
      <c r="AC768">
        <f t="shared" si="670"/>
        <v>0</v>
      </c>
      <c r="AD768">
        <f>ROUND((((((ET768*0.75)*1.25))-(((EU768*0.75)*1.25)))+AE768),6)</f>
        <v>4.6687500000000002</v>
      </c>
      <c r="AE768">
        <f>ROUND((((EU768*0.75)*1.25)),6)</f>
        <v>0.609375</v>
      </c>
      <c r="AF768">
        <f>ROUND((((EV768*0.75)*1.15)),6)</f>
        <v>240.44775000000001</v>
      </c>
      <c r="AG768">
        <f t="shared" si="671"/>
        <v>0</v>
      </c>
      <c r="AH768">
        <f>(((EW768*0.75)*1.15))</f>
        <v>23.097749999999998</v>
      </c>
      <c r="AI768">
        <f>(((EX768*0.75)*1.25))</f>
        <v>0</v>
      </c>
      <c r="AJ768">
        <f t="shared" si="672"/>
        <v>0</v>
      </c>
      <c r="AK768">
        <v>283.76</v>
      </c>
      <c r="AL768">
        <v>0</v>
      </c>
      <c r="AM768">
        <v>4.9800000000000004</v>
      </c>
      <c r="AN768">
        <v>0.65</v>
      </c>
      <c r="AO768">
        <v>278.77999999999997</v>
      </c>
      <c r="AP768">
        <v>0</v>
      </c>
      <c r="AQ768">
        <v>26.78</v>
      </c>
      <c r="AR768">
        <v>0</v>
      </c>
      <c r="AS768">
        <v>0</v>
      </c>
      <c r="AT768">
        <v>90</v>
      </c>
      <c r="AU768">
        <v>41</v>
      </c>
      <c r="AV768">
        <v>1</v>
      </c>
      <c r="AW768">
        <v>1</v>
      </c>
      <c r="AZ768">
        <v>1</v>
      </c>
      <c r="BA768">
        <v>25.44</v>
      </c>
      <c r="BB768">
        <v>9.8000000000000007</v>
      </c>
      <c r="BC768">
        <v>1</v>
      </c>
      <c r="BD768" t="s">
        <v>3</v>
      </c>
      <c r="BE768" t="s">
        <v>3</v>
      </c>
      <c r="BF768" t="s">
        <v>3</v>
      </c>
      <c r="BG768" t="s">
        <v>3</v>
      </c>
      <c r="BH768">
        <v>0</v>
      </c>
      <c r="BI768">
        <v>1</v>
      </c>
      <c r="BJ768" t="s">
        <v>858</v>
      </c>
      <c r="BM768">
        <v>295</v>
      </c>
      <c r="BN768">
        <v>0</v>
      </c>
      <c r="BO768" t="s">
        <v>856</v>
      </c>
      <c r="BP768">
        <v>1</v>
      </c>
      <c r="BQ768">
        <v>30</v>
      </c>
      <c r="BR768">
        <v>0</v>
      </c>
      <c r="BS768">
        <v>25.44</v>
      </c>
      <c r="BT768">
        <v>1</v>
      </c>
      <c r="BU768">
        <v>1</v>
      </c>
      <c r="BV768">
        <v>1</v>
      </c>
      <c r="BW768">
        <v>1</v>
      </c>
      <c r="BX768">
        <v>1</v>
      </c>
      <c r="BY768" t="s">
        <v>3</v>
      </c>
      <c r="BZ768">
        <v>90</v>
      </c>
      <c r="CA768">
        <v>41</v>
      </c>
      <c r="CB768" t="s">
        <v>3</v>
      </c>
      <c r="CE768">
        <v>30</v>
      </c>
      <c r="CF768">
        <v>0</v>
      </c>
      <c r="CG768">
        <v>0</v>
      </c>
      <c r="CM768">
        <v>0</v>
      </c>
      <c r="CN768" t="s">
        <v>1584</v>
      </c>
      <c r="CO768">
        <v>0</v>
      </c>
      <c r="CP768">
        <f t="shared" si="673"/>
        <v>102856.12</v>
      </c>
      <c r="CQ768">
        <f t="shared" si="674"/>
        <v>0</v>
      </c>
      <c r="CR768">
        <f>(ROUND((ROUND(((((ET768*0.75)*1.25))*AV768*1),2)*BB768),2)+ROUND((ROUND(((AE768-(((EU768*0.75)*1.25)))*AV768*1),2)*BS768),2))</f>
        <v>45.77</v>
      </c>
      <c r="CS768">
        <f t="shared" si="675"/>
        <v>15.52</v>
      </c>
      <c r="CT768">
        <f t="shared" si="676"/>
        <v>6117.05</v>
      </c>
      <c r="CU768">
        <f t="shared" si="677"/>
        <v>0</v>
      </c>
      <c r="CV768">
        <f t="shared" si="678"/>
        <v>23.097749999999998</v>
      </c>
      <c r="CW768">
        <f t="shared" si="679"/>
        <v>0</v>
      </c>
      <c r="CX768">
        <f t="shared" si="680"/>
        <v>0</v>
      </c>
      <c r="CY768">
        <f t="shared" si="681"/>
        <v>91883.25</v>
      </c>
      <c r="CZ768">
        <f t="shared" si="682"/>
        <v>41857.924999999996</v>
      </c>
      <c r="DC768" t="s">
        <v>3</v>
      </c>
      <c r="DD768" t="s">
        <v>3</v>
      </c>
      <c r="DE768" t="s">
        <v>55</v>
      </c>
      <c r="DF768" t="s">
        <v>55</v>
      </c>
      <c r="DG768" t="s">
        <v>56</v>
      </c>
      <c r="DH768" t="s">
        <v>3</v>
      </c>
      <c r="DI768" t="s">
        <v>56</v>
      </c>
      <c r="DJ768" t="s">
        <v>55</v>
      </c>
      <c r="DK768" t="s">
        <v>3</v>
      </c>
      <c r="DL768" t="s">
        <v>3</v>
      </c>
      <c r="DM768" t="s">
        <v>3</v>
      </c>
      <c r="DN768">
        <v>156</v>
      </c>
      <c r="DO768">
        <v>84</v>
      </c>
      <c r="DP768">
        <v>1</v>
      </c>
      <c r="DQ768">
        <v>1</v>
      </c>
      <c r="DU768">
        <v>1005</v>
      </c>
      <c r="DV768" t="s">
        <v>18</v>
      </c>
      <c r="DW768" t="s">
        <v>18</v>
      </c>
      <c r="DX768">
        <v>100</v>
      </c>
      <c r="DZ768" t="s">
        <v>3</v>
      </c>
      <c r="EA768" t="s">
        <v>3</v>
      </c>
      <c r="EB768" t="s">
        <v>3</v>
      </c>
      <c r="EC768" t="s">
        <v>3</v>
      </c>
      <c r="EE768">
        <v>43088373</v>
      </c>
      <c r="EF768">
        <v>30</v>
      </c>
      <c r="EG768" t="s">
        <v>22</v>
      </c>
      <c r="EH768">
        <v>0</v>
      </c>
      <c r="EI768" t="s">
        <v>3</v>
      </c>
      <c r="EJ768">
        <v>1</v>
      </c>
      <c r="EK768">
        <v>295</v>
      </c>
      <c r="EL768" t="s">
        <v>360</v>
      </c>
      <c r="EM768" t="s">
        <v>361</v>
      </c>
      <c r="EO768" t="s">
        <v>59</v>
      </c>
      <c r="EQ768">
        <v>0</v>
      </c>
      <c r="ER768">
        <v>283.76</v>
      </c>
      <c r="ES768">
        <v>0</v>
      </c>
      <c r="ET768">
        <v>4.9800000000000004</v>
      </c>
      <c r="EU768">
        <v>0.65</v>
      </c>
      <c r="EV768">
        <v>278.77999999999997</v>
      </c>
      <c r="EW768">
        <v>26.78</v>
      </c>
      <c r="EX768">
        <v>0</v>
      </c>
      <c r="EY768">
        <v>0</v>
      </c>
      <c r="FQ768">
        <v>0</v>
      </c>
      <c r="FR768">
        <f t="shared" si="683"/>
        <v>0</v>
      </c>
      <c r="FS768">
        <v>0</v>
      </c>
      <c r="FX768">
        <v>156</v>
      </c>
      <c r="FY768">
        <v>84</v>
      </c>
      <c r="GA768" t="s">
        <v>3</v>
      </c>
      <c r="GD768">
        <v>0</v>
      </c>
      <c r="GF768">
        <v>-1010556362</v>
      </c>
      <c r="GG768">
        <v>2</v>
      </c>
      <c r="GH768">
        <v>1</v>
      </c>
      <c r="GI768">
        <v>2</v>
      </c>
      <c r="GJ768">
        <v>0</v>
      </c>
      <c r="GK768">
        <f>ROUND(R768*(R12)/100,2)</f>
        <v>406.19</v>
      </c>
      <c r="GL768">
        <f t="shared" si="684"/>
        <v>0</v>
      </c>
      <c r="GM768">
        <f t="shared" si="685"/>
        <v>237003.49</v>
      </c>
      <c r="GN768">
        <f t="shared" si="686"/>
        <v>237003.49</v>
      </c>
      <c r="GO768">
        <f t="shared" si="687"/>
        <v>0</v>
      </c>
      <c r="GP768">
        <f t="shared" si="688"/>
        <v>0</v>
      </c>
      <c r="GR768">
        <v>0</v>
      </c>
      <c r="GS768">
        <v>3</v>
      </c>
      <c r="GT768">
        <v>0</v>
      </c>
      <c r="GU768" t="s">
        <v>3</v>
      </c>
      <c r="GV768">
        <f t="shared" si="689"/>
        <v>0</v>
      </c>
      <c r="GW768">
        <v>1</v>
      </c>
      <c r="GX768">
        <f t="shared" si="690"/>
        <v>0</v>
      </c>
      <c r="HA768">
        <v>0</v>
      </c>
      <c r="HB768">
        <v>0</v>
      </c>
      <c r="HC768">
        <f t="shared" si="691"/>
        <v>0</v>
      </c>
      <c r="HE768" t="s">
        <v>3</v>
      </c>
      <c r="HF768" t="s">
        <v>3</v>
      </c>
      <c r="HM768" t="s">
        <v>3</v>
      </c>
      <c r="IK768">
        <v>0</v>
      </c>
    </row>
    <row r="769" spans="1:245" x14ac:dyDescent="0.2">
      <c r="A769">
        <v>18</v>
      </c>
      <c r="B769">
        <v>1</v>
      </c>
      <c r="C769">
        <v>416</v>
      </c>
      <c r="E769" t="s">
        <v>859</v>
      </c>
      <c r="F769" t="s">
        <v>860</v>
      </c>
      <c r="G769" t="s">
        <v>861</v>
      </c>
      <c r="H769" t="s">
        <v>84</v>
      </c>
      <c r="I769">
        <f>I768*J769</f>
        <v>250.35</v>
      </c>
      <c r="J769">
        <v>14.999999999999998</v>
      </c>
      <c r="K769">
        <v>15</v>
      </c>
      <c r="O769">
        <f t="shared" si="659"/>
        <v>287460.40999999997</v>
      </c>
      <c r="P769">
        <f t="shared" si="660"/>
        <v>287460.40999999997</v>
      </c>
      <c r="Q769">
        <f>(ROUND((ROUND(((ET769)*AV769*I769),2)*BB769),2)+ROUND((ROUND(((AE769-(EU769))*AV769*I769),2)*BS769),2))</f>
        <v>0</v>
      </c>
      <c r="R769">
        <f t="shared" si="661"/>
        <v>0</v>
      </c>
      <c r="S769">
        <f t="shared" si="662"/>
        <v>0</v>
      </c>
      <c r="T769">
        <f t="shared" si="663"/>
        <v>0</v>
      </c>
      <c r="U769">
        <f t="shared" si="664"/>
        <v>0</v>
      </c>
      <c r="V769">
        <f t="shared" si="665"/>
        <v>0</v>
      </c>
      <c r="W769">
        <f t="shared" si="666"/>
        <v>0</v>
      </c>
      <c r="X769">
        <f t="shared" si="667"/>
        <v>0</v>
      </c>
      <c r="Y769">
        <f t="shared" si="668"/>
        <v>0</v>
      </c>
      <c r="AA769">
        <v>42938047</v>
      </c>
      <c r="AB769">
        <f t="shared" si="669"/>
        <v>297.47000000000003</v>
      </c>
      <c r="AC769">
        <f t="shared" si="670"/>
        <v>297.47000000000003</v>
      </c>
      <c r="AD769">
        <f>ROUND((((ET769)-(EU769))+AE769),6)</f>
        <v>0</v>
      </c>
      <c r="AE769">
        <f>ROUND((EU769),6)</f>
        <v>0</v>
      </c>
      <c r="AF769">
        <f>ROUND((EV769),6)</f>
        <v>0</v>
      </c>
      <c r="AG769">
        <f t="shared" si="671"/>
        <v>0</v>
      </c>
      <c r="AH769">
        <f>(EW769)</f>
        <v>0</v>
      </c>
      <c r="AI769">
        <f>(EX769)</f>
        <v>0</v>
      </c>
      <c r="AJ769">
        <f t="shared" si="672"/>
        <v>0</v>
      </c>
      <c r="AK769">
        <v>297.47000000000003</v>
      </c>
      <c r="AL769">
        <v>297.47000000000003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1</v>
      </c>
      <c r="AW769">
        <v>1</v>
      </c>
      <c r="AZ769">
        <v>1</v>
      </c>
      <c r="BA769">
        <v>1</v>
      </c>
      <c r="BB769">
        <v>1</v>
      </c>
      <c r="BC769">
        <v>3.86</v>
      </c>
      <c r="BD769" t="s">
        <v>3</v>
      </c>
      <c r="BE769" t="s">
        <v>3</v>
      </c>
      <c r="BF769" t="s">
        <v>3</v>
      </c>
      <c r="BG769" t="s">
        <v>3</v>
      </c>
      <c r="BH769">
        <v>3</v>
      </c>
      <c r="BI769">
        <v>1</v>
      </c>
      <c r="BJ769" t="s">
        <v>862</v>
      </c>
      <c r="BM769">
        <v>295</v>
      </c>
      <c r="BN769">
        <v>0</v>
      </c>
      <c r="BO769" t="s">
        <v>860</v>
      </c>
      <c r="BP769">
        <v>1</v>
      </c>
      <c r="BQ769">
        <v>30</v>
      </c>
      <c r="BR769">
        <v>0</v>
      </c>
      <c r="BS769">
        <v>1</v>
      </c>
      <c r="BT769">
        <v>1</v>
      </c>
      <c r="BU769">
        <v>1</v>
      </c>
      <c r="BV769">
        <v>1</v>
      </c>
      <c r="BW769">
        <v>1</v>
      </c>
      <c r="BX769">
        <v>1</v>
      </c>
      <c r="BY769" t="s">
        <v>3</v>
      </c>
      <c r="BZ769">
        <v>0</v>
      </c>
      <c r="CA769">
        <v>0</v>
      </c>
      <c r="CB769" t="s">
        <v>3</v>
      </c>
      <c r="CE769">
        <v>30</v>
      </c>
      <c r="CF769">
        <v>0</v>
      </c>
      <c r="CG769">
        <v>0</v>
      </c>
      <c r="CM769">
        <v>0</v>
      </c>
      <c r="CN769" t="s">
        <v>3</v>
      </c>
      <c r="CO769">
        <v>0</v>
      </c>
      <c r="CP769">
        <f t="shared" si="673"/>
        <v>287460.40999999997</v>
      </c>
      <c r="CQ769">
        <f t="shared" si="674"/>
        <v>1148.23</v>
      </c>
      <c r="CR769">
        <f>(ROUND((ROUND(((ET769)*AV769*1),2)*BB769),2)+ROUND((ROUND(((AE769-(EU769))*AV769*1),2)*BS769),2))</f>
        <v>0</v>
      </c>
      <c r="CS769">
        <f t="shared" si="675"/>
        <v>0</v>
      </c>
      <c r="CT769">
        <f t="shared" si="676"/>
        <v>0</v>
      </c>
      <c r="CU769">
        <f t="shared" si="677"/>
        <v>0</v>
      </c>
      <c r="CV769">
        <f t="shared" si="678"/>
        <v>0</v>
      </c>
      <c r="CW769">
        <f t="shared" si="679"/>
        <v>0</v>
      </c>
      <c r="CX769">
        <f t="shared" si="680"/>
        <v>0</v>
      </c>
      <c r="CY769">
        <f t="shared" si="681"/>
        <v>0</v>
      </c>
      <c r="CZ769">
        <f t="shared" si="682"/>
        <v>0</v>
      </c>
      <c r="DC769" t="s">
        <v>3</v>
      </c>
      <c r="DD769" t="s">
        <v>3</v>
      </c>
      <c r="DE769" t="s">
        <v>3</v>
      </c>
      <c r="DF769" t="s">
        <v>3</v>
      </c>
      <c r="DG769" t="s">
        <v>3</v>
      </c>
      <c r="DH769" t="s">
        <v>3</v>
      </c>
      <c r="DI769" t="s">
        <v>3</v>
      </c>
      <c r="DJ769" t="s">
        <v>3</v>
      </c>
      <c r="DK769" t="s">
        <v>3</v>
      </c>
      <c r="DL769" t="s">
        <v>3</v>
      </c>
      <c r="DM769" t="s">
        <v>3</v>
      </c>
      <c r="DN769">
        <v>156</v>
      </c>
      <c r="DO769">
        <v>84</v>
      </c>
      <c r="DP769">
        <v>1</v>
      </c>
      <c r="DQ769">
        <v>1</v>
      </c>
      <c r="DU769">
        <v>1007</v>
      </c>
      <c r="DV769" t="s">
        <v>84</v>
      </c>
      <c r="DW769" t="s">
        <v>84</v>
      </c>
      <c r="DX769">
        <v>1</v>
      </c>
      <c r="DZ769" t="s">
        <v>3</v>
      </c>
      <c r="EA769" t="s">
        <v>3</v>
      </c>
      <c r="EB769" t="s">
        <v>3</v>
      </c>
      <c r="EC769" t="s">
        <v>3</v>
      </c>
      <c r="EE769">
        <v>43088373</v>
      </c>
      <c r="EF769">
        <v>30</v>
      </c>
      <c r="EG769" t="s">
        <v>22</v>
      </c>
      <c r="EH769">
        <v>0</v>
      </c>
      <c r="EI769" t="s">
        <v>3</v>
      </c>
      <c r="EJ769">
        <v>1</v>
      </c>
      <c r="EK769">
        <v>295</v>
      </c>
      <c r="EL769" t="s">
        <v>360</v>
      </c>
      <c r="EM769" t="s">
        <v>361</v>
      </c>
      <c r="EO769" t="s">
        <v>3</v>
      </c>
      <c r="EQ769">
        <v>0</v>
      </c>
      <c r="ER769">
        <v>297.47000000000003</v>
      </c>
      <c r="ES769">
        <v>297.47000000000003</v>
      </c>
      <c r="ET769">
        <v>0</v>
      </c>
      <c r="EU769">
        <v>0</v>
      </c>
      <c r="EV769">
        <v>0</v>
      </c>
      <c r="EW769">
        <v>0</v>
      </c>
      <c r="EX769">
        <v>0</v>
      </c>
      <c r="FQ769">
        <v>0</v>
      </c>
      <c r="FR769">
        <f t="shared" si="683"/>
        <v>0</v>
      </c>
      <c r="FS769">
        <v>0</v>
      </c>
      <c r="FX769">
        <v>156</v>
      </c>
      <c r="FY769">
        <v>84</v>
      </c>
      <c r="GA769" t="s">
        <v>3</v>
      </c>
      <c r="GD769">
        <v>0</v>
      </c>
      <c r="GF769">
        <v>-2018563240</v>
      </c>
      <c r="GG769">
        <v>2</v>
      </c>
      <c r="GH769">
        <v>1</v>
      </c>
      <c r="GI769">
        <v>2</v>
      </c>
      <c r="GJ769">
        <v>0</v>
      </c>
      <c r="GK769">
        <f>ROUND(R769*(R12)/100,2)</f>
        <v>0</v>
      </c>
      <c r="GL769">
        <f t="shared" si="684"/>
        <v>0</v>
      </c>
      <c r="GM769">
        <f t="shared" si="685"/>
        <v>287460.40999999997</v>
      </c>
      <c r="GN769">
        <f t="shared" si="686"/>
        <v>287460.40999999997</v>
      </c>
      <c r="GO769">
        <f t="shared" si="687"/>
        <v>0</v>
      </c>
      <c r="GP769">
        <f t="shared" si="688"/>
        <v>0</v>
      </c>
      <c r="GR769">
        <v>0</v>
      </c>
      <c r="GS769">
        <v>3</v>
      </c>
      <c r="GT769">
        <v>0</v>
      </c>
      <c r="GU769" t="s">
        <v>3</v>
      </c>
      <c r="GV769">
        <f t="shared" si="689"/>
        <v>0</v>
      </c>
      <c r="GW769">
        <v>1</v>
      </c>
      <c r="GX769">
        <f t="shared" si="690"/>
        <v>0</v>
      </c>
      <c r="HA769">
        <v>0</v>
      </c>
      <c r="HB769">
        <v>0</v>
      </c>
      <c r="HC769">
        <f t="shared" si="691"/>
        <v>0</v>
      </c>
      <c r="HE769" t="s">
        <v>3</v>
      </c>
      <c r="HF769" t="s">
        <v>3</v>
      </c>
      <c r="HM769" t="s">
        <v>3</v>
      </c>
      <c r="IK769">
        <v>0</v>
      </c>
    </row>
    <row r="770" spans="1:245" x14ac:dyDescent="0.2">
      <c r="A770">
        <v>17</v>
      </c>
      <c r="B770">
        <v>1</v>
      </c>
      <c r="C770">
        <f>ROW(SmtRes!A418)</f>
        <v>418</v>
      </c>
      <c r="D770">
        <f>ROW(EtalonRes!A411)</f>
        <v>411</v>
      </c>
      <c r="E770" t="s">
        <v>863</v>
      </c>
      <c r="F770" t="s">
        <v>864</v>
      </c>
      <c r="G770" t="s">
        <v>865</v>
      </c>
      <c r="H770" t="s">
        <v>18</v>
      </c>
      <c r="I770">
        <f>ROUND(1669/100,9)</f>
        <v>16.690000000000001</v>
      </c>
      <c r="J770">
        <v>0</v>
      </c>
      <c r="K770">
        <f>ROUND(1669/100,9)</f>
        <v>16.690000000000001</v>
      </c>
      <c r="O770">
        <f t="shared" si="659"/>
        <v>50830.14</v>
      </c>
      <c r="P770">
        <f t="shared" si="660"/>
        <v>0</v>
      </c>
      <c r="Q770">
        <f>(ROUND((ROUND((((ET770*1.25))*AV770*I770),2)*BB770),2)+ROUND((ROUND(((AE770-((EU770*1.25)))*AV770*I770),2)*BS770),2))</f>
        <v>0</v>
      </c>
      <c r="R770">
        <f t="shared" si="661"/>
        <v>0</v>
      </c>
      <c r="S770">
        <f t="shared" si="662"/>
        <v>50830.14</v>
      </c>
      <c r="T770">
        <f t="shared" si="663"/>
        <v>0</v>
      </c>
      <c r="U770">
        <f t="shared" si="664"/>
        <v>191.935</v>
      </c>
      <c r="V770">
        <f t="shared" si="665"/>
        <v>0</v>
      </c>
      <c r="W770">
        <f t="shared" si="666"/>
        <v>0</v>
      </c>
      <c r="X770">
        <f t="shared" si="667"/>
        <v>45747.13</v>
      </c>
      <c r="Y770">
        <f t="shared" si="668"/>
        <v>20840.36</v>
      </c>
      <c r="AA770">
        <v>42938047</v>
      </c>
      <c r="AB770">
        <f t="shared" si="669"/>
        <v>119.715</v>
      </c>
      <c r="AC770">
        <f t="shared" si="670"/>
        <v>0</v>
      </c>
      <c r="AD770">
        <f>ROUND(((((ET770*1.25))-((EU770*1.25)))+AE770),6)</f>
        <v>0</v>
      </c>
      <c r="AE770">
        <f>ROUND(((EU770*1.25)),6)</f>
        <v>0</v>
      </c>
      <c r="AF770">
        <f>ROUND((((EV770*0.25)*1.15)),6)</f>
        <v>119.715</v>
      </c>
      <c r="AG770">
        <f t="shared" si="671"/>
        <v>0</v>
      </c>
      <c r="AH770">
        <f>(((EW770*0.25)*1.15))</f>
        <v>11.5</v>
      </c>
      <c r="AI770">
        <f>((EX770*1.25))</f>
        <v>0</v>
      </c>
      <c r="AJ770">
        <f t="shared" si="672"/>
        <v>0</v>
      </c>
      <c r="AK770">
        <v>416.4</v>
      </c>
      <c r="AL770">
        <v>0</v>
      </c>
      <c r="AM770">
        <v>0</v>
      </c>
      <c r="AN770">
        <v>0</v>
      </c>
      <c r="AO770">
        <v>416.4</v>
      </c>
      <c r="AP770">
        <v>0</v>
      </c>
      <c r="AQ770">
        <v>40</v>
      </c>
      <c r="AR770">
        <v>0</v>
      </c>
      <c r="AS770">
        <v>0</v>
      </c>
      <c r="AT770">
        <v>90</v>
      </c>
      <c r="AU770">
        <v>41</v>
      </c>
      <c r="AV770">
        <v>1</v>
      </c>
      <c r="AW770">
        <v>1</v>
      </c>
      <c r="AZ770">
        <v>1</v>
      </c>
      <c r="BA770">
        <v>25.44</v>
      </c>
      <c r="BB770">
        <v>1</v>
      </c>
      <c r="BC770">
        <v>1</v>
      </c>
      <c r="BD770" t="s">
        <v>3</v>
      </c>
      <c r="BE770" t="s">
        <v>3</v>
      </c>
      <c r="BF770" t="s">
        <v>3</v>
      </c>
      <c r="BG770" t="s">
        <v>3</v>
      </c>
      <c r="BH770">
        <v>0</v>
      </c>
      <c r="BI770">
        <v>1</v>
      </c>
      <c r="BJ770" t="s">
        <v>866</v>
      </c>
      <c r="BM770">
        <v>295</v>
      </c>
      <c r="BN770">
        <v>0</v>
      </c>
      <c r="BO770" t="s">
        <v>864</v>
      </c>
      <c r="BP770">
        <v>1</v>
      </c>
      <c r="BQ770">
        <v>30</v>
      </c>
      <c r="BR770">
        <v>0</v>
      </c>
      <c r="BS770">
        <v>25.44</v>
      </c>
      <c r="BT770">
        <v>1</v>
      </c>
      <c r="BU770">
        <v>1</v>
      </c>
      <c r="BV770">
        <v>1</v>
      </c>
      <c r="BW770">
        <v>1</v>
      </c>
      <c r="BX770">
        <v>1</v>
      </c>
      <c r="BY770" t="s">
        <v>3</v>
      </c>
      <c r="BZ770">
        <v>90</v>
      </c>
      <c r="CA770">
        <v>41</v>
      </c>
      <c r="CB770" t="s">
        <v>3</v>
      </c>
      <c r="CE770">
        <v>30</v>
      </c>
      <c r="CF770">
        <v>0</v>
      </c>
      <c r="CG770">
        <v>0</v>
      </c>
      <c r="CM770">
        <v>0</v>
      </c>
      <c r="CN770" t="s">
        <v>1584</v>
      </c>
      <c r="CO770">
        <v>0</v>
      </c>
      <c r="CP770">
        <f t="shared" si="673"/>
        <v>50830.14</v>
      </c>
      <c r="CQ770">
        <f t="shared" si="674"/>
        <v>0</v>
      </c>
      <c r="CR770">
        <f>(ROUND((ROUND((((ET770*1.25))*AV770*1),2)*BB770),2)+ROUND((ROUND(((AE770-((EU770*1.25)))*AV770*1),2)*BS770),2))</f>
        <v>0</v>
      </c>
      <c r="CS770">
        <f t="shared" si="675"/>
        <v>0</v>
      </c>
      <c r="CT770">
        <f t="shared" si="676"/>
        <v>3045.68</v>
      </c>
      <c r="CU770">
        <f t="shared" si="677"/>
        <v>0</v>
      </c>
      <c r="CV770">
        <f t="shared" si="678"/>
        <v>11.5</v>
      </c>
      <c r="CW770">
        <f t="shared" si="679"/>
        <v>0</v>
      </c>
      <c r="CX770">
        <f t="shared" si="680"/>
        <v>0</v>
      </c>
      <c r="CY770">
        <f t="shared" si="681"/>
        <v>45747.126000000004</v>
      </c>
      <c r="CZ770">
        <f t="shared" si="682"/>
        <v>20840.357399999997</v>
      </c>
      <c r="DC770" t="s">
        <v>3</v>
      </c>
      <c r="DD770" t="s">
        <v>3</v>
      </c>
      <c r="DE770" t="s">
        <v>20</v>
      </c>
      <c r="DF770" t="s">
        <v>20</v>
      </c>
      <c r="DG770" t="s">
        <v>65</v>
      </c>
      <c r="DH770" t="s">
        <v>3</v>
      </c>
      <c r="DI770" t="s">
        <v>65</v>
      </c>
      <c r="DJ770" t="s">
        <v>20</v>
      </c>
      <c r="DK770" t="s">
        <v>3</v>
      </c>
      <c r="DL770" t="s">
        <v>3</v>
      </c>
      <c r="DM770" t="s">
        <v>3</v>
      </c>
      <c r="DN770">
        <v>156</v>
      </c>
      <c r="DO770">
        <v>84</v>
      </c>
      <c r="DP770">
        <v>1</v>
      </c>
      <c r="DQ770">
        <v>1</v>
      </c>
      <c r="DU770">
        <v>1005</v>
      </c>
      <c r="DV770" t="s">
        <v>18</v>
      </c>
      <c r="DW770" t="s">
        <v>18</v>
      </c>
      <c r="DX770">
        <v>100</v>
      </c>
      <c r="DZ770" t="s">
        <v>3</v>
      </c>
      <c r="EA770" t="s">
        <v>3</v>
      </c>
      <c r="EB770" t="s">
        <v>3</v>
      </c>
      <c r="EC770" t="s">
        <v>3</v>
      </c>
      <c r="EE770">
        <v>43088373</v>
      </c>
      <c r="EF770">
        <v>30</v>
      </c>
      <c r="EG770" t="s">
        <v>22</v>
      </c>
      <c r="EH770">
        <v>0</v>
      </c>
      <c r="EI770" t="s">
        <v>3</v>
      </c>
      <c r="EJ770">
        <v>1</v>
      </c>
      <c r="EK770">
        <v>295</v>
      </c>
      <c r="EL770" t="s">
        <v>360</v>
      </c>
      <c r="EM770" t="s">
        <v>361</v>
      </c>
      <c r="EO770" t="s">
        <v>59</v>
      </c>
      <c r="EQ770">
        <v>0</v>
      </c>
      <c r="ER770">
        <v>416.4</v>
      </c>
      <c r="ES770">
        <v>0</v>
      </c>
      <c r="ET770">
        <v>0</v>
      </c>
      <c r="EU770">
        <v>0</v>
      </c>
      <c r="EV770">
        <v>416.4</v>
      </c>
      <c r="EW770">
        <v>40</v>
      </c>
      <c r="EX770">
        <v>0</v>
      </c>
      <c r="EY770">
        <v>0</v>
      </c>
      <c r="FQ770">
        <v>0</v>
      </c>
      <c r="FR770">
        <f t="shared" si="683"/>
        <v>0</v>
      </c>
      <c r="FS770">
        <v>0</v>
      </c>
      <c r="FX770">
        <v>156</v>
      </c>
      <c r="FY770">
        <v>84</v>
      </c>
      <c r="GA770" t="s">
        <v>3</v>
      </c>
      <c r="GD770">
        <v>0</v>
      </c>
      <c r="GF770">
        <v>624887289</v>
      </c>
      <c r="GG770">
        <v>2</v>
      </c>
      <c r="GH770">
        <v>1</v>
      </c>
      <c r="GI770">
        <v>2</v>
      </c>
      <c r="GJ770">
        <v>0</v>
      </c>
      <c r="GK770">
        <f>ROUND(R770*(R12)/100,2)</f>
        <v>0</v>
      </c>
      <c r="GL770">
        <f t="shared" si="684"/>
        <v>0</v>
      </c>
      <c r="GM770">
        <f t="shared" si="685"/>
        <v>117417.63</v>
      </c>
      <c r="GN770">
        <f t="shared" si="686"/>
        <v>117417.63</v>
      </c>
      <c r="GO770">
        <f t="shared" si="687"/>
        <v>0</v>
      </c>
      <c r="GP770">
        <f t="shared" si="688"/>
        <v>0</v>
      </c>
      <c r="GR770">
        <v>0</v>
      </c>
      <c r="GS770">
        <v>3</v>
      </c>
      <c r="GT770">
        <v>0</v>
      </c>
      <c r="GU770" t="s">
        <v>3</v>
      </c>
      <c r="GV770">
        <f t="shared" si="689"/>
        <v>0</v>
      </c>
      <c r="GW770">
        <v>1</v>
      </c>
      <c r="GX770">
        <f t="shared" si="690"/>
        <v>0</v>
      </c>
      <c r="HA770">
        <v>0</v>
      </c>
      <c r="HB770">
        <v>0</v>
      </c>
      <c r="HC770">
        <f t="shared" si="691"/>
        <v>0</v>
      </c>
      <c r="HE770" t="s">
        <v>3</v>
      </c>
      <c r="HF770" t="s">
        <v>3</v>
      </c>
      <c r="HM770" t="s">
        <v>3</v>
      </c>
      <c r="IK770">
        <v>0</v>
      </c>
    </row>
    <row r="771" spans="1:245" x14ac:dyDescent="0.2">
      <c r="A771">
        <v>18</v>
      </c>
      <c r="B771">
        <v>1</v>
      </c>
      <c r="C771">
        <v>418</v>
      </c>
      <c r="E771" t="s">
        <v>867</v>
      </c>
      <c r="F771" t="s">
        <v>860</v>
      </c>
      <c r="G771" t="s">
        <v>861</v>
      </c>
      <c r="H771" t="s">
        <v>84</v>
      </c>
      <c r="I771">
        <f>I770*J771</f>
        <v>250.35</v>
      </c>
      <c r="J771">
        <v>14.999999999999998</v>
      </c>
      <c r="K771">
        <v>15</v>
      </c>
      <c r="O771">
        <f t="shared" si="659"/>
        <v>287460.40999999997</v>
      </c>
      <c r="P771">
        <f t="shared" si="660"/>
        <v>287460.40999999997</v>
      </c>
      <c r="Q771">
        <f>(ROUND((ROUND(((ET771)*AV771*I771),2)*BB771),2)+ROUND((ROUND(((AE771-(EU771))*AV771*I771),2)*BS771),2))</f>
        <v>0</v>
      </c>
      <c r="R771">
        <f t="shared" si="661"/>
        <v>0</v>
      </c>
      <c r="S771">
        <f t="shared" si="662"/>
        <v>0</v>
      </c>
      <c r="T771">
        <f t="shared" si="663"/>
        <v>0</v>
      </c>
      <c r="U771">
        <f t="shared" si="664"/>
        <v>0</v>
      </c>
      <c r="V771">
        <f t="shared" si="665"/>
        <v>0</v>
      </c>
      <c r="W771">
        <f t="shared" si="666"/>
        <v>0</v>
      </c>
      <c r="X771">
        <f t="shared" si="667"/>
        <v>0</v>
      </c>
      <c r="Y771">
        <f t="shared" si="668"/>
        <v>0</v>
      </c>
      <c r="AA771">
        <v>42938047</v>
      </c>
      <c r="AB771">
        <f t="shared" si="669"/>
        <v>297.47000000000003</v>
      </c>
      <c r="AC771">
        <f t="shared" si="670"/>
        <v>297.47000000000003</v>
      </c>
      <c r="AD771">
        <f>ROUND((((ET771)-(EU771))+AE771),6)</f>
        <v>0</v>
      </c>
      <c r="AE771">
        <f>ROUND((EU771),6)</f>
        <v>0</v>
      </c>
      <c r="AF771">
        <f>ROUND((EV771),6)</f>
        <v>0</v>
      </c>
      <c r="AG771">
        <f t="shared" si="671"/>
        <v>0</v>
      </c>
      <c r="AH771">
        <f>(EW771)</f>
        <v>0</v>
      </c>
      <c r="AI771">
        <f>(EX771)</f>
        <v>0</v>
      </c>
      <c r="AJ771">
        <f t="shared" si="672"/>
        <v>0</v>
      </c>
      <c r="AK771">
        <v>297.47000000000003</v>
      </c>
      <c r="AL771">
        <v>297.47000000000003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1</v>
      </c>
      <c r="AW771">
        <v>1</v>
      </c>
      <c r="AZ771">
        <v>1</v>
      </c>
      <c r="BA771">
        <v>1</v>
      </c>
      <c r="BB771">
        <v>1</v>
      </c>
      <c r="BC771">
        <v>3.86</v>
      </c>
      <c r="BD771" t="s">
        <v>3</v>
      </c>
      <c r="BE771" t="s">
        <v>3</v>
      </c>
      <c r="BF771" t="s">
        <v>3</v>
      </c>
      <c r="BG771" t="s">
        <v>3</v>
      </c>
      <c r="BH771">
        <v>3</v>
      </c>
      <c r="BI771">
        <v>1</v>
      </c>
      <c r="BJ771" t="s">
        <v>862</v>
      </c>
      <c r="BM771">
        <v>295</v>
      </c>
      <c r="BN771">
        <v>0</v>
      </c>
      <c r="BO771" t="s">
        <v>860</v>
      </c>
      <c r="BP771">
        <v>1</v>
      </c>
      <c r="BQ771">
        <v>30</v>
      </c>
      <c r="BR771">
        <v>0</v>
      </c>
      <c r="BS771">
        <v>1</v>
      </c>
      <c r="BT771">
        <v>1</v>
      </c>
      <c r="BU771">
        <v>1</v>
      </c>
      <c r="BV771">
        <v>1</v>
      </c>
      <c r="BW771">
        <v>1</v>
      </c>
      <c r="BX771">
        <v>1</v>
      </c>
      <c r="BY771" t="s">
        <v>3</v>
      </c>
      <c r="BZ771">
        <v>0</v>
      </c>
      <c r="CA771">
        <v>0</v>
      </c>
      <c r="CB771" t="s">
        <v>3</v>
      </c>
      <c r="CE771">
        <v>30</v>
      </c>
      <c r="CF771">
        <v>0</v>
      </c>
      <c r="CG771">
        <v>0</v>
      </c>
      <c r="CM771">
        <v>0</v>
      </c>
      <c r="CN771" t="s">
        <v>3</v>
      </c>
      <c r="CO771">
        <v>0</v>
      </c>
      <c r="CP771">
        <f t="shared" si="673"/>
        <v>287460.40999999997</v>
      </c>
      <c r="CQ771">
        <f t="shared" si="674"/>
        <v>1148.23</v>
      </c>
      <c r="CR771">
        <f>(ROUND((ROUND(((ET771)*AV771*1),2)*BB771),2)+ROUND((ROUND(((AE771-(EU771))*AV771*1),2)*BS771),2))</f>
        <v>0</v>
      </c>
      <c r="CS771">
        <f t="shared" si="675"/>
        <v>0</v>
      </c>
      <c r="CT771">
        <f t="shared" si="676"/>
        <v>0</v>
      </c>
      <c r="CU771">
        <f t="shared" si="677"/>
        <v>0</v>
      </c>
      <c r="CV771">
        <f t="shared" si="678"/>
        <v>0</v>
      </c>
      <c r="CW771">
        <f t="shared" si="679"/>
        <v>0</v>
      </c>
      <c r="CX771">
        <f t="shared" si="680"/>
        <v>0</v>
      </c>
      <c r="CY771">
        <f t="shared" si="681"/>
        <v>0</v>
      </c>
      <c r="CZ771">
        <f t="shared" si="682"/>
        <v>0</v>
      </c>
      <c r="DC771" t="s">
        <v>3</v>
      </c>
      <c r="DD771" t="s">
        <v>3</v>
      </c>
      <c r="DE771" t="s">
        <v>3</v>
      </c>
      <c r="DF771" t="s">
        <v>3</v>
      </c>
      <c r="DG771" t="s">
        <v>3</v>
      </c>
      <c r="DH771" t="s">
        <v>3</v>
      </c>
      <c r="DI771" t="s">
        <v>3</v>
      </c>
      <c r="DJ771" t="s">
        <v>3</v>
      </c>
      <c r="DK771" t="s">
        <v>3</v>
      </c>
      <c r="DL771" t="s">
        <v>3</v>
      </c>
      <c r="DM771" t="s">
        <v>3</v>
      </c>
      <c r="DN771">
        <v>156</v>
      </c>
      <c r="DO771">
        <v>84</v>
      </c>
      <c r="DP771">
        <v>1</v>
      </c>
      <c r="DQ771">
        <v>1</v>
      </c>
      <c r="DU771">
        <v>1007</v>
      </c>
      <c r="DV771" t="s">
        <v>84</v>
      </c>
      <c r="DW771" t="s">
        <v>84</v>
      </c>
      <c r="DX771">
        <v>1</v>
      </c>
      <c r="DZ771" t="s">
        <v>3</v>
      </c>
      <c r="EA771" t="s">
        <v>3</v>
      </c>
      <c r="EB771" t="s">
        <v>3</v>
      </c>
      <c r="EC771" t="s">
        <v>3</v>
      </c>
      <c r="EE771">
        <v>43088373</v>
      </c>
      <c r="EF771">
        <v>30</v>
      </c>
      <c r="EG771" t="s">
        <v>22</v>
      </c>
      <c r="EH771">
        <v>0</v>
      </c>
      <c r="EI771" t="s">
        <v>3</v>
      </c>
      <c r="EJ771">
        <v>1</v>
      </c>
      <c r="EK771">
        <v>295</v>
      </c>
      <c r="EL771" t="s">
        <v>360</v>
      </c>
      <c r="EM771" t="s">
        <v>361</v>
      </c>
      <c r="EO771" t="s">
        <v>3</v>
      </c>
      <c r="EQ771">
        <v>0</v>
      </c>
      <c r="ER771">
        <v>297.47000000000003</v>
      </c>
      <c r="ES771">
        <v>297.47000000000003</v>
      </c>
      <c r="ET771">
        <v>0</v>
      </c>
      <c r="EU771">
        <v>0</v>
      </c>
      <c r="EV771">
        <v>0</v>
      </c>
      <c r="EW771">
        <v>0</v>
      </c>
      <c r="EX771">
        <v>0</v>
      </c>
      <c r="FQ771">
        <v>0</v>
      </c>
      <c r="FR771">
        <f t="shared" si="683"/>
        <v>0</v>
      </c>
      <c r="FS771">
        <v>0</v>
      </c>
      <c r="FX771">
        <v>156</v>
      </c>
      <c r="FY771">
        <v>84</v>
      </c>
      <c r="GA771" t="s">
        <v>3</v>
      </c>
      <c r="GD771">
        <v>0</v>
      </c>
      <c r="GF771">
        <v>-2018563240</v>
      </c>
      <c r="GG771">
        <v>2</v>
      </c>
      <c r="GH771">
        <v>1</v>
      </c>
      <c r="GI771">
        <v>2</v>
      </c>
      <c r="GJ771">
        <v>0</v>
      </c>
      <c r="GK771">
        <f>ROUND(R771*(R12)/100,2)</f>
        <v>0</v>
      </c>
      <c r="GL771">
        <f t="shared" si="684"/>
        <v>0</v>
      </c>
      <c r="GM771">
        <f t="shared" si="685"/>
        <v>287460.40999999997</v>
      </c>
      <c r="GN771">
        <f t="shared" si="686"/>
        <v>287460.40999999997</v>
      </c>
      <c r="GO771">
        <f t="shared" si="687"/>
        <v>0</v>
      </c>
      <c r="GP771">
        <f t="shared" si="688"/>
        <v>0</v>
      </c>
      <c r="GR771">
        <v>0</v>
      </c>
      <c r="GS771">
        <v>3</v>
      </c>
      <c r="GT771">
        <v>0</v>
      </c>
      <c r="GU771" t="s">
        <v>3</v>
      </c>
      <c r="GV771">
        <f t="shared" si="689"/>
        <v>0</v>
      </c>
      <c r="GW771">
        <v>1</v>
      </c>
      <c r="GX771">
        <f t="shared" si="690"/>
        <v>0</v>
      </c>
      <c r="HA771">
        <v>0</v>
      </c>
      <c r="HB771">
        <v>0</v>
      </c>
      <c r="HC771">
        <f t="shared" si="691"/>
        <v>0</v>
      </c>
      <c r="HE771" t="s">
        <v>3</v>
      </c>
      <c r="HF771" t="s">
        <v>3</v>
      </c>
      <c r="HM771" t="s">
        <v>3</v>
      </c>
      <c r="IK771">
        <v>0</v>
      </c>
    </row>
    <row r="772" spans="1:245" x14ac:dyDescent="0.2">
      <c r="A772">
        <v>17</v>
      </c>
      <c r="B772">
        <v>1</v>
      </c>
      <c r="C772">
        <f>ROW(SmtRes!A420)</f>
        <v>420</v>
      </c>
      <c r="D772">
        <f>ROW(EtalonRes!A413)</f>
        <v>413</v>
      </c>
      <c r="E772" t="s">
        <v>868</v>
      </c>
      <c r="F772" t="s">
        <v>869</v>
      </c>
      <c r="G772" t="s">
        <v>870</v>
      </c>
      <c r="H772" t="s">
        <v>18</v>
      </c>
      <c r="I772">
        <f>ROUND(1669/100,9)</f>
        <v>16.690000000000001</v>
      </c>
      <c r="J772">
        <v>0</v>
      </c>
      <c r="K772">
        <f>ROUND(1669/100,9)</f>
        <v>16.690000000000001</v>
      </c>
      <c r="O772">
        <f t="shared" si="659"/>
        <v>27802.87</v>
      </c>
      <c r="P772">
        <f t="shared" si="660"/>
        <v>0</v>
      </c>
      <c r="Q772">
        <f>(ROUND((ROUND((((ET772*1.25))*AV772*I772),2)*BB772),2)+ROUND((ROUND(((AE772-((EU772*1.25)))*AV772*I772),2)*BS772),2))</f>
        <v>0</v>
      </c>
      <c r="R772">
        <f t="shared" si="661"/>
        <v>0</v>
      </c>
      <c r="S772">
        <f t="shared" si="662"/>
        <v>27802.87</v>
      </c>
      <c r="T772">
        <f t="shared" si="663"/>
        <v>0</v>
      </c>
      <c r="U772">
        <f t="shared" si="664"/>
        <v>104.98844499999998</v>
      </c>
      <c r="V772">
        <f t="shared" si="665"/>
        <v>0</v>
      </c>
      <c r="W772">
        <f t="shared" si="666"/>
        <v>0</v>
      </c>
      <c r="X772">
        <f t="shared" si="667"/>
        <v>25022.58</v>
      </c>
      <c r="Y772">
        <f t="shared" si="668"/>
        <v>11399.18</v>
      </c>
      <c r="AA772">
        <v>42938047</v>
      </c>
      <c r="AB772">
        <f t="shared" si="669"/>
        <v>65.480999999999995</v>
      </c>
      <c r="AC772">
        <f t="shared" si="670"/>
        <v>0</v>
      </c>
      <c r="AD772">
        <f>ROUND(((((ET772*1.25))-((EU772*1.25)))+AE772),6)</f>
        <v>0</v>
      </c>
      <c r="AE772">
        <f>ROUND(((EU772*1.25)),6)</f>
        <v>0</v>
      </c>
      <c r="AF772">
        <f>ROUND(((EV772*1.15)),6)</f>
        <v>65.480999999999995</v>
      </c>
      <c r="AG772">
        <f t="shared" si="671"/>
        <v>0</v>
      </c>
      <c r="AH772">
        <f>((EW772*1.15))</f>
        <v>6.2904999999999989</v>
      </c>
      <c r="AI772">
        <f>((EX772*1.25))</f>
        <v>0</v>
      </c>
      <c r="AJ772">
        <f t="shared" si="672"/>
        <v>0</v>
      </c>
      <c r="AK772">
        <v>56.94</v>
      </c>
      <c r="AL772">
        <v>0</v>
      </c>
      <c r="AM772">
        <v>0</v>
      </c>
      <c r="AN772">
        <v>0</v>
      </c>
      <c r="AO772">
        <v>56.94</v>
      </c>
      <c r="AP772">
        <v>0</v>
      </c>
      <c r="AQ772">
        <v>5.47</v>
      </c>
      <c r="AR772">
        <v>0</v>
      </c>
      <c r="AS772">
        <v>0</v>
      </c>
      <c r="AT772">
        <v>90</v>
      </c>
      <c r="AU772">
        <v>41</v>
      </c>
      <c r="AV772">
        <v>1</v>
      </c>
      <c r="AW772">
        <v>1</v>
      </c>
      <c r="AZ772">
        <v>1</v>
      </c>
      <c r="BA772">
        <v>25.44</v>
      </c>
      <c r="BB772">
        <v>1</v>
      </c>
      <c r="BC772">
        <v>1</v>
      </c>
      <c r="BD772" t="s">
        <v>3</v>
      </c>
      <c r="BE772" t="s">
        <v>3</v>
      </c>
      <c r="BF772" t="s">
        <v>3</v>
      </c>
      <c r="BG772" t="s">
        <v>3</v>
      </c>
      <c r="BH772">
        <v>0</v>
      </c>
      <c r="BI772">
        <v>1</v>
      </c>
      <c r="BJ772" t="s">
        <v>871</v>
      </c>
      <c r="BM772">
        <v>295</v>
      </c>
      <c r="BN772">
        <v>0</v>
      </c>
      <c r="BO772" t="s">
        <v>869</v>
      </c>
      <c r="BP772">
        <v>1</v>
      </c>
      <c r="BQ772">
        <v>30</v>
      </c>
      <c r="BR772">
        <v>0</v>
      </c>
      <c r="BS772">
        <v>25.44</v>
      </c>
      <c r="BT772">
        <v>1</v>
      </c>
      <c r="BU772">
        <v>1</v>
      </c>
      <c r="BV772">
        <v>1</v>
      </c>
      <c r="BW772">
        <v>1</v>
      </c>
      <c r="BX772">
        <v>1</v>
      </c>
      <c r="BY772" t="s">
        <v>3</v>
      </c>
      <c r="BZ772">
        <v>90</v>
      </c>
      <c r="CA772">
        <v>41</v>
      </c>
      <c r="CB772" t="s">
        <v>3</v>
      </c>
      <c r="CE772">
        <v>30</v>
      </c>
      <c r="CF772">
        <v>0</v>
      </c>
      <c r="CG772">
        <v>0</v>
      </c>
      <c r="CM772">
        <v>0</v>
      </c>
      <c r="CN772" t="s">
        <v>1584</v>
      </c>
      <c r="CO772">
        <v>0</v>
      </c>
      <c r="CP772">
        <f t="shared" si="673"/>
        <v>27802.87</v>
      </c>
      <c r="CQ772">
        <f t="shared" si="674"/>
        <v>0</v>
      </c>
      <c r="CR772">
        <f>(ROUND((ROUND((((ET772*1.25))*AV772*1),2)*BB772),2)+ROUND((ROUND(((AE772-((EU772*1.25)))*AV772*1),2)*BS772),2))</f>
        <v>0</v>
      </c>
      <c r="CS772">
        <f t="shared" si="675"/>
        <v>0</v>
      </c>
      <c r="CT772">
        <f t="shared" si="676"/>
        <v>1665.81</v>
      </c>
      <c r="CU772">
        <f t="shared" si="677"/>
        <v>0</v>
      </c>
      <c r="CV772">
        <f t="shared" si="678"/>
        <v>6.2904999999999989</v>
      </c>
      <c r="CW772">
        <f t="shared" si="679"/>
        <v>0</v>
      </c>
      <c r="CX772">
        <f t="shared" si="680"/>
        <v>0</v>
      </c>
      <c r="CY772">
        <f t="shared" si="681"/>
        <v>25022.582999999999</v>
      </c>
      <c r="CZ772">
        <f t="shared" si="682"/>
        <v>11399.176699999998</v>
      </c>
      <c r="DC772" t="s">
        <v>3</v>
      </c>
      <c r="DD772" t="s">
        <v>3</v>
      </c>
      <c r="DE772" t="s">
        <v>20</v>
      </c>
      <c r="DF772" t="s">
        <v>20</v>
      </c>
      <c r="DG772" t="s">
        <v>21</v>
      </c>
      <c r="DH772" t="s">
        <v>3</v>
      </c>
      <c r="DI772" t="s">
        <v>21</v>
      </c>
      <c r="DJ772" t="s">
        <v>20</v>
      </c>
      <c r="DK772" t="s">
        <v>3</v>
      </c>
      <c r="DL772" t="s">
        <v>3</v>
      </c>
      <c r="DM772" t="s">
        <v>3</v>
      </c>
      <c r="DN772">
        <v>156</v>
      </c>
      <c r="DO772">
        <v>84</v>
      </c>
      <c r="DP772">
        <v>1</v>
      </c>
      <c r="DQ772">
        <v>1</v>
      </c>
      <c r="DU772">
        <v>1005</v>
      </c>
      <c r="DV772" t="s">
        <v>18</v>
      </c>
      <c r="DW772" t="s">
        <v>18</v>
      </c>
      <c r="DX772">
        <v>100</v>
      </c>
      <c r="DZ772" t="s">
        <v>3</v>
      </c>
      <c r="EA772" t="s">
        <v>3</v>
      </c>
      <c r="EB772" t="s">
        <v>3</v>
      </c>
      <c r="EC772" t="s">
        <v>3</v>
      </c>
      <c r="EE772">
        <v>43088373</v>
      </c>
      <c r="EF772">
        <v>30</v>
      </c>
      <c r="EG772" t="s">
        <v>22</v>
      </c>
      <c r="EH772">
        <v>0</v>
      </c>
      <c r="EI772" t="s">
        <v>3</v>
      </c>
      <c r="EJ772">
        <v>1</v>
      </c>
      <c r="EK772">
        <v>295</v>
      </c>
      <c r="EL772" t="s">
        <v>360</v>
      </c>
      <c r="EM772" t="s">
        <v>361</v>
      </c>
      <c r="EO772" t="s">
        <v>59</v>
      </c>
      <c r="EQ772">
        <v>0</v>
      </c>
      <c r="ER772">
        <v>56.94</v>
      </c>
      <c r="ES772">
        <v>0</v>
      </c>
      <c r="ET772">
        <v>0</v>
      </c>
      <c r="EU772">
        <v>0</v>
      </c>
      <c r="EV772">
        <v>56.94</v>
      </c>
      <c r="EW772">
        <v>5.47</v>
      </c>
      <c r="EX772">
        <v>0</v>
      </c>
      <c r="EY772">
        <v>0</v>
      </c>
      <c r="FQ772">
        <v>0</v>
      </c>
      <c r="FR772">
        <f t="shared" si="683"/>
        <v>0</v>
      </c>
      <c r="FS772">
        <v>0</v>
      </c>
      <c r="FX772">
        <v>156</v>
      </c>
      <c r="FY772">
        <v>84</v>
      </c>
      <c r="GA772" t="s">
        <v>3</v>
      </c>
      <c r="GD772">
        <v>0</v>
      </c>
      <c r="GF772">
        <v>1485046588</v>
      </c>
      <c r="GG772">
        <v>2</v>
      </c>
      <c r="GH772">
        <v>1</v>
      </c>
      <c r="GI772">
        <v>2</v>
      </c>
      <c r="GJ772">
        <v>0</v>
      </c>
      <c r="GK772">
        <f>ROUND(R772*(R12)/100,2)</f>
        <v>0</v>
      </c>
      <c r="GL772">
        <f t="shared" si="684"/>
        <v>0</v>
      </c>
      <c r="GM772">
        <f t="shared" si="685"/>
        <v>64224.63</v>
      </c>
      <c r="GN772">
        <f t="shared" si="686"/>
        <v>64224.63</v>
      </c>
      <c r="GO772">
        <f t="shared" si="687"/>
        <v>0</v>
      </c>
      <c r="GP772">
        <f t="shared" si="688"/>
        <v>0</v>
      </c>
      <c r="GR772">
        <v>0</v>
      </c>
      <c r="GS772">
        <v>3</v>
      </c>
      <c r="GT772">
        <v>0</v>
      </c>
      <c r="GU772" t="s">
        <v>3</v>
      </c>
      <c r="GV772">
        <f t="shared" si="689"/>
        <v>0</v>
      </c>
      <c r="GW772">
        <v>1</v>
      </c>
      <c r="GX772">
        <f t="shared" si="690"/>
        <v>0</v>
      </c>
      <c r="HA772">
        <v>0</v>
      </c>
      <c r="HB772">
        <v>0</v>
      </c>
      <c r="HC772">
        <f t="shared" si="691"/>
        <v>0</v>
      </c>
      <c r="HE772" t="s">
        <v>3</v>
      </c>
      <c r="HF772" t="s">
        <v>3</v>
      </c>
      <c r="HM772" t="s">
        <v>3</v>
      </c>
      <c r="IK772">
        <v>0</v>
      </c>
    </row>
    <row r="773" spans="1:245" x14ac:dyDescent="0.2">
      <c r="A773">
        <v>18</v>
      </c>
      <c r="B773">
        <v>1</v>
      </c>
      <c r="C773">
        <v>420</v>
      </c>
      <c r="E773" t="s">
        <v>872</v>
      </c>
      <c r="F773" t="s">
        <v>860</v>
      </c>
      <c r="G773" t="s">
        <v>861</v>
      </c>
      <c r="H773" t="s">
        <v>84</v>
      </c>
      <c r="I773">
        <f>I772*J773</f>
        <v>83.45</v>
      </c>
      <c r="J773">
        <v>5</v>
      </c>
      <c r="K773">
        <v>5</v>
      </c>
      <c r="O773">
        <f t="shared" si="659"/>
        <v>95820.14</v>
      </c>
      <c r="P773">
        <f t="shared" si="660"/>
        <v>95820.14</v>
      </c>
      <c r="Q773">
        <f>(ROUND((ROUND(((ET773)*AV773*I773),2)*BB773),2)+ROUND((ROUND(((AE773-(EU773))*AV773*I773),2)*BS773),2))</f>
        <v>0</v>
      </c>
      <c r="R773">
        <f t="shared" si="661"/>
        <v>0</v>
      </c>
      <c r="S773">
        <f t="shared" si="662"/>
        <v>0</v>
      </c>
      <c r="T773">
        <f t="shared" si="663"/>
        <v>0</v>
      </c>
      <c r="U773">
        <f t="shared" si="664"/>
        <v>0</v>
      </c>
      <c r="V773">
        <f t="shared" si="665"/>
        <v>0</v>
      </c>
      <c r="W773">
        <f t="shared" si="666"/>
        <v>0</v>
      </c>
      <c r="X773">
        <f t="shared" si="667"/>
        <v>0</v>
      </c>
      <c r="Y773">
        <f t="shared" si="668"/>
        <v>0</v>
      </c>
      <c r="AA773">
        <v>42938047</v>
      </c>
      <c r="AB773">
        <f t="shared" si="669"/>
        <v>297.47000000000003</v>
      </c>
      <c r="AC773">
        <f t="shared" si="670"/>
        <v>297.47000000000003</v>
      </c>
      <c r="AD773">
        <f>ROUND((((ET773)-(EU773))+AE773),6)</f>
        <v>0</v>
      </c>
      <c r="AE773">
        <f>ROUND((EU773),6)</f>
        <v>0</v>
      </c>
      <c r="AF773">
        <f>ROUND((EV773),6)</f>
        <v>0</v>
      </c>
      <c r="AG773">
        <f t="shared" si="671"/>
        <v>0</v>
      </c>
      <c r="AH773">
        <f>(EW773)</f>
        <v>0</v>
      </c>
      <c r="AI773">
        <f>(EX773)</f>
        <v>0</v>
      </c>
      <c r="AJ773">
        <f t="shared" si="672"/>
        <v>0</v>
      </c>
      <c r="AK773">
        <v>297.47000000000003</v>
      </c>
      <c r="AL773">
        <v>297.47000000000003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1</v>
      </c>
      <c r="AW773">
        <v>1</v>
      </c>
      <c r="AZ773">
        <v>1</v>
      </c>
      <c r="BA773">
        <v>1</v>
      </c>
      <c r="BB773">
        <v>1</v>
      </c>
      <c r="BC773">
        <v>3.86</v>
      </c>
      <c r="BD773" t="s">
        <v>3</v>
      </c>
      <c r="BE773" t="s">
        <v>3</v>
      </c>
      <c r="BF773" t="s">
        <v>3</v>
      </c>
      <c r="BG773" t="s">
        <v>3</v>
      </c>
      <c r="BH773">
        <v>3</v>
      </c>
      <c r="BI773">
        <v>1</v>
      </c>
      <c r="BJ773" t="s">
        <v>862</v>
      </c>
      <c r="BM773">
        <v>295</v>
      </c>
      <c r="BN773">
        <v>0</v>
      </c>
      <c r="BO773" t="s">
        <v>860</v>
      </c>
      <c r="BP773">
        <v>1</v>
      </c>
      <c r="BQ773">
        <v>30</v>
      </c>
      <c r="BR773">
        <v>0</v>
      </c>
      <c r="BS773">
        <v>1</v>
      </c>
      <c r="BT773">
        <v>1</v>
      </c>
      <c r="BU773">
        <v>1</v>
      </c>
      <c r="BV773">
        <v>1</v>
      </c>
      <c r="BW773">
        <v>1</v>
      </c>
      <c r="BX773">
        <v>1</v>
      </c>
      <c r="BY773" t="s">
        <v>3</v>
      </c>
      <c r="BZ773">
        <v>0</v>
      </c>
      <c r="CA773">
        <v>0</v>
      </c>
      <c r="CB773" t="s">
        <v>3</v>
      </c>
      <c r="CE773">
        <v>30</v>
      </c>
      <c r="CF773">
        <v>0</v>
      </c>
      <c r="CG773">
        <v>0</v>
      </c>
      <c r="CM773">
        <v>0</v>
      </c>
      <c r="CN773" t="s">
        <v>3</v>
      </c>
      <c r="CO773">
        <v>0</v>
      </c>
      <c r="CP773">
        <f t="shared" si="673"/>
        <v>95820.14</v>
      </c>
      <c r="CQ773">
        <f t="shared" si="674"/>
        <v>1148.23</v>
      </c>
      <c r="CR773">
        <f>(ROUND((ROUND(((ET773)*AV773*1),2)*BB773),2)+ROUND((ROUND(((AE773-(EU773))*AV773*1),2)*BS773),2))</f>
        <v>0</v>
      </c>
      <c r="CS773">
        <f t="shared" si="675"/>
        <v>0</v>
      </c>
      <c r="CT773">
        <f t="shared" si="676"/>
        <v>0</v>
      </c>
      <c r="CU773">
        <f t="shared" si="677"/>
        <v>0</v>
      </c>
      <c r="CV773">
        <f t="shared" si="678"/>
        <v>0</v>
      </c>
      <c r="CW773">
        <f t="shared" si="679"/>
        <v>0</v>
      </c>
      <c r="CX773">
        <f t="shared" si="680"/>
        <v>0</v>
      </c>
      <c r="CY773">
        <f t="shared" si="681"/>
        <v>0</v>
      </c>
      <c r="CZ773">
        <f t="shared" si="682"/>
        <v>0</v>
      </c>
      <c r="DC773" t="s">
        <v>3</v>
      </c>
      <c r="DD773" t="s">
        <v>3</v>
      </c>
      <c r="DE773" t="s">
        <v>3</v>
      </c>
      <c r="DF773" t="s">
        <v>3</v>
      </c>
      <c r="DG773" t="s">
        <v>3</v>
      </c>
      <c r="DH773" t="s">
        <v>3</v>
      </c>
      <c r="DI773" t="s">
        <v>3</v>
      </c>
      <c r="DJ773" t="s">
        <v>3</v>
      </c>
      <c r="DK773" t="s">
        <v>3</v>
      </c>
      <c r="DL773" t="s">
        <v>3</v>
      </c>
      <c r="DM773" t="s">
        <v>3</v>
      </c>
      <c r="DN773">
        <v>156</v>
      </c>
      <c r="DO773">
        <v>84</v>
      </c>
      <c r="DP773">
        <v>1</v>
      </c>
      <c r="DQ773">
        <v>1</v>
      </c>
      <c r="DU773">
        <v>1007</v>
      </c>
      <c r="DV773" t="s">
        <v>84</v>
      </c>
      <c r="DW773" t="s">
        <v>84</v>
      </c>
      <c r="DX773">
        <v>1</v>
      </c>
      <c r="DZ773" t="s">
        <v>3</v>
      </c>
      <c r="EA773" t="s">
        <v>3</v>
      </c>
      <c r="EB773" t="s">
        <v>3</v>
      </c>
      <c r="EC773" t="s">
        <v>3</v>
      </c>
      <c r="EE773">
        <v>43088373</v>
      </c>
      <c r="EF773">
        <v>30</v>
      </c>
      <c r="EG773" t="s">
        <v>22</v>
      </c>
      <c r="EH773">
        <v>0</v>
      </c>
      <c r="EI773" t="s">
        <v>3</v>
      </c>
      <c r="EJ773">
        <v>1</v>
      </c>
      <c r="EK773">
        <v>295</v>
      </c>
      <c r="EL773" t="s">
        <v>360</v>
      </c>
      <c r="EM773" t="s">
        <v>361</v>
      </c>
      <c r="EO773" t="s">
        <v>3</v>
      </c>
      <c r="EQ773">
        <v>0</v>
      </c>
      <c r="ER773">
        <v>297.47000000000003</v>
      </c>
      <c r="ES773">
        <v>297.47000000000003</v>
      </c>
      <c r="ET773">
        <v>0</v>
      </c>
      <c r="EU773">
        <v>0</v>
      </c>
      <c r="EV773">
        <v>0</v>
      </c>
      <c r="EW773">
        <v>0</v>
      </c>
      <c r="EX773">
        <v>0</v>
      </c>
      <c r="FQ773">
        <v>0</v>
      </c>
      <c r="FR773">
        <f t="shared" si="683"/>
        <v>0</v>
      </c>
      <c r="FS773">
        <v>0</v>
      </c>
      <c r="FX773">
        <v>156</v>
      </c>
      <c r="FY773">
        <v>84</v>
      </c>
      <c r="GA773" t="s">
        <v>3</v>
      </c>
      <c r="GD773">
        <v>0</v>
      </c>
      <c r="GF773">
        <v>-2018563240</v>
      </c>
      <c r="GG773">
        <v>2</v>
      </c>
      <c r="GH773">
        <v>1</v>
      </c>
      <c r="GI773">
        <v>2</v>
      </c>
      <c r="GJ773">
        <v>0</v>
      </c>
      <c r="GK773">
        <f>ROUND(R773*(R12)/100,2)</f>
        <v>0</v>
      </c>
      <c r="GL773">
        <f t="shared" si="684"/>
        <v>0</v>
      </c>
      <c r="GM773">
        <f t="shared" si="685"/>
        <v>95820.14</v>
      </c>
      <c r="GN773">
        <f t="shared" si="686"/>
        <v>95820.14</v>
      </c>
      <c r="GO773">
        <f t="shared" si="687"/>
        <v>0</v>
      </c>
      <c r="GP773">
        <f t="shared" si="688"/>
        <v>0</v>
      </c>
      <c r="GR773">
        <v>0</v>
      </c>
      <c r="GS773">
        <v>3</v>
      </c>
      <c r="GT773">
        <v>0</v>
      </c>
      <c r="GU773" t="s">
        <v>3</v>
      </c>
      <c r="GV773">
        <f t="shared" si="689"/>
        <v>0</v>
      </c>
      <c r="GW773">
        <v>1</v>
      </c>
      <c r="GX773">
        <f t="shared" si="690"/>
        <v>0</v>
      </c>
      <c r="HA773">
        <v>0</v>
      </c>
      <c r="HB773">
        <v>0</v>
      </c>
      <c r="HC773">
        <f t="shared" si="691"/>
        <v>0</v>
      </c>
      <c r="HE773" t="s">
        <v>3</v>
      </c>
      <c r="HF773" t="s">
        <v>3</v>
      </c>
      <c r="HM773" t="s">
        <v>3</v>
      </c>
      <c r="IK773">
        <v>0</v>
      </c>
    </row>
    <row r="774" spans="1:245" x14ac:dyDescent="0.2">
      <c r="A774">
        <v>17</v>
      </c>
      <c r="B774">
        <v>1</v>
      </c>
      <c r="C774">
        <f>ROW(SmtRes!A422)</f>
        <v>422</v>
      </c>
      <c r="D774">
        <f>ROW(EtalonRes!A416)</f>
        <v>416</v>
      </c>
      <c r="E774" t="s">
        <v>873</v>
      </c>
      <c r="F774" t="s">
        <v>874</v>
      </c>
      <c r="G774" t="s">
        <v>875</v>
      </c>
      <c r="H774" t="s">
        <v>18</v>
      </c>
      <c r="I774">
        <f>ROUND(1669/100,9)</f>
        <v>16.690000000000001</v>
      </c>
      <c r="J774">
        <v>0</v>
      </c>
      <c r="K774">
        <f>ROUND(1669/100,9)</f>
        <v>16.690000000000001</v>
      </c>
      <c r="O774">
        <f t="shared" si="659"/>
        <v>80163.78</v>
      </c>
      <c r="P774">
        <f t="shared" si="660"/>
        <v>18801.23</v>
      </c>
      <c r="Q774">
        <f>(ROUND((ROUND((((ET774*1.25))*AV774*I774),2)*BB774),2)+ROUND((ROUND(((AE774-((EU774*1.25)))*AV774*I774),2)*BS774),2))</f>
        <v>0</v>
      </c>
      <c r="R774">
        <f t="shared" si="661"/>
        <v>0</v>
      </c>
      <c r="S774">
        <f t="shared" si="662"/>
        <v>61362.55</v>
      </c>
      <c r="T774">
        <f t="shared" si="663"/>
        <v>0</v>
      </c>
      <c r="U774">
        <f t="shared" si="664"/>
        <v>223.988145</v>
      </c>
      <c r="V774">
        <f t="shared" si="665"/>
        <v>0</v>
      </c>
      <c r="W774">
        <f t="shared" si="666"/>
        <v>0</v>
      </c>
      <c r="X774">
        <f t="shared" si="667"/>
        <v>55226.3</v>
      </c>
      <c r="Y774">
        <f t="shared" si="668"/>
        <v>25158.65</v>
      </c>
      <c r="AA774">
        <v>42938047</v>
      </c>
      <c r="AB774">
        <f t="shared" si="669"/>
        <v>315.72050000000002</v>
      </c>
      <c r="AC774">
        <f t="shared" si="670"/>
        <v>171.2</v>
      </c>
      <c r="AD774">
        <f>ROUND(((((ET774*1.25))-((EU774*1.25)))+AE774),6)</f>
        <v>0</v>
      </c>
      <c r="AE774">
        <f>ROUND(((EU774*1.25)),6)</f>
        <v>0</v>
      </c>
      <c r="AF774">
        <f>ROUND(((EV774*1.15)),6)</f>
        <v>144.5205</v>
      </c>
      <c r="AG774">
        <f t="shared" si="671"/>
        <v>0</v>
      </c>
      <c r="AH774">
        <f>((EW774*1.15))</f>
        <v>13.420499999999999</v>
      </c>
      <c r="AI774">
        <f>((EX774*1.25))</f>
        <v>0</v>
      </c>
      <c r="AJ774">
        <f t="shared" si="672"/>
        <v>0</v>
      </c>
      <c r="AK774">
        <v>296.87</v>
      </c>
      <c r="AL774">
        <v>171.2</v>
      </c>
      <c r="AM774">
        <v>0</v>
      </c>
      <c r="AN774">
        <v>0</v>
      </c>
      <c r="AO774">
        <v>125.67</v>
      </c>
      <c r="AP774">
        <v>0</v>
      </c>
      <c r="AQ774">
        <v>11.67</v>
      </c>
      <c r="AR774">
        <v>0</v>
      </c>
      <c r="AS774">
        <v>0</v>
      </c>
      <c r="AT774">
        <v>90</v>
      </c>
      <c r="AU774">
        <v>41</v>
      </c>
      <c r="AV774">
        <v>1</v>
      </c>
      <c r="AW774">
        <v>1</v>
      </c>
      <c r="AZ774">
        <v>1</v>
      </c>
      <c r="BA774">
        <v>25.44</v>
      </c>
      <c r="BB774">
        <v>1</v>
      </c>
      <c r="BC774">
        <v>6.58</v>
      </c>
      <c r="BD774" t="s">
        <v>3</v>
      </c>
      <c r="BE774" t="s">
        <v>3</v>
      </c>
      <c r="BF774" t="s">
        <v>3</v>
      </c>
      <c r="BG774" t="s">
        <v>3</v>
      </c>
      <c r="BH774">
        <v>0</v>
      </c>
      <c r="BI774">
        <v>1</v>
      </c>
      <c r="BJ774" t="s">
        <v>876</v>
      </c>
      <c r="BM774">
        <v>302</v>
      </c>
      <c r="BN774">
        <v>0</v>
      </c>
      <c r="BO774" t="s">
        <v>874</v>
      </c>
      <c r="BP774">
        <v>1</v>
      </c>
      <c r="BQ774">
        <v>30</v>
      </c>
      <c r="BR774">
        <v>0</v>
      </c>
      <c r="BS774">
        <v>25.44</v>
      </c>
      <c r="BT774">
        <v>1</v>
      </c>
      <c r="BU774">
        <v>1</v>
      </c>
      <c r="BV774">
        <v>1</v>
      </c>
      <c r="BW774">
        <v>1</v>
      </c>
      <c r="BX774">
        <v>1</v>
      </c>
      <c r="BY774" t="s">
        <v>3</v>
      </c>
      <c r="BZ774">
        <v>90</v>
      </c>
      <c r="CA774">
        <v>41</v>
      </c>
      <c r="CB774" t="s">
        <v>3</v>
      </c>
      <c r="CE774">
        <v>30</v>
      </c>
      <c r="CF774">
        <v>0</v>
      </c>
      <c r="CG774">
        <v>0</v>
      </c>
      <c r="CM774">
        <v>0</v>
      </c>
      <c r="CN774" t="s">
        <v>1584</v>
      </c>
      <c r="CO774">
        <v>0</v>
      </c>
      <c r="CP774">
        <f t="shared" si="673"/>
        <v>80163.78</v>
      </c>
      <c r="CQ774">
        <f t="shared" si="674"/>
        <v>1126.5</v>
      </c>
      <c r="CR774">
        <f>(ROUND((ROUND((((ET774*1.25))*AV774*1),2)*BB774),2)+ROUND((ROUND(((AE774-((EU774*1.25)))*AV774*1),2)*BS774),2))</f>
        <v>0</v>
      </c>
      <c r="CS774">
        <f t="shared" si="675"/>
        <v>0</v>
      </c>
      <c r="CT774">
        <f t="shared" si="676"/>
        <v>3676.59</v>
      </c>
      <c r="CU774">
        <f t="shared" si="677"/>
        <v>0</v>
      </c>
      <c r="CV774">
        <f t="shared" si="678"/>
        <v>13.420499999999999</v>
      </c>
      <c r="CW774">
        <f t="shared" si="679"/>
        <v>0</v>
      </c>
      <c r="CX774">
        <f t="shared" si="680"/>
        <v>0</v>
      </c>
      <c r="CY774">
        <f t="shared" si="681"/>
        <v>55226.295000000006</v>
      </c>
      <c r="CZ774">
        <f t="shared" si="682"/>
        <v>25158.645499999999</v>
      </c>
      <c r="DC774" t="s">
        <v>3</v>
      </c>
      <c r="DD774" t="s">
        <v>3</v>
      </c>
      <c r="DE774" t="s">
        <v>20</v>
      </c>
      <c r="DF774" t="s">
        <v>20</v>
      </c>
      <c r="DG774" t="s">
        <v>21</v>
      </c>
      <c r="DH774" t="s">
        <v>3</v>
      </c>
      <c r="DI774" t="s">
        <v>21</v>
      </c>
      <c r="DJ774" t="s">
        <v>20</v>
      </c>
      <c r="DK774" t="s">
        <v>3</v>
      </c>
      <c r="DL774" t="s">
        <v>3</v>
      </c>
      <c r="DM774" t="s">
        <v>3</v>
      </c>
      <c r="DN774">
        <v>156</v>
      </c>
      <c r="DO774">
        <v>84</v>
      </c>
      <c r="DP774">
        <v>1</v>
      </c>
      <c r="DQ774">
        <v>1</v>
      </c>
      <c r="DU774">
        <v>1005</v>
      </c>
      <c r="DV774" t="s">
        <v>18</v>
      </c>
      <c r="DW774" t="s">
        <v>18</v>
      </c>
      <c r="DX774">
        <v>100</v>
      </c>
      <c r="DZ774" t="s">
        <v>3</v>
      </c>
      <c r="EA774" t="s">
        <v>3</v>
      </c>
      <c r="EB774" t="s">
        <v>3</v>
      </c>
      <c r="EC774" t="s">
        <v>3</v>
      </c>
      <c r="EE774">
        <v>43088380</v>
      </c>
      <c r="EF774">
        <v>30</v>
      </c>
      <c r="EG774" t="s">
        <v>22</v>
      </c>
      <c r="EH774">
        <v>0</v>
      </c>
      <c r="EI774" t="s">
        <v>3</v>
      </c>
      <c r="EJ774">
        <v>1</v>
      </c>
      <c r="EK774">
        <v>302</v>
      </c>
      <c r="EL774" t="s">
        <v>877</v>
      </c>
      <c r="EM774" t="s">
        <v>878</v>
      </c>
      <c r="EO774" t="s">
        <v>59</v>
      </c>
      <c r="EQ774">
        <v>0</v>
      </c>
      <c r="ER774">
        <v>296.87</v>
      </c>
      <c r="ES774">
        <v>171.2</v>
      </c>
      <c r="ET774">
        <v>0</v>
      </c>
      <c r="EU774">
        <v>0</v>
      </c>
      <c r="EV774">
        <v>125.67</v>
      </c>
      <c r="EW774">
        <v>11.67</v>
      </c>
      <c r="EX774">
        <v>0</v>
      </c>
      <c r="EY774">
        <v>0</v>
      </c>
      <c r="FQ774">
        <v>0</v>
      </c>
      <c r="FR774">
        <f t="shared" si="683"/>
        <v>0</v>
      </c>
      <c r="FS774">
        <v>0</v>
      </c>
      <c r="FX774">
        <v>156</v>
      </c>
      <c r="FY774">
        <v>84</v>
      </c>
      <c r="GA774" t="s">
        <v>3</v>
      </c>
      <c r="GD774">
        <v>0</v>
      </c>
      <c r="GF774">
        <v>-275649228</v>
      </c>
      <c r="GG774">
        <v>2</v>
      </c>
      <c r="GH774">
        <v>1</v>
      </c>
      <c r="GI774">
        <v>2</v>
      </c>
      <c r="GJ774">
        <v>0</v>
      </c>
      <c r="GK774">
        <f>ROUND(R774*(R12)/100,2)</f>
        <v>0</v>
      </c>
      <c r="GL774">
        <f t="shared" si="684"/>
        <v>0</v>
      </c>
      <c r="GM774">
        <f t="shared" si="685"/>
        <v>160548.73000000001</v>
      </c>
      <c r="GN774">
        <f t="shared" si="686"/>
        <v>160548.73000000001</v>
      </c>
      <c r="GO774">
        <f t="shared" si="687"/>
        <v>0</v>
      </c>
      <c r="GP774">
        <f t="shared" si="688"/>
        <v>0</v>
      </c>
      <c r="GR774">
        <v>0</v>
      </c>
      <c r="GS774">
        <v>3</v>
      </c>
      <c r="GT774">
        <v>0</v>
      </c>
      <c r="GU774" t="s">
        <v>3</v>
      </c>
      <c r="GV774">
        <f t="shared" si="689"/>
        <v>0</v>
      </c>
      <c r="GW774">
        <v>1</v>
      </c>
      <c r="GX774">
        <f t="shared" si="690"/>
        <v>0</v>
      </c>
      <c r="HA774">
        <v>0</v>
      </c>
      <c r="HB774">
        <v>0</v>
      </c>
      <c r="HC774">
        <f t="shared" si="691"/>
        <v>0</v>
      </c>
      <c r="HE774" t="s">
        <v>3</v>
      </c>
      <c r="HF774" t="s">
        <v>3</v>
      </c>
      <c r="HM774" t="s">
        <v>3</v>
      </c>
      <c r="IK774">
        <v>0</v>
      </c>
    </row>
    <row r="775" spans="1:245" x14ac:dyDescent="0.2">
      <c r="A775">
        <v>17</v>
      </c>
      <c r="B775">
        <v>1</v>
      </c>
      <c r="E775" t="s">
        <v>879</v>
      </c>
      <c r="F775" t="s">
        <v>118</v>
      </c>
      <c r="G775" t="s">
        <v>880</v>
      </c>
      <c r="H775" t="s">
        <v>120</v>
      </c>
      <c r="I775">
        <v>1785</v>
      </c>
      <c r="J775">
        <v>0</v>
      </c>
      <c r="K775">
        <v>1785</v>
      </c>
      <c r="O775">
        <f t="shared" si="659"/>
        <v>348900.03</v>
      </c>
      <c r="P775">
        <f t="shared" si="660"/>
        <v>348900.03</v>
      </c>
      <c r="Q775">
        <f>(ROUND((ROUND(((ET775)*AV775*I775),2)*BB775),2)+ROUND((ROUND(((AE775-(EU775))*AV775*I775),2)*BS775),2))</f>
        <v>0</v>
      </c>
      <c r="R775">
        <f t="shared" si="661"/>
        <v>0</v>
      </c>
      <c r="S775">
        <f t="shared" si="662"/>
        <v>0</v>
      </c>
      <c r="T775">
        <f t="shared" si="663"/>
        <v>0</v>
      </c>
      <c r="U775">
        <f t="shared" si="664"/>
        <v>0</v>
      </c>
      <c r="V775">
        <f t="shared" si="665"/>
        <v>0</v>
      </c>
      <c r="W775">
        <f t="shared" si="666"/>
        <v>0</v>
      </c>
      <c r="X775">
        <f t="shared" si="667"/>
        <v>0</v>
      </c>
      <c r="Y775">
        <f t="shared" si="668"/>
        <v>0</v>
      </c>
      <c r="AA775">
        <v>42938047</v>
      </c>
      <c r="AB775">
        <f t="shared" si="669"/>
        <v>30.83</v>
      </c>
      <c r="AC775">
        <f t="shared" si="670"/>
        <v>30.83</v>
      </c>
      <c r="AD775">
        <f>ROUND((((ET775)-(EU775))+AE775),6)</f>
        <v>0</v>
      </c>
      <c r="AE775">
        <f>ROUND((EU775),6)</f>
        <v>0</v>
      </c>
      <c r="AF775">
        <f>ROUND((EV775),6)</f>
        <v>0</v>
      </c>
      <c r="AG775">
        <f t="shared" si="671"/>
        <v>0</v>
      </c>
      <c r="AH775">
        <f>(EW775)</f>
        <v>0</v>
      </c>
      <c r="AI775">
        <f>(EX775)</f>
        <v>0</v>
      </c>
      <c r="AJ775">
        <f t="shared" si="672"/>
        <v>0</v>
      </c>
      <c r="AK775">
        <v>30.830000000000002</v>
      </c>
      <c r="AL775">
        <v>30.830000000000002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1</v>
      </c>
      <c r="AW775">
        <v>1</v>
      </c>
      <c r="AZ775">
        <v>1</v>
      </c>
      <c r="BA775">
        <v>1</v>
      </c>
      <c r="BB775">
        <v>1</v>
      </c>
      <c r="BC775">
        <v>6.34</v>
      </c>
      <c r="BD775" t="s">
        <v>3</v>
      </c>
      <c r="BE775" t="s">
        <v>3</v>
      </c>
      <c r="BF775" t="s">
        <v>3</v>
      </c>
      <c r="BG775" t="s">
        <v>3</v>
      </c>
      <c r="BH775">
        <v>3</v>
      </c>
      <c r="BI775">
        <v>1</v>
      </c>
      <c r="BJ775" t="s">
        <v>3</v>
      </c>
      <c r="BM775">
        <v>400002</v>
      </c>
      <c r="BN775">
        <v>0</v>
      </c>
      <c r="BO775" t="s">
        <v>3</v>
      </c>
      <c r="BP775">
        <v>0</v>
      </c>
      <c r="BQ775">
        <v>202</v>
      </c>
      <c r="BR775">
        <v>0</v>
      </c>
      <c r="BS775">
        <v>1</v>
      </c>
      <c r="BT775">
        <v>1</v>
      </c>
      <c r="BU775">
        <v>1</v>
      </c>
      <c r="BV775">
        <v>1</v>
      </c>
      <c r="BW775">
        <v>1</v>
      </c>
      <c r="BX775">
        <v>1</v>
      </c>
      <c r="BY775" t="s">
        <v>3</v>
      </c>
      <c r="BZ775">
        <v>0</v>
      </c>
      <c r="CA775">
        <v>0</v>
      </c>
      <c r="CB775" t="s">
        <v>3</v>
      </c>
      <c r="CE775">
        <v>30</v>
      </c>
      <c r="CF775">
        <v>0</v>
      </c>
      <c r="CG775">
        <v>0</v>
      </c>
      <c r="CM775">
        <v>0</v>
      </c>
      <c r="CN775" t="s">
        <v>3</v>
      </c>
      <c r="CO775">
        <v>0</v>
      </c>
      <c r="CP775">
        <f t="shared" si="673"/>
        <v>348900.03</v>
      </c>
      <c r="CQ775">
        <f t="shared" si="674"/>
        <v>195.46</v>
      </c>
      <c r="CR775">
        <f>(ROUND((ROUND(((ET775)*AV775*1),2)*BB775),2)+ROUND((ROUND(((AE775-(EU775))*AV775*1),2)*BS775),2))</f>
        <v>0</v>
      </c>
      <c r="CS775">
        <f t="shared" si="675"/>
        <v>0</v>
      </c>
      <c r="CT775">
        <f t="shared" si="676"/>
        <v>0</v>
      </c>
      <c r="CU775">
        <f t="shared" si="677"/>
        <v>0</v>
      </c>
      <c r="CV775">
        <f t="shared" si="678"/>
        <v>0</v>
      </c>
      <c r="CW775">
        <f t="shared" si="679"/>
        <v>0</v>
      </c>
      <c r="CX775">
        <f t="shared" si="680"/>
        <v>0</v>
      </c>
      <c r="CY775">
        <f t="shared" si="681"/>
        <v>0</v>
      </c>
      <c r="CZ775">
        <f t="shared" si="682"/>
        <v>0</v>
      </c>
      <c r="DC775" t="s">
        <v>3</v>
      </c>
      <c r="DD775" t="s">
        <v>3</v>
      </c>
      <c r="DE775" t="s">
        <v>3</v>
      </c>
      <c r="DF775" t="s">
        <v>3</v>
      </c>
      <c r="DG775" t="s">
        <v>3</v>
      </c>
      <c r="DH775" t="s">
        <v>3</v>
      </c>
      <c r="DI775" t="s">
        <v>3</v>
      </c>
      <c r="DJ775" t="s">
        <v>3</v>
      </c>
      <c r="DK775" t="s">
        <v>3</v>
      </c>
      <c r="DL775" t="s">
        <v>3</v>
      </c>
      <c r="DM775" t="s">
        <v>3</v>
      </c>
      <c r="DN775">
        <v>0</v>
      </c>
      <c r="DO775">
        <v>0</v>
      </c>
      <c r="DP775">
        <v>1</v>
      </c>
      <c r="DQ775">
        <v>1</v>
      </c>
      <c r="DU775">
        <v>1005</v>
      </c>
      <c r="DV775" t="s">
        <v>120</v>
      </c>
      <c r="DW775" t="s">
        <v>120</v>
      </c>
      <c r="DX775">
        <v>1</v>
      </c>
      <c r="DZ775" t="s">
        <v>3</v>
      </c>
      <c r="EA775" t="s">
        <v>3</v>
      </c>
      <c r="EB775" t="s">
        <v>3</v>
      </c>
      <c r="EC775" t="s">
        <v>3</v>
      </c>
      <c r="EE775">
        <v>43090149</v>
      </c>
      <c r="EF775">
        <v>202</v>
      </c>
      <c r="EG775" t="s">
        <v>346</v>
      </c>
      <c r="EH775">
        <v>0</v>
      </c>
      <c r="EI775" t="s">
        <v>3</v>
      </c>
      <c r="EJ775">
        <v>1</v>
      </c>
      <c r="EK775">
        <v>400002</v>
      </c>
      <c r="EL775" t="s">
        <v>347</v>
      </c>
      <c r="EM775" t="s">
        <v>346</v>
      </c>
      <c r="EO775" t="s">
        <v>3</v>
      </c>
      <c r="EQ775">
        <v>0</v>
      </c>
      <c r="ER775">
        <v>30.830000000000002</v>
      </c>
      <c r="ES775">
        <v>30.830000000000002</v>
      </c>
      <c r="ET775">
        <v>0</v>
      </c>
      <c r="EU775">
        <v>0</v>
      </c>
      <c r="EV775">
        <v>0</v>
      </c>
      <c r="EW775">
        <v>0</v>
      </c>
      <c r="EX775">
        <v>0</v>
      </c>
      <c r="EY775">
        <v>0</v>
      </c>
      <c r="EZ775">
        <v>5</v>
      </c>
      <c r="FC775">
        <v>1</v>
      </c>
      <c r="FD775">
        <v>18</v>
      </c>
      <c r="FF775">
        <v>230</v>
      </c>
      <c r="FQ775">
        <v>0</v>
      </c>
      <c r="FR775">
        <f t="shared" si="683"/>
        <v>0</v>
      </c>
      <c r="FS775">
        <v>0</v>
      </c>
      <c r="FX775">
        <v>0</v>
      </c>
      <c r="FY775">
        <v>0</v>
      </c>
      <c r="GA775" t="s">
        <v>881</v>
      </c>
      <c r="GD775">
        <v>0</v>
      </c>
      <c r="GF775">
        <v>1665755604</v>
      </c>
      <c r="GG775">
        <v>2</v>
      </c>
      <c r="GH775">
        <v>3</v>
      </c>
      <c r="GI775">
        <v>3</v>
      </c>
      <c r="GJ775">
        <v>0</v>
      </c>
      <c r="GK775">
        <f>ROUND(R775*(R12)/100,2)</f>
        <v>0</v>
      </c>
      <c r="GL775">
        <f t="shared" si="684"/>
        <v>0</v>
      </c>
      <c r="GM775">
        <f t="shared" si="685"/>
        <v>348900.03</v>
      </c>
      <c r="GN775">
        <f t="shared" si="686"/>
        <v>348900.03</v>
      </c>
      <c r="GO775">
        <f t="shared" si="687"/>
        <v>0</v>
      </c>
      <c r="GP775">
        <f t="shared" si="688"/>
        <v>0</v>
      </c>
      <c r="GR775">
        <v>1</v>
      </c>
      <c r="GS775">
        <v>1</v>
      </c>
      <c r="GT775">
        <v>0</v>
      </c>
      <c r="GU775" t="s">
        <v>3</v>
      </c>
      <c r="GV775">
        <f t="shared" si="689"/>
        <v>0</v>
      </c>
      <c r="GW775">
        <v>1</v>
      </c>
      <c r="GX775">
        <f t="shared" si="690"/>
        <v>0</v>
      </c>
      <c r="HA775">
        <v>0</v>
      </c>
      <c r="HB775">
        <v>0</v>
      </c>
      <c r="HC775">
        <f t="shared" si="691"/>
        <v>0</v>
      </c>
      <c r="HE775" t="s">
        <v>26</v>
      </c>
      <c r="HF775" t="s">
        <v>122</v>
      </c>
      <c r="HM775" t="s">
        <v>3</v>
      </c>
      <c r="IK775">
        <v>0</v>
      </c>
    </row>
    <row r="776" spans="1:245" x14ac:dyDescent="0.2">
      <c r="A776">
        <v>17</v>
      </c>
      <c r="B776">
        <v>1</v>
      </c>
      <c r="C776">
        <f>ROW(SmtRes!A426)</f>
        <v>426</v>
      </c>
      <c r="D776">
        <f>ROW(EtalonRes!A420)</f>
        <v>420</v>
      </c>
      <c r="E776" t="s">
        <v>882</v>
      </c>
      <c r="F776" t="s">
        <v>883</v>
      </c>
      <c r="G776" t="s">
        <v>884</v>
      </c>
      <c r="H776" t="s">
        <v>18</v>
      </c>
      <c r="I776">
        <f>ROUND(1669/100,9)</f>
        <v>16.690000000000001</v>
      </c>
      <c r="J776">
        <v>0</v>
      </c>
      <c r="K776">
        <f>ROUND(1669/100,9)</f>
        <v>16.690000000000001</v>
      </c>
      <c r="O776">
        <f t="shared" si="659"/>
        <v>25714.89</v>
      </c>
      <c r="P776">
        <f t="shared" si="660"/>
        <v>0</v>
      </c>
      <c r="Q776">
        <f>(ROUND((ROUND((((ET776*1.25))*AV776*I776),2)*BB776),2)+ROUND((ROUND(((AE776-((EU776*1.25)))*AV776*I776),2)*BS776),2))</f>
        <v>1510.77</v>
      </c>
      <c r="R776">
        <f t="shared" si="661"/>
        <v>514.91</v>
      </c>
      <c r="S776">
        <f t="shared" si="662"/>
        <v>24204.12</v>
      </c>
      <c r="T776">
        <f t="shared" si="663"/>
        <v>0</v>
      </c>
      <c r="U776">
        <f t="shared" si="664"/>
        <v>93.088474999999988</v>
      </c>
      <c r="V776">
        <f t="shared" si="665"/>
        <v>0</v>
      </c>
      <c r="W776">
        <f t="shared" si="666"/>
        <v>0</v>
      </c>
      <c r="X776">
        <f t="shared" si="667"/>
        <v>21783.71</v>
      </c>
      <c r="Y776">
        <f t="shared" si="668"/>
        <v>9923.69</v>
      </c>
      <c r="AA776">
        <v>42938047</v>
      </c>
      <c r="AB776">
        <f t="shared" si="669"/>
        <v>66.718000000000004</v>
      </c>
      <c r="AC776">
        <f t="shared" si="670"/>
        <v>0</v>
      </c>
      <c r="AD776">
        <f>ROUND(((((ET776*1.25))-((EU776*1.25)))+AE776),6)</f>
        <v>9.7125000000000004</v>
      </c>
      <c r="AE776">
        <f>ROUND(((EU776*1.25)),6)</f>
        <v>1.2124999999999999</v>
      </c>
      <c r="AF776">
        <f>ROUND(((EV776*1.15)),6)</f>
        <v>57.005499999999998</v>
      </c>
      <c r="AG776">
        <f t="shared" si="671"/>
        <v>0</v>
      </c>
      <c r="AH776">
        <f>((EW776*1.15))</f>
        <v>5.5774999999999988</v>
      </c>
      <c r="AI776">
        <f>((EX776*1.25))</f>
        <v>0</v>
      </c>
      <c r="AJ776">
        <f t="shared" si="672"/>
        <v>0</v>
      </c>
      <c r="AK776">
        <v>57.34</v>
      </c>
      <c r="AL776">
        <v>0</v>
      </c>
      <c r="AM776">
        <v>7.77</v>
      </c>
      <c r="AN776">
        <v>0.97</v>
      </c>
      <c r="AO776">
        <v>49.57</v>
      </c>
      <c r="AP776">
        <v>0</v>
      </c>
      <c r="AQ776">
        <v>4.8499999999999996</v>
      </c>
      <c r="AR776">
        <v>0</v>
      </c>
      <c r="AS776">
        <v>0</v>
      </c>
      <c r="AT776">
        <v>90</v>
      </c>
      <c r="AU776">
        <v>41</v>
      </c>
      <c r="AV776">
        <v>1</v>
      </c>
      <c r="AW776">
        <v>1</v>
      </c>
      <c r="AZ776">
        <v>1</v>
      </c>
      <c r="BA776">
        <v>25.44</v>
      </c>
      <c r="BB776">
        <v>9.32</v>
      </c>
      <c r="BC776">
        <v>1</v>
      </c>
      <c r="BD776" t="s">
        <v>3</v>
      </c>
      <c r="BE776" t="s">
        <v>3</v>
      </c>
      <c r="BF776" t="s">
        <v>3</v>
      </c>
      <c r="BG776" t="s">
        <v>3</v>
      </c>
      <c r="BH776">
        <v>0</v>
      </c>
      <c r="BI776">
        <v>1</v>
      </c>
      <c r="BJ776" t="s">
        <v>885</v>
      </c>
      <c r="BM776">
        <v>302</v>
      </c>
      <c r="BN776">
        <v>0</v>
      </c>
      <c r="BO776" t="s">
        <v>883</v>
      </c>
      <c r="BP776">
        <v>1</v>
      </c>
      <c r="BQ776">
        <v>30</v>
      </c>
      <c r="BR776">
        <v>0</v>
      </c>
      <c r="BS776">
        <v>25.44</v>
      </c>
      <c r="BT776">
        <v>1</v>
      </c>
      <c r="BU776">
        <v>1</v>
      </c>
      <c r="BV776">
        <v>1</v>
      </c>
      <c r="BW776">
        <v>1</v>
      </c>
      <c r="BX776">
        <v>1</v>
      </c>
      <c r="BY776" t="s">
        <v>3</v>
      </c>
      <c r="BZ776">
        <v>90</v>
      </c>
      <c r="CA776">
        <v>41</v>
      </c>
      <c r="CB776" t="s">
        <v>3</v>
      </c>
      <c r="CE776">
        <v>30</v>
      </c>
      <c r="CF776">
        <v>0</v>
      </c>
      <c r="CG776">
        <v>0</v>
      </c>
      <c r="CM776">
        <v>0</v>
      </c>
      <c r="CN776" t="s">
        <v>1584</v>
      </c>
      <c r="CO776">
        <v>0</v>
      </c>
      <c r="CP776">
        <f t="shared" si="673"/>
        <v>25714.89</v>
      </c>
      <c r="CQ776">
        <f t="shared" si="674"/>
        <v>0</v>
      </c>
      <c r="CR776">
        <f>(ROUND((ROUND((((ET776*1.25))*AV776*1),2)*BB776),2)+ROUND((ROUND(((AE776-((EU776*1.25)))*AV776*1),2)*BS776),2))</f>
        <v>90.5</v>
      </c>
      <c r="CS776">
        <f t="shared" si="675"/>
        <v>30.78</v>
      </c>
      <c r="CT776">
        <f t="shared" si="676"/>
        <v>1450.33</v>
      </c>
      <c r="CU776">
        <f t="shared" si="677"/>
        <v>0</v>
      </c>
      <c r="CV776">
        <f t="shared" si="678"/>
        <v>5.5774999999999988</v>
      </c>
      <c r="CW776">
        <f t="shared" si="679"/>
        <v>0</v>
      </c>
      <c r="CX776">
        <f t="shared" si="680"/>
        <v>0</v>
      </c>
      <c r="CY776">
        <f t="shared" si="681"/>
        <v>21783.707999999999</v>
      </c>
      <c r="CZ776">
        <f t="shared" si="682"/>
        <v>9923.6891999999989</v>
      </c>
      <c r="DC776" t="s">
        <v>3</v>
      </c>
      <c r="DD776" t="s">
        <v>3</v>
      </c>
      <c r="DE776" t="s">
        <v>20</v>
      </c>
      <c r="DF776" t="s">
        <v>20</v>
      </c>
      <c r="DG776" t="s">
        <v>21</v>
      </c>
      <c r="DH776" t="s">
        <v>3</v>
      </c>
      <c r="DI776" t="s">
        <v>21</v>
      </c>
      <c r="DJ776" t="s">
        <v>20</v>
      </c>
      <c r="DK776" t="s">
        <v>3</v>
      </c>
      <c r="DL776" t="s">
        <v>3</v>
      </c>
      <c r="DM776" t="s">
        <v>3</v>
      </c>
      <c r="DN776">
        <v>156</v>
      </c>
      <c r="DO776">
        <v>84</v>
      </c>
      <c r="DP776">
        <v>1</v>
      </c>
      <c r="DQ776">
        <v>1</v>
      </c>
      <c r="DU776">
        <v>1005</v>
      </c>
      <c r="DV776" t="s">
        <v>18</v>
      </c>
      <c r="DW776" t="s">
        <v>18</v>
      </c>
      <c r="DX776">
        <v>100</v>
      </c>
      <c r="DZ776" t="s">
        <v>3</v>
      </c>
      <c r="EA776" t="s">
        <v>3</v>
      </c>
      <c r="EB776" t="s">
        <v>3</v>
      </c>
      <c r="EC776" t="s">
        <v>3</v>
      </c>
      <c r="EE776">
        <v>43088380</v>
      </c>
      <c r="EF776">
        <v>30</v>
      </c>
      <c r="EG776" t="s">
        <v>22</v>
      </c>
      <c r="EH776">
        <v>0</v>
      </c>
      <c r="EI776" t="s">
        <v>3</v>
      </c>
      <c r="EJ776">
        <v>1</v>
      </c>
      <c r="EK776">
        <v>302</v>
      </c>
      <c r="EL776" t="s">
        <v>877</v>
      </c>
      <c r="EM776" t="s">
        <v>878</v>
      </c>
      <c r="EO776" t="s">
        <v>59</v>
      </c>
      <c r="EQ776">
        <v>0</v>
      </c>
      <c r="ER776">
        <v>57.34</v>
      </c>
      <c r="ES776">
        <v>0</v>
      </c>
      <c r="ET776">
        <v>7.77</v>
      </c>
      <c r="EU776">
        <v>0.97</v>
      </c>
      <c r="EV776">
        <v>49.57</v>
      </c>
      <c r="EW776">
        <v>4.8499999999999996</v>
      </c>
      <c r="EX776">
        <v>0</v>
      </c>
      <c r="EY776">
        <v>0</v>
      </c>
      <c r="FQ776">
        <v>0</v>
      </c>
      <c r="FR776">
        <f t="shared" si="683"/>
        <v>0</v>
      </c>
      <c r="FS776">
        <v>0</v>
      </c>
      <c r="FX776">
        <v>156</v>
      </c>
      <c r="FY776">
        <v>84</v>
      </c>
      <c r="GA776" t="s">
        <v>3</v>
      </c>
      <c r="GD776">
        <v>0</v>
      </c>
      <c r="GF776">
        <v>-1862509550</v>
      </c>
      <c r="GG776">
        <v>2</v>
      </c>
      <c r="GH776">
        <v>1</v>
      </c>
      <c r="GI776">
        <v>2</v>
      </c>
      <c r="GJ776">
        <v>0</v>
      </c>
      <c r="GK776">
        <f>ROUND(R776*(R12)/100,2)</f>
        <v>808.41</v>
      </c>
      <c r="GL776">
        <f t="shared" si="684"/>
        <v>0</v>
      </c>
      <c r="GM776">
        <f t="shared" si="685"/>
        <v>58230.7</v>
      </c>
      <c r="GN776">
        <f t="shared" si="686"/>
        <v>58230.7</v>
      </c>
      <c r="GO776">
        <f t="shared" si="687"/>
        <v>0</v>
      </c>
      <c r="GP776">
        <f t="shared" si="688"/>
        <v>0</v>
      </c>
      <c r="GR776">
        <v>0</v>
      </c>
      <c r="GS776">
        <v>3</v>
      </c>
      <c r="GT776">
        <v>0</v>
      </c>
      <c r="GU776" t="s">
        <v>3</v>
      </c>
      <c r="GV776">
        <f t="shared" si="689"/>
        <v>0</v>
      </c>
      <c r="GW776">
        <v>1</v>
      </c>
      <c r="GX776">
        <f t="shared" si="690"/>
        <v>0</v>
      </c>
      <c r="HA776">
        <v>0</v>
      </c>
      <c r="HB776">
        <v>0</v>
      </c>
      <c r="HC776">
        <f t="shared" si="691"/>
        <v>0</v>
      </c>
      <c r="HE776" t="s">
        <v>3</v>
      </c>
      <c r="HF776" t="s">
        <v>3</v>
      </c>
      <c r="HM776" t="s">
        <v>3</v>
      </c>
      <c r="IK776">
        <v>0</v>
      </c>
    </row>
    <row r="777" spans="1:245" x14ac:dyDescent="0.2">
      <c r="A777">
        <v>18</v>
      </c>
      <c r="B777">
        <v>1</v>
      </c>
      <c r="C777">
        <v>426</v>
      </c>
      <c r="E777" t="s">
        <v>886</v>
      </c>
      <c r="F777" t="s">
        <v>887</v>
      </c>
      <c r="G777" t="s">
        <v>888</v>
      </c>
      <c r="H777" t="s">
        <v>131</v>
      </c>
      <c r="I777">
        <f>I776*J777</f>
        <v>6676</v>
      </c>
      <c r="J777">
        <v>399.99999999999994</v>
      </c>
      <c r="K777">
        <v>400</v>
      </c>
      <c r="O777">
        <f t="shared" si="659"/>
        <v>171533.14</v>
      </c>
      <c r="P777">
        <f t="shared" si="660"/>
        <v>171533.14</v>
      </c>
      <c r="Q777">
        <f>(ROUND((ROUND(((ET777)*AV777*I777),2)*BB777),2)+ROUND((ROUND(((AE777-(EU777))*AV777*I777),2)*BS777),2))</f>
        <v>0</v>
      </c>
      <c r="R777">
        <f t="shared" si="661"/>
        <v>0</v>
      </c>
      <c r="S777">
        <f t="shared" si="662"/>
        <v>0</v>
      </c>
      <c r="T777">
        <f t="shared" si="663"/>
        <v>0</v>
      </c>
      <c r="U777">
        <f t="shared" si="664"/>
        <v>0</v>
      </c>
      <c r="V777">
        <f t="shared" si="665"/>
        <v>0</v>
      </c>
      <c r="W777">
        <f t="shared" si="666"/>
        <v>0</v>
      </c>
      <c r="X777">
        <f t="shared" si="667"/>
        <v>0</v>
      </c>
      <c r="Y777">
        <f t="shared" si="668"/>
        <v>0</v>
      </c>
      <c r="AA777">
        <v>42938047</v>
      </c>
      <c r="AB777">
        <f t="shared" si="669"/>
        <v>17.72</v>
      </c>
      <c r="AC777">
        <f t="shared" si="670"/>
        <v>17.72</v>
      </c>
      <c r="AD777">
        <f>ROUND((((ET777)-(EU777))+AE777),6)</f>
        <v>0</v>
      </c>
      <c r="AE777">
        <f t="shared" ref="AE777:AF779" si="692">ROUND((EU777),6)</f>
        <v>0</v>
      </c>
      <c r="AF777">
        <f t="shared" si="692"/>
        <v>0</v>
      </c>
      <c r="AG777">
        <f t="shared" si="671"/>
        <v>0</v>
      </c>
      <c r="AH777">
        <f t="shared" ref="AH777:AI779" si="693">(EW777)</f>
        <v>0</v>
      </c>
      <c r="AI777">
        <f t="shared" si="693"/>
        <v>0</v>
      </c>
      <c r="AJ777">
        <f t="shared" si="672"/>
        <v>0</v>
      </c>
      <c r="AK777">
        <v>17.72</v>
      </c>
      <c r="AL777">
        <v>17.72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1</v>
      </c>
      <c r="AW777">
        <v>1</v>
      </c>
      <c r="AZ777">
        <v>1</v>
      </c>
      <c r="BA777">
        <v>1</v>
      </c>
      <c r="BB777">
        <v>1</v>
      </c>
      <c r="BC777">
        <v>1.45</v>
      </c>
      <c r="BD777" t="s">
        <v>3</v>
      </c>
      <c r="BE777" t="s">
        <v>3</v>
      </c>
      <c r="BF777" t="s">
        <v>3</v>
      </c>
      <c r="BG777" t="s">
        <v>3</v>
      </c>
      <c r="BH777">
        <v>3</v>
      </c>
      <c r="BI777">
        <v>1</v>
      </c>
      <c r="BJ777" t="s">
        <v>889</v>
      </c>
      <c r="BM777">
        <v>302</v>
      </c>
      <c r="BN777">
        <v>0</v>
      </c>
      <c r="BO777" t="s">
        <v>887</v>
      </c>
      <c r="BP777">
        <v>1</v>
      </c>
      <c r="BQ777">
        <v>30</v>
      </c>
      <c r="BR777">
        <v>0</v>
      </c>
      <c r="BS777">
        <v>1</v>
      </c>
      <c r="BT777">
        <v>1</v>
      </c>
      <c r="BU777">
        <v>1</v>
      </c>
      <c r="BV777">
        <v>1</v>
      </c>
      <c r="BW777">
        <v>1</v>
      </c>
      <c r="BX777">
        <v>1</v>
      </c>
      <c r="BY777" t="s">
        <v>3</v>
      </c>
      <c r="BZ777">
        <v>0</v>
      </c>
      <c r="CA777">
        <v>0</v>
      </c>
      <c r="CB777" t="s">
        <v>3</v>
      </c>
      <c r="CE777">
        <v>30</v>
      </c>
      <c r="CF777">
        <v>0</v>
      </c>
      <c r="CG777">
        <v>0</v>
      </c>
      <c r="CM777">
        <v>0</v>
      </c>
      <c r="CN777" t="s">
        <v>3</v>
      </c>
      <c r="CO777">
        <v>0</v>
      </c>
      <c r="CP777">
        <f t="shared" si="673"/>
        <v>171533.14</v>
      </c>
      <c r="CQ777">
        <f t="shared" si="674"/>
        <v>25.69</v>
      </c>
      <c r="CR777">
        <f>(ROUND((ROUND(((ET777)*AV777*1),2)*BB777),2)+ROUND((ROUND(((AE777-(EU777))*AV777*1),2)*BS777),2))</f>
        <v>0</v>
      </c>
      <c r="CS777">
        <f t="shared" si="675"/>
        <v>0</v>
      </c>
      <c r="CT777">
        <f t="shared" si="676"/>
        <v>0</v>
      </c>
      <c r="CU777">
        <f t="shared" si="677"/>
        <v>0</v>
      </c>
      <c r="CV777">
        <f t="shared" si="678"/>
        <v>0</v>
      </c>
      <c r="CW777">
        <f t="shared" si="679"/>
        <v>0</v>
      </c>
      <c r="CX777">
        <f t="shared" si="680"/>
        <v>0</v>
      </c>
      <c r="CY777">
        <f t="shared" si="681"/>
        <v>0</v>
      </c>
      <c r="CZ777">
        <f t="shared" si="682"/>
        <v>0</v>
      </c>
      <c r="DC777" t="s">
        <v>3</v>
      </c>
      <c r="DD777" t="s">
        <v>3</v>
      </c>
      <c r="DE777" t="s">
        <v>3</v>
      </c>
      <c r="DF777" t="s">
        <v>3</v>
      </c>
      <c r="DG777" t="s">
        <v>3</v>
      </c>
      <c r="DH777" t="s">
        <v>3</v>
      </c>
      <c r="DI777" t="s">
        <v>3</v>
      </c>
      <c r="DJ777" t="s">
        <v>3</v>
      </c>
      <c r="DK777" t="s">
        <v>3</v>
      </c>
      <c r="DL777" t="s">
        <v>3</v>
      </c>
      <c r="DM777" t="s">
        <v>3</v>
      </c>
      <c r="DN777">
        <v>156</v>
      </c>
      <c r="DO777">
        <v>84</v>
      </c>
      <c r="DP777">
        <v>1</v>
      </c>
      <c r="DQ777">
        <v>1</v>
      </c>
      <c r="DU777">
        <v>1009</v>
      </c>
      <c r="DV777" t="s">
        <v>131</v>
      </c>
      <c r="DW777" t="s">
        <v>131</v>
      </c>
      <c r="DX777">
        <v>1</v>
      </c>
      <c r="DZ777" t="s">
        <v>3</v>
      </c>
      <c r="EA777" t="s">
        <v>3</v>
      </c>
      <c r="EB777" t="s">
        <v>3</v>
      </c>
      <c r="EC777" t="s">
        <v>3</v>
      </c>
      <c r="EE777">
        <v>43088380</v>
      </c>
      <c r="EF777">
        <v>30</v>
      </c>
      <c r="EG777" t="s">
        <v>22</v>
      </c>
      <c r="EH777">
        <v>0</v>
      </c>
      <c r="EI777" t="s">
        <v>3</v>
      </c>
      <c r="EJ777">
        <v>1</v>
      </c>
      <c r="EK777">
        <v>302</v>
      </c>
      <c r="EL777" t="s">
        <v>877</v>
      </c>
      <c r="EM777" t="s">
        <v>878</v>
      </c>
      <c r="EO777" t="s">
        <v>3</v>
      </c>
      <c r="EQ777">
        <v>0</v>
      </c>
      <c r="ER777">
        <v>17.72</v>
      </c>
      <c r="ES777">
        <v>17.72</v>
      </c>
      <c r="ET777">
        <v>0</v>
      </c>
      <c r="EU777">
        <v>0</v>
      </c>
      <c r="EV777">
        <v>0</v>
      </c>
      <c r="EW777">
        <v>0</v>
      </c>
      <c r="EX777">
        <v>0</v>
      </c>
      <c r="FQ777">
        <v>0</v>
      </c>
      <c r="FR777">
        <f t="shared" si="683"/>
        <v>0</v>
      </c>
      <c r="FS777">
        <v>0</v>
      </c>
      <c r="FX777">
        <v>156</v>
      </c>
      <c r="FY777">
        <v>84</v>
      </c>
      <c r="GA777" t="s">
        <v>3</v>
      </c>
      <c r="GD777">
        <v>0</v>
      </c>
      <c r="GF777">
        <v>-668919807</v>
      </c>
      <c r="GG777">
        <v>2</v>
      </c>
      <c r="GH777">
        <v>1</v>
      </c>
      <c r="GI777">
        <v>2</v>
      </c>
      <c r="GJ777">
        <v>0</v>
      </c>
      <c r="GK777">
        <f>ROUND(R777*(R12)/100,2)</f>
        <v>0</v>
      </c>
      <c r="GL777">
        <f t="shared" si="684"/>
        <v>0</v>
      </c>
      <c r="GM777">
        <f t="shared" si="685"/>
        <v>171533.14</v>
      </c>
      <c r="GN777">
        <f t="shared" si="686"/>
        <v>171533.14</v>
      </c>
      <c r="GO777">
        <f t="shared" si="687"/>
        <v>0</v>
      </c>
      <c r="GP777">
        <f t="shared" si="688"/>
        <v>0</v>
      </c>
      <c r="GR777">
        <v>0</v>
      </c>
      <c r="GS777">
        <v>3</v>
      </c>
      <c r="GT777">
        <v>0</v>
      </c>
      <c r="GU777" t="s">
        <v>3</v>
      </c>
      <c r="GV777">
        <f t="shared" si="689"/>
        <v>0</v>
      </c>
      <c r="GW777">
        <v>1</v>
      </c>
      <c r="GX777">
        <f t="shared" si="690"/>
        <v>0</v>
      </c>
      <c r="HA777">
        <v>0</v>
      </c>
      <c r="HB777">
        <v>0</v>
      </c>
      <c r="HC777">
        <f t="shared" si="691"/>
        <v>0</v>
      </c>
      <c r="HE777" t="s">
        <v>3</v>
      </c>
      <c r="HF777" t="s">
        <v>3</v>
      </c>
      <c r="HM777" t="s">
        <v>3</v>
      </c>
      <c r="IK777">
        <v>0</v>
      </c>
    </row>
    <row r="778" spans="1:245" x14ac:dyDescent="0.2">
      <c r="A778">
        <v>17</v>
      </c>
      <c r="B778">
        <v>1</v>
      </c>
      <c r="C778">
        <f>ROW(SmtRes!A427)</f>
        <v>427</v>
      </c>
      <c r="D778">
        <f>ROW(EtalonRes!A421)</f>
        <v>421</v>
      </c>
      <c r="E778" t="s">
        <v>890</v>
      </c>
      <c r="F778" t="s">
        <v>891</v>
      </c>
      <c r="G778" t="s">
        <v>892</v>
      </c>
      <c r="H778" t="s">
        <v>104</v>
      </c>
      <c r="I778">
        <v>534</v>
      </c>
      <c r="J778">
        <v>0</v>
      </c>
      <c r="K778">
        <v>534</v>
      </c>
      <c r="O778">
        <f t="shared" si="659"/>
        <v>48379.44</v>
      </c>
      <c r="P778">
        <f t="shared" si="660"/>
        <v>0</v>
      </c>
      <c r="Q778">
        <f>(ROUND((ROUND(((ET778)*AV778*I778),2)*BB778),2)+ROUND((ROUND(((AE778-(EU778))*AV778*I778),2)*BS778),2))</f>
        <v>48379.44</v>
      </c>
      <c r="R778">
        <f t="shared" si="661"/>
        <v>0</v>
      </c>
      <c r="S778">
        <f t="shared" si="662"/>
        <v>0</v>
      </c>
      <c r="T778">
        <f t="shared" si="663"/>
        <v>0</v>
      </c>
      <c r="U778">
        <f t="shared" si="664"/>
        <v>0</v>
      </c>
      <c r="V778">
        <f t="shared" si="665"/>
        <v>0</v>
      </c>
      <c r="W778">
        <f t="shared" si="666"/>
        <v>0</v>
      </c>
      <c r="X778">
        <f t="shared" si="667"/>
        <v>0</v>
      </c>
      <c r="Y778">
        <f t="shared" si="668"/>
        <v>0</v>
      </c>
      <c r="AA778">
        <v>42938047</v>
      </c>
      <c r="AB778">
        <f t="shared" si="669"/>
        <v>7.42</v>
      </c>
      <c r="AC778">
        <f t="shared" si="670"/>
        <v>0</v>
      </c>
      <c r="AD778">
        <f>ROUND((((ET778)-(EU778))+AE778),6)</f>
        <v>7.42</v>
      </c>
      <c r="AE778">
        <f t="shared" si="692"/>
        <v>0</v>
      </c>
      <c r="AF778">
        <f t="shared" si="692"/>
        <v>0</v>
      </c>
      <c r="AG778">
        <f t="shared" si="671"/>
        <v>0</v>
      </c>
      <c r="AH778">
        <f t="shared" si="693"/>
        <v>0</v>
      </c>
      <c r="AI778">
        <f t="shared" si="693"/>
        <v>0</v>
      </c>
      <c r="AJ778">
        <f t="shared" si="672"/>
        <v>0</v>
      </c>
      <c r="AK778">
        <v>7.42</v>
      </c>
      <c r="AL778">
        <v>0</v>
      </c>
      <c r="AM778">
        <v>7.42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93</v>
      </c>
      <c r="AU778">
        <v>64</v>
      </c>
      <c r="AV778">
        <v>1</v>
      </c>
      <c r="AW778">
        <v>1</v>
      </c>
      <c r="AZ778">
        <v>1</v>
      </c>
      <c r="BA778">
        <v>1</v>
      </c>
      <c r="BB778">
        <v>12.21</v>
      </c>
      <c r="BC778">
        <v>1</v>
      </c>
      <c r="BD778" t="s">
        <v>3</v>
      </c>
      <c r="BE778" t="s">
        <v>3</v>
      </c>
      <c r="BF778" t="s">
        <v>3</v>
      </c>
      <c r="BG778" t="s">
        <v>3</v>
      </c>
      <c r="BH778">
        <v>0</v>
      </c>
      <c r="BI778">
        <v>4</v>
      </c>
      <c r="BJ778" t="s">
        <v>893</v>
      </c>
      <c r="BM778">
        <v>1111</v>
      </c>
      <c r="BN778">
        <v>0</v>
      </c>
      <c r="BO778" t="s">
        <v>891</v>
      </c>
      <c r="BP778">
        <v>1</v>
      </c>
      <c r="BQ778">
        <v>150</v>
      </c>
      <c r="BR778">
        <v>0</v>
      </c>
      <c r="BS778">
        <v>1</v>
      </c>
      <c r="BT778">
        <v>1</v>
      </c>
      <c r="BU778">
        <v>1</v>
      </c>
      <c r="BV778">
        <v>1</v>
      </c>
      <c r="BW778">
        <v>1</v>
      </c>
      <c r="BX778">
        <v>1</v>
      </c>
      <c r="BY778" t="s">
        <v>3</v>
      </c>
      <c r="BZ778">
        <v>93</v>
      </c>
      <c r="CA778">
        <v>64</v>
      </c>
      <c r="CB778" t="s">
        <v>3</v>
      </c>
      <c r="CE778">
        <v>30</v>
      </c>
      <c r="CF778">
        <v>0</v>
      </c>
      <c r="CG778">
        <v>0</v>
      </c>
      <c r="CM778">
        <v>0</v>
      </c>
      <c r="CN778" t="s">
        <v>3</v>
      </c>
      <c r="CO778">
        <v>0</v>
      </c>
      <c r="CP778">
        <f t="shared" si="673"/>
        <v>48379.44</v>
      </c>
      <c r="CQ778">
        <f t="shared" si="674"/>
        <v>0</v>
      </c>
      <c r="CR778">
        <f>(ROUND((ROUND(((ET778)*AV778*1),2)*BB778),2)+ROUND((ROUND(((AE778-(EU778))*AV778*1),2)*BS778),2))</f>
        <v>90.6</v>
      </c>
      <c r="CS778">
        <f t="shared" si="675"/>
        <v>0</v>
      </c>
      <c r="CT778">
        <f t="shared" si="676"/>
        <v>0</v>
      </c>
      <c r="CU778">
        <f t="shared" si="677"/>
        <v>0</v>
      </c>
      <c r="CV778">
        <f t="shared" si="678"/>
        <v>0</v>
      </c>
      <c r="CW778">
        <f t="shared" si="679"/>
        <v>0</v>
      </c>
      <c r="CX778">
        <f t="shared" si="680"/>
        <v>0</v>
      </c>
      <c r="CY778">
        <f t="shared" si="681"/>
        <v>0</v>
      </c>
      <c r="CZ778">
        <f t="shared" si="682"/>
        <v>0</v>
      </c>
      <c r="DC778" t="s">
        <v>3</v>
      </c>
      <c r="DD778" t="s">
        <v>3</v>
      </c>
      <c r="DE778" t="s">
        <v>3</v>
      </c>
      <c r="DF778" t="s">
        <v>3</v>
      </c>
      <c r="DG778" t="s">
        <v>3</v>
      </c>
      <c r="DH778" t="s">
        <v>3</v>
      </c>
      <c r="DI778" t="s">
        <v>3</v>
      </c>
      <c r="DJ778" t="s">
        <v>3</v>
      </c>
      <c r="DK778" t="s">
        <v>3</v>
      </c>
      <c r="DL778" t="s">
        <v>3</v>
      </c>
      <c r="DM778" t="s">
        <v>3</v>
      </c>
      <c r="DN778">
        <v>0</v>
      </c>
      <c r="DO778">
        <v>0</v>
      </c>
      <c r="DP778">
        <v>1</v>
      </c>
      <c r="DQ778">
        <v>1</v>
      </c>
      <c r="DU778">
        <v>1009</v>
      </c>
      <c r="DV778" t="s">
        <v>104</v>
      </c>
      <c r="DW778" t="s">
        <v>104</v>
      </c>
      <c r="DX778">
        <v>1000</v>
      </c>
      <c r="DZ778" t="s">
        <v>3</v>
      </c>
      <c r="EA778" t="s">
        <v>3</v>
      </c>
      <c r="EB778" t="s">
        <v>3</v>
      </c>
      <c r="EC778" t="s">
        <v>3</v>
      </c>
      <c r="EE778">
        <v>43089189</v>
      </c>
      <c r="EF778">
        <v>150</v>
      </c>
      <c r="EG778" t="s">
        <v>190</v>
      </c>
      <c r="EH778">
        <v>0</v>
      </c>
      <c r="EI778" t="s">
        <v>3</v>
      </c>
      <c r="EJ778">
        <v>4</v>
      </c>
      <c r="EK778">
        <v>1111</v>
      </c>
      <c r="EL778" t="s">
        <v>207</v>
      </c>
      <c r="EM778" t="s">
        <v>208</v>
      </c>
      <c r="EO778" t="s">
        <v>3</v>
      </c>
      <c r="EQ778">
        <v>0</v>
      </c>
      <c r="ER778">
        <v>7.42</v>
      </c>
      <c r="ES778">
        <v>0</v>
      </c>
      <c r="ET778">
        <v>7.42</v>
      </c>
      <c r="EU778">
        <v>0</v>
      </c>
      <c r="EV778">
        <v>0</v>
      </c>
      <c r="EW778">
        <v>0</v>
      </c>
      <c r="EX778">
        <v>0</v>
      </c>
      <c r="EY778">
        <v>0</v>
      </c>
      <c r="FQ778">
        <v>0</v>
      </c>
      <c r="FR778">
        <f t="shared" si="683"/>
        <v>0</v>
      </c>
      <c r="FS778">
        <v>0</v>
      </c>
      <c r="FX778">
        <v>0</v>
      </c>
      <c r="FY778">
        <v>0</v>
      </c>
      <c r="GA778" t="s">
        <v>3</v>
      </c>
      <c r="GD778">
        <v>0</v>
      </c>
      <c r="GF778">
        <v>935345012</v>
      </c>
      <c r="GG778">
        <v>2</v>
      </c>
      <c r="GH778">
        <v>1</v>
      </c>
      <c r="GI778">
        <v>2</v>
      </c>
      <c r="GJ778">
        <v>0</v>
      </c>
      <c r="GK778">
        <f>ROUND(R778*(R12)/100,2)</f>
        <v>0</v>
      </c>
      <c r="GL778">
        <f t="shared" si="684"/>
        <v>0</v>
      </c>
      <c r="GM778">
        <f t="shared" si="685"/>
        <v>48379.44</v>
      </c>
      <c r="GN778">
        <f t="shared" si="686"/>
        <v>0</v>
      </c>
      <c r="GO778">
        <f t="shared" si="687"/>
        <v>0</v>
      </c>
      <c r="GP778">
        <f t="shared" si="688"/>
        <v>48379.44</v>
      </c>
      <c r="GR778">
        <v>0</v>
      </c>
      <c r="GS778">
        <v>3</v>
      </c>
      <c r="GT778">
        <v>0</v>
      </c>
      <c r="GU778" t="s">
        <v>3</v>
      </c>
      <c r="GV778">
        <f t="shared" si="689"/>
        <v>0</v>
      </c>
      <c r="GW778">
        <v>1</v>
      </c>
      <c r="GX778">
        <f t="shared" si="690"/>
        <v>0</v>
      </c>
      <c r="HA778">
        <v>0</v>
      </c>
      <c r="HB778">
        <v>0</v>
      </c>
      <c r="HC778">
        <f t="shared" si="691"/>
        <v>0</v>
      </c>
      <c r="HE778" t="s">
        <v>3</v>
      </c>
      <c r="HF778" t="s">
        <v>3</v>
      </c>
      <c r="HM778" t="s">
        <v>3</v>
      </c>
      <c r="IK778">
        <v>0</v>
      </c>
    </row>
    <row r="779" spans="1:245" x14ac:dyDescent="0.2">
      <c r="A779">
        <v>17</v>
      </c>
      <c r="B779">
        <v>1</v>
      </c>
      <c r="C779">
        <f>ROW(SmtRes!A428)</f>
        <v>428</v>
      </c>
      <c r="D779">
        <f>ROW(EtalonRes!A422)</f>
        <v>422</v>
      </c>
      <c r="E779" t="s">
        <v>894</v>
      </c>
      <c r="F779" t="s">
        <v>210</v>
      </c>
      <c r="G779" t="s">
        <v>211</v>
      </c>
      <c r="H779" t="s">
        <v>182</v>
      </c>
      <c r="I779">
        <v>534</v>
      </c>
      <c r="J779">
        <v>0</v>
      </c>
      <c r="K779">
        <v>534</v>
      </c>
      <c r="O779">
        <f t="shared" si="659"/>
        <v>51378.44</v>
      </c>
      <c r="P779">
        <f t="shared" si="660"/>
        <v>0</v>
      </c>
      <c r="Q779">
        <f>(ROUND((ROUND(((ET779)*AV779*I779),2)*BB779),2)+ROUND((ROUND(((AE779-(EU779))*AV779*I779),2)*BS779),2))</f>
        <v>51378.44</v>
      </c>
      <c r="R779">
        <f t="shared" si="661"/>
        <v>0</v>
      </c>
      <c r="S779">
        <f t="shared" si="662"/>
        <v>0</v>
      </c>
      <c r="T779">
        <f t="shared" si="663"/>
        <v>0</v>
      </c>
      <c r="U779">
        <f t="shared" si="664"/>
        <v>0</v>
      </c>
      <c r="V779">
        <f t="shared" si="665"/>
        <v>0</v>
      </c>
      <c r="W779">
        <f t="shared" si="666"/>
        <v>0</v>
      </c>
      <c r="X779">
        <f t="shared" si="667"/>
        <v>0</v>
      </c>
      <c r="Y779">
        <f t="shared" si="668"/>
        <v>0</v>
      </c>
      <c r="AA779">
        <v>42938047</v>
      </c>
      <c r="AB779">
        <f t="shared" si="669"/>
        <v>12.61</v>
      </c>
      <c r="AC779">
        <f t="shared" si="670"/>
        <v>0</v>
      </c>
      <c r="AD779">
        <f>ROUND((((ET779)-(EU779))+AE779),6)</f>
        <v>12.61</v>
      </c>
      <c r="AE779">
        <f t="shared" si="692"/>
        <v>0</v>
      </c>
      <c r="AF779">
        <f t="shared" si="692"/>
        <v>0</v>
      </c>
      <c r="AG779">
        <f t="shared" si="671"/>
        <v>0</v>
      </c>
      <c r="AH779">
        <f t="shared" si="693"/>
        <v>0</v>
      </c>
      <c r="AI779">
        <f t="shared" si="693"/>
        <v>0</v>
      </c>
      <c r="AJ779">
        <f t="shared" si="672"/>
        <v>0</v>
      </c>
      <c r="AK779">
        <v>12.61</v>
      </c>
      <c r="AL779">
        <v>0</v>
      </c>
      <c r="AM779">
        <v>12.61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93</v>
      </c>
      <c r="AU779">
        <v>64</v>
      </c>
      <c r="AV779">
        <v>1</v>
      </c>
      <c r="AW779">
        <v>1</v>
      </c>
      <c r="AZ779">
        <v>1</v>
      </c>
      <c r="BA779">
        <v>1</v>
      </c>
      <c r="BB779">
        <v>7.63</v>
      </c>
      <c r="BC779">
        <v>1</v>
      </c>
      <c r="BD779" t="s">
        <v>3</v>
      </c>
      <c r="BE779" t="s">
        <v>3</v>
      </c>
      <c r="BF779" t="s">
        <v>3</v>
      </c>
      <c r="BG779" t="s">
        <v>3</v>
      </c>
      <c r="BH779">
        <v>0</v>
      </c>
      <c r="BI779">
        <v>4</v>
      </c>
      <c r="BJ779" t="s">
        <v>212</v>
      </c>
      <c r="BM779">
        <v>1113</v>
      </c>
      <c r="BN779">
        <v>0</v>
      </c>
      <c r="BO779" t="s">
        <v>210</v>
      </c>
      <c r="BP779">
        <v>1</v>
      </c>
      <c r="BQ779">
        <v>150</v>
      </c>
      <c r="BR779">
        <v>0</v>
      </c>
      <c r="BS779">
        <v>1</v>
      </c>
      <c r="BT779">
        <v>1</v>
      </c>
      <c r="BU779">
        <v>1</v>
      </c>
      <c r="BV779">
        <v>1</v>
      </c>
      <c r="BW779">
        <v>1</v>
      </c>
      <c r="BX779">
        <v>1</v>
      </c>
      <c r="BY779" t="s">
        <v>3</v>
      </c>
      <c r="BZ779">
        <v>93</v>
      </c>
      <c r="CA779">
        <v>64</v>
      </c>
      <c r="CB779" t="s">
        <v>3</v>
      </c>
      <c r="CE779">
        <v>30</v>
      </c>
      <c r="CF779">
        <v>0</v>
      </c>
      <c r="CG779">
        <v>0</v>
      </c>
      <c r="CM779">
        <v>0</v>
      </c>
      <c r="CN779" t="s">
        <v>3</v>
      </c>
      <c r="CO779">
        <v>0</v>
      </c>
      <c r="CP779">
        <f t="shared" si="673"/>
        <v>51378.44</v>
      </c>
      <c r="CQ779">
        <f t="shared" si="674"/>
        <v>0</v>
      </c>
      <c r="CR779">
        <f>(ROUND((ROUND(((ET779)*AV779*1),2)*BB779),2)+ROUND((ROUND(((AE779-(EU779))*AV779*1),2)*BS779),2))</f>
        <v>96.21</v>
      </c>
      <c r="CS779">
        <f t="shared" si="675"/>
        <v>0</v>
      </c>
      <c r="CT779">
        <f t="shared" si="676"/>
        <v>0</v>
      </c>
      <c r="CU779">
        <f t="shared" si="677"/>
        <v>0</v>
      </c>
      <c r="CV779">
        <f t="shared" si="678"/>
        <v>0</v>
      </c>
      <c r="CW779">
        <f t="shared" si="679"/>
        <v>0</v>
      </c>
      <c r="CX779">
        <f t="shared" si="680"/>
        <v>0</v>
      </c>
      <c r="CY779">
        <f t="shared" si="681"/>
        <v>0</v>
      </c>
      <c r="CZ779">
        <f t="shared" si="682"/>
        <v>0</v>
      </c>
      <c r="DC779" t="s">
        <v>3</v>
      </c>
      <c r="DD779" t="s">
        <v>3</v>
      </c>
      <c r="DE779" t="s">
        <v>3</v>
      </c>
      <c r="DF779" t="s">
        <v>3</v>
      </c>
      <c r="DG779" t="s">
        <v>3</v>
      </c>
      <c r="DH779" t="s">
        <v>3</v>
      </c>
      <c r="DI779" t="s">
        <v>3</v>
      </c>
      <c r="DJ779" t="s">
        <v>3</v>
      </c>
      <c r="DK779" t="s">
        <v>3</v>
      </c>
      <c r="DL779" t="s">
        <v>3</v>
      </c>
      <c r="DM779" t="s">
        <v>3</v>
      </c>
      <c r="DN779">
        <v>0</v>
      </c>
      <c r="DO779">
        <v>0</v>
      </c>
      <c r="DP779">
        <v>1</v>
      </c>
      <c r="DQ779">
        <v>1</v>
      </c>
      <c r="DU779">
        <v>1013</v>
      </c>
      <c r="DV779" t="s">
        <v>182</v>
      </c>
      <c r="DW779" t="s">
        <v>182</v>
      </c>
      <c r="DX779">
        <v>1</v>
      </c>
      <c r="DZ779" t="s">
        <v>3</v>
      </c>
      <c r="EA779" t="s">
        <v>3</v>
      </c>
      <c r="EB779" t="s">
        <v>3</v>
      </c>
      <c r="EC779" t="s">
        <v>3</v>
      </c>
      <c r="EE779">
        <v>43089191</v>
      </c>
      <c r="EF779">
        <v>150</v>
      </c>
      <c r="EG779" t="s">
        <v>190</v>
      </c>
      <c r="EH779">
        <v>0</v>
      </c>
      <c r="EI779" t="s">
        <v>3</v>
      </c>
      <c r="EJ779">
        <v>4</v>
      </c>
      <c r="EK779">
        <v>1113</v>
      </c>
      <c r="EL779" t="s">
        <v>191</v>
      </c>
      <c r="EM779" t="s">
        <v>192</v>
      </c>
      <c r="EO779" t="s">
        <v>3</v>
      </c>
      <c r="EQ779">
        <v>0</v>
      </c>
      <c r="ER779">
        <v>12.61</v>
      </c>
      <c r="ES779">
        <v>0</v>
      </c>
      <c r="ET779">
        <v>12.61</v>
      </c>
      <c r="EU779">
        <v>0</v>
      </c>
      <c r="EV779">
        <v>0</v>
      </c>
      <c r="EW779">
        <v>0</v>
      </c>
      <c r="EX779">
        <v>0</v>
      </c>
      <c r="EY779">
        <v>0</v>
      </c>
      <c r="FQ779">
        <v>0</v>
      </c>
      <c r="FR779">
        <f t="shared" si="683"/>
        <v>0</v>
      </c>
      <c r="FS779">
        <v>0</v>
      </c>
      <c r="FX779">
        <v>0</v>
      </c>
      <c r="FY779">
        <v>0</v>
      </c>
      <c r="GA779" t="s">
        <v>3</v>
      </c>
      <c r="GD779">
        <v>0</v>
      </c>
      <c r="GF779">
        <v>-1630031867</v>
      </c>
      <c r="GG779">
        <v>2</v>
      </c>
      <c r="GH779">
        <v>1</v>
      </c>
      <c r="GI779">
        <v>2</v>
      </c>
      <c r="GJ779">
        <v>0</v>
      </c>
      <c r="GK779">
        <f>ROUND(R779*(R12)/100,2)</f>
        <v>0</v>
      </c>
      <c r="GL779">
        <f t="shared" si="684"/>
        <v>0</v>
      </c>
      <c r="GM779">
        <f t="shared" si="685"/>
        <v>51378.44</v>
      </c>
      <c r="GN779">
        <f t="shared" si="686"/>
        <v>0</v>
      </c>
      <c r="GO779">
        <f t="shared" si="687"/>
        <v>0</v>
      </c>
      <c r="GP779">
        <f t="shared" si="688"/>
        <v>51378.44</v>
      </c>
      <c r="GR779">
        <v>0</v>
      </c>
      <c r="GS779">
        <v>3</v>
      </c>
      <c r="GT779">
        <v>0</v>
      </c>
      <c r="GU779" t="s">
        <v>3</v>
      </c>
      <c r="GV779">
        <f t="shared" si="689"/>
        <v>0</v>
      </c>
      <c r="GW779">
        <v>1</v>
      </c>
      <c r="GX779">
        <f t="shared" si="690"/>
        <v>0</v>
      </c>
      <c r="HA779">
        <v>0</v>
      </c>
      <c r="HB779">
        <v>0</v>
      </c>
      <c r="HC779">
        <f t="shared" si="691"/>
        <v>0</v>
      </c>
      <c r="HE779" t="s">
        <v>3</v>
      </c>
      <c r="HF779" t="s">
        <v>3</v>
      </c>
      <c r="HM779" t="s">
        <v>3</v>
      </c>
      <c r="IK779">
        <v>0</v>
      </c>
    </row>
    <row r="781" spans="1:245" x14ac:dyDescent="0.2">
      <c r="A781" s="2">
        <v>51</v>
      </c>
      <c r="B781" s="2">
        <f>B762</f>
        <v>1</v>
      </c>
      <c r="C781" s="2">
        <f>A762</f>
        <v>4</v>
      </c>
      <c r="D781" s="2">
        <f>ROW(A762)</f>
        <v>762</v>
      </c>
      <c r="E781" s="2"/>
      <c r="F781" s="2" t="str">
        <f>IF(F762&lt;&gt;"",F762,"")</f>
        <v>Новый раздел</v>
      </c>
      <c r="G781" s="2" t="str">
        <f>IF(G762&lt;&gt;"",G762,"")</f>
        <v>Замена газона (рулонный) 1669 кв.м (корыто глубиной 20 см)</v>
      </c>
      <c r="H781" s="2">
        <v>0</v>
      </c>
      <c r="I781" s="2"/>
      <c r="J781" s="2"/>
      <c r="K781" s="2"/>
      <c r="L781" s="2"/>
      <c r="M781" s="2"/>
      <c r="N781" s="2"/>
      <c r="O781" s="2">
        <f t="shared" ref="O781:T781" si="694">ROUND(AB781,2)</f>
        <v>1832454.57</v>
      </c>
      <c r="P781" s="2">
        <f t="shared" si="694"/>
        <v>1209975.3600000001</v>
      </c>
      <c r="Q781" s="2">
        <f t="shared" si="694"/>
        <v>102032.27</v>
      </c>
      <c r="R781" s="2">
        <f t="shared" si="694"/>
        <v>773.63</v>
      </c>
      <c r="S781" s="2">
        <f t="shared" si="694"/>
        <v>520446.94</v>
      </c>
      <c r="T781" s="2">
        <f t="shared" si="694"/>
        <v>0</v>
      </c>
      <c r="U781" s="2">
        <f>AH781</f>
        <v>1921.79717125</v>
      </c>
      <c r="V781" s="2">
        <f>AI781</f>
        <v>0</v>
      </c>
      <c r="W781" s="2">
        <f>ROUND(AJ781,2)</f>
        <v>0</v>
      </c>
      <c r="X781" s="2">
        <f>ROUND(AK781,2)</f>
        <v>468402.26</v>
      </c>
      <c r="Y781" s="2">
        <f>ROUND(AL781,2)</f>
        <v>213383.26</v>
      </c>
      <c r="Z781" s="2"/>
      <c r="AA781" s="2"/>
      <c r="AB781" s="2">
        <f>ROUND(SUMIF(AA766:AA779,"=42938047",O766:O779),2)</f>
        <v>1832454.57</v>
      </c>
      <c r="AC781" s="2">
        <f>ROUND(SUMIF(AA766:AA779,"=42938047",P766:P779),2)</f>
        <v>1209975.3600000001</v>
      </c>
      <c r="AD781" s="2">
        <f>ROUND(SUMIF(AA766:AA779,"=42938047",Q766:Q779),2)</f>
        <v>102032.27</v>
      </c>
      <c r="AE781" s="2">
        <f>ROUND(SUMIF(AA766:AA779,"=42938047",R766:R779),2)</f>
        <v>773.63</v>
      </c>
      <c r="AF781" s="2">
        <f>ROUND(SUMIF(AA766:AA779,"=42938047",S766:S779),2)</f>
        <v>520446.94</v>
      </c>
      <c r="AG781" s="2">
        <f>ROUND(SUMIF(AA766:AA779,"=42938047",T766:T779),2)</f>
        <v>0</v>
      </c>
      <c r="AH781" s="2">
        <f>SUMIF(AA766:AA779,"=42938047",U766:U779)</f>
        <v>1921.79717125</v>
      </c>
      <c r="AI781" s="2">
        <f>SUMIF(AA766:AA779,"=42938047",V766:V779)</f>
        <v>0</v>
      </c>
      <c r="AJ781" s="2">
        <f>ROUND(SUMIF(AA766:AA779,"=42938047",W766:W779),2)</f>
        <v>0</v>
      </c>
      <c r="AK781" s="2">
        <f>ROUND(SUMIF(AA766:AA779,"=42938047",X766:X779),2)</f>
        <v>468402.26</v>
      </c>
      <c r="AL781" s="2">
        <f>ROUND(SUMIF(AA766:AA779,"=42938047",Y766:Y779),2)</f>
        <v>213383.26</v>
      </c>
      <c r="AM781" s="2"/>
      <c r="AN781" s="2"/>
      <c r="AO781" s="2">
        <f t="shared" ref="AO781:BD781" si="695">ROUND(BX781,2)</f>
        <v>0</v>
      </c>
      <c r="AP781" s="2">
        <f t="shared" si="695"/>
        <v>0</v>
      </c>
      <c r="AQ781" s="2">
        <f t="shared" si="695"/>
        <v>0</v>
      </c>
      <c r="AR781" s="2">
        <f t="shared" si="695"/>
        <v>2515454.69</v>
      </c>
      <c r="AS781" s="2">
        <f t="shared" si="695"/>
        <v>2415696.81</v>
      </c>
      <c r="AT781" s="2">
        <f t="shared" si="695"/>
        <v>0</v>
      </c>
      <c r="AU781" s="2">
        <f t="shared" si="695"/>
        <v>99757.88</v>
      </c>
      <c r="AV781" s="2">
        <f t="shared" si="695"/>
        <v>1209975.3600000001</v>
      </c>
      <c r="AW781" s="2">
        <f t="shared" si="695"/>
        <v>1209975.3600000001</v>
      </c>
      <c r="AX781" s="2">
        <f t="shared" si="695"/>
        <v>0</v>
      </c>
      <c r="AY781" s="2">
        <f t="shared" si="695"/>
        <v>1209975.3600000001</v>
      </c>
      <c r="AZ781" s="2">
        <f t="shared" si="695"/>
        <v>0</v>
      </c>
      <c r="BA781" s="2">
        <f t="shared" si="695"/>
        <v>0</v>
      </c>
      <c r="BB781" s="2">
        <f t="shared" si="695"/>
        <v>0</v>
      </c>
      <c r="BC781" s="2">
        <f t="shared" si="695"/>
        <v>0</v>
      </c>
      <c r="BD781" s="2">
        <f t="shared" si="695"/>
        <v>0</v>
      </c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>
        <f>ROUND(SUMIF(AA766:AA779,"=42938047",FQ766:FQ779),2)</f>
        <v>0</v>
      </c>
      <c r="BY781" s="2">
        <f>ROUND(SUMIF(AA766:AA779,"=42938047",FR766:FR779),2)</f>
        <v>0</v>
      </c>
      <c r="BZ781" s="2">
        <f>ROUND(SUMIF(AA766:AA779,"=42938047",GL766:GL779),2)</f>
        <v>0</v>
      </c>
      <c r="CA781" s="2">
        <f>ROUND(SUMIF(AA766:AA779,"=42938047",GM766:GM779),2)</f>
        <v>2515454.69</v>
      </c>
      <c r="CB781" s="2">
        <f>ROUND(SUMIF(AA766:AA779,"=42938047",GN766:GN779),2)</f>
        <v>2415696.81</v>
      </c>
      <c r="CC781" s="2">
        <f>ROUND(SUMIF(AA766:AA779,"=42938047",GO766:GO779),2)</f>
        <v>0</v>
      </c>
      <c r="CD781" s="2">
        <f>ROUND(SUMIF(AA766:AA779,"=42938047",GP766:GP779),2)</f>
        <v>99757.88</v>
      </c>
      <c r="CE781" s="2">
        <f>AC781-BX781</f>
        <v>1209975.3600000001</v>
      </c>
      <c r="CF781" s="2">
        <f>AC781-BY781</f>
        <v>1209975.3600000001</v>
      </c>
      <c r="CG781" s="2">
        <f>BX781-BZ781</f>
        <v>0</v>
      </c>
      <c r="CH781" s="2">
        <f>AC781-BX781-BY781+BZ781</f>
        <v>1209975.3600000001</v>
      </c>
      <c r="CI781" s="2">
        <f>BY781-BZ781</f>
        <v>0</v>
      </c>
      <c r="CJ781" s="2">
        <f>ROUND(SUMIF(AA766:AA779,"=42938047",GX766:GX779),2)</f>
        <v>0</v>
      </c>
      <c r="CK781" s="2">
        <f>ROUND(SUMIF(AA766:AA779,"=42938047",GY766:GY779),2)</f>
        <v>0</v>
      </c>
      <c r="CL781" s="2">
        <f>ROUND(SUMIF(AA766:AA779,"=42938047",GZ766:GZ779),2)</f>
        <v>0</v>
      </c>
      <c r="CM781" s="2">
        <f>ROUND(SUMIF(AA766:AA779,"=42938047",HD766:HD779),2)</f>
        <v>0</v>
      </c>
      <c r="CN781" s="2"/>
      <c r="CO781" s="2"/>
      <c r="CP781" s="2"/>
      <c r="CQ781" s="2"/>
      <c r="CR781" s="2"/>
      <c r="CS781" s="2"/>
      <c r="CT781" s="2"/>
      <c r="CU781" s="2"/>
      <c r="CV781" s="2"/>
      <c r="CW781" s="2"/>
      <c r="CX781" s="2"/>
      <c r="CY781" s="2"/>
      <c r="CZ781" s="2"/>
      <c r="DA781" s="2"/>
      <c r="DB781" s="2"/>
      <c r="DC781" s="2"/>
      <c r="DD781" s="2"/>
      <c r="DE781" s="2"/>
      <c r="DF781" s="2"/>
      <c r="DG781" s="3"/>
      <c r="DH781" s="3"/>
      <c r="DI781" s="3"/>
      <c r="DJ781" s="3"/>
      <c r="DK781" s="3"/>
      <c r="DL781" s="3"/>
      <c r="DM781" s="3"/>
      <c r="DN781" s="3"/>
      <c r="DO781" s="3"/>
      <c r="DP781" s="3"/>
      <c r="DQ781" s="3"/>
      <c r="DR781" s="3"/>
      <c r="DS781" s="3"/>
      <c r="DT781" s="3"/>
      <c r="DU781" s="3"/>
      <c r="DV781" s="3"/>
      <c r="DW781" s="3"/>
      <c r="DX781" s="3"/>
      <c r="DY781" s="3"/>
      <c r="DZ781" s="3"/>
      <c r="EA781" s="3"/>
      <c r="EB781" s="3"/>
      <c r="EC781" s="3"/>
      <c r="ED781" s="3"/>
      <c r="EE781" s="3"/>
      <c r="EF781" s="3"/>
      <c r="EG781" s="3"/>
      <c r="EH781" s="3"/>
      <c r="EI781" s="3"/>
      <c r="EJ781" s="3"/>
      <c r="EK781" s="3"/>
      <c r="EL781" s="3"/>
      <c r="EM781" s="3"/>
      <c r="EN781" s="3"/>
      <c r="EO781" s="3"/>
      <c r="EP781" s="3"/>
      <c r="EQ781" s="3"/>
      <c r="ER781" s="3"/>
      <c r="ES781" s="3"/>
      <c r="ET781" s="3"/>
      <c r="EU781" s="3"/>
      <c r="EV781" s="3"/>
      <c r="EW781" s="3"/>
      <c r="EX781" s="3"/>
      <c r="EY781" s="3"/>
      <c r="EZ781" s="3"/>
      <c r="FA781" s="3"/>
      <c r="FB781" s="3"/>
      <c r="FC781" s="3"/>
      <c r="FD781" s="3"/>
      <c r="FE781" s="3"/>
      <c r="FF781" s="3"/>
      <c r="FG781" s="3"/>
      <c r="FH781" s="3"/>
      <c r="FI781" s="3"/>
      <c r="FJ781" s="3"/>
      <c r="FK781" s="3"/>
      <c r="FL781" s="3"/>
      <c r="FM781" s="3"/>
      <c r="FN781" s="3"/>
      <c r="FO781" s="3"/>
      <c r="FP781" s="3"/>
      <c r="FQ781" s="3"/>
      <c r="FR781" s="3"/>
      <c r="FS781" s="3"/>
      <c r="FT781" s="3"/>
      <c r="FU781" s="3"/>
      <c r="FV781" s="3"/>
      <c r="FW781" s="3"/>
      <c r="FX781" s="3"/>
      <c r="FY781" s="3"/>
      <c r="FZ781" s="3"/>
      <c r="GA781" s="3"/>
      <c r="GB781" s="3"/>
      <c r="GC781" s="3"/>
      <c r="GD781" s="3"/>
      <c r="GE781" s="3"/>
      <c r="GF781" s="3"/>
      <c r="GG781" s="3"/>
      <c r="GH781" s="3"/>
      <c r="GI781" s="3"/>
      <c r="GJ781" s="3"/>
      <c r="GK781" s="3"/>
      <c r="GL781" s="3"/>
      <c r="GM781" s="3"/>
      <c r="GN781" s="3"/>
      <c r="GO781" s="3"/>
      <c r="GP781" s="3"/>
      <c r="GQ781" s="3"/>
      <c r="GR781" s="3"/>
      <c r="GS781" s="3"/>
      <c r="GT781" s="3"/>
      <c r="GU781" s="3"/>
      <c r="GV781" s="3"/>
      <c r="GW781" s="3"/>
      <c r="GX781" s="3">
        <v>0</v>
      </c>
    </row>
    <row r="783" spans="1:245" x14ac:dyDescent="0.2">
      <c r="A783" s="4">
        <v>50</v>
      </c>
      <c r="B783" s="4">
        <v>0</v>
      </c>
      <c r="C783" s="4">
        <v>0</v>
      </c>
      <c r="D783" s="4">
        <v>1</v>
      </c>
      <c r="E783" s="4">
        <v>201</v>
      </c>
      <c r="F783" s="4">
        <f>ROUND(Source!O781,O783)</f>
        <v>1832454.57</v>
      </c>
      <c r="G783" s="4" t="s">
        <v>213</v>
      </c>
      <c r="H783" s="4" t="s">
        <v>214</v>
      </c>
      <c r="I783" s="4"/>
      <c r="J783" s="4"/>
      <c r="K783" s="4">
        <v>201</v>
      </c>
      <c r="L783" s="4">
        <v>1</v>
      </c>
      <c r="M783" s="4">
        <v>3</v>
      </c>
      <c r="N783" s="4" t="s">
        <v>3</v>
      </c>
      <c r="O783" s="4">
        <v>2</v>
      </c>
      <c r="P783" s="4"/>
      <c r="Q783" s="4"/>
      <c r="R783" s="4"/>
      <c r="S783" s="4"/>
      <c r="T783" s="4"/>
      <c r="U783" s="4"/>
      <c r="V783" s="4"/>
      <c r="W783" s="4"/>
    </row>
    <row r="784" spans="1:245" x14ac:dyDescent="0.2">
      <c r="A784" s="4">
        <v>50</v>
      </c>
      <c r="B784" s="4">
        <v>0</v>
      </c>
      <c r="C784" s="4">
        <v>0</v>
      </c>
      <c r="D784" s="4">
        <v>1</v>
      </c>
      <c r="E784" s="4">
        <v>202</v>
      </c>
      <c r="F784" s="4">
        <f>ROUND(Source!P781,O784)</f>
        <v>1209975.3600000001</v>
      </c>
      <c r="G784" s="4" t="s">
        <v>215</v>
      </c>
      <c r="H784" s="4" t="s">
        <v>216</v>
      </c>
      <c r="I784" s="4"/>
      <c r="J784" s="4"/>
      <c r="K784" s="4">
        <v>202</v>
      </c>
      <c r="L784" s="4">
        <v>2</v>
      </c>
      <c r="M784" s="4">
        <v>3</v>
      </c>
      <c r="N784" s="4" t="s">
        <v>3</v>
      </c>
      <c r="O784" s="4">
        <v>2</v>
      </c>
      <c r="P784" s="4"/>
      <c r="Q784" s="4"/>
      <c r="R784" s="4"/>
      <c r="S784" s="4"/>
      <c r="T784" s="4"/>
      <c r="U784" s="4"/>
      <c r="V784" s="4"/>
      <c r="W784" s="4"/>
    </row>
    <row r="785" spans="1:23" x14ac:dyDescent="0.2">
      <c r="A785" s="4">
        <v>50</v>
      </c>
      <c r="B785" s="4">
        <v>0</v>
      </c>
      <c r="C785" s="4">
        <v>0</v>
      </c>
      <c r="D785" s="4">
        <v>1</v>
      </c>
      <c r="E785" s="4">
        <v>222</v>
      </c>
      <c r="F785" s="4">
        <f>ROUND(Source!AO781,O785)</f>
        <v>0</v>
      </c>
      <c r="G785" s="4" t="s">
        <v>217</v>
      </c>
      <c r="H785" s="4" t="s">
        <v>218</v>
      </c>
      <c r="I785" s="4"/>
      <c r="J785" s="4"/>
      <c r="K785" s="4">
        <v>222</v>
      </c>
      <c r="L785" s="4">
        <v>3</v>
      </c>
      <c r="M785" s="4">
        <v>3</v>
      </c>
      <c r="N785" s="4" t="s">
        <v>3</v>
      </c>
      <c r="O785" s="4">
        <v>2</v>
      </c>
      <c r="P785" s="4"/>
      <c r="Q785" s="4"/>
      <c r="R785" s="4"/>
      <c r="S785" s="4"/>
      <c r="T785" s="4"/>
      <c r="U785" s="4"/>
      <c r="V785" s="4"/>
      <c r="W785" s="4"/>
    </row>
    <row r="786" spans="1:23" x14ac:dyDescent="0.2">
      <c r="A786" s="4">
        <v>50</v>
      </c>
      <c r="B786" s="4">
        <v>0</v>
      </c>
      <c r="C786" s="4">
        <v>0</v>
      </c>
      <c r="D786" s="4">
        <v>1</v>
      </c>
      <c r="E786" s="4">
        <v>225</v>
      </c>
      <c r="F786" s="4">
        <f>ROUND(Source!AV781,O786)</f>
        <v>1209975.3600000001</v>
      </c>
      <c r="G786" s="4" t="s">
        <v>219</v>
      </c>
      <c r="H786" s="4" t="s">
        <v>220</v>
      </c>
      <c r="I786" s="4"/>
      <c r="J786" s="4"/>
      <c r="K786" s="4">
        <v>225</v>
      </c>
      <c r="L786" s="4">
        <v>4</v>
      </c>
      <c r="M786" s="4">
        <v>3</v>
      </c>
      <c r="N786" s="4" t="s">
        <v>3</v>
      </c>
      <c r="O786" s="4">
        <v>2</v>
      </c>
      <c r="P786" s="4"/>
      <c r="Q786" s="4"/>
      <c r="R786" s="4"/>
      <c r="S786" s="4"/>
      <c r="T786" s="4"/>
      <c r="U786" s="4"/>
      <c r="V786" s="4"/>
      <c r="W786" s="4"/>
    </row>
    <row r="787" spans="1:23" x14ac:dyDescent="0.2">
      <c r="A787" s="4">
        <v>50</v>
      </c>
      <c r="B787" s="4">
        <v>0</v>
      </c>
      <c r="C787" s="4">
        <v>0</v>
      </c>
      <c r="D787" s="4">
        <v>1</v>
      </c>
      <c r="E787" s="4">
        <v>226</v>
      </c>
      <c r="F787" s="4">
        <f>ROUND(Source!AW781,O787)</f>
        <v>1209975.3600000001</v>
      </c>
      <c r="G787" s="4" t="s">
        <v>221</v>
      </c>
      <c r="H787" s="4" t="s">
        <v>222</v>
      </c>
      <c r="I787" s="4"/>
      <c r="J787" s="4"/>
      <c r="K787" s="4">
        <v>226</v>
      </c>
      <c r="L787" s="4">
        <v>5</v>
      </c>
      <c r="M787" s="4">
        <v>3</v>
      </c>
      <c r="N787" s="4" t="s">
        <v>3</v>
      </c>
      <c r="O787" s="4">
        <v>2</v>
      </c>
      <c r="P787" s="4"/>
      <c r="Q787" s="4"/>
      <c r="R787" s="4"/>
      <c r="S787" s="4"/>
      <c r="T787" s="4"/>
      <c r="U787" s="4"/>
      <c r="V787" s="4"/>
      <c r="W787" s="4"/>
    </row>
    <row r="788" spans="1:23" x14ac:dyDescent="0.2">
      <c r="A788" s="4">
        <v>50</v>
      </c>
      <c r="B788" s="4">
        <v>0</v>
      </c>
      <c r="C788" s="4">
        <v>0</v>
      </c>
      <c r="D788" s="4">
        <v>1</v>
      </c>
      <c r="E788" s="4">
        <v>227</v>
      </c>
      <c r="F788" s="4">
        <f>ROUND(Source!AX781,O788)</f>
        <v>0</v>
      </c>
      <c r="G788" s="4" t="s">
        <v>223</v>
      </c>
      <c r="H788" s="4" t="s">
        <v>224</v>
      </c>
      <c r="I788" s="4"/>
      <c r="J788" s="4"/>
      <c r="K788" s="4">
        <v>227</v>
      </c>
      <c r="L788" s="4">
        <v>6</v>
      </c>
      <c r="M788" s="4">
        <v>3</v>
      </c>
      <c r="N788" s="4" t="s">
        <v>3</v>
      </c>
      <c r="O788" s="4">
        <v>2</v>
      </c>
      <c r="P788" s="4"/>
      <c r="Q788" s="4"/>
      <c r="R788" s="4"/>
      <c r="S788" s="4"/>
      <c r="T788" s="4"/>
      <c r="U788" s="4"/>
      <c r="V788" s="4"/>
      <c r="W788" s="4"/>
    </row>
    <row r="789" spans="1:23" x14ac:dyDescent="0.2">
      <c r="A789" s="4">
        <v>50</v>
      </c>
      <c r="B789" s="4">
        <v>0</v>
      </c>
      <c r="C789" s="4">
        <v>0</v>
      </c>
      <c r="D789" s="4">
        <v>1</v>
      </c>
      <c r="E789" s="4">
        <v>228</v>
      </c>
      <c r="F789" s="4">
        <f>ROUND(Source!AY781,O789)</f>
        <v>1209975.3600000001</v>
      </c>
      <c r="G789" s="4" t="s">
        <v>225</v>
      </c>
      <c r="H789" s="4" t="s">
        <v>226</v>
      </c>
      <c r="I789" s="4"/>
      <c r="J789" s="4"/>
      <c r="K789" s="4">
        <v>228</v>
      </c>
      <c r="L789" s="4">
        <v>7</v>
      </c>
      <c r="M789" s="4">
        <v>3</v>
      </c>
      <c r="N789" s="4" t="s">
        <v>3</v>
      </c>
      <c r="O789" s="4">
        <v>2</v>
      </c>
      <c r="P789" s="4"/>
      <c r="Q789" s="4"/>
      <c r="R789" s="4"/>
      <c r="S789" s="4"/>
      <c r="T789" s="4"/>
      <c r="U789" s="4"/>
      <c r="V789" s="4"/>
      <c r="W789" s="4"/>
    </row>
    <row r="790" spans="1:23" x14ac:dyDescent="0.2">
      <c r="A790" s="4">
        <v>50</v>
      </c>
      <c r="B790" s="4">
        <v>0</v>
      </c>
      <c r="C790" s="4">
        <v>0</v>
      </c>
      <c r="D790" s="4">
        <v>1</v>
      </c>
      <c r="E790" s="4">
        <v>216</v>
      </c>
      <c r="F790" s="4">
        <f>ROUND(Source!AP781,O790)</f>
        <v>0</v>
      </c>
      <c r="G790" s="4" t="s">
        <v>227</v>
      </c>
      <c r="H790" s="4" t="s">
        <v>228</v>
      </c>
      <c r="I790" s="4"/>
      <c r="J790" s="4"/>
      <c r="K790" s="4">
        <v>216</v>
      </c>
      <c r="L790" s="4">
        <v>8</v>
      </c>
      <c r="M790" s="4">
        <v>3</v>
      </c>
      <c r="N790" s="4" t="s">
        <v>3</v>
      </c>
      <c r="O790" s="4">
        <v>2</v>
      </c>
      <c r="P790" s="4"/>
      <c r="Q790" s="4"/>
      <c r="R790" s="4"/>
      <c r="S790" s="4"/>
      <c r="T790" s="4"/>
      <c r="U790" s="4"/>
      <c r="V790" s="4"/>
      <c r="W790" s="4"/>
    </row>
    <row r="791" spans="1:23" x14ac:dyDescent="0.2">
      <c r="A791" s="4">
        <v>50</v>
      </c>
      <c r="B791" s="4">
        <v>0</v>
      </c>
      <c r="C791" s="4">
        <v>0</v>
      </c>
      <c r="D791" s="4">
        <v>1</v>
      </c>
      <c r="E791" s="4">
        <v>223</v>
      </c>
      <c r="F791" s="4">
        <f>ROUND(Source!AQ781,O791)</f>
        <v>0</v>
      </c>
      <c r="G791" s="4" t="s">
        <v>229</v>
      </c>
      <c r="H791" s="4" t="s">
        <v>230</v>
      </c>
      <c r="I791" s="4"/>
      <c r="J791" s="4"/>
      <c r="K791" s="4">
        <v>223</v>
      </c>
      <c r="L791" s="4">
        <v>9</v>
      </c>
      <c r="M791" s="4">
        <v>3</v>
      </c>
      <c r="N791" s="4" t="s">
        <v>3</v>
      </c>
      <c r="O791" s="4">
        <v>2</v>
      </c>
      <c r="P791" s="4"/>
      <c r="Q791" s="4"/>
      <c r="R791" s="4"/>
      <c r="S791" s="4"/>
      <c r="T791" s="4"/>
      <c r="U791" s="4"/>
      <c r="V791" s="4"/>
      <c r="W791" s="4"/>
    </row>
    <row r="792" spans="1:23" x14ac:dyDescent="0.2">
      <c r="A792" s="4">
        <v>50</v>
      </c>
      <c r="B792" s="4">
        <v>0</v>
      </c>
      <c r="C792" s="4">
        <v>0</v>
      </c>
      <c r="D792" s="4">
        <v>1</v>
      </c>
      <c r="E792" s="4">
        <v>229</v>
      </c>
      <c r="F792" s="4">
        <f>ROUND(Source!AZ781,O792)</f>
        <v>0</v>
      </c>
      <c r="G792" s="4" t="s">
        <v>231</v>
      </c>
      <c r="H792" s="4" t="s">
        <v>232</v>
      </c>
      <c r="I792" s="4"/>
      <c r="J792" s="4"/>
      <c r="K792" s="4">
        <v>229</v>
      </c>
      <c r="L792" s="4">
        <v>10</v>
      </c>
      <c r="M792" s="4">
        <v>3</v>
      </c>
      <c r="N792" s="4" t="s">
        <v>3</v>
      </c>
      <c r="O792" s="4">
        <v>2</v>
      </c>
      <c r="P792" s="4"/>
      <c r="Q792" s="4"/>
      <c r="R792" s="4"/>
      <c r="S792" s="4"/>
      <c r="T792" s="4"/>
      <c r="U792" s="4"/>
      <c r="V792" s="4"/>
      <c r="W792" s="4"/>
    </row>
    <row r="793" spans="1:23" x14ac:dyDescent="0.2">
      <c r="A793" s="4">
        <v>50</v>
      </c>
      <c r="B793" s="4">
        <v>0</v>
      </c>
      <c r="C793" s="4">
        <v>0</v>
      </c>
      <c r="D793" s="4">
        <v>1</v>
      </c>
      <c r="E793" s="4">
        <v>203</v>
      </c>
      <c r="F793" s="4">
        <f>ROUND(Source!Q781,O793)</f>
        <v>102032.27</v>
      </c>
      <c r="G793" s="4" t="s">
        <v>233</v>
      </c>
      <c r="H793" s="4" t="s">
        <v>234</v>
      </c>
      <c r="I793" s="4"/>
      <c r="J793" s="4"/>
      <c r="K793" s="4">
        <v>203</v>
      </c>
      <c r="L793" s="4">
        <v>11</v>
      </c>
      <c r="M793" s="4">
        <v>3</v>
      </c>
      <c r="N793" s="4" t="s">
        <v>3</v>
      </c>
      <c r="O793" s="4">
        <v>2</v>
      </c>
      <c r="P793" s="4"/>
      <c r="Q793" s="4"/>
      <c r="R793" s="4"/>
      <c r="S793" s="4"/>
      <c r="T793" s="4"/>
      <c r="U793" s="4"/>
      <c r="V793" s="4"/>
      <c r="W793" s="4"/>
    </row>
    <row r="794" spans="1:23" x14ac:dyDescent="0.2">
      <c r="A794" s="4">
        <v>50</v>
      </c>
      <c r="B794" s="4">
        <v>0</v>
      </c>
      <c r="C794" s="4">
        <v>0</v>
      </c>
      <c r="D794" s="4">
        <v>1</v>
      </c>
      <c r="E794" s="4">
        <v>231</v>
      </c>
      <c r="F794" s="4">
        <f>ROUND(Source!BB781,O794)</f>
        <v>0</v>
      </c>
      <c r="G794" s="4" t="s">
        <v>235</v>
      </c>
      <c r="H794" s="4" t="s">
        <v>236</v>
      </c>
      <c r="I794" s="4"/>
      <c r="J794" s="4"/>
      <c r="K794" s="4">
        <v>231</v>
      </c>
      <c r="L794" s="4">
        <v>12</v>
      </c>
      <c r="M794" s="4">
        <v>3</v>
      </c>
      <c r="N794" s="4" t="s">
        <v>3</v>
      </c>
      <c r="O794" s="4">
        <v>2</v>
      </c>
      <c r="P794" s="4"/>
      <c r="Q794" s="4"/>
      <c r="R794" s="4"/>
      <c r="S794" s="4"/>
      <c r="T794" s="4"/>
      <c r="U794" s="4"/>
      <c r="V794" s="4"/>
      <c r="W794" s="4"/>
    </row>
    <row r="795" spans="1:23" x14ac:dyDescent="0.2">
      <c r="A795" s="4">
        <v>50</v>
      </c>
      <c r="B795" s="4">
        <v>0</v>
      </c>
      <c r="C795" s="4">
        <v>0</v>
      </c>
      <c r="D795" s="4">
        <v>1</v>
      </c>
      <c r="E795" s="4">
        <v>204</v>
      </c>
      <c r="F795" s="4">
        <f>ROUND(Source!R781,O795)</f>
        <v>773.63</v>
      </c>
      <c r="G795" s="4" t="s">
        <v>237</v>
      </c>
      <c r="H795" s="4" t="s">
        <v>238</v>
      </c>
      <c r="I795" s="4"/>
      <c r="J795" s="4"/>
      <c r="K795" s="4">
        <v>204</v>
      </c>
      <c r="L795" s="4">
        <v>13</v>
      </c>
      <c r="M795" s="4">
        <v>3</v>
      </c>
      <c r="N795" s="4" t="s">
        <v>3</v>
      </c>
      <c r="O795" s="4">
        <v>2</v>
      </c>
      <c r="P795" s="4"/>
      <c r="Q795" s="4"/>
      <c r="R795" s="4"/>
      <c r="S795" s="4"/>
      <c r="T795" s="4"/>
      <c r="U795" s="4"/>
      <c r="V795" s="4"/>
      <c r="W795" s="4"/>
    </row>
    <row r="796" spans="1:23" x14ac:dyDescent="0.2">
      <c r="A796" s="4">
        <v>50</v>
      </c>
      <c r="B796" s="4">
        <v>0</v>
      </c>
      <c r="C796" s="4">
        <v>0</v>
      </c>
      <c r="D796" s="4">
        <v>1</v>
      </c>
      <c r="E796" s="4">
        <v>205</v>
      </c>
      <c r="F796" s="4">
        <f>ROUND(Source!S781,O796)</f>
        <v>520446.94</v>
      </c>
      <c r="G796" s="4" t="s">
        <v>239</v>
      </c>
      <c r="H796" s="4" t="s">
        <v>240</v>
      </c>
      <c r="I796" s="4"/>
      <c r="J796" s="4"/>
      <c r="K796" s="4">
        <v>205</v>
      </c>
      <c r="L796" s="4">
        <v>14</v>
      </c>
      <c r="M796" s="4">
        <v>3</v>
      </c>
      <c r="N796" s="4" t="s">
        <v>3</v>
      </c>
      <c r="O796" s="4">
        <v>2</v>
      </c>
      <c r="P796" s="4"/>
      <c r="Q796" s="4"/>
      <c r="R796" s="4"/>
      <c r="S796" s="4"/>
      <c r="T796" s="4"/>
      <c r="U796" s="4"/>
      <c r="V796" s="4"/>
      <c r="W796" s="4"/>
    </row>
    <row r="797" spans="1:23" x14ac:dyDescent="0.2">
      <c r="A797" s="4">
        <v>50</v>
      </c>
      <c r="B797" s="4">
        <v>0</v>
      </c>
      <c r="C797" s="4">
        <v>0</v>
      </c>
      <c r="D797" s="4">
        <v>1</v>
      </c>
      <c r="E797" s="4">
        <v>232</v>
      </c>
      <c r="F797" s="4">
        <f>ROUND(Source!BC781,O797)</f>
        <v>0</v>
      </c>
      <c r="G797" s="4" t="s">
        <v>241</v>
      </c>
      <c r="H797" s="4" t="s">
        <v>242</v>
      </c>
      <c r="I797" s="4"/>
      <c r="J797" s="4"/>
      <c r="K797" s="4">
        <v>232</v>
      </c>
      <c r="L797" s="4">
        <v>15</v>
      </c>
      <c r="M797" s="4">
        <v>3</v>
      </c>
      <c r="N797" s="4" t="s">
        <v>3</v>
      </c>
      <c r="O797" s="4">
        <v>2</v>
      </c>
      <c r="P797" s="4"/>
      <c r="Q797" s="4"/>
      <c r="R797" s="4"/>
      <c r="S797" s="4"/>
      <c r="T797" s="4"/>
      <c r="U797" s="4"/>
      <c r="V797" s="4"/>
      <c r="W797" s="4"/>
    </row>
    <row r="798" spans="1:23" x14ac:dyDescent="0.2">
      <c r="A798" s="4">
        <v>50</v>
      </c>
      <c r="B798" s="4">
        <v>0</v>
      </c>
      <c r="C798" s="4">
        <v>0</v>
      </c>
      <c r="D798" s="4">
        <v>1</v>
      </c>
      <c r="E798" s="4">
        <v>214</v>
      </c>
      <c r="F798" s="4">
        <f>ROUND(Source!AS781,O798)</f>
        <v>2415696.81</v>
      </c>
      <c r="G798" s="4" t="s">
        <v>243</v>
      </c>
      <c r="H798" s="4" t="s">
        <v>244</v>
      </c>
      <c r="I798" s="4"/>
      <c r="J798" s="4"/>
      <c r="K798" s="4">
        <v>214</v>
      </c>
      <c r="L798" s="4">
        <v>16</v>
      </c>
      <c r="M798" s="4">
        <v>3</v>
      </c>
      <c r="N798" s="4" t="s">
        <v>3</v>
      </c>
      <c r="O798" s="4">
        <v>2</v>
      </c>
      <c r="P798" s="4"/>
      <c r="Q798" s="4"/>
      <c r="R798" s="4"/>
      <c r="S798" s="4"/>
      <c r="T798" s="4"/>
      <c r="U798" s="4"/>
      <c r="V798" s="4"/>
      <c r="W798" s="4"/>
    </row>
    <row r="799" spans="1:23" x14ac:dyDescent="0.2">
      <c r="A799" s="4">
        <v>50</v>
      </c>
      <c r="B799" s="4">
        <v>0</v>
      </c>
      <c r="C799" s="4">
        <v>0</v>
      </c>
      <c r="D799" s="4">
        <v>1</v>
      </c>
      <c r="E799" s="4">
        <v>215</v>
      </c>
      <c r="F799" s="4">
        <f>ROUND(Source!AT781,O799)</f>
        <v>0</v>
      </c>
      <c r="G799" s="4" t="s">
        <v>245</v>
      </c>
      <c r="H799" s="4" t="s">
        <v>246</v>
      </c>
      <c r="I799" s="4"/>
      <c r="J799" s="4"/>
      <c r="K799" s="4">
        <v>215</v>
      </c>
      <c r="L799" s="4">
        <v>17</v>
      </c>
      <c r="M799" s="4">
        <v>3</v>
      </c>
      <c r="N799" s="4" t="s">
        <v>3</v>
      </c>
      <c r="O799" s="4">
        <v>2</v>
      </c>
      <c r="P799" s="4"/>
      <c r="Q799" s="4"/>
      <c r="R799" s="4"/>
      <c r="S799" s="4"/>
      <c r="T799" s="4"/>
      <c r="U799" s="4"/>
      <c r="V799" s="4"/>
      <c r="W799" s="4"/>
    </row>
    <row r="800" spans="1:23" x14ac:dyDescent="0.2">
      <c r="A800" s="4">
        <v>50</v>
      </c>
      <c r="B800" s="4">
        <v>0</v>
      </c>
      <c r="C800" s="4">
        <v>0</v>
      </c>
      <c r="D800" s="4">
        <v>1</v>
      </c>
      <c r="E800" s="4">
        <v>217</v>
      </c>
      <c r="F800" s="4">
        <f>ROUND(Source!AU781,O800)</f>
        <v>99757.88</v>
      </c>
      <c r="G800" s="4" t="s">
        <v>247</v>
      </c>
      <c r="H800" s="4" t="s">
        <v>248</v>
      </c>
      <c r="I800" s="4"/>
      <c r="J800" s="4"/>
      <c r="K800" s="4">
        <v>217</v>
      </c>
      <c r="L800" s="4">
        <v>18</v>
      </c>
      <c r="M800" s="4">
        <v>3</v>
      </c>
      <c r="N800" s="4" t="s">
        <v>3</v>
      </c>
      <c r="O800" s="4">
        <v>2</v>
      </c>
      <c r="P800" s="4"/>
      <c r="Q800" s="4"/>
      <c r="R800" s="4"/>
      <c r="S800" s="4"/>
      <c r="T800" s="4"/>
      <c r="U800" s="4"/>
      <c r="V800" s="4"/>
      <c r="W800" s="4"/>
    </row>
    <row r="801" spans="1:245" x14ac:dyDescent="0.2">
      <c r="A801" s="4">
        <v>50</v>
      </c>
      <c r="B801" s="4">
        <v>0</v>
      </c>
      <c r="C801" s="4">
        <v>0</v>
      </c>
      <c r="D801" s="4">
        <v>1</v>
      </c>
      <c r="E801" s="4">
        <v>230</v>
      </c>
      <c r="F801" s="4">
        <f>ROUND(Source!BA781,O801)</f>
        <v>0</v>
      </c>
      <c r="G801" s="4" t="s">
        <v>249</v>
      </c>
      <c r="H801" s="4" t="s">
        <v>250</v>
      </c>
      <c r="I801" s="4"/>
      <c r="J801" s="4"/>
      <c r="K801" s="4">
        <v>230</v>
      </c>
      <c r="L801" s="4">
        <v>19</v>
      </c>
      <c r="M801" s="4">
        <v>3</v>
      </c>
      <c r="N801" s="4" t="s">
        <v>3</v>
      </c>
      <c r="O801" s="4">
        <v>2</v>
      </c>
      <c r="P801" s="4"/>
      <c r="Q801" s="4"/>
      <c r="R801" s="4"/>
      <c r="S801" s="4"/>
      <c r="T801" s="4"/>
      <c r="U801" s="4"/>
      <c r="V801" s="4"/>
      <c r="W801" s="4"/>
    </row>
    <row r="802" spans="1:245" x14ac:dyDescent="0.2">
      <c r="A802" s="4">
        <v>50</v>
      </c>
      <c r="B802" s="4">
        <v>0</v>
      </c>
      <c r="C802" s="4">
        <v>0</v>
      </c>
      <c r="D802" s="4">
        <v>1</v>
      </c>
      <c r="E802" s="4">
        <v>206</v>
      </c>
      <c r="F802" s="4">
        <f>ROUND(Source!T781,O802)</f>
        <v>0</v>
      </c>
      <c r="G802" s="4" t="s">
        <v>251</v>
      </c>
      <c r="H802" s="4" t="s">
        <v>252</v>
      </c>
      <c r="I802" s="4"/>
      <c r="J802" s="4"/>
      <c r="K802" s="4">
        <v>206</v>
      </c>
      <c r="L802" s="4">
        <v>20</v>
      </c>
      <c r="M802" s="4">
        <v>3</v>
      </c>
      <c r="N802" s="4" t="s">
        <v>3</v>
      </c>
      <c r="O802" s="4">
        <v>2</v>
      </c>
      <c r="P802" s="4"/>
      <c r="Q802" s="4"/>
      <c r="R802" s="4"/>
      <c r="S802" s="4"/>
      <c r="T802" s="4"/>
      <c r="U802" s="4"/>
      <c r="V802" s="4"/>
      <c r="W802" s="4"/>
    </row>
    <row r="803" spans="1:245" x14ac:dyDescent="0.2">
      <c r="A803" s="4">
        <v>50</v>
      </c>
      <c r="B803" s="4">
        <v>0</v>
      </c>
      <c r="C803" s="4">
        <v>0</v>
      </c>
      <c r="D803" s="4">
        <v>1</v>
      </c>
      <c r="E803" s="4">
        <v>207</v>
      </c>
      <c r="F803" s="4">
        <f>Source!U781</f>
        <v>1921.79717125</v>
      </c>
      <c r="G803" s="4" t="s">
        <v>253</v>
      </c>
      <c r="H803" s="4" t="s">
        <v>254</v>
      </c>
      <c r="I803" s="4"/>
      <c r="J803" s="4"/>
      <c r="K803" s="4">
        <v>207</v>
      </c>
      <c r="L803" s="4">
        <v>21</v>
      </c>
      <c r="M803" s="4">
        <v>3</v>
      </c>
      <c r="N803" s="4" t="s">
        <v>3</v>
      </c>
      <c r="O803" s="4">
        <v>-1</v>
      </c>
      <c r="P803" s="4"/>
      <c r="Q803" s="4"/>
      <c r="R803" s="4"/>
      <c r="S803" s="4"/>
      <c r="T803" s="4"/>
      <c r="U803" s="4"/>
      <c r="V803" s="4"/>
      <c r="W803" s="4"/>
    </row>
    <row r="804" spans="1:245" x14ac:dyDescent="0.2">
      <c r="A804" s="4">
        <v>50</v>
      </c>
      <c r="B804" s="4">
        <v>0</v>
      </c>
      <c r="C804" s="4">
        <v>0</v>
      </c>
      <c r="D804" s="4">
        <v>1</v>
      </c>
      <c r="E804" s="4">
        <v>208</v>
      </c>
      <c r="F804" s="4">
        <f>Source!V781</f>
        <v>0</v>
      </c>
      <c r="G804" s="4" t="s">
        <v>255</v>
      </c>
      <c r="H804" s="4" t="s">
        <v>256</v>
      </c>
      <c r="I804" s="4"/>
      <c r="J804" s="4"/>
      <c r="K804" s="4">
        <v>208</v>
      </c>
      <c r="L804" s="4">
        <v>22</v>
      </c>
      <c r="M804" s="4">
        <v>3</v>
      </c>
      <c r="N804" s="4" t="s">
        <v>3</v>
      </c>
      <c r="O804" s="4">
        <v>-1</v>
      </c>
      <c r="P804" s="4"/>
      <c r="Q804" s="4"/>
      <c r="R804" s="4"/>
      <c r="S804" s="4"/>
      <c r="T804" s="4"/>
      <c r="U804" s="4"/>
      <c r="V804" s="4"/>
      <c r="W804" s="4"/>
    </row>
    <row r="805" spans="1:245" x14ac:dyDescent="0.2">
      <c r="A805" s="4">
        <v>50</v>
      </c>
      <c r="B805" s="4">
        <v>0</v>
      </c>
      <c r="C805" s="4">
        <v>0</v>
      </c>
      <c r="D805" s="4">
        <v>1</v>
      </c>
      <c r="E805" s="4">
        <v>209</v>
      </c>
      <c r="F805" s="4">
        <f>ROUND(Source!W781,O805)</f>
        <v>0</v>
      </c>
      <c r="G805" s="4" t="s">
        <v>257</v>
      </c>
      <c r="H805" s="4" t="s">
        <v>258</v>
      </c>
      <c r="I805" s="4"/>
      <c r="J805" s="4"/>
      <c r="K805" s="4">
        <v>209</v>
      </c>
      <c r="L805" s="4">
        <v>23</v>
      </c>
      <c r="M805" s="4">
        <v>3</v>
      </c>
      <c r="N805" s="4" t="s">
        <v>3</v>
      </c>
      <c r="O805" s="4">
        <v>2</v>
      </c>
      <c r="P805" s="4"/>
      <c r="Q805" s="4"/>
      <c r="R805" s="4"/>
      <c r="S805" s="4"/>
      <c r="T805" s="4"/>
      <c r="U805" s="4"/>
      <c r="V805" s="4"/>
      <c r="W805" s="4"/>
    </row>
    <row r="806" spans="1:245" x14ac:dyDescent="0.2">
      <c r="A806" s="4">
        <v>50</v>
      </c>
      <c r="B806" s="4">
        <v>0</v>
      </c>
      <c r="C806" s="4">
        <v>0</v>
      </c>
      <c r="D806" s="4">
        <v>1</v>
      </c>
      <c r="E806" s="4">
        <v>233</v>
      </c>
      <c r="F806" s="4">
        <f>ROUND(Source!BD781,O806)</f>
        <v>0</v>
      </c>
      <c r="G806" s="4" t="s">
        <v>259</v>
      </c>
      <c r="H806" s="4" t="s">
        <v>260</v>
      </c>
      <c r="I806" s="4"/>
      <c r="J806" s="4"/>
      <c r="K806" s="4">
        <v>233</v>
      </c>
      <c r="L806" s="4">
        <v>24</v>
      </c>
      <c r="M806" s="4">
        <v>3</v>
      </c>
      <c r="N806" s="4" t="s">
        <v>3</v>
      </c>
      <c r="O806" s="4">
        <v>2</v>
      </c>
      <c r="P806" s="4"/>
      <c r="Q806" s="4"/>
      <c r="R806" s="4"/>
      <c r="S806" s="4"/>
      <c r="T806" s="4"/>
      <c r="U806" s="4"/>
      <c r="V806" s="4"/>
      <c r="W806" s="4"/>
    </row>
    <row r="807" spans="1:245" x14ac:dyDescent="0.2">
      <c r="A807" s="4">
        <v>50</v>
      </c>
      <c r="B807" s="4">
        <v>0</v>
      </c>
      <c r="C807" s="4">
        <v>0</v>
      </c>
      <c r="D807" s="4">
        <v>1</v>
      </c>
      <c r="E807" s="4">
        <v>210</v>
      </c>
      <c r="F807" s="4">
        <f>ROUND(Source!X781,O807)</f>
        <v>468402.26</v>
      </c>
      <c r="G807" s="4" t="s">
        <v>261</v>
      </c>
      <c r="H807" s="4" t="s">
        <v>262</v>
      </c>
      <c r="I807" s="4"/>
      <c r="J807" s="4"/>
      <c r="K807" s="4">
        <v>210</v>
      </c>
      <c r="L807" s="4">
        <v>25</v>
      </c>
      <c r="M807" s="4">
        <v>3</v>
      </c>
      <c r="N807" s="4" t="s">
        <v>3</v>
      </c>
      <c r="O807" s="4">
        <v>2</v>
      </c>
      <c r="P807" s="4"/>
      <c r="Q807" s="4"/>
      <c r="R807" s="4"/>
      <c r="S807" s="4"/>
      <c r="T807" s="4"/>
      <c r="U807" s="4"/>
      <c r="V807" s="4"/>
      <c r="W807" s="4"/>
    </row>
    <row r="808" spans="1:245" x14ac:dyDescent="0.2">
      <c r="A808" s="4">
        <v>50</v>
      </c>
      <c r="B808" s="4">
        <v>0</v>
      </c>
      <c r="C808" s="4">
        <v>0</v>
      </c>
      <c r="D808" s="4">
        <v>1</v>
      </c>
      <c r="E808" s="4">
        <v>211</v>
      </c>
      <c r="F808" s="4">
        <f>ROUND(Source!Y781,O808)</f>
        <v>213383.26</v>
      </c>
      <c r="G808" s="4" t="s">
        <v>263</v>
      </c>
      <c r="H808" s="4" t="s">
        <v>264</v>
      </c>
      <c r="I808" s="4"/>
      <c r="J808" s="4"/>
      <c r="K808" s="4">
        <v>211</v>
      </c>
      <c r="L808" s="4">
        <v>26</v>
      </c>
      <c r="M808" s="4">
        <v>3</v>
      </c>
      <c r="N808" s="4" t="s">
        <v>3</v>
      </c>
      <c r="O808" s="4">
        <v>2</v>
      </c>
      <c r="P808" s="4"/>
      <c r="Q808" s="4"/>
      <c r="R808" s="4"/>
      <c r="S808" s="4"/>
      <c r="T808" s="4"/>
      <c r="U808" s="4"/>
      <c r="V808" s="4"/>
      <c r="W808" s="4"/>
    </row>
    <row r="809" spans="1:245" x14ac:dyDescent="0.2">
      <c r="A809" s="4">
        <v>50</v>
      </c>
      <c r="B809" s="4">
        <v>0</v>
      </c>
      <c r="C809" s="4">
        <v>0</v>
      </c>
      <c r="D809" s="4">
        <v>1</v>
      </c>
      <c r="E809" s="4">
        <v>224</v>
      </c>
      <c r="F809" s="4">
        <f>ROUND(Source!AR781,O809)</f>
        <v>2515454.69</v>
      </c>
      <c r="G809" s="4" t="s">
        <v>265</v>
      </c>
      <c r="H809" s="4" t="s">
        <v>266</v>
      </c>
      <c r="I809" s="4"/>
      <c r="J809" s="4"/>
      <c r="K809" s="4">
        <v>224</v>
      </c>
      <c r="L809" s="4">
        <v>27</v>
      </c>
      <c r="M809" s="4">
        <v>3</v>
      </c>
      <c r="N809" s="4" t="s">
        <v>3</v>
      </c>
      <c r="O809" s="4">
        <v>2</v>
      </c>
      <c r="P809" s="4"/>
      <c r="Q809" s="4"/>
      <c r="R809" s="4"/>
      <c r="S809" s="4"/>
      <c r="T809" s="4"/>
      <c r="U809" s="4"/>
      <c r="V809" s="4"/>
      <c r="W809" s="4"/>
    </row>
    <row r="811" spans="1:245" x14ac:dyDescent="0.2">
      <c r="A811" s="1">
        <v>4</v>
      </c>
      <c r="B811" s="1">
        <v>1</v>
      </c>
      <c r="C811" s="1"/>
      <c r="D811" s="1">
        <f>ROW(A872)</f>
        <v>872</v>
      </c>
      <c r="E811" s="1"/>
      <c r="F811" s="1" t="s">
        <v>13</v>
      </c>
      <c r="G811" s="1" t="s">
        <v>895</v>
      </c>
      <c r="H811" s="1" t="s">
        <v>3</v>
      </c>
      <c r="I811" s="1">
        <v>0</v>
      </c>
      <c r="J811" s="1"/>
      <c r="K811" s="1">
        <v>0</v>
      </c>
      <c r="L811" s="1"/>
      <c r="M811" s="1" t="s">
        <v>3</v>
      </c>
      <c r="N811" s="1"/>
      <c r="O811" s="1"/>
      <c r="P811" s="1"/>
      <c r="Q811" s="1"/>
      <c r="R811" s="1"/>
      <c r="S811" s="1">
        <v>0</v>
      </c>
      <c r="T811" s="1"/>
      <c r="U811" s="1" t="s">
        <v>3</v>
      </c>
      <c r="V811" s="1">
        <v>0</v>
      </c>
      <c r="W811" s="1"/>
      <c r="X811" s="1"/>
      <c r="Y811" s="1"/>
      <c r="Z811" s="1"/>
      <c r="AA811" s="1"/>
      <c r="AB811" s="1" t="s">
        <v>3</v>
      </c>
      <c r="AC811" s="1" t="s">
        <v>3</v>
      </c>
      <c r="AD811" s="1" t="s">
        <v>3</v>
      </c>
      <c r="AE811" s="1" t="s">
        <v>3</v>
      </c>
      <c r="AF811" s="1" t="s">
        <v>3</v>
      </c>
      <c r="AG811" s="1" t="s">
        <v>3</v>
      </c>
      <c r="AH811" s="1"/>
      <c r="AI811" s="1"/>
      <c r="AJ811" s="1"/>
      <c r="AK811" s="1"/>
      <c r="AL811" s="1"/>
      <c r="AM811" s="1"/>
      <c r="AN811" s="1"/>
      <c r="AO811" s="1"/>
      <c r="AP811" s="1" t="s">
        <v>3</v>
      </c>
      <c r="AQ811" s="1" t="s">
        <v>3</v>
      </c>
      <c r="AR811" s="1" t="s">
        <v>3</v>
      </c>
      <c r="AS811" s="1"/>
      <c r="AT811" s="1"/>
      <c r="AU811" s="1"/>
      <c r="AV811" s="1"/>
      <c r="AW811" s="1"/>
      <c r="AX811" s="1"/>
      <c r="AY811" s="1"/>
      <c r="AZ811" s="1" t="s">
        <v>3</v>
      </c>
      <c r="BA811" s="1"/>
      <c r="BB811" s="1" t="s">
        <v>3</v>
      </c>
      <c r="BC811" s="1" t="s">
        <v>3</v>
      </c>
      <c r="BD811" s="1" t="s">
        <v>3</v>
      </c>
      <c r="BE811" s="1" t="s">
        <v>3</v>
      </c>
      <c r="BF811" s="1" t="s">
        <v>3</v>
      </c>
      <c r="BG811" s="1" t="s">
        <v>3</v>
      </c>
      <c r="BH811" s="1" t="s">
        <v>3</v>
      </c>
      <c r="BI811" s="1" t="s">
        <v>3</v>
      </c>
      <c r="BJ811" s="1" t="s">
        <v>3</v>
      </c>
      <c r="BK811" s="1" t="s">
        <v>3</v>
      </c>
      <c r="BL811" s="1" t="s">
        <v>3</v>
      </c>
      <c r="BM811" s="1" t="s">
        <v>3</v>
      </c>
      <c r="BN811" s="1" t="s">
        <v>3</v>
      </c>
      <c r="BO811" s="1" t="s">
        <v>3</v>
      </c>
      <c r="BP811" s="1" t="s">
        <v>3</v>
      </c>
      <c r="BQ811" s="1"/>
      <c r="BR811" s="1"/>
      <c r="BS811" s="1"/>
      <c r="BT811" s="1"/>
      <c r="BU811" s="1"/>
      <c r="BV811" s="1"/>
      <c r="BW811" s="1"/>
      <c r="BX811" s="1">
        <v>0</v>
      </c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>
        <v>0</v>
      </c>
    </row>
    <row r="813" spans="1:245" x14ac:dyDescent="0.2">
      <c r="A813" s="2">
        <v>52</v>
      </c>
      <c r="B813" s="2">
        <f t="shared" ref="B813:G813" si="696">B872</f>
        <v>1</v>
      </c>
      <c r="C813" s="2">
        <f t="shared" si="696"/>
        <v>4</v>
      </c>
      <c r="D813" s="2">
        <f t="shared" si="696"/>
        <v>811</v>
      </c>
      <c r="E813" s="2">
        <f t="shared" si="696"/>
        <v>0</v>
      </c>
      <c r="F813" s="2" t="str">
        <f t="shared" si="696"/>
        <v>Новый раздел</v>
      </c>
      <c r="G813" s="2" t="str">
        <f t="shared" si="696"/>
        <v>Посадка деревьев и кустарников</v>
      </c>
      <c r="H813" s="2"/>
      <c r="I813" s="2"/>
      <c r="J813" s="2"/>
      <c r="K813" s="2"/>
      <c r="L813" s="2"/>
      <c r="M813" s="2"/>
      <c r="N813" s="2"/>
      <c r="O813" s="2">
        <f t="shared" ref="O813:AT813" si="697">O872</f>
        <v>2334426</v>
      </c>
      <c r="P813" s="2">
        <f t="shared" si="697"/>
        <v>2173847.73</v>
      </c>
      <c r="Q813" s="2">
        <f t="shared" si="697"/>
        <v>63073.87</v>
      </c>
      <c r="R813" s="2">
        <f t="shared" si="697"/>
        <v>7976.2</v>
      </c>
      <c r="S813" s="2">
        <f t="shared" si="697"/>
        <v>97504.4</v>
      </c>
      <c r="T813" s="2">
        <f t="shared" si="697"/>
        <v>0</v>
      </c>
      <c r="U813" s="2">
        <f t="shared" si="697"/>
        <v>345.06115</v>
      </c>
      <c r="V813" s="2">
        <f t="shared" si="697"/>
        <v>0</v>
      </c>
      <c r="W813" s="2">
        <f t="shared" si="697"/>
        <v>0</v>
      </c>
      <c r="X813" s="2">
        <f t="shared" si="697"/>
        <v>86722.33</v>
      </c>
      <c r="Y813" s="2">
        <f t="shared" si="697"/>
        <v>39976.81</v>
      </c>
      <c r="Z813" s="2">
        <f t="shared" si="697"/>
        <v>0</v>
      </c>
      <c r="AA813" s="2">
        <f t="shared" si="697"/>
        <v>0</v>
      </c>
      <c r="AB813" s="2">
        <f t="shared" si="697"/>
        <v>157039.51</v>
      </c>
      <c r="AC813" s="2">
        <f t="shared" si="697"/>
        <v>26065.58</v>
      </c>
      <c r="AD813" s="2">
        <f t="shared" si="697"/>
        <v>33469.53</v>
      </c>
      <c r="AE813" s="2">
        <f t="shared" si="697"/>
        <v>7976.2</v>
      </c>
      <c r="AF813" s="2">
        <f t="shared" si="697"/>
        <v>97504.4</v>
      </c>
      <c r="AG813" s="2">
        <f t="shared" si="697"/>
        <v>0</v>
      </c>
      <c r="AH813" s="2">
        <f t="shared" si="697"/>
        <v>345.06115</v>
      </c>
      <c r="AI813" s="2">
        <f t="shared" si="697"/>
        <v>0</v>
      </c>
      <c r="AJ813" s="2">
        <f t="shared" si="697"/>
        <v>0</v>
      </c>
      <c r="AK813" s="2">
        <f t="shared" si="697"/>
        <v>86722.33</v>
      </c>
      <c r="AL813" s="2">
        <f t="shared" si="697"/>
        <v>39976.81</v>
      </c>
      <c r="AM813" s="2">
        <f t="shared" si="697"/>
        <v>0</v>
      </c>
      <c r="AN813" s="2">
        <f t="shared" si="697"/>
        <v>0</v>
      </c>
      <c r="AO813" s="2">
        <f t="shared" si="697"/>
        <v>0</v>
      </c>
      <c r="AP813" s="2">
        <f t="shared" si="697"/>
        <v>0</v>
      </c>
      <c r="AQ813" s="2">
        <f t="shared" si="697"/>
        <v>0</v>
      </c>
      <c r="AR813" s="2">
        <f t="shared" si="697"/>
        <v>2473647.7799999998</v>
      </c>
      <c r="AS813" s="2">
        <f t="shared" si="697"/>
        <v>2443747.4300000002</v>
      </c>
      <c r="AT813" s="2">
        <f t="shared" si="697"/>
        <v>0</v>
      </c>
      <c r="AU813" s="2">
        <f t="shared" ref="AU813:BZ813" si="698">AU872</f>
        <v>29900.35</v>
      </c>
      <c r="AV813" s="2">
        <f t="shared" si="698"/>
        <v>2173847.73</v>
      </c>
      <c r="AW813" s="2">
        <f t="shared" si="698"/>
        <v>2173847.73</v>
      </c>
      <c r="AX813" s="2">
        <f t="shared" si="698"/>
        <v>0</v>
      </c>
      <c r="AY813" s="2">
        <f t="shared" si="698"/>
        <v>2173847.73</v>
      </c>
      <c r="AZ813" s="2">
        <f t="shared" si="698"/>
        <v>0</v>
      </c>
      <c r="BA813" s="2">
        <f t="shared" si="698"/>
        <v>0</v>
      </c>
      <c r="BB813" s="2">
        <f t="shared" si="698"/>
        <v>0</v>
      </c>
      <c r="BC813" s="2">
        <f t="shared" si="698"/>
        <v>0</v>
      </c>
      <c r="BD813" s="2">
        <f t="shared" si="698"/>
        <v>0</v>
      </c>
      <c r="BE813" s="2">
        <f t="shared" si="698"/>
        <v>0</v>
      </c>
      <c r="BF813" s="2">
        <f t="shared" si="698"/>
        <v>0</v>
      </c>
      <c r="BG813" s="2">
        <f t="shared" si="698"/>
        <v>0</v>
      </c>
      <c r="BH813" s="2">
        <f t="shared" si="698"/>
        <v>0</v>
      </c>
      <c r="BI813" s="2">
        <f t="shared" si="698"/>
        <v>0</v>
      </c>
      <c r="BJ813" s="2">
        <f t="shared" si="698"/>
        <v>0</v>
      </c>
      <c r="BK813" s="2">
        <f t="shared" si="698"/>
        <v>0</v>
      </c>
      <c r="BL813" s="2">
        <f t="shared" si="698"/>
        <v>0</v>
      </c>
      <c r="BM813" s="2">
        <f t="shared" si="698"/>
        <v>0</v>
      </c>
      <c r="BN813" s="2">
        <f t="shared" si="698"/>
        <v>0</v>
      </c>
      <c r="BO813" s="2">
        <f t="shared" si="698"/>
        <v>0</v>
      </c>
      <c r="BP813" s="2">
        <f t="shared" si="698"/>
        <v>0</v>
      </c>
      <c r="BQ813" s="2">
        <f t="shared" si="698"/>
        <v>0</v>
      </c>
      <c r="BR813" s="2">
        <f t="shared" si="698"/>
        <v>0</v>
      </c>
      <c r="BS813" s="2">
        <f t="shared" si="698"/>
        <v>0</v>
      </c>
      <c r="BT813" s="2">
        <f t="shared" si="698"/>
        <v>0</v>
      </c>
      <c r="BU813" s="2">
        <f t="shared" si="698"/>
        <v>0</v>
      </c>
      <c r="BV813" s="2">
        <f t="shared" si="698"/>
        <v>0</v>
      </c>
      <c r="BW813" s="2">
        <f t="shared" si="698"/>
        <v>0</v>
      </c>
      <c r="BX813" s="2">
        <f t="shared" si="698"/>
        <v>0</v>
      </c>
      <c r="BY813" s="2">
        <f t="shared" si="698"/>
        <v>0</v>
      </c>
      <c r="BZ813" s="2">
        <f t="shared" si="698"/>
        <v>0</v>
      </c>
      <c r="CA813" s="2">
        <f t="shared" ref="CA813:DF813" si="699">CA872</f>
        <v>296261.28999999998</v>
      </c>
      <c r="CB813" s="2">
        <f t="shared" si="699"/>
        <v>295965.28000000003</v>
      </c>
      <c r="CC813" s="2">
        <f t="shared" si="699"/>
        <v>0</v>
      </c>
      <c r="CD813" s="2">
        <f t="shared" si="699"/>
        <v>296.01</v>
      </c>
      <c r="CE813" s="2">
        <f t="shared" si="699"/>
        <v>26065.58</v>
      </c>
      <c r="CF813" s="2">
        <f t="shared" si="699"/>
        <v>26065.58</v>
      </c>
      <c r="CG813" s="2">
        <f t="shared" si="699"/>
        <v>0</v>
      </c>
      <c r="CH813" s="2">
        <f t="shared" si="699"/>
        <v>26065.58</v>
      </c>
      <c r="CI813" s="2">
        <f t="shared" si="699"/>
        <v>0</v>
      </c>
      <c r="CJ813" s="2">
        <f t="shared" si="699"/>
        <v>0</v>
      </c>
      <c r="CK813" s="2">
        <f t="shared" si="699"/>
        <v>0</v>
      </c>
      <c r="CL813" s="2">
        <f t="shared" si="699"/>
        <v>0</v>
      </c>
      <c r="CM813" s="2">
        <f t="shared" si="699"/>
        <v>0</v>
      </c>
      <c r="CN813" s="2">
        <f t="shared" si="699"/>
        <v>0</v>
      </c>
      <c r="CO813" s="2">
        <f t="shared" si="699"/>
        <v>0</v>
      </c>
      <c r="CP813" s="2">
        <f t="shared" si="699"/>
        <v>0</v>
      </c>
      <c r="CQ813" s="2">
        <f t="shared" si="699"/>
        <v>0</v>
      </c>
      <c r="CR813" s="2">
        <f t="shared" si="699"/>
        <v>0</v>
      </c>
      <c r="CS813" s="2">
        <f t="shared" si="699"/>
        <v>0</v>
      </c>
      <c r="CT813" s="2">
        <f t="shared" si="699"/>
        <v>0</v>
      </c>
      <c r="CU813" s="2">
        <f t="shared" si="699"/>
        <v>0</v>
      </c>
      <c r="CV813" s="2">
        <f t="shared" si="699"/>
        <v>0</v>
      </c>
      <c r="CW813" s="2">
        <f t="shared" si="699"/>
        <v>0</v>
      </c>
      <c r="CX813" s="2">
        <f t="shared" si="699"/>
        <v>0</v>
      </c>
      <c r="CY813" s="2">
        <f t="shared" si="699"/>
        <v>0</v>
      </c>
      <c r="CZ813" s="2">
        <f t="shared" si="699"/>
        <v>0</v>
      </c>
      <c r="DA813" s="2">
        <f t="shared" si="699"/>
        <v>0</v>
      </c>
      <c r="DB813" s="2">
        <f t="shared" si="699"/>
        <v>0</v>
      </c>
      <c r="DC813" s="2">
        <f t="shared" si="699"/>
        <v>0</v>
      </c>
      <c r="DD813" s="2">
        <f t="shared" si="699"/>
        <v>0</v>
      </c>
      <c r="DE813" s="2">
        <f t="shared" si="699"/>
        <v>0</v>
      </c>
      <c r="DF813" s="2">
        <f t="shared" si="699"/>
        <v>0</v>
      </c>
      <c r="DG813" s="3">
        <f t="shared" ref="DG813:EL813" si="700">DG872</f>
        <v>0</v>
      </c>
      <c r="DH813" s="3">
        <f t="shared" si="700"/>
        <v>0</v>
      </c>
      <c r="DI813" s="3">
        <f t="shared" si="700"/>
        <v>0</v>
      </c>
      <c r="DJ813" s="3">
        <f t="shared" si="700"/>
        <v>0</v>
      </c>
      <c r="DK813" s="3">
        <f t="shared" si="700"/>
        <v>0</v>
      </c>
      <c r="DL813" s="3">
        <f t="shared" si="700"/>
        <v>0</v>
      </c>
      <c r="DM813" s="3">
        <f t="shared" si="700"/>
        <v>0</v>
      </c>
      <c r="DN813" s="3">
        <f t="shared" si="700"/>
        <v>0</v>
      </c>
      <c r="DO813" s="3">
        <f t="shared" si="700"/>
        <v>0</v>
      </c>
      <c r="DP813" s="3">
        <f t="shared" si="700"/>
        <v>0</v>
      </c>
      <c r="DQ813" s="3">
        <f t="shared" si="700"/>
        <v>0</v>
      </c>
      <c r="DR813" s="3">
        <f t="shared" si="700"/>
        <v>0</v>
      </c>
      <c r="DS813" s="3">
        <f t="shared" si="700"/>
        <v>0</v>
      </c>
      <c r="DT813" s="3">
        <f t="shared" si="700"/>
        <v>0</v>
      </c>
      <c r="DU813" s="3">
        <f t="shared" si="700"/>
        <v>0</v>
      </c>
      <c r="DV813" s="3">
        <f t="shared" si="700"/>
        <v>0</v>
      </c>
      <c r="DW813" s="3">
        <f t="shared" si="700"/>
        <v>0</v>
      </c>
      <c r="DX813" s="3">
        <f t="shared" si="700"/>
        <v>0</v>
      </c>
      <c r="DY813" s="3">
        <f t="shared" si="700"/>
        <v>0</v>
      </c>
      <c r="DZ813" s="3">
        <f t="shared" si="700"/>
        <v>0</v>
      </c>
      <c r="EA813" s="3">
        <f t="shared" si="700"/>
        <v>0</v>
      </c>
      <c r="EB813" s="3">
        <f t="shared" si="700"/>
        <v>0</v>
      </c>
      <c r="EC813" s="3">
        <f t="shared" si="700"/>
        <v>0</v>
      </c>
      <c r="ED813" s="3">
        <f t="shared" si="700"/>
        <v>0</v>
      </c>
      <c r="EE813" s="3">
        <f t="shared" si="700"/>
        <v>0</v>
      </c>
      <c r="EF813" s="3">
        <f t="shared" si="700"/>
        <v>0</v>
      </c>
      <c r="EG813" s="3">
        <f t="shared" si="700"/>
        <v>0</v>
      </c>
      <c r="EH813" s="3">
        <f t="shared" si="700"/>
        <v>0</v>
      </c>
      <c r="EI813" s="3">
        <f t="shared" si="700"/>
        <v>0</v>
      </c>
      <c r="EJ813" s="3">
        <f t="shared" si="700"/>
        <v>0</v>
      </c>
      <c r="EK813" s="3">
        <f t="shared" si="700"/>
        <v>0</v>
      </c>
      <c r="EL813" s="3">
        <f t="shared" si="700"/>
        <v>0</v>
      </c>
      <c r="EM813" s="3">
        <f t="shared" ref="EM813:FR813" si="701">EM872</f>
        <v>0</v>
      </c>
      <c r="EN813" s="3">
        <f t="shared" si="701"/>
        <v>0</v>
      </c>
      <c r="EO813" s="3">
        <f t="shared" si="701"/>
        <v>0</v>
      </c>
      <c r="EP813" s="3">
        <f t="shared" si="701"/>
        <v>0</v>
      </c>
      <c r="EQ813" s="3">
        <f t="shared" si="701"/>
        <v>0</v>
      </c>
      <c r="ER813" s="3">
        <f t="shared" si="701"/>
        <v>0</v>
      </c>
      <c r="ES813" s="3">
        <f t="shared" si="701"/>
        <v>0</v>
      </c>
      <c r="ET813" s="3">
        <f t="shared" si="701"/>
        <v>0</v>
      </c>
      <c r="EU813" s="3">
        <f t="shared" si="701"/>
        <v>0</v>
      </c>
      <c r="EV813" s="3">
        <f t="shared" si="701"/>
        <v>0</v>
      </c>
      <c r="EW813" s="3">
        <f t="shared" si="701"/>
        <v>0</v>
      </c>
      <c r="EX813" s="3">
        <f t="shared" si="701"/>
        <v>0</v>
      </c>
      <c r="EY813" s="3">
        <f t="shared" si="701"/>
        <v>0</v>
      </c>
      <c r="EZ813" s="3">
        <f t="shared" si="701"/>
        <v>0</v>
      </c>
      <c r="FA813" s="3">
        <f t="shared" si="701"/>
        <v>0</v>
      </c>
      <c r="FB813" s="3">
        <f t="shared" si="701"/>
        <v>0</v>
      </c>
      <c r="FC813" s="3">
        <f t="shared" si="701"/>
        <v>0</v>
      </c>
      <c r="FD813" s="3">
        <f t="shared" si="701"/>
        <v>0</v>
      </c>
      <c r="FE813" s="3">
        <f t="shared" si="701"/>
        <v>0</v>
      </c>
      <c r="FF813" s="3">
        <f t="shared" si="701"/>
        <v>0</v>
      </c>
      <c r="FG813" s="3">
        <f t="shared" si="701"/>
        <v>0</v>
      </c>
      <c r="FH813" s="3">
        <f t="shared" si="701"/>
        <v>0</v>
      </c>
      <c r="FI813" s="3">
        <f t="shared" si="701"/>
        <v>0</v>
      </c>
      <c r="FJ813" s="3">
        <f t="shared" si="701"/>
        <v>0</v>
      </c>
      <c r="FK813" s="3">
        <f t="shared" si="701"/>
        <v>0</v>
      </c>
      <c r="FL813" s="3">
        <f t="shared" si="701"/>
        <v>0</v>
      </c>
      <c r="FM813" s="3">
        <f t="shared" si="701"/>
        <v>0</v>
      </c>
      <c r="FN813" s="3">
        <f t="shared" si="701"/>
        <v>0</v>
      </c>
      <c r="FO813" s="3">
        <f t="shared" si="701"/>
        <v>0</v>
      </c>
      <c r="FP813" s="3">
        <f t="shared" si="701"/>
        <v>0</v>
      </c>
      <c r="FQ813" s="3">
        <f t="shared" si="701"/>
        <v>0</v>
      </c>
      <c r="FR813" s="3">
        <f t="shared" si="701"/>
        <v>0</v>
      </c>
      <c r="FS813" s="3">
        <f t="shared" ref="FS813:GX813" si="702">FS872</f>
        <v>0</v>
      </c>
      <c r="FT813" s="3">
        <f t="shared" si="702"/>
        <v>0</v>
      </c>
      <c r="FU813" s="3">
        <f t="shared" si="702"/>
        <v>0</v>
      </c>
      <c r="FV813" s="3">
        <f t="shared" si="702"/>
        <v>0</v>
      </c>
      <c r="FW813" s="3">
        <f t="shared" si="702"/>
        <v>0</v>
      </c>
      <c r="FX813" s="3">
        <f t="shared" si="702"/>
        <v>0</v>
      </c>
      <c r="FY813" s="3">
        <f t="shared" si="702"/>
        <v>0</v>
      </c>
      <c r="FZ813" s="3">
        <f t="shared" si="702"/>
        <v>0</v>
      </c>
      <c r="GA813" s="3">
        <f t="shared" si="702"/>
        <v>0</v>
      </c>
      <c r="GB813" s="3">
        <f t="shared" si="702"/>
        <v>0</v>
      </c>
      <c r="GC813" s="3">
        <f t="shared" si="702"/>
        <v>0</v>
      </c>
      <c r="GD813" s="3">
        <f t="shared" si="702"/>
        <v>0</v>
      </c>
      <c r="GE813" s="3">
        <f t="shared" si="702"/>
        <v>0</v>
      </c>
      <c r="GF813" s="3">
        <f t="shared" si="702"/>
        <v>0</v>
      </c>
      <c r="GG813" s="3">
        <f t="shared" si="702"/>
        <v>0</v>
      </c>
      <c r="GH813" s="3">
        <f t="shared" si="702"/>
        <v>0</v>
      </c>
      <c r="GI813" s="3">
        <f t="shared" si="702"/>
        <v>0</v>
      </c>
      <c r="GJ813" s="3">
        <f t="shared" si="702"/>
        <v>0</v>
      </c>
      <c r="GK813" s="3">
        <f t="shared" si="702"/>
        <v>0</v>
      </c>
      <c r="GL813" s="3">
        <f t="shared" si="702"/>
        <v>0</v>
      </c>
      <c r="GM813" s="3">
        <f t="shared" si="702"/>
        <v>0</v>
      </c>
      <c r="GN813" s="3">
        <f t="shared" si="702"/>
        <v>0</v>
      </c>
      <c r="GO813" s="3">
        <f t="shared" si="702"/>
        <v>0</v>
      </c>
      <c r="GP813" s="3">
        <f t="shared" si="702"/>
        <v>0</v>
      </c>
      <c r="GQ813" s="3">
        <f t="shared" si="702"/>
        <v>0</v>
      </c>
      <c r="GR813" s="3">
        <f t="shared" si="702"/>
        <v>0</v>
      </c>
      <c r="GS813" s="3">
        <f t="shared" si="702"/>
        <v>0</v>
      </c>
      <c r="GT813" s="3">
        <f t="shared" si="702"/>
        <v>0</v>
      </c>
      <c r="GU813" s="3">
        <f t="shared" si="702"/>
        <v>0</v>
      </c>
      <c r="GV813" s="3">
        <f t="shared" si="702"/>
        <v>0</v>
      </c>
      <c r="GW813" s="3">
        <f t="shared" si="702"/>
        <v>0</v>
      </c>
      <c r="GX813" s="3">
        <f t="shared" si="702"/>
        <v>0</v>
      </c>
    </row>
    <row r="815" spans="1:245" x14ac:dyDescent="0.2">
      <c r="A815">
        <v>17</v>
      </c>
      <c r="B815">
        <v>1</v>
      </c>
      <c r="C815">
        <f>ROW(SmtRes!A431)</f>
        <v>431</v>
      </c>
      <c r="D815">
        <f>ROW(EtalonRes!A425)</f>
        <v>425</v>
      </c>
      <c r="E815" t="s">
        <v>896</v>
      </c>
      <c r="F815" t="s">
        <v>897</v>
      </c>
      <c r="G815" t="s">
        <v>898</v>
      </c>
      <c r="H815" t="s">
        <v>899</v>
      </c>
      <c r="I815">
        <f>ROUND(30/10,9)</f>
        <v>3</v>
      </c>
      <c r="J815">
        <v>0</v>
      </c>
      <c r="K815">
        <f>ROUND(30/10,9)</f>
        <v>3</v>
      </c>
      <c r="O815">
        <f t="shared" ref="O815:O824" si="703">ROUND(CP815,2)</f>
        <v>32901.85</v>
      </c>
      <c r="P815">
        <f t="shared" ref="P815:P824" si="704">ROUND((ROUND((AC815*AW815*I815),2)*BC815),2)</f>
        <v>4978.3999999999996</v>
      </c>
      <c r="Q815">
        <f>(ROUND((ROUND((((ET815*1.25))*AV815*I815),2)*BB815),2)+ROUND((ROUND(((AE815-((EU815*1.25)))*AV815*I815),2)*BS815),2))</f>
        <v>0</v>
      </c>
      <c r="R815">
        <f t="shared" ref="R815:R824" si="705">ROUND((ROUND((AE815*AV815*I815),2)*BS815),2)</f>
        <v>0</v>
      </c>
      <c r="S815">
        <f t="shared" ref="S815:S824" si="706">ROUND((ROUND((AF815*AV815*I815),2)*BA815),2)</f>
        <v>27923.45</v>
      </c>
      <c r="T815">
        <f t="shared" ref="T815:T824" si="707">ROUND(CU815*I815,2)</f>
        <v>0</v>
      </c>
      <c r="U815">
        <f t="shared" ref="U815:U824" si="708">CV815*I815</f>
        <v>107.39849999999998</v>
      </c>
      <c r="V815">
        <f t="shared" ref="V815:V824" si="709">CW815*I815</f>
        <v>0</v>
      </c>
      <c r="W815">
        <f t="shared" ref="W815:W824" si="710">ROUND(CX815*I815,2)</f>
        <v>0</v>
      </c>
      <c r="X815">
        <f t="shared" ref="X815:X824" si="711">ROUND(CY815,2)</f>
        <v>25131.11</v>
      </c>
      <c r="Y815">
        <f t="shared" ref="Y815:Y824" si="712">ROUND(CZ815,2)</f>
        <v>11448.61</v>
      </c>
      <c r="AA815">
        <v>42938047</v>
      </c>
      <c r="AB815">
        <f t="shared" ref="AB815:AB824" si="713">ROUND((AC815+AD815+AF815),6)</f>
        <v>1103.4124999999999</v>
      </c>
      <c r="AC815">
        <f t="shared" ref="AC815:AC824" si="714">ROUND((ES815),6)</f>
        <v>737.54</v>
      </c>
      <c r="AD815">
        <f>ROUND(((((ET815*1.25))-((EU815*1.25)))+AE815),6)</f>
        <v>0</v>
      </c>
      <c r="AE815">
        <f>ROUND(((EU815*1.25)),6)</f>
        <v>0</v>
      </c>
      <c r="AF815">
        <f>ROUND(((EV815*1.15)),6)</f>
        <v>365.8725</v>
      </c>
      <c r="AG815">
        <f t="shared" ref="AG815:AG824" si="715">ROUND((AP815),6)</f>
        <v>0</v>
      </c>
      <c r="AH815">
        <f>((EW815*1.15))</f>
        <v>35.799499999999995</v>
      </c>
      <c r="AI815">
        <f>((EX815*1.25))</f>
        <v>0</v>
      </c>
      <c r="AJ815">
        <f t="shared" ref="AJ815:AJ824" si="716">(AS815)</f>
        <v>0</v>
      </c>
      <c r="AK815">
        <v>1055.69</v>
      </c>
      <c r="AL815">
        <v>737.54</v>
      </c>
      <c r="AM815">
        <v>0</v>
      </c>
      <c r="AN815">
        <v>0</v>
      </c>
      <c r="AO815">
        <v>318.14999999999998</v>
      </c>
      <c r="AP815">
        <v>0</v>
      </c>
      <c r="AQ815">
        <v>31.13</v>
      </c>
      <c r="AR815">
        <v>0</v>
      </c>
      <c r="AS815">
        <v>0</v>
      </c>
      <c r="AT815">
        <v>90</v>
      </c>
      <c r="AU815">
        <v>41</v>
      </c>
      <c r="AV815">
        <v>1</v>
      </c>
      <c r="AW815">
        <v>1</v>
      </c>
      <c r="AZ815">
        <v>1</v>
      </c>
      <c r="BA815">
        <v>25.44</v>
      </c>
      <c r="BB815">
        <v>1</v>
      </c>
      <c r="BC815">
        <v>2.25</v>
      </c>
      <c r="BD815" t="s">
        <v>3</v>
      </c>
      <c r="BE815" t="s">
        <v>3</v>
      </c>
      <c r="BF815" t="s">
        <v>3</v>
      </c>
      <c r="BG815" t="s">
        <v>3</v>
      </c>
      <c r="BH815">
        <v>0</v>
      </c>
      <c r="BI815">
        <v>1</v>
      </c>
      <c r="BJ815" t="s">
        <v>900</v>
      </c>
      <c r="BM815">
        <v>292</v>
      </c>
      <c r="BN815">
        <v>0</v>
      </c>
      <c r="BO815" t="s">
        <v>897</v>
      </c>
      <c r="BP815">
        <v>1</v>
      </c>
      <c r="BQ815">
        <v>30</v>
      </c>
      <c r="BR815">
        <v>0</v>
      </c>
      <c r="BS815">
        <v>25.44</v>
      </c>
      <c r="BT815">
        <v>1</v>
      </c>
      <c r="BU815">
        <v>1</v>
      </c>
      <c r="BV815">
        <v>1</v>
      </c>
      <c r="BW815">
        <v>1</v>
      </c>
      <c r="BX815">
        <v>1</v>
      </c>
      <c r="BY815" t="s">
        <v>3</v>
      </c>
      <c r="BZ815">
        <v>90</v>
      </c>
      <c r="CA815">
        <v>41</v>
      </c>
      <c r="CB815" t="s">
        <v>3</v>
      </c>
      <c r="CE815">
        <v>30</v>
      </c>
      <c r="CF815">
        <v>0</v>
      </c>
      <c r="CG815">
        <v>0</v>
      </c>
      <c r="CM815">
        <v>0</v>
      </c>
      <c r="CN815" t="s">
        <v>1584</v>
      </c>
      <c r="CO815">
        <v>0</v>
      </c>
      <c r="CP815">
        <f t="shared" ref="CP815:CP824" si="717">(P815+Q815+S815)</f>
        <v>32901.85</v>
      </c>
      <c r="CQ815">
        <f t="shared" ref="CQ815:CQ824" si="718">ROUND((ROUND((AC815*AW815*1),2)*BC815),2)</f>
        <v>1659.47</v>
      </c>
      <c r="CR815">
        <f>(ROUND((ROUND((((ET815*1.25))*AV815*1),2)*BB815),2)+ROUND((ROUND(((AE815-((EU815*1.25)))*AV815*1),2)*BS815),2))</f>
        <v>0</v>
      </c>
      <c r="CS815">
        <f t="shared" ref="CS815:CS824" si="719">ROUND((ROUND((AE815*AV815*1),2)*BS815),2)</f>
        <v>0</v>
      </c>
      <c r="CT815">
        <f t="shared" ref="CT815:CT824" si="720">ROUND((ROUND((AF815*AV815*1),2)*BA815),2)</f>
        <v>9307.73</v>
      </c>
      <c r="CU815">
        <f t="shared" ref="CU815:CU824" si="721">AG815</f>
        <v>0</v>
      </c>
      <c r="CV815">
        <f t="shared" ref="CV815:CV824" si="722">(AH815*AV815)</f>
        <v>35.799499999999995</v>
      </c>
      <c r="CW815">
        <f t="shared" ref="CW815:CW824" si="723">AI815</f>
        <v>0</v>
      </c>
      <c r="CX815">
        <f t="shared" ref="CX815:CX824" si="724">AJ815</f>
        <v>0</v>
      </c>
      <c r="CY815">
        <f t="shared" ref="CY815:CY824" si="725">S815*(BZ815/100)</f>
        <v>25131.105</v>
      </c>
      <c r="CZ815">
        <f t="shared" ref="CZ815:CZ824" si="726">S815*(CA815/100)</f>
        <v>11448.6145</v>
      </c>
      <c r="DC815" t="s">
        <v>3</v>
      </c>
      <c r="DD815" t="s">
        <v>3</v>
      </c>
      <c r="DE815" t="s">
        <v>20</v>
      </c>
      <c r="DF815" t="s">
        <v>20</v>
      </c>
      <c r="DG815" t="s">
        <v>21</v>
      </c>
      <c r="DH815" t="s">
        <v>3</v>
      </c>
      <c r="DI815" t="s">
        <v>21</v>
      </c>
      <c r="DJ815" t="s">
        <v>20</v>
      </c>
      <c r="DK815" t="s">
        <v>3</v>
      </c>
      <c r="DL815" t="s">
        <v>3</v>
      </c>
      <c r="DM815" t="s">
        <v>3</v>
      </c>
      <c r="DN815">
        <v>156</v>
      </c>
      <c r="DO815">
        <v>84</v>
      </c>
      <c r="DP815">
        <v>1</v>
      </c>
      <c r="DQ815">
        <v>1</v>
      </c>
      <c r="DU815">
        <v>1007</v>
      </c>
      <c r="DV815" t="s">
        <v>899</v>
      </c>
      <c r="DW815" t="s">
        <v>899</v>
      </c>
      <c r="DX815">
        <v>10</v>
      </c>
      <c r="DZ815" t="s">
        <v>3</v>
      </c>
      <c r="EA815" t="s">
        <v>3</v>
      </c>
      <c r="EB815" t="s">
        <v>3</v>
      </c>
      <c r="EC815" t="s">
        <v>3</v>
      </c>
      <c r="EE815">
        <v>43088370</v>
      </c>
      <c r="EF815">
        <v>30</v>
      </c>
      <c r="EG815" t="s">
        <v>22</v>
      </c>
      <c r="EH815">
        <v>0</v>
      </c>
      <c r="EI815" t="s">
        <v>3</v>
      </c>
      <c r="EJ815">
        <v>1</v>
      </c>
      <c r="EK815">
        <v>292</v>
      </c>
      <c r="EL815" t="s">
        <v>23</v>
      </c>
      <c r="EM815" t="s">
        <v>24</v>
      </c>
      <c r="EO815" t="s">
        <v>59</v>
      </c>
      <c r="EQ815">
        <v>0</v>
      </c>
      <c r="ER815">
        <v>1055.69</v>
      </c>
      <c r="ES815">
        <v>737.54</v>
      </c>
      <c r="ET815">
        <v>0</v>
      </c>
      <c r="EU815">
        <v>0</v>
      </c>
      <c r="EV815">
        <v>318.14999999999998</v>
      </c>
      <c r="EW815">
        <v>31.13</v>
      </c>
      <c r="EX815">
        <v>0</v>
      </c>
      <c r="EY815">
        <v>0</v>
      </c>
      <c r="FQ815">
        <v>0</v>
      </c>
      <c r="FR815">
        <f t="shared" ref="FR815:FR824" si="727">ROUND(IF(AND(BH815=3,BI815=3),P815,0),2)</f>
        <v>0</v>
      </c>
      <c r="FS815">
        <v>0</v>
      </c>
      <c r="FX815">
        <v>156</v>
      </c>
      <c r="FY815">
        <v>84</v>
      </c>
      <c r="GA815" t="s">
        <v>3</v>
      </c>
      <c r="GD815">
        <v>0</v>
      </c>
      <c r="GF815">
        <v>1663217255</v>
      </c>
      <c r="GG815">
        <v>2</v>
      </c>
      <c r="GH815">
        <v>1</v>
      </c>
      <c r="GI815">
        <v>2</v>
      </c>
      <c r="GJ815">
        <v>0</v>
      </c>
      <c r="GK815">
        <f>ROUND(R815*(R12)/100,2)</f>
        <v>0</v>
      </c>
      <c r="GL815">
        <f t="shared" ref="GL815:GL824" si="728">ROUND(IF(AND(BH815=3,BI815=3,FS815&lt;&gt;0),P815,0),2)</f>
        <v>0</v>
      </c>
      <c r="GM815">
        <f t="shared" ref="GM815:GM824" si="729">ROUND(O815+X815+Y815+GK815,2)+GX815</f>
        <v>69481.570000000007</v>
      </c>
      <c r="GN815">
        <f t="shared" ref="GN815:GN824" si="730">IF(OR(BI815=0,BI815=1),ROUND(O815+X815+Y815+GK815,2),0)</f>
        <v>69481.570000000007</v>
      </c>
      <c r="GO815">
        <f t="shared" ref="GO815:GO824" si="731">IF(BI815=2,ROUND(O815+X815+Y815+GK815,2),0)</f>
        <v>0</v>
      </c>
      <c r="GP815">
        <f t="shared" ref="GP815:GP824" si="732">IF(BI815=4,ROUND(O815+X815+Y815+GK815,2)+GX815,0)</f>
        <v>0</v>
      </c>
      <c r="GR815">
        <v>0</v>
      </c>
      <c r="GS815">
        <v>3</v>
      </c>
      <c r="GT815">
        <v>0</v>
      </c>
      <c r="GU815" t="s">
        <v>3</v>
      </c>
      <c r="GV815">
        <f t="shared" ref="GV815:GV824" si="733">ROUND((GT815),6)</f>
        <v>0</v>
      </c>
      <c r="GW815">
        <v>1</v>
      </c>
      <c r="GX815">
        <f t="shared" ref="GX815:GX824" si="734">ROUND(HC815*I815,2)</f>
        <v>0</v>
      </c>
      <c r="HA815">
        <v>0</v>
      </c>
      <c r="HB815">
        <v>0</v>
      </c>
      <c r="HC815">
        <f t="shared" ref="HC815:HC824" si="735">GV815*GW815</f>
        <v>0</v>
      </c>
      <c r="HE815" t="s">
        <v>3</v>
      </c>
      <c r="HF815" t="s">
        <v>3</v>
      </c>
      <c r="HM815" t="s">
        <v>3</v>
      </c>
      <c r="IK815">
        <v>0</v>
      </c>
    </row>
    <row r="816" spans="1:245" x14ac:dyDescent="0.2">
      <c r="A816">
        <v>18</v>
      </c>
      <c r="B816">
        <v>1</v>
      </c>
      <c r="C816">
        <v>430</v>
      </c>
      <c r="E816" t="s">
        <v>901</v>
      </c>
      <c r="F816" t="s">
        <v>860</v>
      </c>
      <c r="G816" t="s">
        <v>861</v>
      </c>
      <c r="H816" t="s">
        <v>84</v>
      </c>
      <c r="I816">
        <f>I815*J816</f>
        <v>16.32</v>
      </c>
      <c r="J816">
        <v>5.44</v>
      </c>
      <c r="K816">
        <v>5.44</v>
      </c>
      <c r="O816">
        <f t="shared" si="703"/>
        <v>18739.18</v>
      </c>
      <c r="P816">
        <f t="shared" si="704"/>
        <v>18739.18</v>
      </c>
      <c r="Q816">
        <f>(ROUND((ROUND(((ET816)*AV816*I816),2)*BB816),2)+ROUND((ROUND(((AE816-(EU816))*AV816*I816),2)*BS816),2))</f>
        <v>0</v>
      </c>
      <c r="R816">
        <f t="shared" si="705"/>
        <v>0</v>
      </c>
      <c r="S816">
        <f t="shared" si="706"/>
        <v>0</v>
      </c>
      <c r="T816">
        <f t="shared" si="707"/>
        <v>0</v>
      </c>
      <c r="U816">
        <f t="shared" si="708"/>
        <v>0</v>
      </c>
      <c r="V816">
        <f t="shared" si="709"/>
        <v>0</v>
      </c>
      <c r="W816">
        <f t="shared" si="710"/>
        <v>0</v>
      </c>
      <c r="X816">
        <f t="shared" si="711"/>
        <v>0</v>
      </c>
      <c r="Y816">
        <f t="shared" si="712"/>
        <v>0</v>
      </c>
      <c r="AA816">
        <v>42938047</v>
      </c>
      <c r="AB816">
        <f t="shared" si="713"/>
        <v>297.47000000000003</v>
      </c>
      <c r="AC816">
        <f t="shared" si="714"/>
        <v>297.47000000000003</v>
      </c>
      <c r="AD816">
        <f>ROUND((((ET816)-(EU816))+AE816),6)</f>
        <v>0</v>
      </c>
      <c r="AE816">
        <f>ROUND((EU816),6)</f>
        <v>0</v>
      </c>
      <c r="AF816">
        <f>ROUND((EV816),6)</f>
        <v>0</v>
      </c>
      <c r="AG816">
        <f t="shared" si="715"/>
        <v>0</v>
      </c>
      <c r="AH816">
        <f>(EW816)</f>
        <v>0</v>
      </c>
      <c r="AI816">
        <f>(EX816)</f>
        <v>0</v>
      </c>
      <c r="AJ816">
        <f t="shared" si="716"/>
        <v>0</v>
      </c>
      <c r="AK816">
        <v>297.47000000000003</v>
      </c>
      <c r="AL816">
        <v>297.47000000000003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1</v>
      </c>
      <c r="AW816">
        <v>1</v>
      </c>
      <c r="AZ816">
        <v>1</v>
      </c>
      <c r="BA816">
        <v>1</v>
      </c>
      <c r="BB816">
        <v>1</v>
      </c>
      <c r="BC816">
        <v>3.86</v>
      </c>
      <c r="BD816" t="s">
        <v>3</v>
      </c>
      <c r="BE816" t="s">
        <v>3</v>
      </c>
      <c r="BF816" t="s">
        <v>3</v>
      </c>
      <c r="BG816" t="s">
        <v>3</v>
      </c>
      <c r="BH816">
        <v>3</v>
      </c>
      <c r="BI816">
        <v>1</v>
      </c>
      <c r="BJ816" t="s">
        <v>862</v>
      </c>
      <c r="BM816">
        <v>292</v>
      </c>
      <c r="BN816">
        <v>0</v>
      </c>
      <c r="BO816" t="s">
        <v>860</v>
      </c>
      <c r="BP816">
        <v>1</v>
      </c>
      <c r="BQ816">
        <v>30</v>
      </c>
      <c r="BR816">
        <v>0</v>
      </c>
      <c r="BS816">
        <v>1</v>
      </c>
      <c r="BT816">
        <v>1</v>
      </c>
      <c r="BU816">
        <v>1</v>
      </c>
      <c r="BV816">
        <v>1</v>
      </c>
      <c r="BW816">
        <v>1</v>
      </c>
      <c r="BX816">
        <v>1</v>
      </c>
      <c r="BY816" t="s">
        <v>3</v>
      </c>
      <c r="BZ816">
        <v>0</v>
      </c>
      <c r="CA816">
        <v>0</v>
      </c>
      <c r="CB816" t="s">
        <v>3</v>
      </c>
      <c r="CE816">
        <v>30</v>
      </c>
      <c r="CF816">
        <v>0</v>
      </c>
      <c r="CG816">
        <v>0</v>
      </c>
      <c r="CM816">
        <v>0</v>
      </c>
      <c r="CN816" t="s">
        <v>3</v>
      </c>
      <c r="CO816">
        <v>0</v>
      </c>
      <c r="CP816">
        <f t="shared" si="717"/>
        <v>18739.18</v>
      </c>
      <c r="CQ816">
        <f t="shared" si="718"/>
        <v>1148.23</v>
      </c>
      <c r="CR816">
        <f>(ROUND((ROUND(((ET816)*AV816*1),2)*BB816),2)+ROUND((ROUND(((AE816-(EU816))*AV816*1),2)*BS816),2))</f>
        <v>0</v>
      </c>
      <c r="CS816">
        <f t="shared" si="719"/>
        <v>0</v>
      </c>
      <c r="CT816">
        <f t="shared" si="720"/>
        <v>0</v>
      </c>
      <c r="CU816">
        <f t="shared" si="721"/>
        <v>0</v>
      </c>
      <c r="CV816">
        <f t="shared" si="722"/>
        <v>0</v>
      </c>
      <c r="CW816">
        <f t="shared" si="723"/>
        <v>0</v>
      </c>
      <c r="CX816">
        <f t="shared" si="724"/>
        <v>0</v>
      </c>
      <c r="CY816">
        <f t="shared" si="725"/>
        <v>0</v>
      </c>
      <c r="CZ816">
        <f t="shared" si="726"/>
        <v>0</v>
      </c>
      <c r="DC816" t="s">
        <v>3</v>
      </c>
      <c r="DD816" t="s">
        <v>3</v>
      </c>
      <c r="DE816" t="s">
        <v>3</v>
      </c>
      <c r="DF816" t="s">
        <v>3</v>
      </c>
      <c r="DG816" t="s">
        <v>3</v>
      </c>
      <c r="DH816" t="s">
        <v>3</v>
      </c>
      <c r="DI816" t="s">
        <v>3</v>
      </c>
      <c r="DJ816" t="s">
        <v>3</v>
      </c>
      <c r="DK816" t="s">
        <v>3</v>
      </c>
      <c r="DL816" t="s">
        <v>3</v>
      </c>
      <c r="DM816" t="s">
        <v>3</v>
      </c>
      <c r="DN816">
        <v>156</v>
      </c>
      <c r="DO816">
        <v>84</v>
      </c>
      <c r="DP816">
        <v>1</v>
      </c>
      <c r="DQ816">
        <v>1</v>
      </c>
      <c r="DU816">
        <v>1007</v>
      </c>
      <c r="DV816" t="s">
        <v>84</v>
      </c>
      <c r="DW816" t="s">
        <v>84</v>
      </c>
      <c r="DX816">
        <v>1</v>
      </c>
      <c r="DZ816" t="s">
        <v>3</v>
      </c>
      <c r="EA816" t="s">
        <v>3</v>
      </c>
      <c r="EB816" t="s">
        <v>3</v>
      </c>
      <c r="EC816" t="s">
        <v>3</v>
      </c>
      <c r="EE816">
        <v>43088370</v>
      </c>
      <c r="EF816">
        <v>30</v>
      </c>
      <c r="EG816" t="s">
        <v>22</v>
      </c>
      <c r="EH816">
        <v>0</v>
      </c>
      <c r="EI816" t="s">
        <v>3</v>
      </c>
      <c r="EJ816">
        <v>1</v>
      </c>
      <c r="EK816">
        <v>292</v>
      </c>
      <c r="EL816" t="s">
        <v>23</v>
      </c>
      <c r="EM816" t="s">
        <v>24</v>
      </c>
      <c r="EO816" t="s">
        <v>3</v>
      </c>
      <c r="EQ816">
        <v>0</v>
      </c>
      <c r="ER816">
        <v>297.47000000000003</v>
      </c>
      <c r="ES816">
        <v>297.47000000000003</v>
      </c>
      <c r="ET816">
        <v>0</v>
      </c>
      <c r="EU816">
        <v>0</v>
      </c>
      <c r="EV816">
        <v>0</v>
      </c>
      <c r="EW816">
        <v>0</v>
      </c>
      <c r="EX816">
        <v>0</v>
      </c>
      <c r="FQ816">
        <v>0</v>
      </c>
      <c r="FR816">
        <f t="shared" si="727"/>
        <v>0</v>
      </c>
      <c r="FS816">
        <v>0</v>
      </c>
      <c r="FX816">
        <v>156</v>
      </c>
      <c r="FY816">
        <v>84</v>
      </c>
      <c r="GA816" t="s">
        <v>3</v>
      </c>
      <c r="GD816">
        <v>0</v>
      </c>
      <c r="GF816">
        <v>-2018563240</v>
      </c>
      <c r="GG816">
        <v>2</v>
      </c>
      <c r="GH816">
        <v>1</v>
      </c>
      <c r="GI816">
        <v>2</v>
      </c>
      <c r="GJ816">
        <v>0</v>
      </c>
      <c r="GK816">
        <f>ROUND(R816*(R12)/100,2)</f>
        <v>0</v>
      </c>
      <c r="GL816">
        <f t="shared" si="728"/>
        <v>0</v>
      </c>
      <c r="GM816">
        <f t="shared" si="729"/>
        <v>18739.18</v>
      </c>
      <c r="GN816">
        <f t="shared" si="730"/>
        <v>18739.18</v>
      </c>
      <c r="GO816">
        <f t="shared" si="731"/>
        <v>0</v>
      </c>
      <c r="GP816">
        <f t="shared" si="732"/>
        <v>0</v>
      </c>
      <c r="GR816">
        <v>0</v>
      </c>
      <c r="GS816">
        <v>3</v>
      </c>
      <c r="GT816">
        <v>0</v>
      </c>
      <c r="GU816" t="s">
        <v>3</v>
      </c>
      <c r="GV816">
        <f t="shared" si="733"/>
        <v>0</v>
      </c>
      <c r="GW816">
        <v>1</v>
      </c>
      <c r="GX816">
        <f t="shared" si="734"/>
        <v>0</v>
      </c>
      <c r="HA816">
        <v>0</v>
      </c>
      <c r="HB816">
        <v>0</v>
      </c>
      <c r="HC816">
        <f t="shared" si="735"/>
        <v>0</v>
      </c>
      <c r="HE816" t="s">
        <v>3</v>
      </c>
      <c r="HF816" t="s">
        <v>3</v>
      </c>
      <c r="HM816" t="s">
        <v>3</v>
      </c>
      <c r="IK816">
        <v>0</v>
      </c>
    </row>
    <row r="817" spans="1:245" x14ac:dyDescent="0.2">
      <c r="A817">
        <v>17</v>
      </c>
      <c r="B817">
        <v>1</v>
      </c>
      <c r="C817">
        <f>ROW(SmtRes!A436)</f>
        <v>436</v>
      </c>
      <c r="D817">
        <f>ROW(EtalonRes!A431)</f>
        <v>431</v>
      </c>
      <c r="E817" t="s">
        <v>902</v>
      </c>
      <c r="F817" t="s">
        <v>903</v>
      </c>
      <c r="G817" t="s">
        <v>904</v>
      </c>
      <c r="H817" t="s">
        <v>834</v>
      </c>
      <c r="I817">
        <f>ROUND(49/10,9)</f>
        <v>4.9000000000000004</v>
      </c>
      <c r="J817">
        <v>0</v>
      </c>
      <c r="K817">
        <f>ROUND(49/10,9)</f>
        <v>4.9000000000000004</v>
      </c>
      <c r="O817">
        <f t="shared" si="703"/>
        <v>54025.56</v>
      </c>
      <c r="P817">
        <f t="shared" si="704"/>
        <v>1162.6300000000001</v>
      </c>
      <c r="Q817">
        <f>(ROUND((ROUND((((ET817*1.25))*AV817*I817),2)*BB817),2)+ROUND((ROUND(((AE817-((EU817*1.25)))*AV817*I817),2)*BS817),2))</f>
        <v>21029.599999999999</v>
      </c>
      <c r="R817">
        <f t="shared" si="705"/>
        <v>5061.03</v>
      </c>
      <c r="S817">
        <f t="shared" si="706"/>
        <v>31833.33</v>
      </c>
      <c r="T817">
        <f t="shared" si="707"/>
        <v>0</v>
      </c>
      <c r="U817">
        <f t="shared" si="708"/>
        <v>101.48635000000002</v>
      </c>
      <c r="V817">
        <f t="shared" si="709"/>
        <v>0</v>
      </c>
      <c r="W817">
        <f t="shared" si="710"/>
        <v>0</v>
      </c>
      <c r="X817">
        <f t="shared" si="711"/>
        <v>28650</v>
      </c>
      <c r="Y817">
        <f t="shared" si="712"/>
        <v>13051.67</v>
      </c>
      <c r="AA817">
        <v>42938047</v>
      </c>
      <c r="AB817">
        <f t="shared" si="713"/>
        <v>803.34900000000005</v>
      </c>
      <c r="AC817">
        <f t="shared" si="714"/>
        <v>40.08</v>
      </c>
      <c r="AD817">
        <f>ROUND(((((ET817*1.25))-((EU817*1.25)))+AE817),6)</f>
        <v>507.9</v>
      </c>
      <c r="AE817">
        <f>ROUND(((EU817*1.25)),6)</f>
        <v>40.6</v>
      </c>
      <c r="AF817">
        <f>ROUND(((EV817*1.15)),6)</f>
        <v>255.369</v>
      </c>
      <c r="AG817">
        <f t="shared" si="715"/>
        <v>0</v>
      </c>
      <c r="AH817">
        <f>((EW817*1.15))</f>
        <v>20.711500000000001</v>
      </c>
      <c r="AI817">
        <f>((EX817*1.25))</f>
        <v>0</v>
      </c>
      <c r="AJ817">
        <f t="shared" si="716"/>
        <v>0</v>
      </c>
      <c r="AK817">
        <v>668.46</v>
      </c>
      <c r="AL817">
        <v>40.08</v>
      </c>
      <c r="AM817">
        <v>406.32</v>
      </c>
      <c r="AN817">
        <v>32.479999999999997</v>
      </c>
      <c r="AO817">
        <v>222.06</v>
      </c>
      <c r="AP817">
        <v>0</v>
      </c>
      <c r="AQ817">
        <v>18.010000000000002</v>
      </c>
      <c r="AR817">
        <v>0</v>
      </c>
      <c r="AS817">
        <v>0</v>
      </c>
      <c r="AT817">
        <v>90</v>
      </c>
      <c r="AU817">
        <v>41</v>
      </c>
      <c r="AV817">
        <v>1</v>
      </c>
      <c r="AW817">
        <v>1</v>
      </c>
      <c r="AZ817">
        <v>1</v>
      </c>
      <c r="BA817">
        <v>25.44</v>
      </c>
      <c r="BB817">
        <v>8.4499999999999993</v>
      </c>
      <c r="BC817">
        <v>5.92</v>
      </c>
      <c r="BD817" t="s">
        <v>3</v>
      </c>
      <c r="BE817" t="s">
        <v>3</v>
      </c>
      <c r="BF817" t="s">
        <v>3</v>
      </c>
      <c r="BG817" t="s">
        <v>3</v>
      </c>
      <c r="BH817">
        <v>0</v>
      </c>
      <c r="BI817">
        <v>1</v>
      </c>
      <c r="BJ817" t="s">
        <v>905</v>
      </c>
      <c r="BM817">
        <v>292</v>
      </c>
      <c r="BN817">
        <v>0</v>
      </c>
      <c r="BO817" t="s">
        <v>903</v>
      </c>
      <c r="BP817">
        <v>1</v>
      </c>
      <c r="BQ817">
        <v>30</v>
      </c>
      <c r="BR817">
        <v>0</v>
      </c>
      <c r="BS817">
        <v>25.44</v>
      </c>
      <c r="BT817">
        <v>1</v>
      </c>
      <c r="BU817">
        <v>1</v>
      </c>
      <c r="BV817">
        <v>1</v>
      </c>
      <c r="BW817">
        <v>1</v>
      </c>
      <c r="BX817">
        <v>1</v>
      </c>
      <c r="BY817" t="s">
        <v>3</v>
      </c>
      <c r="BZ817">
        <v>90</v>
      </c>
      <c r="CA817">
        <v>41</v>
      </c>
      <c r="CB817" t="s">
        <v>3</v>
      </c>
      <c r="CE817">
        <v>30</v>
      </c>
      <c r="CF817">
        <v>0</v>
      </c>
      <c r="CG817">
        <v>0</v>
      </c>
      <c r="CM817">
        <v>0</v>
      </c>
      <c r="CN817" t="s">
        <v>1584</v>
      </c>
      <c r="CO817">
        <v>0</v>
      </c>
      <c r="CP817">
        <f t="shared" si="717"/>
        <v>54025.56</v>
      </c>
      <c r="CQ817">
        <f t="shared" si="718"/>
        <v>237.27</v>
      </c>
      <c r="CR817">
        <f>(ROUND((ROUND((((ET817*1.25))*AV817*1),2)*BB817),2)+ROUND((ROUND(((AE817-((EU817*1.25)))*AV817*1),2)*BS817),2))</f>
        <v>4291.76</v>
      </c>
      <c r="CS817">
        <f t="shared" si="719"/>
        <v>1032.8599999999999</v>
      </c>
      <c r="CT817">
        <f t="shared" si="720"/>
        <v>6496.61</v>
      </c>
      <c r="CU817">
        <f t="shared" si="721"/>
        <v>0</v>
      </c>
      <c r="CV817">
        <f t="shared" si="722"/>
        <v>20.711500000000001</v>
      </c>
      <c r="CW817">
        <f t="shared" si="723"/>
        <v>0</v>
      </c>
      <c r="CX817">
        <f t="shared" si="724"/>
        <v>0</v>
      </c>
      <c r="CY817">
        <f t="shared" si="725"/>
        <v>28649.997000000003</v>
      </c>
      <c r="CZ817">
        <f t="shared" si="726"/>
        <v>13051.665300000001</v>
      </c>
      <c r="DC817" t="s">
        <v>3</v>
      </c>
      <c r="DD817" t="s">
        <v>3</v>
      </c>
      <c r="DE817" t="s">
        <v>20</v>
      </c>
      <c r="DF817" t="s">
        <v>20</v>
      </c>
      <c r="DG817" t="s">
        <v>21</v>
      </c>
      <c r="DH817" t="s">
        <v>3</v>
      </c>
      <c r="DI817" t="s">
        <v>21</v>
      </c>
      <c r="DJ817" t="s">
        <v>20</v>
      </c>
      <c r="DK817" t="s">
        <v>3</v>
      </c>
      <c r="DL817" t="s">
        <v>3</v>
      </c>
      <c r="DM817" t="s">
        <v>3</v>
      </c>
      <c r="DN817">
        <v>156</v>
      </c>
      <c r="DO817">
        <v>84</v>
      </c>
      <c r="DP817">
        <v>1</v>
      </c>
      <c r="DQ817">
        <v>1</v>
      </c>
      <c r="DU817">
        <v>1013</v>
      </c>
      <c r="DV817" t="s">
        <v>834</v>
      </c>
      <c r="DW817" t="s">
        <v>834</v>
      </c>
      <c r="DX817">
        <v>1</v>
      </c>
      <c r="DZ817" t="s">
        <v>3</v>
      </c>
      <c r="EA817" t="s">
        <v>3</v>
      </c>
      <c r="EB817" t="s">
        <v>3</v>
      </c>
      <c r="EC817" t="s">
        <v>3</v>
      </c>
      <c r="EE817">
        <v>43088370</v>
      </c>
      <c r="EF817">
        <v>30</v>
      </c>
      <c r="EG817" t="s">
        <v>22</v>
      </c>
      <c r="EH817">
        <v>0</v>
      </c>
      <c r="EI817" t="s">
        <v>3</v>
      </c>
      <c r="EJ817">
        <v>1</v>
      </c>
      <c r="EK817">
        <v>292</v>
      </c>
      <c r="EL817" t="s">
        <v>23</v>
      </c>
      <c r="EM817" t="s">
        <v>24</v>
      </c>
      <c r="EO817" t="s">
        <v>59</v>
      </c>
      <c r="EQ817">
        <v>0</v>
      </c>
      <c r="ER817">
        <v>668.46</v>
      </c>
      <c r="ES817">
        <v>40.08</v>
      </c>
      <c r="ET817">
        <v>406.32</v>
      </c>
      <c r="EU817">
        <v>32.479999999999997</v>
      </c>
      <c r="EV817">
        <v>222.06</v>
      </c>
      <c r="EW817">
        <v>18.010000000000002</v>
      </c>
      <c r="EX817">
        <v>0</v>
      </c>
      <c r="EY817">
        <v>0</v>
      </c>
      <c r="FQ817">
        <v>0</v>
      </c>
      <c r="FR817">
        <f t="shared" si="727"/>
        <v>0</v>
      </c>
      <c r="FS817">
        <v>0</v>
      </c>
      <c r="FX817">
        <v>156</v>
      </c>
      <c r="FY817">
        <v>84</v>
      </c>
      <c r="GA817" t="s">
        <v>3</v>
      </c>
      <c r="GD817">
        <v>0</v>
      </c>
      <c r="GF817">
        <v>-180459910</v>
      </c>
      <c r="GG817">
        <v>2</v>
      </c>
      <c r="GH817">
        <v>1</v>
      </c>
      <c r="GI817">
        <v>2</v>
      </c>
      <c r="GJ817">
        <v>0</v>
      </c>
      <c r="GK817">
        <f>ROUND(R817*(R12)/100,2)</f>
        <v>7945.82</v>
      </c>
      <c r="GL817">
        <f t="shared" si="728"/>
        <v>0</v>
      </c>
      <c r="GM817">
        <f t="shared" si="729"/>
        <v>103673.05</v>
      </c>
      <c r="GN817">
        <f t="shared" si="730"/>
        <v>103673.05</v>
      </c>
      <c r="GO817">
        <f t="shared" si="731"/>
        <v>0</v>
      </c>
      <c r="GP817">
        <f t="shared" si="732"/>
        <v>0</v>
      </c>
      <c r="GR817">
        <v>0</v>
      </c>
      <c r="GS817">
        <v>3</v>
      </c>
      <c r="GT817">
        <v>0</v>
      </c>
      <c r="GU817" t="s">
        <v>3</v>
      </c>
      <c r="GV817">
        <f t="shared" si="733"/>
        <v>0</v>
      </c>
      <c r="GW817">
        <v>1</v>
      </c>
      <c r="GX817">
        <f t="shared" si="734"/>
        <v>0</v>
      </c>
      <c r="HA817">
        <v>0</v>
      </c>
      <c r="HB817">
        <v>0</v>
      </c>
      <c r="HC817">
        <f t="shared" si="735"/>
        <v>0</v>
      </c>
      <c r="HE817" t="s">
        <v>3</v>
      </c>
      <c r="HF817" t="s">
        <v>3</v>
      </c>
      <c r="HM817" t="s">
        <v>3</v>
      </c>
      <c r="IK817">
        <v>0</v>
      </c>
    </row>
    <row r="818" spans="1:245" x14ac:dyDescent="0.2">
      <c r="A818">
        <v>17</v>
      </c>
      <c r="B818">
        <v>1</v>
      </c>
      <c r="C818">
        <f>ROW(SmtRes!A441)</f>
        <v>441</v>
      </c>
      <c r="D818">
        <f>ROW(EtalonRes!A437)</f>
        <v>437</v>
      </c>
      <c r="E818" t="s">
        <v>906</v>
      </c>
      <c r="F818" t="s">
        <v>907</v>
      </c>
      <c r="G818" t="s">
        <v>908</v>
      </c>
      <c r="H818" t="s">
        <v>834</v>
      </c>
      <c r="I818">
        <f>ROUND(33/10,9)</f>
        <v>3.3</v>
      </c>
      <c r="J818">
        <v>0</v>
      </c>
      <c r="K818">
        <f>ROUND(33/10,9)</f>
        <v>3.3</v>
      </c>
      <c r="O818">
        <f t="shared" si="703"/>
        <v>27999.81</v>
      </c>
      <c r="P818">
        <f t="shared" si="704"/>
        <v>735.12</v>
      </c>
      <c r="Q818">
        <f>(ROUND((ROUND((((ET818*1.25))*AV818*I818),2)*BB818),2)+ROUND((ROUND(((AE818-((EU818*1.25)))*AV818*I818),2)*BS818),2))</f>
        <v>12143.92</v>
      </c>
      <c r="R818">
        <f t="shared" si="705"/>
        <v>2915.17</v>
      </c>
      <c r="S818">
        <f t="shared" si="706"/>
        <v>15120.77</v>
      </c>
      <c r="T818">
        <f t="shared" si="707"/>
        <v>0</v>
      </c>
      <c r="U818">
        <f t="shared" si="708"/>
        <v>47.589299999999987</v>
      </c>
      <c r="V818">
        <f t="shared" si="709"/>
        <v>0</v>
      </c>
      <c r="W818">
        <f t="shared" si="710"/>
        <v>0</v>
      </c>
      <c r="X818">
        <f t="shared" si="711"/>
        <v>13608.69</v>
      </c>
      <c r="Y818">
        <f t="shared" si="712"/>
        <v>6199.52</v>
      </c>
      <c r="AA818">
        <v>42938047</v>
      </c>
      <c r="AB818">
        <f t="shared" si="713"/>
        <v>652.86300000000006</v>
      </c>
      <c r="AC818">
        <f t="shared" si="714"/>
        <v>37.25</v>
      </c>
      <c r="AD818">
        <f>ROUND(((((ET818*1.25))-((EU818*1.25)))+AE818),6)</f>
        <v>435.5</v>
      </c>
      <c r="AE818">
        <f>ROUND(((EU818*1.25)),6)</f>
        <v>34.725000000000001</v>
      </c>
      <c r="AF818">
        <f>ROUND(((EV818*1.15)),6)</f>
        <v>180.113</v>
      </c>
      <c r="AG818">
        <f t="shared" si="715"/>
        <v>0</v>
      </c>
      <c r="AH818">
        <f>((EW818*1.15))</f>
        <v>14.420999999999998</v>
      </c>
      <c r="AI818">
        <f>((EX818*1.25))</f>
        <v>0</v>
      </c>
      <c r="AJ818">
        <f t="shared" si="716"/>
        <v>0</v>
      </c>
      <c r="AK818">
        <v>542.27</v>
      </c>
      <c r="AL818">
        <v>37.25</v>
      </c>
      <c r="AM818">
        <v>348.4</v>
      </c>
      <c r="AN818">
        <v>27.78</v>
      </c>
      <c r="AO818">
        <v>156.62</v>
      </c>
      <c r="AP818">
        <v>0</v>
      </c>
      <c r="AQ818">
        <v>12.54</v>
      </c>
      <c r="AR818">
        <v>0</v>
      </c>
      <c r="AS818">
        <v>0</v>
      </c>
      <c r="AT818">
        <v>90</v>
      </c>
      <c r="AU818">
        <v>41</v>
      </c>
      <c r="AV818">
        <v>1</v>
      </c>
      <c r="AW818">
        <v>1</v>
      </c>
      <c r="AZ818">
        <v>1</v>
      </c>
      <c r="BA818">
        <v>25.44</v>
      </c>
      <c r="BB818">
        <v>8.4499999999999993</v>
      </c>
      <c r="BC818">
        <v>5.98</v>
      </c>
      <c r="BD818" t="s">
        <v>3</v>
      </c>
      <c r="BE818" t="s">
        <v>3</v>
      </c>
      <c r="BF818" t="s">
        <v>3</v>
      </c>
      <c r="BG818" t="s">
        <v>3</v>
      </c>
      <c r="BH818">
        <v>0</v>
      </c>
      <c r="BI818">
        <v>1</v>
      </c>
      <c r="BJ818" t="s">
        <v>909</v>
      </c>
      <c r="BM818">
        <v>292</v>
      </c>
      <c r="BN818">
        <v>0</v>
      </c>
      <c r="BO818" t="s">
        <v>907</v>
      </c>
      <c r="BP818">
        <v>1</v>
      </c>
      <c r="BQ818">
        <v>30</v>
      </c>
      <c r="BR818">
        <v>0</v>
      </c>
      <c r="BS818">
        <v>25.44</v>
      </c>
      <c r="BT818">
        <v>1</v>
      </c>
      <c r="BU818">
        <v>1</v>
      </c>
      <c r="BV818">
        <v>1</v>
      </c>
      <c r="BW818">
        <v>1</v>
      </c>
      <c r="BX818">
        <v>1</v>
      </c>
      <c r="BY818" t="s">
        <v>3</v>
      </c>
      <c r="BZ818">
        <v>90</v>
      </c>
      <c r="CA818">
        <v>41</v>
      </c>
      <c r="CB818" t="s">
        <v>3</v>
      </c>
      <c r="CE818">
        <v>30</v>
      </c>
      <c r="CF818">
        <v>0</v>
      </c>
      <c r="CG818">
        <v>0</v>
      </c>
      <c r="CM818">
        <v>0</v>
      </c>
      <c r="CN818" t="s">
        <v>1584</v>
      </c>
      <c r="CO818">
        <v>0</v>
      </c>
      <c r="CP818">
        <f t="shared" si="717"/>
        <v>27999.81</v>
      </c>
      <c r="CQ818">
        <f t="shared" si="718"/>
        <v>222.76</v>
      </c>
      <c r="CR818">
        <f>(ROUND((ROUND((((ET818*1.25))*AV818*1),2)*BB818),2)+ROUND((ROUND(((AE818-((EU818*1.25)))*AV818*1),2)*BS818),2))</f>
        <v>3679.98</v>
      </c>
      <c r="CS818">
        <f t="shared" si="719"/>
        <v>883.53</v>
      </c>
      <c r="CT818">
        <f t="shared" si="720"/>
        <v>4582</v>
      </c>
      <c r="CU818">
        <f t="shared" si="721"/>
        <v>0</v>
      </c>
      <c r="CV818">
        <f t="shared" si="722"/>
        <v>14.420999999999998</v>
      </c>
      <c r="CW818">
        <f t="shared" si="723"/>
        <v>0</v>
      </c>
      <c r="CX818">
        <f t="shared" si="724"/>
        <v>0</v>
      </c>
      <c r="CY818">
        <f t="shared" si="725"/>
        <v>13608.693000000001</v>
      </c>
      <c r="CZ818">
        <f t="shared" si="726"/>
        <v>6199.5156999999999</v>
      </c>
      <c r="DC818" t="s">
        <v>3</v>
      </c>
      <c r="DD818" t="s">
        <v>3</v>
      </c>
      <c r="DE818" t="s">
        <v>20</v>
      </c>
      <c r="DF818" t="s">
        <v>20</v>
      </c>
      <c r="DG818" t="s">
        <v>21</v>
      </c>
      <c r="DH818" t="s">
        <v>3</v>
      </c>
      <c r="DI818" t="s">
        <v>21</v>
      </c>
      <c r="DJ818" t="s">
        <v>20</v>
      </c>
      <c r="DK818" t="s">
        <v>3</v>
      </c>
      <c r="DL818" t="s">
        <v>3</v>
      </c>
      <c r="DM818" t="s">
        <v>3</v>
      </c>
      <c r="DN818">
        <v>156</v>
      </c>
      <c r="DO818">
        <v>84</v>
      </c>
      <c r="DP818">
        <v>1</v>
      </c>
      <c r="DQ818">
        <v>1</v>
      </c>
      <c r="DU818">
        <v>1013</v>
      </c>
      <c r="DV818" t="s">
        <v>834</v>
      </c>
      <c r="DW818" t="s">
        <v>834</v>
      </c>
      <c r="DX818">
        <v>1</v>
      </c>
      <c r="DZ818" t="s">
        <v>3</v>
      </c>
      <c r="EA818" t="s">
        <v>3</v>
      </c>
      <c r="EB818" t="s">
        <v>3</v>
      </c>
      <c r="EC818" t="s">
        <v>3</v>
      </c>
      <c r="EE818">
        <v>43088370</v>
      </c>
      <c r="EF818">
        <v>30</v>
      </c>
      <c r="EG818" t="s">
        <v>22</v>
      </c>
      <c r="EH818">
        <v>0</v>
      </c>
      <c r="EI818" t="s">
        <v>3</v>
      </c>
      <c r="EJ818">
        <v>1</v>
      </c>
      <c r="EK818">
        <v>292</v>
      </c>
      <c r="EL818" t="s">
        <v>23</v>
      </c>
      <c r="EM818" t="s">
        <v>24</v>
      </c>
      <c r="EO818" t="s">
        <v>59</v>
      </c>
      <c r="EQ818">
        <v>0</v>
      </c>
      <c r="ER818">
        <v>542.27</v>
      </c>
      <c r="ES818">
        <v>37.25</v>
      </c>
      <c r="ET818">
        <v>348.4</v>
      </c>
      <c r="EU818">
        <v>27.78</v>
      </c>
      <c r="EV818">
        <v>156.62</v>
      </c>
      <c r="EW818">
        <v>12.54</v>
      </c>
      <c r="EX818">
        <v>0</v>
      </c>
      <c r="EY818">
        <v>0</v>
      </c>
      <c r="FQ818">
        <v>0</v>
      </c>
      <c r="FR818">
        <f t="shared" si="727"/>
        <v>0</v>
      </c>
      <c r="FS818">
        <v>0</v>
      </c>
      <c r="FX818">
        <v>156</v>
      </c>
      <c r="FY818">
        <v>84</v>
      </c>
      <c r="GA818" t="s">
        <v>3</v>
      </c>
      <c r="GD818">
        <v>0</v>
      </c>
      <c r="GF818">
        <v>902371151</v>
      </c>
      <c r="GG818">
        <v>2</v>
      </c>
      <c r="GH818">
        <v>1</v>
      </c>
      <c r="GI818">
        <v>2</v>
      </c>
      <c r="GJ818">
        <v>0</v>
      </c>
      <c r="GK818">
        <f>ROUND(R818*(R12)/100,2)</f>
        <v>4576.82</v>
      </c>
      <c r="GL818">
        <f t="shared" si="728"/>
        <v>0</v>
      </c>
      <c r="GM818">
        <f t="shared" si="729"/>
        <v>52384.84</v>
      </c>
      <c r="GN818">
        <f t="shared" si="730"/>
        <v>52384.84</v>
      </c>
      <c r="GO818">
        <f t="shared" si="731"/>
        <v>0</v>
      </c>
      <c r="GP818">
        <f t="shared" si="732"/>
        <v>0</v>
      </c>
      <c r="GR818">
        <v>0</v>
      </c>
      <c r="GS818">
        <v>3</v>
      </c>
      <c r="GT818">
        <v>0</v>
      </c>
      <c r="GU818" t="s">
        <v>3</v>
      </c>
      <c r="GV818">
        <f t="shared" si="733"/>
        <v>0</v>
      </c>
      <c r="GW818">
        <v>1</v>
      </c>
      <c r="GX818">
        <f t="shared" si="734"/>
        <v>0</v>
      </c>
      <c r="HA818">
        <v>0</v>
      </c>
      <c r="HB818">
        <v>0</v>
      </c>
      <c r="HC818">
        <f t="shared" si="735"/>
        <v>0</v>
      </c>
      <c r="HE818" t="s">
        <v>3</v>
      </c>
      <c r="HF818" t="s">
        <v>3</v>
      </c>
      <c r="HM818" t="s">
        <v>3</v>
      </c>
      <c r="IK818">
        <v>0</v>
      </c>
    </row>
    <row r="819" spans="1:245" x14ac:dyDescent="0.2">
      <c r="A819">
        <v>17</v>
      </c>
      <c r="B819">
        <v>1</v>
      </c>
      <c r="C819">
        <f>ROW(SmtRes!A444)</f>
        <v>444</v>
      </c>
      <c r="D819">
        <f>ROW(EtalonRes!A440)</f>
        <v>440</v>
      </c>
      <c r="E819" t="s">
        <v>910</v>
      </c>
      <c r="F819" t="s">
        <v>911</v>
      </c>
      <c r="G819" t="s">
        <v>912</v>
      </c>
      <c r="H819" t="s">
        <v>899</v>
      </c>
      <c r="I819">
        <f>ROUND(30/10,9)</f>
        <v>3</v>
      </c>
      <c r="J819">
        <v>0</v>
      </c>
      <c r="K819">
        <f>ROUND(30/10,9)</f>
        <v>3</v>
      </c>
      <c r="O819">
        <f t="shared" si="703"/>
        <v>16558.39</v>
      </c>
      <c r="P819">
        <f t="shared" si="704"/>
        <v>0</v>
      </c>
      <c r="Q819">
        <f>(ROUND((ROUND((((ET819*1.25))*AV819*I819),2)*BB819),2)+ROUND((ROUND(((AE819-((EU819*1.25)))*AV819*I819),2)*BS819),2))</f>
        <v>0</v>
      </c>
      <c r="R819">
        <f t="shared" si="705"/>
        <v>0</v>
      </c>
      <c r="S819">
        <f t="shared" si="706"/>
        <v>16558.39</v>
      </c>
      <c r="T819">
        <f t="shared" si="707"/>
        <v>0</v>
      </c>
      <c r="U819">
        <f t="shared" si="708"/>
        <v>63.686999999999998</v>
      </c>
      <c r="V819">
        <f t="shared" si="709"/>
        <v>0</v>
      </c>
      <c r="W819">
        <f t="shared" si="710"/>
        <v>0</v>
      </c>
      <c r="X819">
        <f t="shared" si="711"/>
        <v>14902.55</v>
      </c>
      <c r="Y819">
        <f t="shared" si="712"/>
        <v>6788.94</v>
      </c>
      <c r="AA819">
        <v>42938047</v>
      </c>
      <c r="AB819">
        <f t="shared" si="713"/>
        <v>216.959</v>
      </c>
      <c r="AC819">
        <f t="shared" si="714"/>
        <v>0</v>
      </c>
      <c r="AD819">
        <f>ROUND(((((ET819*1.25))-((EU819*1.25)))+AE819),6)</f>
        <v>0</v>
      </c>
      <c r="AE819">
        <f>ROUND(((EU819*1.25)),6)</f>
        <v>0</v>
      </c>
      <c r="AF819">
        <f>ROUND(((EV819*1.15)),6)</f>
        <v>216.959</v>
      </c>
      <c r="AG819">
        <f t="shared" si="715"/>
        <v>0</v>
      </c>
      <c r="AH819">
        <f>((EW819*1.15))</f>
        <v>21.228999999999999</v>
      </c>
      <c r="AI819">
        <f>((EX819*1.25))</f>
        <v>0</v>
      </c>
      <c r="AJ819">
        <f t="shared" si="716"/>
        <v>0</v>
      </c>
      <c r="AK819">
        <v>188.66</v>
      </c>
      <c r="AL819">
        <v>0</v>
      </c>
      <c r="AM819">
        <v>0</v>
      </c>
      <c r="AN819">
        <v>0</v>
      </c>
      <c r="AO819">
        <v>188.66</v>
      </c>
      <c r="AP819">
        <v>0</v>
      </c>
      <c r="AQ819">
        <v>18.46</v>
      </c>
      <c r="AR819">
        <v>0</v>
      </c>
      <c r="AS819">
        <v>0</v>
      </c>
      <c r="AT819">
        <v>90</v>
      </c>
      <c r="AU819">
        <v>41</v>
      </c>
      <c r="AV819">
        <v>1</v>
      </c>
      <c r="AW819">
        <v>1</v>
      </c>
      <c r="AZ819">
        <v>1</v>
      </c>
      <c r="BA819">
        <v>25.44</v>
      </c>
      <c r="BB819">
        <v>1</v>
      </c>
      <c r="BC819">
        <v>1</v>
      </c>
      <c r="BD819" t="s">
        <v>3</v>
      </c>
      <c r="BE819" t="s">
        <v>3</v>
      </c>
      <c r="BF819" t="s">
        <v>3</v>
      </c>
      <c r="BG819" t="s">
        <v>3</v>
      </c>
      <c r="BH819">
        <v>0</v>
      </c>
      <c r="BI819">
        <v>1</v>
      </c>
      <c r="BJ819" t="s">
        <v>913</v>
      </c>
      <c r="BM819">
        <v>294</v>
      </c>
      <c r="BN819">
        <v>0</v>
      </c>
      <c r="BO819" t="s">
        <v>911</v>
      </c>
      <c r="BP819">
        <v>1</v>
      </c>
      <c r="BQ819">
        <v>30</v>
      </c>
      <c r="BR819">
        <v>0</v>
      </c>
      <c r="BS819">
        <v>25.44</v>
      </c>
      <c r="BT819">
        <v>1</v>
      </c>
      <c r="BU819">
        <v>1</v>
      </c>
      <c r="BV819">
        <v>1</v>
      </c>
      <c r="BW819">
        <v>1</v>
      </c>
      <c r="BX819">
        <v>1</v>
      </c>
      <c r="BY819" t="s">
        <v>3</v>
      </c>
      <c r="BZ819">
        <v>90</v>
      </c>
      <c r="CA819">
        <v>41</v>
      </c>
      <c r="CB819" t="s">
        <v>3</v>
      </c>
      <c r="CE819">
        <v>30</v>
      </c>
      <c r="CF819">
        <v>0</v>
      </c>
      <c r="CG819">
        <v>0</v>
      </c>
      <c r="CM819">
        <v>0</v>
      </c>
      <c r="CN819" t="s">
        <v>1584</v>
      </c>
      <c r="CO819">
        <v>0</v>
      </c>
      <c r="CP819">
        <f t="shared" si="717"/>
        <v>16558.39</v>
      </c>
      <c r="CQ819">
        <f t="shared" si="718"/>
        <v>0</v>
      </c>
      <c r="CR819">
        <f>(ROUND((ROUND((((ET819*1.25))*AV819*1),2)*BB819),2)+ROUND((ROUND(((AE819-((EU819*1.25)))*AV819*1),2)*BS819),2))</f>
        <v>0</v>
      </c>
      <c r="CS819">
        <f t="shared" si="719"/>
        <v>0</v>
      </c>
      <c r="CT819">
        <f t="shared" si="720"/>
        <v>5519.46</v>
      </c>
      <c r="CU819">
        <f t="shared" si="721"/>
        <v>0</v>
      </c>
      <c r="CV819">
        <f t="shared" si="722"/>
        <v>21.228999999999999</v>
      </c>
      <c r="CW819">
        <f t="shared" si="723"/>
        <v>0</v>
      </c>
      <c r="CX819">
        <f t="shared" si="724"/>
        <v>0</v>
      </c>
      <c r="CY819">
        <f t="shared" si="725"/>
        <v>14902.550999999999</v>
      </c>
      <c r="CZ819">
        <f t="shared" si="726"/>
        <v>6788.9398999999994</v>
      </c>
      <c r="DC819" t="s">
        <v>3</v>
      </c>
      <c r="DD819" t="s">
        <v>3</v>
      </c>
      <c r="DE819" t="s">
        <v>20</v>
      </c>
      <c r="DF819" t="s">
        <v>20</v>
      </c>
      <c r="DG819" t="s">
        <v>21</v>
      </c>
      <c r="DH819" t="s">
        <v>3</v>
      </c>
      <c r="DI819" t="s">
        <v>21</v>
      </c>
      <c r="DJ819" t="s">
        <v>20</v>
      </c>
      <c r="DK819" t="s">
        <v>3</v>
      </c>
      <c r="DL819" t="s">
        <v>3</v>
      </c>
      <c r="DM819" t="s">
        <v>3</v>
      </c>
      <c r="DN819">
        <v>156</v>
      </c>
      <c r="DO819">
        <v>84</v>
      </c>
      <c r="DP819">
        <v>1</v>
      </c>
      <c r="DQ819">
        <v>1</v>
      </c>
      <c r="DU819">
        <v>1007</v>
      </c>
      <c r="DV819" t="s">
        <v>899</v>
      </c>
      <c r="DW819" t="s">
        <v>899</v>
      </c>
      <c r="DX819">
        <v>10</v>
      </c>
      <c r="DZ819" t="s">
        <v>3</v>
      </c>
      <c r="EA819" t="s">
        <v>3</v>
      </c>
      <c r="EB819" t="s">
        <v>3</v>
      </c>
      <c r="EC819" t="s">
        <v>3</v>
      </c>
      <c r="EE819">
        <v>43088372</v>
      </c>
      <c r="EF819">
        <v>30</v>
      </c>
      <c r="EG819" t="s">
        <v>22</v>
      </c>
      <c r="EH819">
        <v>0</v>
      </c>
      <c r="EI819" t="s">
        <v>3</v>
      </c>
      <c r="EJ819">
        <v>1</v>
      </c>
      <c r="EK819">
        <v>294</v>
      </c>
      <c r="EL819" t="s">
        <v>914</v>
      </c>
      <c r="EM819" t="s">
        <v>915</v>
      </c>
      <c r="EO819" t="s">
        <v>59</v>
      </c>
      <c r="EQ819">
        <v>0</v>
      </c>
      <c r="ER819">
        <v>188.66</v>
      </c>
      <c r="ES819">
        <v>0</v>
      </c>
      <c r="ET819">
        <v>0</v>
      </c>
      <c r="EU819">
        <v>0</v>
      </c>
      <c r="EV819">
        <v>188.66</v>
      </c>
      <c r="EW819">
        <v>18.46</v>
      </c>
      <c r="EX819">
        <v>0</v>
      </c>
      <c r="EY819">
        <v>0</v>
      </c>
      <c r="FQ819">
        <v>0</v>
      </c>
      <c r="FR819">
        <f t="shared" si="727"/>
        <v>0</v>
      </c>
      <c r="FS819">
        <v>0</v>
      </c>
      <c r="FX819">
        <v>156</v>
      </c>
      <c r="FY819">
        <v>84</v>
      </c>
      <c r="GA819" t="s">
        <v>3</v>
      </c>
      <c r="GD819">
        <v>0</v>
      </c>
      <c r="GF819">
        <v>-66259706</v>
      </c>
      <c r="GG819">
        <v>2</v>
      </c>
      <c r="GH819">
        <v>1</v>
      </c>
      <c r="GI819">
        <v>2</v>
      </c>
      <c r="GJ819">
        <v>0</v>
      </c>
      <c r="GK819">
        <f>ROUND(R819*(R12)/100,2)</f>
        <v>0</v>
      </c>
      <c r="GL819">
        <f t="shared" si="728"/>
        <v>0</v>
      </c>
      <c r="GM819">
        <f t="shared" si="729"/>
        <v>38249.879999999997</v>
      </c>
      <c r="GN819">
        <f t="shared" si="730"/>
        <v>38249.879999999997</v>
      </c>
      <c r="GO819">
        <f t="shared" si="731"/>
        <v>0</v>
      </c>
      <c r="GP819">
        <f t="shared" si="732"/>
        <v>0</v>
      </c>
      <c r="GR819">
        <v>0</v>
      </c>
      <c r="GS819">
        <v>3</v>
      </c>
      <c r="GT819">
        <v>0</v>
      </c>
      <c r="GU819" t="s">
        <v>3</v>
      </c>
      <c r="GV819">
        <f t="shared" si="733"/>
        <v>0</v>
      </c>
      <c r="GW819">
        <v>1</v>
      </c>
      <c r="GX819">
        <f t="shared" si="734"/>
        <v>0</v>
      </c>
      <c r="HA819">
        <v>0</v>
      </c>
      <c r="HB819">
        <v>0</v>
      </c>
      <c r="HC819">
        <f t="shared" si="735"/>
        <v>0</v>
      </c>
      <c r="HE819" t="s">
        <v>3</v>
      </c>
      <c r="HF819" t="s">
        <v>3</v>
      </c>
      <c r="HM819" t="s">
        <v>3</v>
      </c>
      <c r="IK819">
        <v>0</v>
      </c>
    </row>
    <row r="820" spans="1:245" x14ac:dyDescent="0.2">
      <c r="A820">
        <v>18</v>
      </c>
      <c r="B820">
        <v>1</v>
      </c>
      <c r="C820">
        <v>443</v>
      </c>
      <c r="E820" t="s">
        <v>916</v>
      </c>
      <c r="F820" t="s">
        <v>917</v>
      </c>
      <c r="G820" t="s">
        <v>918</v>
      </c>
      <c r="H820" t="s">
        <v>131</v>
      </c>
      <c r="I820">
        <f>I819*J820</f>
        <v>13.439999999999998</v>
      </c>
      <c r="J820">
        <v>4.4799999999999995</v>
      </c>
      <c r="K820">
        <v>4.4800000000000004</v>
      </c>
      <c r="O820">
        <f t="shared" si="703"/>
        <v>104.92</v>
      </c>
      <c r="P820">
        <f t="shared" si="704"/>
        <v>104.92</v>
      </c>
      <c r="Q820">
        <f>(ROUND((ROUND(((ET820)*AV820*I820),2)*BB820),2)+ROUND((ROUND(((AE820-(EU820))*AV820*I820),2)*BS820),2))</f>
        <v>0</v>
      </c>
      <c r="R820">
        <f t="shared" si="705"/>
        <v>0</v>
      </c>
      <c r="S820">
        <f t="shared" si="706"/>
        <v>0</v>
      </c>
      <c r="T820">
        <f t="shared" si="707"/>
        <v>0</v>
      </c>
      <c r="U820">
        <f t="shared" si="708"/>
        <v>0</v>
      </c>
      <c r="V820">
        <f t="shared" si="709"/>
        <v>0</v>
      </c>
      <c r="W820">
        <f t="shared" si="710"/>
        <v>0</v>
      </c>
      <c r="X820">
        <f t="shared" si="711"/>
        <v>0</v>
      </c>
      <c r="Y820">
        <f t="shared" si="712"/>
        <v>0</v>
      </c>
      <c r="AA820">
        <v>42938047</v>
      </c>
      <c r="AB820">
        <f t="shared" si="713"/>
        <v>1.6</v>
      </c>
      <c r="AC820">
        <f t="shared" si="714"/>
        <v>1.6</v>
      </c>
      <c r="AD820">
        <f>ROUND((((ET820)-(EU820))+AE820),6)</f>
        <v>0</v>
      </c>
      <c r="AE820">
        <f t="shared" ref="AE820:AF824" si="736">ROUND((EU820),6)</f>
        <v>0</v>
      </c>
      <c r="AF820">
        <f t="shared" si="736"/>
        <v>0</v>
      </c>
      <c r="AG820">
        <f t="shared" si="715"/>
        <v>0</v>
      </c>
      <c r="AH820">
        <f t="shared" ref="AH820:AI824" si="737">(EW820)</f>
        <v>0</v>
      </c>
      <c r="AI820">
        <f t="shared" si="737"/>
        <v>0</v>
      </c>
      <c r="AJ820">
        <f t="shared" si="716"/>
        <v>0</v>
      </c>
      <c r="AK820">
        <v>1.6</v>
      </c>
      <c r="AL820">
        <v>1.6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1</v>
      </c>
      <c r="AW820">
        <v>1</v>
      </c>
      <c r="AZ820">
        <v>1</v>
      </c>
      <c r="BA820">
        <v>1</v>
      </c>
      <c r="BB820">
        <v>1</v>
      </c>
      <c r="BC820">
        <v>4.88</v>
      </c>
      <c r="BD820" t="s">
        <v>3</v>
      </c>
      <c r="BE820" t="s">
        <v>3</v>
      </c>
      <c r="BF820" t="s">
        <v>3</v>
      </c>
      <c r="BG820" t="s">
        <v>3</v>
      </c>
      <c r="BH820">
        <v>3</v>
      </c>
      <c r="BI820">
        <v>1</v>
      </c>
      <c r="BJ820" t="s">
        <v>919</v>
      </c>
      <c r="BM820">
        <v>294</v>
      </c>
      <c r="BN820">
        <v>0</v>
      </c>
      <c r="BO820" t="s">
        <v>917</v>
      </c>
      <c r="BP820">
        <v>1</v>
      </c>
      <c r="BQ820">
        <v>30</v>
      </c>
      <c r="BR820">
        <v>0</v>
      </c>
      <c r="BS820">
        <v>1</v>
      </c>
      <c r="BT820">
        <v>1</v>
      </c>
      <c r="BU820">
        <v>1</v>
      </c>
      <c r="BV820">
        <v>1</v>
      </c>
      <c r="BW820">
        <v>1</v>
      </c>
      <c r="BX820">
        <v>1</v>
      </c>
      <c r="BY820" t="s">
        <v>3</v>
      </c>
      <c r="BZ820">
        <v>0</v>
      </c>
      <c r="CA820">
        <v>0</v>
      </c>
      <c r="CB820" t="s">
        <v>3</v>
      </c>
      <c r="CE820">
        <v>30</v>
      </c>
      <c r="CF820">
        <v>0</v>
      </c>
      <c r="CG820">
        <v>0</v>
      </c>
      <c r="CM820">
        <v>0</v>
      </c>
      <c r="CN820" t="s">
        <v>3</v>
      </c>
      <c r="CO820">
        <v>0</v>
      </c>
      <c r="CP820">
        <f t="shared" si="717"/>
        <v>104.92</v>
      </c>
      <c r="CQ820">
        <f t="shared" si="718"/>
        <v>7.81</v>
      </c>
      <c r="CR820">
        <f>(ROUND((ROUND(((ET820)*AV820*1),2)*BB820),2)+ROUND((ROUND(((AE820-(EU820))*AV820*1),2)*BS820),2))</f>
        <v>0</v>
      </c>
      <c r="CS820">
        <f t="shared" si="719"/>
        <v>0</v>
      </c>
      <c r="CT820">
        <f t="shared" si="720"/>
        <v>0</v>
      </c>
      <c r="CU820">
        <f t="shared" si="721"/>
        <v>0</v>
      </c>
      <c r="CV820">
        <f t="shared" si="722"/>
        <v>0</v>
      </c>
      <c r="CW820">
        <f t="shared" si="723"/>
        <v>0</v>
      </c>
      <c r="CX820">
        <f t="shared" si="724"/>
        <v>0</v>
      </c>
      <c r="CY820">
        <f t="shared" si="725"/>
        <v>0</v>
      </c>
      <c r="CZ820">
        <f t="shared" si="726"/>
        <v>0</v>
      </c>
      <c r="DC820" t="s">
        <v>3</v>
      </c>
      <c r="DD820" t="s">
        <v>3</v>
      </c>
      <c r="DE820" t="s">
        <v>3</v>
      </c>
      <c r="DF820" t="s">
        <v>3</v>
      </c>
      <c r="DG820" t="s">
        <v>3</v>
      </c>
      <c r="DH820" t="s">
        <v>3</v>
      </c>
      <c r="DI820" t="s">
        <v>3</v>
      </c>
      <c r="DJ820" t="s">
        <v>3</v>
      </c>
      <c r="DK820" t="s">
        <v>3</v>
      </c>
      <c r="DL820" t="s">
        <v>3</v>
      </c>
      <c r="DM820" t="s">
        <v>3</v>
      </c>
      <c r="DN820">
        <v>156</v>
      </c>
      <c r="DO820">
        <v>84</v>
      </c>
      <c r="DP820">
        <v>1</v>
      </c>
      <c r="DQ820">
        <v>1</v>
      </c>
      <c r="DU820">
        <v>1009</v>
      </c>
      <c r="DV820" t="s">
        <v>131</v>
      </c>
      <c r="DW820" t="s">
        <v>131</v>
      </c>
      <c r="DX820">
        <v>1</v>
      </c>
      <c r="DZ820" t="s">
        <v>3</v>
      </c>
      <c r="EA820" t="s">
        <v>3</v>
      </c>
      <c r="EB820" t="s">
        <v>3</v>
      </c>
      <c r="EC820" t="s">
        <v>3</v>
      </c>
      <c r="EE820">
        <v>43088372</v>
      </c>
      <c r="EF820">
        <v>30</v>
      </c>
      <c r="EG820" t="s">
        <v>22</v>
      </c>
      <c r="EH820">
        <v>0</v>
      </c>
      <c r="EI820" t="s">
        <v>3</v>
      </c>
      <c r="EJ820">
        <v>1</v>
      </c>
      <c r="EK820">
        <v>294</v>
      </c>
      <c r="EL820" t="s">
        <v>914</v>
      </c>
      <c r="EM820" t="s">
        <v>915</v>
      </c>
      <c r="EO820" t="s">
        <v>3</v>
      </c>
      <c r="EQ820">
        <v>0</v>
      </c>
      <c r="ER820">
        <v>1.6</v>
      </c>
      <c r="ES820">
        <v>1.6</v>
      </c>
      <c r="ET820">
        <v>0</v>
      </c>
      <c r="EU820">
        <v>0</v>
      </c>
      <c r="EV820">
        <v>0</v>
      </c>
      <c r="EW820">
        <v>0</v>
      </c>
      <c r="EX820">
        <v>0</v>
      </c>
      <c r="FQ820">
        <v>0</v>
      </c>
      <c r="FR820">
        <f t="shared" si="727"/>
        <v>0</v>
      </c>
      <c r="FS820">
        <v>0</v>
      </c>
      <c r="FX820">
        <v>156</v>
      </c>
      <c r="FY820">
        <v>84</v>
      </c>
      <c r="GA820" t="s">
        <v>3</v>
      </c>
      <c r="GD820">
        <v>0</v>
      </c>
      <c r="GF820">
        <v>2124978974</v>
      </c>
      <c r="GG820">
        <v>2</v>
      </c>
      <c r="GH820">
        <v>1</v>
      </c>
      <c r="GI820">
        <v>2</v>
      </c>
      <c r="GJ820">
        <v>0</v>
      </c>
      <c r="GK820">
        <f>ROUND(R820*(R12)/100,2)</f>
        <v>0</v>
      </c>
      <c r="GL820">
        <f t="shared" si="728"/>
        <v>0</v>
      </c>
      <c r="GM820">
        <f t="shared" si="729"/>
        <v>104.92</v>
      </c>
      <c r="GN820">
        <f t="shared" si="730"/>
        <v>104.92</v>
      </c>
      <c r="GO820">
        <f t="shared" si="731"/>
        <v>0</v>
      </c>
      <c r="GP820">
        <f t="shared" si="732"/>
        <v>0</v>
      </c>
      <c r="GR820">
        <v>0</v>
      </c>
      <c r="GS820">
        <v>3</v>
      </c>
      <c r="GT820">
        <v>0</v>
      </c>
      <c r="GU820" t="s">
        <v>3</v>
      </c>
      <c r="GV820">
        <f t="shared" si="733"/>
        <v>0</v>
      </c>
      <c r="GW820">
        <v>1</v>
      </c>
      <c r="GX820">
        <f t="shared" si="734"/>
        <v>0</v>
      </c>
      <c r="HA820">
        <v>0</v>
      </c>
      <c r="HB820">
        <v>0</v>
      </c>
      <c r="HC820">
        <f t="shared" si="735"/>
        <v>0</v>
      </c>
      <c r="HE820" t="s">
        <v>3</v>
      </c>
      <c r="HF820" t="s">
        <v>3</v>
      </c>
      <c r="HM820" t="s">
        <v>3</v>
      </c>
      <c r="IK820">
        <v>0</v>
      </c>
    </row>
    <row r="821" spans="1:245" x14ac:dyDescent="0.2">
      <c r="A821">
        <v>18</v>
      </c>
      <c r="B821">
        <v>1</v>
      </c>
      <c r="C821">
        <v>444</v>
      </c>
      <c r="E821" t="s">
        <v>920</v>
      </c>
      <c r="F821" t="s">
        <v>887</v>
      </c>
      <c r="G821" t="s">
        <v>888</v>
      </c>
      <c r="H821" t="s">
        <v>131</v>
      </c>
      <c r="I821">
        <f>I819*J821</f>
        <v>13.439999999999998</v>
      </c>
      <c r="J821">
        <v>4.4799999999999995</v>
      </c>
      <c r="K821">
        <v>4.4800000000000004</v>
      </c>
      <c r="O821">
        <f t="shared" si="703"/>
        <v>345.33</v>
      </c>
      <c r="P821">
        <f t="shared" si="704"/>
        <v>345.33</v>
      </c>
      <c r="Q821">
        <f>(ROUND((ROUND(((ET821)*AV821*I821),2)*BB821),2)+ROUND((ROUND(((AE821-(EU821))*AV821*I821),2)*BS821),2))</f>
        <v>0</v>
      </c>
      <c r="R821">
        <f t="shared" si="705"/>
        <v>0</v>
      </c>
      <c r="S821">
        <f t="shared" si="706"/>
        <v>0</v>
      </c>
      <c r="T821">
        <f t="shared" si="707"/>
        <v>0</v>
      </c>
      <c r="U821">
        <f t="shared" si="708"/>
        <v>0</v>
      </c>
      <c r="V821">
        <f t="shared" si="709"/>
        <v>0</v>
      </c>
      <c r="W821">
        <f t="shared" si="710"/>
        <v>0</v>
      </c>
      <c r="X821">
        <f t="shared" si="711"/>
        <v>0</v>
      </c>
      <c r="Y821">
        <f t="shared" si="712"/>
        <v>0</v>
      </c>
      <c r="AA821">
        <v>42938047</v>
      </c>
      <c r="AB821">
        <f t="shared" si="713"/>
        <v>17.72</v>
      </c>
      <c r="AC821">
        <f t="shared" si="714"/>
        <v>17.72</v>
      </c>
      <c r="AD821">
        <f>ROUND((((ET821)-(EU821))+AE821),6)</f>
        <v>0</v>
      </c>
      <c r="AE821">
        <f t="shared" si="736"/>
        <v>0</v>
      </c>
      <c r="AF821">
        <f t="shared" si="736"/>
        <v>0</v>
      </c>
      <c r="AG821">
        <f t="shared" si="715"/>
        <v>0</v>
      </c>
      <c r="AH821">
        <f t="shared" si="737"/>
        <v>0</v>
      </c>
      <c r="AI821">
        <f t="shared" si="737"/>
        <v>0</v>
      </c>
      <c r="AJ821">
        <f t="shared" si="716"/>
        <v>0</v>
      </c>
      <c r="AK821">
        <v>17.72</v>
      </c>
      <c r="AL821">
        <v>17.72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1</v>
      </c>
      <c r="AW821">
        <v>1</v>
      </c>
      <c r="AZ821">
        <v>1</v>
      </c>
      <c r="BA821">
        <v>1</v>
      </c>
      <c r="BB821">
        <v>1</v>
      </c>
      <c r="BC821">
        <v>1.45</v>
      </c>
      <c r="BD821" t="s">
        <v>3</v>
      </c>
      <c r="BE821" t="s">
        <v>3</v>
      </c>
      <c r="BF821" t="s">
        <v>3</v>
      </c>
      <c r="BG821" t="s">
        <v>3</v>
      </c>
      <c r="BH821">
        <v>3</v>
      </c>
      <c r="BI821">
        <v>1</v>
      </c>
      <c r="BJ821" t="s">
        <v>889</v>
      </c>
      <c r="BM821">
        <v>294</v>
      </c>
      <c r="BN821">
        <v>0</v>
      </c>
      <c r="BO821" t="s">
        <v>887</v>
      </c>
      <c r="BP821">
        <v>1</v>
      </c>
      <c r="BQ821">
        <v>30</v>
      </c>
      <c r="BR821">
        <v>0</v>
      </c>
      <c r="BS821">
        <v>1</v>
      </c>
      <c r="BT821">
        <v>1</v>
      </c>
      <c r="BU821">
        <v>1</v>
      </c>
      <c r="BV821">
        <v>1</v>
      </c>
      <c r="BW821">
        <v>1</v>
      </c>
      <c r="BX821">
        <v>1</v>
      </c>
      <c r="BY821" t="s">
        <v>3</v>
      </c>
      <c r="BZ821">
        <v>0</v>
      </c>
      <c r="CA821">
        <v>0</v>
      </c>
      <c r="CB821" t="s">
        <v>3</v>
      </c>
      <c r="CE821">
        <v>30</v>
      </c>
      <c r="CF821">
        <v>0</v>
      </c>
      <c r="CG821">
        <v>0</v>
      </c>
      <c r="CM821">
        <v>0</v>
      </c>
      <c r="CN821" t="s">
        <v>3</v>
      </c>
      <c r="CO821">
        <v>0</v>
      </c>
      <c r="CP821">
        <f t="shared" si="717"/>
        <v>345.33</v>
      </c>
      <c r="CQ821">
        <f t="shared" si="718"/>
        <v>25.69</v>
      </c>
      <c r="CR821">
        <f>(ROUND((ROUND(((ET821)*AV821*1),2)*BB821),2)+ROUND((ROUND(((AE821-(EU821))*AV821*1),2)*BS821),2))</f>
        <v>0</v>
      </c>
      <c r="CS821">
        <f t="shared" si="719"/>
        <v>0</v>
      </c>
      <c r="CT821">
        <f t="shared" si="720"/>
        <v>0</v>
      </c>
      <c r="CU821">
        <f t="shared" si="721"/>
        <v>0</v>
      </c>
      <c r="CV821">
        <f t="shared" si="722"/>
        <v>0</v>
      </c>
      <c r="CW821">
        <f t="shared" si="723"/>
        <v>0</v>
      </c>
      <c r="CX821">
        <f t="shared" si="724"/>
        <v>0</v>
      </c>
      <c r="CY821">
        <f t="shared" si="725"/>
        <v>0</v>
      </c>
      <c r="CZ821">
        <f t="shared" si="726"/>
        <v>0</v>
      </c>
      <c r="DC821" t="s">
        <v>3</v>
      </c>
      <c r="DD821" t="s">
        <v>3</v>
      </c>
      <c r="DE821" t="s">
        <v>3</v>
      </c>
      <c r="DF821" t="s">
        <v>3</v>
      </c>
      <c r="DG821" t="s">
        <v>3</v>
      </c>
      <c r="DH821" t="s">
        <v>3</v>
      </c>
      <c r="DI821" t="s">
        <v>3</v>
      </c>
      <c r="DJ821" t="s">
        <v>3</v>
      </c>
      <c r="DK821" t="s">
        <v>3</v>
      </c>
      <c r="DL821" t="s">
        <v>3</v>
      </c>
      <c r="DM821" t="s">
        <v>3</v>
      </c>
      <c r="DN821">
        <v>156</v>
      </c>
      <c r="DO821">
        <v>84</v>
      </c>
      <c r="DP821">
        <v>1</v>
      </c>
      <c r="DQ821">
        <v>1</v>
      </c>
      <c r="DU821">
        <v>1009</v>
      </c>
      <c r="DV821" t="s">
        <v>131</v>
      </c>
      <c r="DW821" t="s">
        <v>131</v>
      </c>
      <c r="DX821">
        <v>1</v>
      </c>
      <c r="DZ821" t="s">
        <v>3</v>
      </c>
      <c r="EA821" t="s">
        <v>3</v>
      </c>
      <c r="EB821" t="s">
        <v>3</v>
      </c>
      <c r="EC821" t="s">
        <v>3</v>
      </c>
      <c r="EE821">
        <v>43088372</v>
      </c>
      <c r="EF821">
        <v>30</v>
      </c>
      <c r="EG821" t="s">
        <v>22</v>
      </c>
      <c r="EH821">
        <v>0</v>
      </c>
      <c r="EI821" t="s">
        <v>3</v>
      </c>
      <c r="EJ821">
        <v>1</v>
      </c>
      <c r="EK821">
        <v>294</v>
      </c>
      <c r="EL821" t="s">
        <v>914</v>
      </c>
      <c r="EM821" t="s">
        <v>915</v>
      </c>
      <c r="EO821" t="s">
        <v>3</v>
      </c>
      <c r="EQ821">
        <v>0</v>
      </c>
      <c r="ER821">
        <v>17.72</v>
      </c>
      <c r="ES821">
        <v>17.72</v>
      </c>
      <c r="ET821">
        <v>0</v>
      </c>
      <c r="EU821">
        <v>0</v>
      </c>
      <c r="EV821">
        <v>0</v>
      </c>
      <c r="EW821">
        <v>0</v>
      </c>
      <c r="EX821">
        <v>0</v>
      </c>
      <c r="FQ821">
        <v>0</v>
      </c>
      <c r="FR821">
        <f t="shared" si="727"/>
        <v>0</v>
      </c>
      <c r="FS821">
        <v>0</v>
      </c>
      <c r="FX821">
        <v>156</v>
      </c>
      <c r="FY821">
        <v>84</v>
      </c>
      <c r="GA821" t="s">
        <v>3</v>
      </c>
      <c r="GD821">
        <v>0</v>
      </c>
      <c r="GF821">
        <v>-668919807</v>
      </c>
      <c r="GG821">
        <v>2</v>
      </c>
      <c r="GH821">
        <v>1</v>
      </c>
      <c r="GI821">
        <v>2</v>
      </c>
      <c r="GJ821">
        <v>0</v>
      </c>
      <c r="GK821">
        <f>ROUND(R821*(R12)/100,2)</f>
        <v>0</v>
      </c>
      <c r="GL821">
        <f t="shared" si="728"/>
        <v>0</v>
      </c>
      <c r="GM821">
        <f t="shared" si="729"/>
        <v>345.33</v>
      </c>
      <c r="GN821">
        <f t="shared" si="730"/>
        <v>345.33</v>
      </c>
      <c r="GO821">
        <f t="shared" si="731"/>
        <v>0</v>
      </c>
      <c r="GP821">
        <f t="shared" si="732"/>
        <v>0</v>
      </c>
      <c r="GR821">
        <v>0</v>
      </c>
      <c r="GS821">
        <v>3</v>
      </c>
      <c r="GT821">
        <v>0</v>
      </c>
      <c r="GU821" t="s">
        <v>3</v>
      </c>
      <c r="GV821">
        <f t="shared" si="733"/>
        <v>0</v>
      </c>
      <c r="GW821">
        <v>1</v>
      </c>
      <c r="GX821">
        <f t="shared" si="734"/>
        <v>0</v>
      </c>
      <c r="HA821">
        <v>0</v>
      </c>
      <c r="HB821">
        <v>0</v>
      </c>
      <c r="HC821">
        <f t="shared" si="735"/>
        <v>0</v>
      </c>
      <c r="HE821" t="s">
        <v>3</v>
      </c>
      <c r="HF821" t="s">
        <v>3</v>
      </c>
      <c r="HM821" t="s">
        <v>3</v>
      </c>
      <c r="IK821">
        <v>0</v>
      </c>
    </row>
    <row r="822" spans="1:245" x14ac:dyDescent="0.2">
      <c r="A822">
        <v>17</v>
      </c>
      <c r="B822">
        <v>1</v>
      </c>
      <c r="C822">
        <f>ROW(SmtRes!A445)</f>
        <v>445</v>
      </c>
      <c r="D822">
        <f>ROW(EtalonRes!A441)</f>
        <v>441</v>
      </c>
      <c r="E822" t="s">
        <v>921</v>
      </c>
      <c r="F822" t="s">
        <v>198</v>
      </c>
      <c r="G822" t="s">
        <v>199</v>
      </c>
      <c r="H822" t="s">
        <v>63</v>
      </c>
      <c r="I822">
        <f>ROUND(30/100,9)</f>
        <v>0.3</v>
      </c>
      <c r="J822">
        <v>0</v>
      </c>
      <c r="K822">
        <f>ROUND(30/100,9)</f>
        <v>0.3</v>
      </c>
      <c r="O822">
        <f t="shared" si="703"/>
        <v>6068.46</v>
      </c>
      <c r="P822">
        <f t="shared" si="704"/>
        <v>0</v>
      </c>
      <c r="Q822">
        <f>(ROUND((ROUND(((ET822)*AV822*I822),2)*BB822),2)+ROUND((ROUND(((AE822-(EU822))*AV822*I822),2)*BS822),2))</f>
        <v>0</v>
      </c>
      <c r="R822">
        <f t="shared" si="705"/>
        <v>0</v>
      </c>
      <c r="S822">
        <f t="shared" si="706"/>
        <v>6068.46</v>
      </c>
      <c r="T822">
        <f t="shared" si="707"/>
        <v>0</v>
      </c>
      <c r="U822">
        <f t="shared" si="708"/>
        <v>24.9</v>
      </c>
      <c r="V822">
        <f t="shared" si="709"/>
        <v>0</v>
      </c>
      <c r="W822">
        <f t="shared" si="710"/>
        <v>0</v>
      </c>
      <c r="X822">
        <f t="shared" si="711"/>
        <v>4429.9799999999996</v>
      </c>
      <c r="Y822">
        <f t="shared" si="712"/>
        <v>2488.0700000000002</v>
      </c>
      <c r="AA822">
        <v>42938047</v>
      </c>
      <c r="AB822">
        <f t="shared" si="713"/>
        <v>795.14</v>
      </c>
      <c r="AC822">
        <f t="shared" si="714"/>
        <v>0</v>
      </c>
      <c r="AD822">
        <f>ROUND((((ET822)-(EU822))+AE822),6)</f>
        <v>0</v>
      </c>
      <c r="AE822">
        <f t="shared" si="736"/>
        <v>0</v>
      </c>
      <c r="AF822">
        <f t="shared" si="736"/>
        <v>795.14</v>
      </c>
      <c r="AG822">
        <f t="shared" si="715"/>
        <v>0</v>
      </c>
      <c r="AH822">
        <f t="shared" si="737"/>
        <v>83</v>
      </c>
      <c r="AI822">
        <f t="shared" si="737"/>
        <v>0</v>
      </c>
      <c r="AJ822">
        <f t="shared" si="716"/>
        <v>0</v>
      </c>
      <c r="AK822">
        <v>795.14</v>
      </c>
      <c r="AL822">
        <v>0</v>
      </c>
      <c r="AM822">
        <v>0</v>
      </c>
      <c r="AN822">
        <v>0</v>
      </c>
      <c r="AO822">
        <v>795.14</v>
      </c>
      <c r="AP822">
        <v>0</v>
      </c>
      <c r="AQ822">
        <v>83</v>
      </c>
      <c r="AR822">
        <v>0</v>
      </c>
      <c r="AS822">
        <v>0</v>
      </c>
      <c r="AT822">
        <v>73</v>
      </c>
      <c r="AU822">
        <v>41</v>
      </c>
      <c r="AV822">
        <v>1</v>
      </c>
      <c r="AW822">
        <v>1</v>
      </c>
      <c r="AZ822">
        <v>1</v>
      </c>
      <c r="BA822">
        <v>25.44</v>
      </c>
      <c r="BB822">
        <v>1</v>
      </c>
      <c r="BC822">
        <v>1</v>
      </c>
      <c r="BD822" t="s">
        <v>3</v>
      </c>
      <c r="BE822" t="s">
        <v>3</v>
      </c>
      <c r="BF822" t="s">
        <v>3</v>
      </c>
      <c r="BG822" t="s">
        <v>3</v>
      </c>
      <c r="BH822">
        <v>0</v>
      </c>
      <c r="BI822">
        <v>1</v>
      </c>
      <c r="BJ822" t="s">
        <v>200</v>
      </c>
      <c r="BM822">
        <v>393</v>
      </c>
      <c r="BN822">
        <v>0</v>
      </c>
      <c r="BO822" t="s">
        <v>198</v>
      </c>
      <c r="BP822">
        <v>1</v>
      </c>
      <c r="BQ822">
        <v>60</v>
      </c>
      <c r="BR822">
        <v>0</v>
      </c>
      <c r="BS822">
        <v>25.44</v>
      </c>
      <c r="BT822">
        <v>1</v>
      </c>
      <c r="BU822">
        <v>1</v>
      </c>
      <c r="BV822">
        <v>1</v>
      </c>
      <c r="BW822">
        <v>1</v>
      </c>
      <c r="BX822">
        <v>1</v>
      </c>
      <c r="BY822" t="s">
        <v>3</v>
      </c>
      <c r="BZ822">
        <v>73</v>
      </c>
      <c r="CA822">
        <v>41</v>
      </c>
      <c r="CB822" t="s">
        <v>3</v>
      </c>
      <c r="CE822">
        <v>30</v>
      </c>
      <c r="CF822">
        <v>0</v>
      </c>
      <c r="CG822">
        <v>0</v>
      </c>
      <c r="CM822">
        <v>0</v>
      </c>
      <c r="CN822" t="s">
        <v>3</v>
      </c>
      <c r="CO822">
        <v>0</v>
      </c>
      <c r="CP822">
        <f t="shared" si="717"/>
        <v>6068.46</v>
      </c>
      <c r="CQ822">
        <f t="shared" si="718"/>
        <v>0</v>
      </c>
      <c r="CR822">
        <f>(ROUND((ROUND(((ET822)*AV822*1),2)*BB822),2)+ROUND((ROUND(((AE822-(EU822))*AV822*1),2)*BS822),2))</f>
        <v>0</v>
      </c>
      <c r="CS822">
        <f t="shared" si="719"/>
        <v>0</v>
      </c>
      <c r="CT822">
        <f t="shared" si="720"/>
        <v>20228.36</v>
      </c>
      <c r="CU822">
        <f t="shared" si="721"/>
        <v>0</v>
      </c>
      <c r="CV822">
        <f t="shared" si="722"/>
        <v>83</v>
      </c>
      <c r="CW822">
        <f t="shared" si="723"/>
        <v>0</v>
      </c>
      <c r="CX822">
        <f t="shared" si="724"/>
        <v>0</v>
      </c>
      <c r="CY822">
        <f t="shared" si="725"/>
        <v>4429.9758000000002</v>
      </c>
      <c r="CZ822">
        <f t="shared" si="726"/>
        <v>2488.0686000000001</v>
      </c>
      <c r="DC822" t="s">
        <v>3</v>
      </c>
      <c r="DD822" t="s">
        <v>3</v>
      </c>
      <c r="DE822" t="s">
        <v>3</v>
      </c>
      <c r="DF822" t="s">
        <v>3</v>
      </c>
      <c r="DG822" t="s">
        <v>3</v>
      </c>
      <c r="DH822" t="s">
        <v>3</v>
      </c>
      <c r="DI822" t="s">
        <v>3</v>
      </c>
      <c r="DJ822" t="s">
        <v>3</v>
      </c>
      <c r="DK822" t="s">
        <v>3</v>
      </c>
      <c r="DL822" t="s">
        <v>3</v>
      </c>
      <c r="DM822" t="s">
        <v>3</v>
      </c>
      <c r="DN822">
        <v>91</v>
      </c>
      <c r="DO822">
        <v>67</v>
      </c>
      <c r="DP822">
        <v>1</v>
      </c>
      <c r="DQ822">
        <v>1</v>
      </c>
      <c r="DU822">
        <v>1013</v>
      </c>
      <c r="DV822" t="s">
        <v>63</v>
      </c>
      <c r="DW822" t="s">
        <v>63</v>
      </c>
      <c r="DX822">
        <v>1</v>
      </c>
      <c r="DZ822" t="s">
        <v>3</v>
      </c>
      <c r="EA822" t="s">
        <v>3</v>
      </c>
      <c r="EB822" t="s">
        <v>3</v>
      </c>
      <c r="EC822" t="s">
        <v>3</v>
      </c>
      <c r="EE822">
        <v>43088471</v>
      </c>
      <c r="EF822">
        <v>60</v>
      </c>
      <c r="EG822" t="s">
        <v>40</v>
      </c>
      <c r="EH822">
        <v>0</v>
      </c>
      <c r="EI822" t="s">
        <v>3</v>
      </c>
      <c r="EJ822">
        <v>1</v>
      </c>
      <c r="EK822">
        <v>393</v>
      </c>
      <c r="EL822" t="s">
        <v>201</v>
      </c>
      <c r="EM822" t="s">
        <v>202</v>
      </c>
      <c r="EO822" t="s">
        <v>3</v>
      </c>
      <c r="EQ822">
        <v>0</v>
      </c>
      <c r="ER822">
        <v>795.14</v>
      </c>
      <c r="ES822">
        <v>0</v>
      </c>
      <c r="ET822">
        <v>0</v>
      </c>
      <c r="EU822">
        <v>0</v>
      </c>
      <c r="EV822">
        <v>795.14</v>
      </c>
      <c r="EW822">
        <v>83</v>
      </c>
      <c r="EX822">
        <v>0</v>
      </c>
      <c r="EY822">
        <v>0</v>
      </c>
      <c r="FQ822">
        <v>0</v>
      </c>
      <c r="FR822">
        <f t="shared" si="727"/>
        <v>0</v>
      </c>
      <c r="FS822">
        <v>0</v>
      </c>
      <c r="FX822">
        <v>91</v>
      </c>
      <c r="FY822">
        <v>67</v>
      </c>
      <c r="GA822" t="s">
        <v>3</v>
      </c>
      <c r="GD822">
        <v>0</v>
      </c>
      <c r="GF822">
        <v>2144161260</v>
      </c>
      <c r="GG822">
        <v>2</v>
      </c>
      <c r="GH822">
        <v>1</v>
      </c>
      <c r="GI822">
        <v>2</v>
      </c>
      <c r="GJ822">
        <v>0</v>
      </c>
      <c r="GK822">
        <f>ROUND(R822*(R12)/100,2)</f>
        <v>0</v>
      </c>
      <c r="GL822">
        <f t="shared" si="728"/>
        <v>0</v>
      </c>
      <c r="GM822">
        <f t="shared" si="729"/>
        <v>12986.51</v>
      </c>
      <c r="GN822">
        <f t="shared" si="730"/>
        <v>12986.51</v>
      </c>
      <c r="GO822">
        <f t="shared" si="731"/>
        <v>0</v>
      </c>
      <c r="GP822">
        <f t="shared" si="732"/>
        <v>0</v>
      </c>
      <c r="GR822">
        <v>0</v>
      </c>
      <c r="GS822">
        <v>3</v>
      </c>
      <c r="GT822">
        <v>0</v>
      </c>
      <c r="GU822" t="s">
        <v>3</v>
      </c>
      <c r="GV822">
        <f t="shared" si="733"/>
        <v>0</v>
      </c>
      <c r="GW822">
        <v>1</v>
      </c>
      <c r="GX822">
        <f t="shared" si="734"/>
        <v>0</v>
      </c>
      <c r="HA822">
        <v>0</v>
      </c>
      <c r="HB822">
        <v>0</v>
      </c>
      <c r="HC822">
        <f t="shared" si="735"/>
        <v>0</v>
      </c>
      <c r="HE822" t="s">
        <v>3</v>
      </c>
      <c r="HF822" t="s">
        <v>3</v>
      </c>
      <c r="HM822" t="s">
        <v>3</v>
      </c>
      <c r="IK822">
        <v>0</v>
      </c>
    </row>
    <row r="823" spans="1:245" x14ac:dyDescent="0.2">
      <c r="A823">
        <v>17</v>
      </c>
      <c r="B823">
        <v>1</v>
      </c>
      <c r="C823">
        <f>ROW(SmtRes!A446)</f>
        <v>446</v>
      </c>
      <c r="D823">
        <f>ROW(EtalonRes!A442)</f>
        <v>442</v>
      </c>
      <c r="E823" t="s">
        <v>922</v>
      </c>
      <c r="F823" t="s">
        <v>204</v>
      </c>
      <c r="G823" t="s">
        <v>205</v>
      </c>
      <c r="H823" t="s">
        <v>104</v>
      </c>
      <c r="I823">
        <v>0.45</v>
      </c>
      <c r="J823">
        <v>0</v>
      </c>
      <c r="K823">
        <v>0.45</v>
      </c>
      <c r="O823">
        <f t="shared" si="703"/>
        <v>252.75</v>
      </c>
      <c r="P823">
        <f t="shared" si="704"/>
        <v>0</v>
      </c>
      <c r="Q823">
        <f>(ROUND((ROUND(((ET823)*AV823*I823),2)*BB823),2)+ROUND((ROUND(((AE823-(EU823))*AV823*I823),2)*BS823),2))</f>
        <v>252.75</v>
      </c>
      <c r="R823">
        <f t="shared" si="705"/>
        <v>0</v>
      </c>
      <c r="S823">
        <f t="shared" si="706"/>
        <v>0</v>
      </c>
      <c r="T823">
        <f t="shared" si="707"/>
        <v>0</v>
      </c>
      <c r="U823">
        <f t="shared" si="708"/>
        <v>0</v>
      </c>
      <c r="V823">
        <f t="shared" si="709"/>
        <v>0</v>
      </c>
      <c r="W823">
        <f t="shared" si="710"/>
        <v>0</v>
      </c>
      <c r="X823">
        <f t="shared" si="711"/>
        <v>0</v>
      </c>
      <c r="Y823">
        <f t="shared" si="712"/>
        <v>0</v>
      </c>
      <c r="AA823">
        <v>42938047</v>
      </c>
      <c r="AB823">
        <f t="shared" si="713"/>
        <v>46</v>
      </c>
      <c r="AC823">
        <f t="shared" si="714"/>
        <v>0</v>
      </c>
      <c r="AD823">
        <f>ROUND((((ET823)-(EU823))+AE823),6)</f>
        <v>46</v>
      </c>
      <c r="AE823">
        <f t="shared" si="736"/>
        <v>0</v>
      </c>
      <c r="AF823">
        <f t="shared" si="736"/>
        <v>0</v>
      </c>
      <c r="AG823">
        <f t="shared" si="715"/>
        <v>0</v>
      </c>
      <c r="AH823">
        <f t="shared" si="737"/>
        <v>0</v>
      </c>
      <c r="AI823">
        <f t="shared" si="737"/>
        <v>0</v>
      </c>
      <c r="AJ823">
        <f t="shared" si="716"/>
        <v>0</v>
      </c>
      <c r="AK823">
        <v>46</v>
      </c>
      <c r="AL823">
        <v>0</v>
      </c>
      <c r="AM823">
        <v>46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93</v>
      </c>
      <c r="AU823">
        <v>64</v>
      </c>
      <c r="AV823">
        <v>1</v>
      </c>
      <c r="AW823">
        <v>1</v>
      </c>
      <c r="AZ823">
        <v>1</v>
      </c>
      <c r="BA823">
        <v>1</v>
      </c>
      <c r="BB823">
        <v>12.21</v>
      </c>
      <c r="BC823">
        <v>1</v>
      </c>
      <c r="BD823" t="s">
        <v>3</v>
      </c>
      <c r="BE823" t="s">
        <v>3</v>
      </c>
      <c r="BF823" t="s">
        <v>3</v>
      </c>
      <c r="BG823" t="s">
        <v>3</v>
      </c>
      <c r="BH823">
        <v>0</v>
      </c>
      <c r="BI823">
        <v>4</v>
      </c>
      <c r="BJ823" t="s">
        <v>206</v>
      </c>
      <c r="BM823">
        <v>1111</v>
      </c>
      <c r="BN823">
        <v>0</v>
      </c>
      <c r="BO823" t="s">
        <v>204</v>
      </c>
      <c r="BP823">
        <v>1</v>
      </c>
      <c r="BQ823">
        <v>150</v>
      </c>
      <c r="BR823">
        <v>0</v>
      </c>
      <c r="BS823">
        <v>1</v>
      </c>
      <c r="BT823">
        <v>1</v>
      </c>
      <c r="BU823">
        <v>1</v>
      </c>
      <c r="BV823">
        <v>1</v>
      </c>
      <c r="BW823">
        <v>1</v>
      </c>
      <c r="BX823">
        <v>1</v>
      </c>
      <c r="BY823" t="s">
        <v>3</v>
      </c>
      <c r="BZ823">
        <v>93</v>
      </c>
      <c r="CA823">
        <v>64</v>
      </c>
      <c r="CB823" t="s">
        <v>3</v>
      </c>
      <c r="CE823">
        <v>30</v>
      </c>
      <c r="CF823">
        <v>0</v>
      </c>
      <c r="CG823">
        <v>0</v>
      </c>
      <c r="CM823">
        <v>0</v>
      </c>
      <c r="CN823" t="s">
        <v>3</v>
      </c>
      <c r="CO823">
        <v>0</v>
      </c>
      <c r="CP823">
        <f t="shared" si="717"/>
        <v>252.75</v>
      </c>
      <c r="CQ823">
        <f t="shared" si="718"/>
        <v>0</v>
      </c>
      <c r="CR823">
        <f>(ROUND((ROUND(((ET823)*AV823*1),2)*BB823),2)+ROUND((ROUND(((AE823-(EU823))*AV823*1),2)*BS823),2))</f>
        <v>561.66</v>
      </c>
      <c r="CS823">
        <f t="shared" si="719"/>
        <v>0</v>
      </c>
      <c r="CT823">
        <f t="shared" si="720"/>
        <v>0</v>
      </c>
      <c r="CU823">
        <f t="shared" si="721"/>
        <v>0</v>
      </c>
      <c r="CV823">
        <f t="shared" si="722"/>
        <v>0</v>
      </c>
      <c r="CW823">
        <f t="shared" si="723"/>
        <v>0</v>
      </c>
      <c r="CX823">
        <f t="shared" si="724"/>
        <v>0</v>
      </c>
      <c r="CY823">
        <f t="shared" si="725"/>
        <v>0</v>
      </c>
      <c r="CZ823">
        <f t="shared" si="726"/>
        <v>0</v>
      </c>
      <c r="DC823" t="s">
        <v>3</v>
      </c>
      <c r="DD823" t="s">
        <v>3</v>
      </c>
      <c r="DE823" t="s">
        <v>3</v>
      </c>
      <c r="DF823" t="s">
        <v>3</v>
      </c>
      <c r="DG823" t="s">
        <v>3</v>
      </c>
      <c r="DH823" t="s">
        <v>3</v>
      </c>
      <c r="DI823" t="s">
        <v>3</v>
      </c>
      <c r="DJ823" t="s">
        <v>3</v>
      </c>
      <c r="DK823" t="s">
        <v>3</v>
      </c>
      <c r="DL823" t="s">
        <v>3</v>
      </c>
      <c r="DM823" t="s">
        <v>3</v>
      </c>
      <c r="DN823">
        <v>0</v>
      </c>
      <c r="DO823">
        <v>0</v>
      </c>
      <c r="DP823">
        <v>1</v>
      </c>
      <c r="DQ823">
        <v>1</v>
      </c>
      <c r="DU823">
        <v>1009</v>
      </c>
      <c r="DV823" t="s">
        <v>104</v>
      </c>
      <c r="DW823" t="s">
        <v>104</v>
      </c>
      <c r="DX823">
        <v>1000</v>
      </c>
      <c r="DZ823" t="s">
        <v>3</v>
      </c>
      <c r="EA823" t="s">
        <v>3</v>
      </c>
      <c r="EB823" t="s">
        <v>3</v>
      </c>
      <c r="EC823" t="s">
        <v>3</v>
      </c>
      <c r="EE823">
        <v>43089189</v>
      </c>
      <c r="EF823">
        <v>150</v>
      </c>
      <c r="EG823" t="s">
        <v>190</v>
      </c>
      <c r="EH823">
        <v>0</v>
      </c>
      <c r="EI823" t="s">
        <v>3</v>
      </c>
      <c r="EJ823">
        <v>4</v>
      </c>
      <c r="EK823">
        <v>1111</v>
      </c>
      <c r="EL823" t="s">
        <v>207</v>
      </c>
      <c r="EM823" t="s">
        <v>208</v>
      </c>
      <c r="EO823" t="s">
        <v>3</v>
      </c>
      <c r="EQ823">
        <v>0</v>
      </c>
      <c r="ER823">
        <v>46</v>
      </c>
      <c r="ES823">
        <v>0</v>
      </c>
      <c r="ET823">
        <v>46</v>
      </c>
      <c r="EU823">
        <v>0</v>
      </c>
      <c r="EV823">
        <v>0</v>
      </c>
      <c r="EW823">
        <v>0</v>
      </c>
      <c r="EX823">
        <v>0</v>
      </c>
      <c r="EY823">
        <v>0</v>
      </c>
      <c r="FQ823">
        <v>0</v>
      </c>
      <c r="FR823">
        <f t="shared" si="727"/>
        <v>0</v>
      </c>
      <c r="FS823">
        <v>0</v>
      </c>
      <c r="FX823">
        <v>0</v>
      </c>
      <c r="FY823">
        <v>0</v>
      </c>
      <c r="GA823" t="s">
        <v>3</v>
      </c>
      <c r="GD823">
        <v>0</v>
      </c>
      <c r="GF823">
        <v>1570066743</v>
      </c>
      <c r="GG823">
        <v>2</v>
      </c>
      <c r="GH823">
        <v>1</v>
      </c>
      <c r="GI823">
        <v>2</v>
      </c>
      <c r="GJ823">
        <v>0</v>
      </c>
      <c r="GK823">
        <f>ROUND(R823*(R12)/100,2)</f>
        <v>0</v>
      </c>
      <c r="GL823">
        <f t="shared" si="728"/>
        <v>0</v>
      </c>
      <c r="GM823">
        <f t="shared" si="729"/>
        <v>252.75</v>
      </c>
      <c r="GN823">
        <f t="shared" si="730"/>
        <v>0</v>
      </c>
      <c r="GO823">
        <f t="shared" si="731"/>
        <v>0</v>
      </c>
      <c r="GP823">
        <f t="shared" si="732"/>
        <v>252.75</v>
      </c>
      <c r="GR823">
        <v>0</v>
      </c>
      <c r="GS823">
        <v>3</v>
      </c>
      <c r="GT823">
        <v>0</v>
      </c>
      <c r="GU823" t="s">
        <v>3</v>
      </c>
      <c r="GV823">
        <f t="shared" si="733"/>
        <v>0</v>
      </c>
      <c r="GW823">
        <v>1</v>
      </c>
      <c r="GX823">
        <f t="shared" si="734"/>
        <v>0</v>
      </c>
      <c r="HA823">
        <v>0</v>
      </c>
      <c r="HB823">
        <v>0</v>
      </c>
      <c r="HC823">
        <f t="shared" si="735"/>
        <v>0</v>
      </c>
      <c r="HE823" t="s">
        <v>3</v>
      </c>
      <c r="HF823" t="s">
        <v>3</v>
      </c>
      <c r="HM823" t="s">
        <v>3</v>
      </c>
      <c r="IK823">
        <v>0</v>
      </c>
    </row>
    <row r="824" spans="1:245" x14ac:dyDescent="0.2">
      <c r="A824">
        <v>17</v>
      </c>
      <c r="B824">
        <v>1</v>
      </c>
      <c r="C824">
        <f>ROW(SmtRes!A447)</f>
        <v>447</v>
      </c>
      <c r="D824">
        <f>ROW(EtalonRes!A443)</f>
        <v>443</v>
      </c>
      <c r="E824" t="s">
        <v>923</v>
      </c>
      <c r="F824" t="s">
        <v>210</v>
      </c>
      <c r="G824" t="s">
        <v>211</v>
      </c>
      <c r="H824" t="s">
        <v>182</v>
      </c>
      <c r="I824">
        <v>0.45</v>
      </c>
      <c r="J824">
        <v>0</v>
      </c>
      <c r="K824">
        <v>0.45</v>
      </c>
      <c r="O824">
        <f t="shared" si="703"/>
        <v>43.26</v>
      </c>
      <c r="P824">
        <f t="shared" si="704"/>
        <v>0</v>
      </c>
      <c r="Q824">
        <f>(ROUND((ROUND(((ET824)*AV824*I824),2)*BB824),2)+ROUND((ROUND(((AE824-(EU824))*AV824*I824),2)*BS824),2))</f>
        <v>43.26</v>
      </c>
      <c r="R824">
        <f t="shared" si="705"/>
        <v>0</v>
      </c>
      <c r="S824">
        <f t="shared" si="706"/>
        <v>0</v>
      </c>
      <c r="T824">
        <f t="shared" si="707"/>
        <v>0</v>
      </c>
      <c r="U824">
        <f t="shared" si="708"/>
        <v>0</v>
      </c>
      <c r="V824">
        <f t="shared" si="709"/>
        <v>0</v>
      </c>
      <c r="W824">
        <f t="shared" si="710"/>
        <v>0</v>
      </c>
      <c r="X824">
        <f t="shared" si="711"/>
        <v>0</v>
      </c>
      <c r="Y824">
        <f t="shared" si="712"/>
        <v>0</v>
      </c>
      <c r="AA824">
        <v>42938047</v>
      </c>
      <c r="AB824">
        <f t="shared" si="713"/>
        <v>12.61</v>
      </c>
      <c r="AC824">
        <f t="shared" si="714"/>
        <v>0</v>
      </c>
      <c r="AD824">
        <f>ROUND((((ET824)-(EU824))+AE824),6)</f>
        <v>12.61</v>
      </c>
      <c r="AE824">
        <f t="shared" si="736"/>
        <v>0</v>
      </c>
      <c r="AF824">
        <f t="shared" si="736"/>
        <v>0</v>
      </c>
      <c r="AG824">
        <f t="shared" si="715"/>
        <v>0</v>
      </c>
      <c r="AH824">
        <f t="shared" si="737"/>
        <v>0</v>
      </c>
      <c r="AI824">
        <f t="shared" si="737"/>
        <v>0</v>
      </c>
      <c r="AJ824">
        <f t="shared" si="716"/>
        <v>0</v>
      </c>
      <c r="AK824">
        <v>12.61</v>
      </c>
      <c r="AL824">
        <v>0</v>
      </c>
      <c r="AM824">
        <v>12.61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93</v>
      </c>
      <c r="AU824">
        <v>64</v>
      </c>
      <c r="AV824">
        <v>1</v>
      </c>
      <c r="AW824">
        <v>1</v>
      </c>
      <c r="AZ824">
        <v>1</v>
      </c>
      <c r="BA824">
        <v>1</v>
      </c>
      <c r="BB824">
        <v>7.63</v>
      </c>
      <c r="BC824">
        <v>1</v>
      </c>
      <c r="BD824" t="s">
        <v>3</v>
      </c>
      <c r="BE824" t="s">
        <v>3</v>
      </c>
      <c r="BF824" t="s">
        <v>3</v>
      </c>
      <c r="BG824" t="s">
        <v>3</v>
      </c>
      <c r="BH824">
        <v>0</v>
      </c>
      <c r="BI824">
        <v>4</v>
      </c>
      <c r="BJ824" t="s">
        <v>212</v>
      </c>
      <c r="BM824">
        <v>1113</v>
      </c>
      <c r="BN824">
        <v>0</v>
      </c>
      <c r="BO824" t="s">
        <v>210</v>
      </c>
      <c r="BP824">
        <v>1</v>
      </c>
      <c r="BQ824">
        <v>150</v>
      </c>
      <c r="BR824">
        <v>0</v>
      </c>
      <c r="BS824">
        <v>1</v>
      </c>
      <c r="BT824">
        <v>1</v>
      </c>
      <c r="BU824">
        <v>1</v>
      </c>
      <c r="BV824">
        <v>1</v>
      </c>
      <c r="BW824">
        <v>1</v>
      </c>
      <c r="BX824">
        <v>1</v>
      </c>
      <c r="BY824" t="s">
        <v>3</v>
      </c>
      <c r="BZ824">
        <v>93</v>
      </c>
      <c r="CA824">
        <v>64</v>
      </c>
      <c r="CB824" t="s">
        <v>3</v>
      </c>
      <c r="CE824">
        <v>30</v>
      </c>
      <c r="CF824">
        <v>0</v>
      </c>
      <c r="CG824">
        <v>0</v>
      </c>
      <c r="CM824">
        <v>0</v>
      </c>
      <c r="CN824" t="s">
        <v>3</v>
      </c>
      <c r="CO824">
        <v>0</v>
      </c>
      <c r="CP824">
        <f t="shared" si="717"/>
        <v>43.26</v>
      </c>
      <c r="CQ824">
        <f t="shared" si="718"/>
        <v>0</v>
      </c>
      <c r="CR824">
        <f>(ROUND((ROUND(((ET824)*AV824*1),2)*BB824),2)+ROUND((ROUND(((AE824-(EU824))*AV824*1),2)*BS824),2))</f>
        <v>96.21</v>
      </c>
      <c r="CS824">
        <f t="shared" si="719"/>
        <v>0</v>
      </c>
      <c r="CT824">
        <f t="shared" si="720"/>
        <v>0</v>
      </c>
      <c r="CU824">
        <f t="shared" si="721"/>
        <v>0</v>
      </c>
      <c r="CV824">
        <f t="shared" si="722"/>
        <v>0</v>
      </c>
      <c r="CW824">
        <f t="shared" si="723"/>
        <v>0</v>
      </c>
      <c r="CX824">
        <f t="shared" si="724"/>
        <v>0</v>
      </c>
      <c r="CY824">
        <f t="shared" si="725"/>
        <v>0</v>
      </c>
      <c r="CZ824">
        <f t="shared" si="726"/>
        <v>0</v>
      </c>
      <c r="DC824" t="s">
        <v>3</v>
      </c>
      <c r="DD824" t="s">
        <v>3</v>
      </c>
      <c r="DE824" t="s">
        <v>3</v>
      </c>
      <c r="DF824" t="s">
        <v>3</v>
      </c>
      <c r="DG824" t="s">
        <v>3</v>
      </c>
      <c r="DH824" t="s">
        <v>3</v>
      </c>
      <c r="DI824" t="s">
        <v>3</v>
      </c>
      <c r="DJ824" t="s">
        <v>3</v>
      </c>
      <c r="DK824" t="s">
        <v>3</v>
      </c>
      <c r="DL824" t="s">
        <v>3</v>
      </c>
      <c r="DM824" t="s">
        <v>3</v>
      </c>
      <c r="DN824">
        <v>0</v>
      </c>
      <c r="DO824">
        <v>0</v>
      </c>
      <c r="DP824">
        <v>1</v>
      </c>
      <c r="DQ824">
        <v>1</v>
      </c>
      <c r="DU824">
        <v>1013</v>
      </c>
      <c r="DV824" t="s">
        <v>182</v>
      </c>
      <c r="DW824" t="s">
        <v>182</v>
      </c>
      <c r="DX824">
        <v>1</v>
      </c>
      <c r="DZ824" t="s">
        <v>3</v>
      </c>
      <c r="EA824" t="s">
        <v>3</v>
      </c>
      <c r="EB824" t="s">
        <v>3</v>
      </c>
      <c r="EC824" t="s">
        <v>3</v>
      </c>
      <c r="EE824">
        <v>43089191</v>
      </c>
      <c r="EF824">
        <v>150</v>
      </c>
      <c r="EG824" t="s">
        <v>190</v>
      </c>
      <c r="EH824">
        <v>0</v>
      </c>
      <c r="EI824" t="s">
        <v>3</v>
      </c>
      <c r="EJ824">
        <v>4</v>
      </c>
      <c r="EK824">
        <v>1113</v>
      </c>
      <c r="EL824" t="s">
        <v>191</v>
      </c>
      <c r="EM824" t="s">
        <v>192</v>
      </c>
      <c r="EO824" t="s">
        <v>3</v>
      </c>
      <c r="EQ824">
        <v>0</v>
      </c>
      <c r="ER824">
        <v>12.61</v>
      </c>
      <c r="ES824">
        <v>0</v>
      </c>
      <c r="ET824">
        <v>12.61</v>
      </c>
      <c r="EU824">
        <v>0</v>
      </c>
      <c r="EV824">
        <v>0</v>
      </c>
      <c r="EW824">
        <v>0</v>
      </c>
      <c r="EX824">
        <v>0</v>
      </c>
      <c r="EY824">
        <v>0</v>
      </c>
      <c r="FQ824">
        <v>0</v>
      </c>
      <c r="FR824">
        <f t="shared" si="727"/>
        <v>0</v>
      </c>
      <c r="FS824">
        <v>0</v>
      </c>
      <c r="FX824">
        <v>0</v>
      </c>
      <c r="FY824">
        <v>0</v>
      </c>
      <c r="GA824" t="s">
        <v>3</v>
      </c>
      <c r="GD824">
        <v>0</v>
      </c>
      <c r="GF824">
        <v>-1630031867</v>
      </c>
      <c r="GG824">
        <v>2</v>
      </c>
      <c r="GH824">
        <v>1</v>
      </c>
      <c r="GI824">
        <v>2</v>
      </c>
      <c r="GJ824">
        <v>0</v>
      </c>
      <c r="GK824">
        <f>ROUND(R824*(R12)/100,2)</f>
        <v>0</v>
      </c>
      <c r="GL824">
        <f t="shared" si="728"/>
        <v>0</v>
      </c>
      <c r="GM824">
        <f t="shared" si="729"/>
        <v>43.26</v>
      </c>
      <c r="GN824">
        <f t="shared" si="730"/>
        <v>0</v>
      </c>
      <c r="GO824">
        <f t="shared" si="731"/>
        <v>0</v>
      </c>
      <c r="GP824">
        <f t="shared" si="732"/>
        <v>43.26</v>
      </c>
      <c r="GR824">
        <v>0</v>
      </c>
      <c r="GS824">
        <v>3</v>
      </c>
      <c r="GT824">
        <v>0</v>
      </c>
      <c r="GU824" t="s">
        <v>3</v>
      </c>
      <c r="GV824">
        <f t="shared" si="733"/>
        <v>0</v>
      </c>
      <c r="GW824">
        <v>1</v>
      </c>
      <c r="GX824">
        <f t="shared" si="734"/>
        <v>0</v>
      </c>
      <c r="HA824">
        <v>0</v>
      </c>
      <c r="HB824">
        <v>0</v>
      </c>
      <c r="HC824">
        <f t="shared" si="735"/>
        <v>0</v>
      </c>
      <c r="HE824" t="s">
        <v>3</v>
      </c>
      <c r="HF824" t="s">
        <v>3</v>
      </c>
      <c r="HM824" t="s">
        <v>3</v>
      </c>
      <c r="IK824">
        <v>0</v>
      </c>
    </row>
    <row r="826" spans="1:245" x14ac:dyDescent="0.2">
      <c r="A826" s="1">
        <v>5</v>
      </c>
      <c r="B826" s="1">
        <v>1</v>
      </c>
      <c r="C826" s="1"/>
      <c r="D826" s="1">
        <f>ROW(A842)</f>
        <v>842</v>
      </c>
      <c r="E826" s="1"/>
      <c r="F826" s="1" t="s">
        <v>596</v>
      </c>
      <c r="G826" s="1" t="s">
        <v>924</v>
      </c>
      <c r="H826" s="1" t="s">
        <v>3</v>
      </c>
      <c r="I826" s="1">
        <v>0</v>
      </c>
      <c r="J826" s="1"/>
      <c r="K826" s="1">
        <v>0</v>
      </c>
      <c r="L826" s="1"/>
      <c r="M826" s="1" t="s">
        <v>3</v>
      </c>
      <c r="N826" s="1"/>
      <c r="O826" s="1"/>
      <c r="P826" s="1"/>
      <c r="Q826" s="1"/>
      <c r="R826" s="1"/>
      <c r="S826" s="1">
        <v>0</v>
      </c>
      <c r="T826" s="1"/>
      <c r="U826" s="1" t="s">
        <v>3</v>
      </c>
      <c r="V826" s="1">
        <v>0</v>
      </c>
      <c r="W826" s="1"/>
      <c r="X826" s="1"/>
      <c r="Y826" s="1"/>
      <c r="Z826" s="1"/>
      <c r="AA826" s="1"/>
      <c r="AB826" s="1" t="s">
        <v>3</v>
      </c>
      <c r="AC826" s="1" t="s">
        <v>3</v>
      </c>
      <c r="AD826" s="1" t="s">
        <v>3</v>
      </c>
      <c r="AE826" s="1" t="s">
        <v>3</v>
      </c>
      <c r="AF826" s="1" t="s">
        <v>3</v>
      </c>
      <c r="AG826" s="1" t="s">
        <v>3</v>
      </c>
      <c r="AH826" s="1"/>
      <c r="AI826" s="1"/>
      <c r="AJ826" s="1"/>
      <c r="AK826" s="1"/>
      <c r="AL826" s="1"/>
      <c r="AM826" s="1"/>
      <c r="AN826" s="1"/>
      <c r="AO826" s="1"/>
      <c r="AP826" s="1" t="s">
        <v>3</v>
      </c>
      <c r="AQ826" s="1" t="s">
        <v>3</v>
      </c>
      <c r="AR826" s="1" t="s">
        <v>3</v>
      </c>
      <c r="AS826" s="1"/>
      <c r="AT826" s="1"/>
      <c r="AU826" s="1"/>
      <c r="AV826" s="1"/>
      <c r="AW826" s="1"/>
      <c r="AX826" s="1"/>
      <c r="AY826" s="1"/>
      <c r="AZ826" s="1" t="s">
        <v>3</v>
      </c>
      <c r="BA826" s="1"/>
      <c r="BB826" s="1" t="s">
        <v>3</v>
      </c>
      <c r="BC826" s="1" t="s">
        <v>3</v>
      </c>
      <c r="BD826" s="1" t="s">
        <v>3</v>
      </c>
      <c r="BE826" s="1" t="s">
        <v>3</v>
      </c>
      <c r="BF826" s="1" t="s">
        <v>3</v>
      </c>
      <c r="BG826" s="1" t="s">
        <v>3</v>
      </c>
      <c r="BH826" s="1" t="s">
        <v>3</v>
      </c>
      <c r="BI826" s="1" t="s">
        <v>3</v>
      </c>
      <c r="BJ826" s="1" t="s">
        <v>3</v>
      </c>
      <c r="BK826" s="1" t="s">
        <v>3</v>
      </c>
      <c r="BL826" s="1" t="s">
        <v>3</v>
      </c>
      <c r="BM826" s="1" t="s">
        <v>3</v>
      </c>
      <c r="BN826" s="1" t="s">
        <v>3</v>
      </c>
      <c r="BO826" s="1" t="s">
        <v>3</v>
      </c>
      <c r="BP826" s="1" t="s">
        <v>3</v>
      </c>
      <c r="BQ826" s="1"/>
      <c r="BR826" s="1"/>
      <c r="BS826" s="1"/>
      <c r="BT826" s="1"/>
      <c r="BU826" s="1"/>
      <c r="BV826" s="1"/>
      <c r="BW826" s="1"/>
      <c r="BX826" s="1">
        <v>0</v>
      </c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>
        <v>0</v>
      </c>
    </row>
    <row r="828" spans="1:245" x14ac:dyDescent="0.2">
      <c r="A828" s="2">
        <v>52</v>
      </c>
      <c r="B828" s="2">
        <f t="shared" ref="B828:G828" si="738">B842</f>
        <v>1</v>
      </c>
      <c r="C828" s="2">
        <f t="shared" si="738"/>
        <v>5</v>
      </c>
      <c r="D828" s="2">
        <f t="shared" si="738"/>
        <v>826</v>
      </c>
      <c r="E828" s="2">
        <f t="shared" si="738"/>
        <v>0</v>
      </c>
      <c r="F828" s="2" t="str">
        <f t="shared" si="738"/>
        <v>Новый подраздел</v>
      </c>
      <c r="G828" s="2" t="str">
        <f t="shared" si="738"/>
        <v>Посадочные материалы</v>
      </c>
      <c r="H828" s="2"/>
      <c r="I828" s="2"/>
      <c r="J828" s="2"/>
      <c r="K828" s="2"/>
      <c r="L828" s="2"/>
      <c r="M828" s="2"/>
      <c r="N828" s="2"/>
      <c r="O828" s="2">
        <f t="shared" ref="O828:AT828" si="739">O842</f>
        <v>2177386.4900000002</v>
      </c>
      <c r="P828" s="2">
        <f t="shared" si="739"/>
        <v>2147782.15</v>
      </c>
      <c r="Q828" s="2">
        <f t="shared" si="739"/>
        <v>29604.34</v>
      </c>
      <c r="R828" s="2">
        <f t="shared" si="739"/>
        <v>0</v>
      </c>
      <c r="S828" s="2">
        <f t="shared" si="739"/>
        <v>0</v>
      </c>
      <c r="T828" s="2">
        <f t="shared" si="739"/>
        <v>0</v>
      </c>
      <c r="U828" s="2">
        <f t="shared" si="739"/>
        <v>0</v>
      </c>
      <c r="V828" s="2">
        <f t="shared" si="739"/>
        <v>0</v>
      </c>
      <c r="W828" s="2">
        <f t="shared" si="739"/>
        <v>0</v>
      </c>
      <c r="X828" s="2">
        <f t="shared" si="739"/>
        <v>0</v>
      </c>
      <c r="Y828" s="2">
        <f t="shared" si="739"/>
        <v>0</v>
      </c>
      <c r="Z828" s="2">
        <f t="shared" si="739"/>
        <v>0</v>
      </c>
      <c r="AA828" s="2">
        <f t="shared" si="739"/>
        <v>0</v>
      </c>
      <c r="AB828" s="2">
        <f t="shared" si="739"/>
        <v>2177386.4900000002</v>
      </c>
      <c r="AC828" s="2">
        <f t="shared" si="739"/>
        <v>2147782.15</v>
      </c>
      <c r="AD828" s="2">
        <f t="shared" si="739"/>
        <v>29604.34</v>
      </c>
      <c r="AE828" s="2">
        <f t="shared" si="739"/>
        <v>0</v>
      </c>
      <c r="AF828" s="2">
        <f t="shared" si="739"/>
        <v>0</v>
      </c>
      <c r="AG828" s="2">
        <f t="shared" si="739"/>
        <v>0</v>
      </c>
      <c r="AH828" s="2">
        <f t="shared" si="739"/>
        <v>0</v>
      </c>
      <c r="AI828" s="2">
        <f t="shared" si="739"/>
        <v>0</v>
      </c>
      <c r="AJ828" s="2">
        <f t="shared" si="739"/>
        <v>0</v>
      </c>
      <c r="AK828" s="2">
        <f t="shared" si="739"/>
        <v>0</v>
      </c>
      <c r="AL828" s="2">
        <f t="shared" si="739"/>
        <v>0</v>
      </c>
      <c r="AM828" s="2">
        <f t="shared" si="739"/>
        <v>0</v>
      </c>
      <c r="AN828" s="2">
        <f t="shared" si="739"/>
        <v>0</v>
      </c>
      <c r="AO828" s="2">
        <f t="shared" si="739"/>
        <v>0</v>
      </c>
      <c r="AP828" s="2">
        <f t="shared" si="739"/>
        <v>0</v>
      </c>
      <c r="AQ828" s="2">
        <f t="shared" si="739"/>
        <v>0</v>
      </c>
      <c r="AR828" s="2">
        <f t="shared" si="739"/>
        <v>2177386.4900000002</v>
      </c>
      <c r="AS828" s="2">
        <f t="shared" si="739"/>
        <v>2147782.15</v>
      </c>
      <c r="AT828" s="2">
        <f t="shared" si="739"/>
        <v>0</v>
      </c>
      <c r="AU828" s="2">
        <f t="shared" ref="AU828:BZ828" si="740">AU842</f>
        <v>29604.34</v>
      </c>
      <c r="AV828" s="2">
        <f t="shared" si="740"/>
        <v>2147782.15</v>
      </c>
      <c r="AW828" s="2">
        <f t="shared" si="740"/>
        <v>2147782.15</v>
      </c>
      <c r="AX828" s="2">
        <f t="shared" si="740"/>
        <v>0</v>
      </c>
      <c r="AY828" s="2">
        <f t="shared" si="740"/>
        <v>2147782.15</v>
      </c>
      <c r="AZ828" s="2">
        <f t="shared" si="740"/>
        <v>0</v>
      </c>
      <c r="BA828" s="2">
        <f t="shared" si="740"/>
        <v>0</v>
      </c>
      <c r="BB828" s="2">
        <f t="shared" si="740"/>
        <v>0</v>
      </c>
      <c r="BC828" s="2">
        <f t="shared" si="740"/>
        <v>0</v>
      </c>
      <c r="BD828" s="2">
        <f t="shared" si="740"/>
        <v>0</v>
      </c>
      <c r="BE828" s="2">
        <f t="shared" si="740"/>
        <v>0</v>
      </c>
      <c r="BF828" s="2">
        <f t="shared" si="740"/>
        <v>0</v>
      </c>
      <c r="BG828" s="2">
        <f t="shared" si="740"/>
        <v>0</v>
      </c>
      <c r="BH828" s="2">
        <f t="shared" si="740"/>
        <v>0</v>
      </c>
      <c r="BI828" s="2">
        <f t="shared" si="740"/>
        <v>0</v>
      </c>
      <c r="BJ828" s="2">
        <f t="shared" si="740"/>
        <v>0</v>
      </c>
      <c r="BK828" s="2">
        <f t="shared" si="740"/>
        <v>0</v>
      </c>
      <c r="BL828" s="2">
        <f t="shared" si="740"/>
        <v>0</v>
      </c>
      <c r="BM828" s="2">
        <f t="shared" si="740"/>
        <v>0</v>
      </c>
      <c r="BN828" s="2">
        <f t="shared" si="740"/>
        <v>0</v>
      </c>
      <c r="BO828" s="2">
        <f t="shared" si="740"/>
        <v>0</v>
      </c>
      <c r="BP828" s="2">
        <f t="shared" si="740"/>
        <v>0</v>
      </c>
      <c r="BQ828" s="2">
        <f t="shared" si="740"/>
        <v>0</v>
      </c>
      <c r="BR828" s="2">
        <f t="shared" si="740"/>
        <v>0</v>
      </c>
      <c r="BS828" s="2">
        <f t="shared" si="740"/>
        <v>0</v>
      </c>
      <c r="BT828" s="2">
        <f t="shared" si="740"/>
        <v>0</v>
      </c>
      <c r="BU828" s="2">
        <f t="shared" si="740"/>
        <v>0</v>
      </c>
      <c r="BV828" s="2">
        <f t="shared" si="740"/>
        <v>0</v>
      </c>
      <c r="BW828" s="2">
        <f t="shared" si="740"/>
        <v>0</v>
      </c>
      <c r="BX828" s="2">
        <f t="shared" si="740"/>
        <v>0</v>
      </c>
      <c r="BY828" s="2">
        <f t="shared" si="740"/>
        <v>0</v>
      </c>
      <c r="BZ828" s="2">
        <f t="shared" si="740"/>
        <v>0</v>
      </c>
      <c r="CA828" s="2">
        <f t="shared" ref="CA828:DF828" si="741">CA842</f>
        <v>2177386.4900000002</v>
      </c>
      <c r="CB828" s="2">
        <f t="shared" si="741"/>
        <v>2147782.15</v>
      </c>
      <c r="CC828" s="2">
        <f t="shared" si="741"/>
        <v>0</v>
      </c>
      <c r="CD828" s="2">
        <f t="shared" si="741"/>
        <v>29604.34</v>
      </c>
      <c r="CE828" s="2">
        <f t="shared" si="741"/>
        <v>2147782.15</v>
      </c>
      <c r="CF828" s="2">
        <f t="shared" si="741"/>
        <v>2147782.15</v>
      </c>
      <c r="CG828" s="2">
        <f t="shared" si="741"/>
        <v>0</v>
      </c>
      <c r="CH828" s="2">
        <f t="shared" si="741"/>
        <v>2147782.15</v>
      </c>
      <c r="CI828" s="2">
        <f t="shared" si="741"/>
        <v>0</v>
      </c>
      <c r="CJ828" s="2">
        <f t="shared" si="741"/>
        <v>0</v>
      </c>
      <c r="CK828" s="2">
        <f t="shared" si="741"/>
        <v>0</v>
      </c>
      <c r="CL828" s="2">
        <f t="shared" si="741"/>
        <v>0</v>
      </c>
      <c r="CM828" s="2">
        <f t="shared" si="741"/>
        <v>0</v>
      </c>
      <c r="CN828" s="2">
        <f t="shared" si="741"/>
        <v>0</v>
      </c>
      <c r="CO828" s="2">
        <f t="shared" si="741"/>
        <v>0</v>
      </c>
      <c r="CP828" s="2">
        <f t="shared" si="741"/>
        <v>0</v>
      </c>
      <c r="CQ828" s="2">
        <f t="shared" si="741"/>
        <v>0</v>
      </c>
      <c r="CR828" s="2">
        <f t="shared" si="741"/>
        <v>0</v>
      </c>
      <c r="CS828" s="2">
        <f t="shared" si="741"/>
        <v>0</v>
      </c>
      <c r="CT828" s="2">
        <f t="shared" si="741"/>
        <v>0</v>
      </c>
      <c r="CU828" s="2">
        <f t="shared" si="741"/>
        <v>0</v>
      </c>
      <c r="CV828" s="2">
        <f t="shared" si="741"/>
        <v>0</v>
      </c>
      <c r="CW828" s="2">
        <f t="shared" si="741"/>
        <v>0</v>
      </c>
      <c r="CX828" s="2">
        <f t="shared" si="741"/>
        <v>0</v>
      </c>
      <c r="CY828" s="2">
        <f t="shared" si="741"/>
        <v>0</v>
      </c>
      <c r="CZ828" s="2">
        <f t="shared" si="741"/>
        <v>0</v>
      </c>
      <c r="DA828" s="2">
        <f t="shared" si="741"/>
        <v>0</v>
      </c>
      <c r="DB828" s="2">
        <f t="shared" si="741"/>
        <v>0</v>
      </c>
      <c r="DC828" s="2">
        <f t="shared" si="741"/>
        <v>0</v>
      </c>
      <c r="DD828" s="2">
        <f t="shared" si="741"/>
        <v>0</v>
      </c>
      <c r="DE828" s="2">
        <f t="shared" si="741"/>
        <v>0</v>
      </c>
      <c r="DF828" s="2">
        <f t="shared" si="741"/>
        <v>0</v>
      </c>
      <c r="DG828" s="3">
        <f t="shared" ref="DG828:EL828" si="742">DG842</f>
        <v>0</v>
      </c>
      <c r="DH828" s="3">
        <f t="shared" si="742"/>
        <v>0</v>
      </c>
      <c r="DI828" s="3">
        <f t="shared" si="742"/>
        <v>0</v>
      </c>
      <c r="DJ828" s="3">
        <f t="shared" si="742"/>
        <v>0</v>
      </c>
      <c r="DK828" s="3">
        <f t="shared" si="742"/>
        <v>0</v>
      </c>
      <c r="DL828" s="3">
        <f t="shared" si="742"/>
        <v>0</v>
      </c>
      <c r="DM828" s="3">
        <f t="shared" si="742"/>
        <v>0</v>
      </c>
      <c r="DN828" s="3">
        <f t="shared" si="742"/>
        <v>0</v>
      </c>
      <c r="DO828" s="3">
        <f t="shared" si="742"/>
        <v>0</v>
      </c>
      <c r="DP828" s="3">
        <f t="shared" si="742"/>
        <v>0</v>
      </c>
      <c r="DQ828" s="3">
        <f t="shared" si="742"/>
        <v>0</v>
      </c>
      <c r="DR828" s="3">
        <f t="shared" si="742"/>
        <v>0</v>
      </c>
      <c r="DS828" s="3">
        <f t="shared" si="742"/>
        <v>0</v>
      </c>
      <c r="DT828" s="3">
        <f t="shared" si="742"/>
        <v>0</v>
      </c>
      <c r="DU828" s="3">
        <f t="shared" si="742"/>
        <v>0</v>
      </c>
      <c r="DV828" s="3">
        <f t="shared" si="742"/>
        <v>0</v>
      </c>
      <c r="DW828" s="3">
        <f t="shared" si="742"/>
        <v>0</v>
      </c>
      <c r="DX828" s="3">
        <f t="shared" si="742"/>
        <v>0</v>
      </c>
      <c r="DY828" s="3">
        <f t="shared" si="742"/>
        <v>0</v>
      </c>
      <c r="DZ828" s="3">
        <f t="shared" si="742"/>
        <v>0</v>
      </c>
      <c r="EA828" s="3">
        <f t="shared" si="742"/>
        <v>0</v>
      </c>
      <c r="EB828" s="3">
        <f t="shared" si="742"/>
        <v>0</v>
      </c>
      <c r="EC828" s="3">
        <f t="shared" si="742"/>
        <v>0</v>
      </c>
      <c r="ED828" s="3">
        <f t="shared" si="742"/>
        <v>0</v>
      </c>
      <c r="EE828" s="3">
        <f t="shared" si="742"/>
        <v>0</v>
      </c>
      <c r="EF828" s="3">
        <f t="shared" si="742"/>
        <v>0</v>
      </c>
      <c r="EG828" s="3">
        <f t="shared" si="742"/>
        <v>0</v>
      </c>
      <c r="EH828" s="3">
        <f t="shared" si="742"/>
        <v>0</v>
      </c>
      <c r="EI828" s="3">
        <f t="shared" si="742"/>
        <v>0</v>
      </c>
      <c r="EJ828" s="3">
        <f t="shared" si="742"/>
        <v>0</v>
      </c>
      <c r="EK828" s="3">
        <f t="shared" si="742"/>
        <v>0</v>
      </c>
      <c r="EL828" s="3">
        <f t="shared" si="742"/>
        <v>0</v>
      </c>
      <c r="EM828" s="3">
        <f t="shared" ref="EM828:FR828" si="743">EM842</f>
        <v>0</v>
      </c>
      <c r="EN828" s="3">
        <f t="shared" si="743"/>
        <v>0</v>
      </c>
      <c r="EO828" s="3">
        <f t="shared" si="743"/>
        <v>0</v>
      </c>
      <c r="EP828" s="3">
        <f t="shared" si="743"/>
        <v>0</v>
      </c>
      <c r="EQ828" s="3">
        <f t="shared" si="743"/>
        <v>0</v>
      </c>
      <c r="ER828" s="3">
        <f t="shared" si="743"/>
        <v>0</v>
      </c>
      <c r="ES828" s="3">
        <f t="shared" si="743"/>
        <v>0</v>
      </c>
      <c r="ET828" s="3">
        <f t="shared" si="743"/>
        <v>0</v>
      </c>
      <c r="EU828" s="3">
        <f t="shared" si="743"/>
        <v>0</v>
      </c>
      <c r="EV828" s="3">
        <f t="shared" si="743"/>
        <v>0</v>
      </c>
      <c r="EW828" s="3">
        <f t="shared" si="743"/>
        <v>0</v>
      </c>
      <c r="EX828" s="3">
        <f t="shared" si="743"/>
        <v>0</v>
      </c>
      <c r="EY828" s="3">
        <f t="shared" si="743"/>
        <v>0</v>
      </c>
      <c r="EZ828" s="3">
        <f t="shared" si="743"/>
        <v>0</v>
      </c>
      <c r="FA828" s="3">
        <f t="shared" si="743"/>
        <v>0</v>
      </c>
      <c r="FB828" s="3">
        <f t="shared" si="743"/>
        <v>0</v>
      </c>
      <c r="FC828" s="3">
        <f t="shared" si="743"/>
        <v>0</v>
      </c>
      <c r="FD828" s="3">
        <f t="shared" si="743"/>
        <v>0</v>
      </c>
      <c r="FE828" s="3">
        <f t="shared" si="743"/>
        <v>0</v>
      </c>
      <c r="FF828" s="3">
        <f t="shared" si="743"/>
        <v>0</v>
      </c>
      <c r="FG828" s="3">
        <f t="shared" si="743"/>
        <v>0</v>
      </c>
      <c r="FH828" s="3">
        <f t="shared" si="743"/>
        <v>0</v>
      </c>
      <c r="FI828" s="3">
        <f t="shared" si="743"/>
        <v>0</v>
      </c>
      <c r="FJ828" s="3">
        <f t="shared" si="743"/>
        <v>0</v>
      </c>
      <c r="FK828" s="3">
        <f t="shared" si="743"/>
        <v>0</v>
      </c>
      <c r="FL828" s="3">
        <f t="shared" si="743"/>
        <v>0</v>
      </c>
      <c r="FM828" s="3">
        <f t="shared" si="743"/>
        <v>0</v>
      </c>
      <c r="FN828" s="3">
        <f t="shared" si="743"/>
        <v>0</v>
      </c>
      <c r="FO828" s="3">
        <f t="shared" si="743"/>
        <v>0</v>
      </c>
      <c r="FP828" s="3">
        <f t="shared" si="743"/>
        <v>0</v>
      </c>
      <c r="FQ828" s="3">
        <f t="shared" si="743"/>
        <v>0</v>
      </c>
      <c r="FR828" s="3">
        <f t="shared" si="743"/>
        <v>0</v>
      </c>
      <c r="FS828" s="3">
        <f t="shared" ref="FS828:GX828" si="744">FS842</f>
        <v>0</v>
      </c>
      <c r="FT828" s="3">
        <f t="shared" si="744"/>
        <v>0</v>
      </c>
      <c r="FU828" s="3">
        <f t="shared" si="744"/>
        <v>0</v>
      </c>
      <c r="FV828" s="3">
        <f t="shared" si="744"/>
        <v>0</v>
      </c>
      <c r="FW828" s="3">
        <f t="shared" si="744"/>
        <v>0</v>
      </c>
      <c r="FX828" s="3">
        <f t="shared" si="744"/>
        <v>0</v>
      </c>
      <c r="FY828" s="3">
        <f t="shared" si="744"/>
        <v>0</v>
      </c>
      <c r="FZ828" s="3">
        <f t="shared" si="744"/>
        <v>0</v>
      </c>
      <c r="GA828" s="3">
        <f t="shared" si="744"/>
        <v>0</v>
      </c>
      <c r="GB828" s="3">
        <f t="shared" si="744"/>
        <v>0</v>
      </c>
      <c r="GC828" s="3">
        <f t="shared" si="744"/>
        <v>0</v>
      </c>
      <c r="GD828" s="3">
        <f t="shared" si="744"/>
        <v>0</v>
      </c>
      <c r="GE828" s="3">
        <f t="shared" si="744"/>
        <v>0</v>
      </c>
      <c r="GF828" s="3">
        <f t="shared" si="744"/>
        <v>0</v>
      </c>
      <c r="GG828" s="3">
        <f t="shared" si="744"/>
        <v>0</v>
      </c>
      <c r="GH828" s="3">
        <f t="shared" si="744"/>
        <v>0</v>
      </c>
      <c r="GI828" s="3">
        <f t="shared" si="744"/>
        <v>0</v>
      </c>
      <c r="GJ828" s="3">
        <f t="shared" si="744"/>
        <v>0</v>
      </c>
      <c r="GK828" s="3">
        <f t="shared" si="744"/>
        <v>0</v>
      </c>
      <c r="GL828" s="3">
        <f t="shared" si="744"/>
        <v>0</v>
      </c>
      <c r="GM828" s="3">
        <f t="shared" si="744"/>
        <v>0</v>
      </c>
      <c r="GN828" s="3">
        <f t="shared" si="744"/>
        <v>0</v>
      </c>
      <c r="GO828" s="3">
        <f t="shared" si="744"/>
        <v>0</v>
      </c>
      <c r="GP828" s="3">
        <f t="shared" si="744"/>
        <v>0</v>
      </c>
      <c r="GQ828" s="3">
        <f t="shared" si="744"/>
        <v>0</v>
      </c>
      <c r="GR828" s="3">
        <f t="shared" si="744"/>
        <v>0</v>
      </c>
      <c r="GS828" s="3">
        <f t="shared" si="744"/>
        <v>0</v>
      </c>
      <c r="GT828" s="3">
        <f t="shared" si="744"/>
        <v>0</v>
      </c>
      <c r="GU828" s="3">
        <f t="shared" si="744"/>
        <v>0</v>
      </c>
      <c r="GV828" s="3">
        <f t="shared" si="744"/>
        <v>0</v>
      </c>
      <c r="GW828" s="3">
        <f t="shared" si="744"/>
        <v>0</v>
      </c>
      <c r="GX828" s="3">
        <f t="shared" si="744"/>
        <v>0</v>
      </c>
    </row>
    <row r="830" spans="1:245" x14ac:dyDescent="0.2">
      <c r="A830">
        <v>17</v>
      </c>
      <c r="B830">
        <v>1</v>
      </c>
      <c r="E830" t="s">
        <v>925</v>
      </c>
      <c r="F830" t="s">
        <v>118</v>
      </c>
      <c r="G830" t="s">
        <v>926</v>
      </c>
      <c r="H830" t="s">
        <v>169</v>
      </c>
      <c r="I830">
        <v>5</v>
      </c>
      <c r="J830">
        <v>0</v>
      </c>
      <c r="K830">
        <v>5</v>
      </c>
      <c r="O830">
        <f t="shared" ref="O830:O840" si="745">ROUND(CP830,2)</f>
        <v>8925.14</v>
      </c>
      <c r="P830">
        <f t="shared" ref="P830:P840" si="746">ROUND((ROUND((AC830*AW830*I830),2)*BC830),2)</f>
        <v>8925.14</v>
      </c>
      <c r="Q830">
        <f t="shared" ref="Q830:Q840" si="747">(ROUND((ROUND(((ET830)*AV830*I830),2)*BB830),2)+ROUND((ROUND(((AE830-(EU830))*AV830*I830),2)*BS830),2))</f>
        <v>0</v>
      </c>
      <c r="R830">
        <f t="shared" ref="R830:R840" si="748">ROUND((ROUND((AE830*AV830*I830),2)*BS830),2)</f>
        <v>0</v>
      </c>
      <c r="S830">
        <f t="shared" ref="S830:S840" si="749">ROUND((ROUND((AF830*AV830*I830),2)*BA830),2)</f>
        <v>0</v>
      </c>
      <c r="T830">
        <f t="shared" ref="T830:T840" si="750">ROUND(CU830*I830,2)</f>
        <v>0</v>
      </c>
      <c r="U830">
        <f t="shared" ref="U830:U840" si="751">CV830*I830</f>
        <v>0</v>
      </c>
      <c r="V830">
        <f t="shared" ref="V830:V840" si="752">CW830*I830</f>
        <v>0</v>
      </c>
      <c r="W830">
        <f t="shared" ref="W830:W840" si="753">ROUND(CX830*I830,2)</f>
        <v>0</v>
      </c>
      <c r="X830">
        <f t="shared" ref="X830:X840" si="754">ROUND(CY830,2)</f>
        <v>0</v>
      </c>
      <c r="Y830">
        <f t="shared" ref="Y830:Y840" si="755">ROUND(CZ830,2)</f>
        <v>0</v>
      </c>
      <c r="AA830">
        <v>42938047</v>
      </c>
      <c r="AB830">
        <f t="shared" ref="AB830:AB840" si="756">ROUND((AC830+AD830+AF830),6)</f>
        <v>281.55</v>
      </c>
      <c r="AC830">
        <f t="shared" ref="AC830:AC840" si="757">ROUND((ES830),6)</f>
        <v>281.55</v>
      </c>
      <c r="AD830">
        <f t="shared" ref="AD830:AD840" si="758">ROUND((((ET830)-(EU830))+AE830),6)</f>
        <v>0</v>
      </c>
      <c r="AE830">
        <f t="shared" ref="AE830:AE840" si="759">ROUND((EU830),6)</f>
        <v>0</v>
      </c>
      <c r="AF830">
        <f t="shared" ref="AF830:AF840" si="760">ROUND((EV830),6)</f>
        <v>0</v>
      </c>
      <c r="AG830">
        <f t="shared" ref="AG830:AG840" si="761">ROUND((AP830),6)</f>
        <v>0</v>
      </c>
      <c r="AH830">
        <f t="shared" ref="AH830:AH840" si="762">(EW830)</f>
        <v>0</v>
      </c>
      <c r="AI830">
        <f t="shared" ref="AI830:AI840" si="763">(EX830)</f>
        <v>0</v>
      </c>
      <c r="AJ830">
        <f t="shared" ref="AJ830:AJ840" si="764">(AS830)</f>
        <v>0</v>
      </c>
      <c r="AK830">
        <v>281.54999999999995</v>
      </c>
      <c r="AL830">
        <v>281.54999999999995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1</v>
      </c>
      <c r="AW830">
        <v>1</v>
      </c>
      <c r="AZ830">
        <v>1</v>
      </c>
      <c r="BA830">
        <v>1</v>
      </c>
      <c r="BB830">
        <v>1</v>
      </c>
      <c r="BC830">
        <v>6.34</v>
      </c>
      <c r="BD830" t="s">
        <v>3</v>
      </c>
      <c r="BE830" t="s">
        <v>3</v>
      </c>
      <c r="BF830" t="s">
        <v>3</v>
      </c>
      <c r="BG830" t="s">
        <v>3</v>
      </c>
      <c r="BH830">
        <v>3</v>
      </c>
      <c r="BI830">
        <v>1</v>
      </c>
      <c r="BJ830" t="s">
        <v>3</v>
      </c>
      <c r="BM830">
        <v>400002</v>
      </c>
      <c r="BN830">
        <v>0</v>
      </c>
      <c r="BO830" t="s">
        <v>3</v>
      </c>
      <c r="BP830">
        <v>0</v>
      </c>
      <c r="BQ830">
        <v>202</v>
      </c>
      <c r="BR830">
        <v>0</v>
      </c>
      <c r="BS830">
        <v>1</v>
      </c>
      <c r="BT830">
        <v>1</v>
      </c>
      <c r="BU830">
        <v>1</v>
      </c>
      <c r="BV830">
        <v>1</v>
      </c>
      <c r="BW830">
        <v>1</v>
      </c>
      <c r="BX830">
        <v>1</v>
      </c>
      <c r="BY830" t="s">
        <v>3</v>
      </c>
      <c r="BZ830">
        <v>0</v>
      </c>
      <c r="CA830">
        <v>0</v>
      </c>
      <c r="CB830" t="s">
        <v>3</v>
      </c>
      <c r="CE830">
        <v>30</v>
      </c>
      <c r="CF830">
        <v>0</v>
      </c>
      <c r="CG830">
        <v>0</v>
      </c>
      <c r="CM830">
        <v>0</v>
      </c>
      <c r="CN830" t="s">
        <v>3</v>
      </c>
      <c r="CO830">
        <v>0</v>
      </c>
      <c r="CP830">
        <f t="shared" ref="CP830:CP840" si="765">(P830+Q830+S830)</f>
        <v>8925.14</v>
      </c>
      <c r="CQ830">
        <f t="shared" ref="CQ830:CQ840" si="766">ROUND((ROUND((AC830*AW830*1),2)*BC830),2)</f>
        <v>1785.03</v>
      </c>
      <c r="CR830">
        <f t="shared" ref="CR830:CR840" si="767">(ROUND((ROUND(((ET830)*AV830*1),2)*BB830),2)+ROUND((ROUND(((AE830-(EU830))*AV830*1),2)*BS830),2))</f>
        <v>0</v>
      </c>
      <c r="CS830">
        <f t="shared" ref="CS830:CS840" si="768">ROUND((ROUND((AE830*AV830*1),2)*BS830),2)</f>
        <v>0</v>
      </c>
      <c r="CT830">
        <f t="shared" ref="CT830:CT840" si="769">ROUND((ROUND((AF830*AV830*1),2)*BA830),2)</f>
        <v>0</v>
      </c>
      <c r="CU830">
        <f t="shared" ref="CU830:CU840" si="770">AG830</f>
        <v>0</v>
      </c>
      <c r="CV830">
        <f t="shared" ref="CV830:CV840" si="771">(AH830*AV830)</f>
        <v>0</v>
      </c>
      <c r="CW830">
        <f t="shared" ref="CW830:CW840" si="772">AI830</f>
        <v>0</v>
      </c>
      <c r="CX830">
        <f t="shared" ref="CX830:CX840" si="773">AJ830</f>
        <v>0</v>
      </c>
      <c r="CY830">
        <f t="shared" ref="CY830:CY840" si="774">S830*(BZ830/100)</f>
        <v>0</v>
      </c>
      <c r="CZ830">
        <f t="shared" ref="CZ830:CZ840" si="775">S830*(CA830/100)</f>
        <v>0</v>
      </c>
      <c r="DC830" t="s">
        <v>3</v>
      </c>
      <c r="DD830" t="s">
        <v>3</v>
      </c>
      <c r="DE830" t="s">
        <v>3</v>
      </c>
      <c r="DF830" t="s">
        <v>3</v>
      </c>
      <c r="DG830" t="s">
        <v>3</v>
      </c>
      <c r="DH830" t="s">
        <v>3</v>
      </c>
      <c r="DI830" t="s">
        <v>3</v>
      </c>
      <c r="DJ830" t="s">
        <v>3</v>
      </c>
      <c r="DK830" t="s">
        <v>3</v>
      </c>
      <c r="DL830" t="s">
        <v>3</v>
      </c>
      <c r="DM830" t="s">
        <v>3</v>
      </c>
      <c r="DN830">
        <v>0</v>
      </c>
      <c r="DO830">
        <v>0</v>
      </c>
      <c r="DP830">
        <v>1</v>
      </c>
      <c r="DQ830">
        <v>1</v>
      </c>
      <c r="DU830">
        <v>1010</v>
      </c>
      <c r="DV830" t="s">
        <v>169</v>
      </c>
      <c r="DW830" t="s">
        <v>169</v>
      </c>
      <c r="DX830">
        <v>1</v>
      </c>
      <c r="DZ830" t="s">
        <v>3</v>
      </c>
      <c r="EA830" t="s">
        <v>3</v>
      </c>
      <c r="EB830" t="s">
        <v>3</v>
      </c>
      <c r="EC830" t="s">
        <v>3</v>
      </c>
      <c r="EE830">
        <v>43090149</v>
      </c>
      <c r="EF830">
        <v>202</v>
      </c>
      <c r="EG830" t="s">
        <v>346</v>
      </c>
      <c r="EH830">
        <v>0</v>
      </c>
      <c r="EI830" t="s">
        <v>3</v>
      </c>
      <c r="EJ830">
        <v>1</v>
      </c>
      <c r="EK830">
        <v>400002</v>
      </c>
      <c r="EL830" t="s">
        <v>347</v>
      </c>
      <c r="EM830" t="s">
        <v>346</v>
      </c>
      <c r="EO830" t="s">
        <v>3</v>
      </c>
      <c r="EQ830">
        <v>0</v>
      </c>
      <c r="ER830">
        <v>281.54999999999995</v>
      </c>
      <c r="ES830">
        <v>281.54999999999995</v>
      </c>
      <c r="ET830">
        <v>0</v>
      </c>
      <c r="EU830">
        <v>0</v>
      </c>
      <c r="EV830">
        <v>0</v>
      </c>
      <c r="EW830">
        <v>0</v>
      </c>
      <c r="EX830">
        <v>0</v>
      </c>
      <c r="EY830">
        <v>0</v>
      </c>
      <c r="EZ830">
        <v>5</v>
      </c>
      <c r="FC830">
        <v>1</v>
      </c>
      <c r="FD830">
        <v>18</v>
      </c>
      <c r="FF830">
        <v>2100</v>
      </c>
      <c r="FQ830">
        <v>0</v>
      </c>
      <c r="FR830">
        <f t="shared" ref="FR830:FR840" si="776">ROUND(IF(AND(BH830=3,BI830=3),P830,0),2)</f>
        <v>0</v>
      </c>
      <c r="FS830">
        <v>0</v>
      </c>
      <c r="FX830">
        <v>0</v>
      </c>
      <c r="FY830">
        <v>0</v>
      </c>
      <c r="GA830" t="s">
        <v>927</v>
      </c>
      <c r="GD830">
        <v>0</v>
      </c>
      <c r="GF830">
        <v>-164349636</v>
      </c>
      <c r="GG830">
        <v>2</v>
      </c>
      <c r="GH830">
        <v>3</v>
      </c>
      <c r="GI830">
        <v>3</v>
      </c>
      <c r="GJ830">
        <v>0</v>
      </c>
      <c r="GK830">
        <f>ROUND(R830*(R12)/100,2)</f>
        <v>0</v>
      </c>
      <c r="GL830">
        <f t="shared" ref="GL830:GL840" si="777">ROUND(IF(AND(BH830=3,BI830=3,FS830&lt;&gt;0),P830,0),2)</f>
        <v>0</v>
      </c>
      <c r="GM830">
        <f t="shared" ref="GM830:GM840" si="778">ROUND(O830+X830+Y830+GK830,2)+GX830</f>
        <v>8925.14</v>
      </c>
      <c r="GN830">
        <f t="shared" ref="GN830:GN840" si="779">IF(OR(BI830=0,BI830=1),ROUND(O830+X830+Y830+GK830,2),0)</f>
        <v>8925.14</v>
      </c>
      <c r="GO830">
        <f t="shared" ref="GO830:GO840" si="780">IF(BI830=2,ROUND(O830+X830+Y830+GK830,2),0)</f>
        <v>0</v>
      </c>
      <c r="GP830">
        <f t="shared" ref="GP830:GP840" si="781">IF(BI830=4,ROUND(O830+X830+Y830+GK830,2)+GX830,0)</f>
        <v>0</v>
      </c>
      <c r="GR830">
        <v>1</v>
      </c>
      <c r="GS830">
        <v>1</v>
      </c>
      <c r="GT830">
        <v>0</v>
      </c>
      <c r="GU830" t="s">
        <v>3</v>
      </c>
      <c r="GV830">
        <f t="shared" ref="GV830:GV840" si="782">ROUND((GT830),6)</f>
        <v>0</v>
      </c>
      <c r="GW830">
        <v>1</v>
      </c>
      <c r="GX830">
        <f t="shared" ref="GX830:GX840" si="783">ROUND(HC830*I830,2)</f>
        <v>0</v>
      </c>
      <c r="HA830">
        <v>0</v>
      </c>
      <c r="HB830">
        <v>0</v>
      </c>
      <c r="HC830">
        <f t="shared" ref="HC830:HC840" si="784">GV830*GW830</f>
        <v>0</v>
      </c>
      <c r="HE830" t="s">
        <v>26</v>
      </c>
      <c r="HF830" t="s">
        <v>122</v>
      </c>
      <c r="HM830" t="s">
        <v>3</v>
      </c>
      <c r="IK830">
        <v>0</v>
      </c>
    </row>
    <row r="831" spans="1:245" x14ac:dyDescent="0.2">
      <c r="A831">
        <v>17</v>
      </c>
      <c r="B831">
        <v>1</v>
      </c>
      <c r="E831" t="s">
        <v>928</v>
      </c>
      <c r="F831" t="s">
        <v>118</v>
      </c>
      <c r="G831" t="s">
        <v>929</v>
      </c>
      <c r="H831" t="s">
        <v>169</v>
      </c>
      <c r="I831">
        <v>5</v>
      </c>
      <c r="J831">
        <v>0</v>
      </c>
      <c r="K831">
        <v>5</v>
      </c>
      <c r="O831">
        <f t="shared" si="745"/>
        <v>8925.14</v>
      </c>
      <c r="P831">
        <f t="shared" si="746"/>
        <v>8925.14</v>
      </c>
      <c r="Q831">
        <f t="shared" si="747"/>
        <v>0</v>
      </c>
      <c r="R831">
        <f t="shared" si="748"/>
        <v>0</v>
      </c>
      <c r="S831">
        <f t="shared" si="749"/>
        <v>0</v>
      </c>
      <c r="T831">
        <f t="shared" si="750"/>
        <v>0</v>
      </c>
      <c r="U831">
        <f t="shared" si="751"/>
        <v>0</v>
      </c>
      <c r="V831">
        <f t="shared" si="752"/>
        <v>0</v>
      </c>
      <c r="W831">
        <f t="shared" si="753"/>
        <v>0</v>
      </c>
      <c r="X831">
        <f t="shared" si="754"/>
        <v>0</v>
      </c>
      <c r="Y831">
        <f t="shared" si="755"/>
        <v>0</v>
      </c>
      <c r="AA831">
        <v>42938047</v>
      </c>
      <c r="AB831">
        <f t="shared" si="756"/>
        <v>281.55</v>
      </c>
      <c r="AC831">
        <f t="shared" si="757"/>
        <v>281.55</v>
      </c>
      <c r="AD831">
        <f t="shared" si="758"/>
        <v>0</v>
      </c>
      <c r="AE831">
        <f t="shared" si="759"/>
        <v>0</v>
      </c>
      <c r="AF831">
        <f t="shared" si="760"/>
        <v>0</v>
      </c>
      <c r="AG831">
        <f t="shared" si="761"/>
        <v>0</v>
      </c>
      <c r="AH831">
        <f t="shared" si="762"/>
        <v>0</v>
      </c>
      <c r="AI831">
        <f t="shared" si="763"/>
        <v>0</v>
      </c>
      <c r="AJ831">
        <f t="shared" si="764"/>
        <v>0</v>
      </c>
      <c r="AK831">
        <v>281.54999999999995</v>
      </c>
      <c r="AL831">
        <v>281.54999999999995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1</v>
      </c>
      <c r="AW831">
        <v>1</v>
      </c>
      <c r="AZ831">
        <v>1</v>
      </c>
      <c r="BA831">
        <v>1</v>
      </c>
      <c r="BB831">
        <v>1</v>
      </c>
      <c r="BC831">
        <v>6.34</v>
      </c>
      <c r="BD831" t="s">
        <v>3</v>
      </c>
      <c r="BE831" t="s">
        <v>3</v>
      </c>
      <c r="BF831" t="s">
        <v>3</v>
      </c>
      <c r="BG831" t="s">
        <v>3</v>
      </c>
      <c r="BH831">
        <v>3</v>
      </c>
      <c r="BI831">
        <v>1</v>
      </c>
      <c r="BJ831" t="s">
        <v>3</v>
      </c>
      <c r="BM831">
        <v>400002</v>
      </c>
      <c r="BN831">
        <v>0</v>
      </c>
      <c r="BO831" t="s">
        <v>3</v>
      </c>
      <c r="BP831">
        <v>0</v>
      </c>
      <c r="BQ831">
        <v>202</v>
      </c>
      <c r="BR831">
        <v>0</v>
      </c>
      <c r="BS831">
        <v>1</v>
      </c>
      <c r="BT831">
        <v>1</v>
      </c>
      <c r="BU831">
        <v>1</v>
      </c>
      <c r="BV831">
        <v>1</v>
      </c>
      <c r="BW831">
        <v>1</v>
      </c>
      <c r="BX831">
        <v>1</v>
      </c>
      <c r="BY831" t="s">
        <v>3</v>
      </c>
      <c r="BZ831">
        <v>0</v>
      </c>
      <c r="CA831">
        <v>0</v>
      </c>
      <c r="CB831" t="s">
        <v>3</v>
      </c>
      <c r="CE831">
        <v>30</v>
      </c>
      <c r="CF831">
        <v>0</v>
      </c>
      <c r="CG831">
        <v>0</v>
      </c>
      <c r="CM831">
        <v>0</v>
      </c>
      <c r="CN831" t="s">
        <v>3</v>
      </c>
      <c r="CO831">
        <v>0</v>
      </c>
      <c r="CP831">
        <f t="shared" si="765"/>
        <v>8925.14</v>
      </c>
      <c r="CQ831">
        <f t="shared" si="766"/>
        <v>1785.03</v>
      </c>
      <c r="CR831">
        <f t="shared" si="767"/>
        <v>0</v>
      </c>
      <c r="CS831">
        <f t="shared" si="768"/>
        <v>0</v>
      </c>
      <c r="CT831">
        <f t="shared" si="769"/>
        <v>0</v>
      </c>
      <c r="CU831">
        <f t="shared" si="770"/>
        <v>0</v>
      </c>
      <c r="CV831">
        <f t="shared" si="771"/>
        <v>0</v>
      </c>
      <c r="CW831">
        <f t="shared" si="772"/>
        <v>0</v>
      </c>
      <c r="CX831">
        <f t="shared" si="773"/>
        <v>0</v>
      </c>
      <c r="CY831">
        <f t="shared" si="774"/>
        <v>0</v>
      </c>
      <c r="CZ831">
        <f t="shared" si="775"/>
        <v>0</v>
      </c>
      <c r="DC831" t="s">
        <v>3</v>
      </c>
      <c r="DD831" t="s">
        <v>3</v>
      </c>
      <c r="DE831" t="s">
        <v>3</v>
      </c>
      <c r="DF831" t="s">
        <v>3</v>
      </c>
      <c r="DG831" t="s">
        <v>3</v>
      </c>
      <c r="DH831" t="s">
        <v>3</v>
      </c>
      <c r="DI831" t="s">
        <v>3</v>
      </c>
      <c r="DJ831" t="s">
        <v>3</v>
      </c>
      <c r="DK831" t="s">
        <v>3</v>
      </c>
      <c r="DL831" t="s">
        <v>3</v>
      </c>
      <c r="DM831" t="s">
        <v>3</v>
      </c>
      <c r="DN831">
        <v>0</v>
      </c>
      <c r="DO831">
        <v>0</v>
      </c>
      <c r="DP831">
        <v>1</v>
      </c>
      <c r="DQ831">
        <v>1</v>
      </c>
      <c r="DU831">
        <v>1010</v>
      </c>
      <c r="DV831" t="s">
        <v>169</v>
      </c>
      <c r="DW831" t="s">
        <v>169</v>
      </c>
      <c r="DX831">
        <v>1</v>
      </c>
      <c r="DZ831" t="s">
        <v>3</v>
      </c>
      <c r="EA831" t="s">
        <v>3</v>
      </c>
      <c r="EB831" t="s">
        <v>3</v>
      </c>
      <c r="EC831" t="s">
        <v>3</v>
      </c>
      <c r="EE831">
        <v>43090149</v>
      </c>
      <c r="EF831">
        <v>202</v>
      </c>
      <c r="EG831" t="s">
        <v>346</v>
      </c>
      <c r="EH831">
        <v>0</v>
      </c>
      <c r="EI831" t="s">
        <v>3</v>
      </c>
      <c r="EJ831">
        <v>1</v>
      </c>
      <c r="EK831">
        <v>400002</v>
      </c>
      <c r="EL831" t="s">
        <v>347</v>
      </c>
      <c r="EM831" t="s">
        <v>346</v>
      </c>
      <c r="EO831" t="s">
        <v>3</v>
      </c>
      <c r="EQ831">
        <v>0</v>
      </c>
      <c r="ER831">
        <v>281.54999999999995</v>
      </c>
      <c r="ES831">
        <v>281.54999999999995</v>
      </c>
      <c r="ET831">
        <v>0</v>
      </c>
      <c r="EU831">
        <v>0</v>
      </c>
      <c r="EV831">
        <v>0</v>
      </c>
      <c r="EW831">
        <v>0</v>
      </c>
      <c r="EX831">
        <v>0</v>
      </c>
      <c r="EY831">
        <v>0</v>
      </c>
      <c r="EZ831">
        <v>5</v>
      </c>
      <c r="FC831">
        <v>1</v>
      </c>
      <c r="FD831">
        <v>18</v>
      </c>
      <c r="FF831">
        <v>2100</v>
      </c>
      <c r="FQ831">
        <v>0</v>
      </c>
      <c r="FR831">
        <f t="shared" si="776"/>
        <v>0</v>
      </c>
      <c r="FS831">
        <v>0</v>
      </c>
      <c r="FX831">
        <v>0</v>
      </c>
      <c r="FY831">
        <v>0</v>
      </c>
      <c r="GA831" t="s">
        <v>927</v>
      </c>
      <c r="GD831">
        <v>0</v>
      </c>
      <c r="GF831">
        <v>-1524217410</v>
      </c>
      <c r="GG831">
        <v>2</v>
      </c>
      <c r="GH831">
        <v>3</v>
      </c>
      <c r="GI831">
        <v>3</v>
      </c>
      <c r="GJ831">
        <v>0</v>
      </c>
      <c r="GK831">
        <f>ROUND(R831*(R12)/100,2)</f>
        <v>0</v>
      </c>
      <c r="GL831">
        <f t="shared" si="777"/>
        <v>0</v>
      </c>
      <c r="GM831">
        <f t="shared" si="778"/>
        <v>8925.14</v>
      </c>
      <c r="GN831">
        <f t="shared" si="779"/>
        <v>8925.14</v>
      </c>
      <c r="GO831">
        <f t="shared" si="780"/>
        <v>0</v>
      </c>
      <c r="GP831">
        <f t="shared" si="781"/>
        <v>0</v>
      </c>
      <c r="GR831">
        <v>1</v>
      </c>
      <c r="GS831">
        <v>1</v>
      </c>
      <c r="GT831">
        <v>0</v>
      </c>
      <c r="GU831" t="s">
        <v>3</v>
      </c>
      <c r="GV831">
        <f t="shared" si="782"/>
        <v>0</v>
      </c>
      <c r="GW831">
        <v>1</v>
      </c>
      <c r="GX831">
        <f t="shared" si="783"/>
        <v>0</v>
      </c>
      <c r="HA831">
        <v>0</v>
      </c>
      <c r="HB831">
        <v>0</v>
      </c>
      <c r="HC831">
        <f t="shared" si="784"/>
        <v>0</v>
      </c>
      <c r="HE831" t="s">
        <v>26</v>
      </c>
      <c r="HF831" t="s">
        <v>122</v>
      </c>
      <c r="HM831" t="s">
        <v>3</v>
      </c>
      <c r="IK831">
        <v>0</v>
      </c>
    </row>
    <row r="832" spans="1:245" x14ac:dyDescent="0.2">
      <c r="A832">
        <v>17</v>
      </c>
      <c r="B832">
        <v>1</v>
      </c>
      <c r="E832" t="s">
        <v>930</v>
      </c>
      <c r="F832" t="s">
        <v>118</v>
      </c>
      <c r="G832" t="s">
        <v>931</v>
      </c>
      <c r="H832" t="s">
        <v>169</v>
      </c>
      <c r="I832">
        <v>5</v>
      </c>
      <c r="J832">
        <v>0</v>
      </c>
      <c r="K832">
        <v>5</v>
      </c>
      <c r="O832">
        <f t="shared" si="745"/>
        <v>11475.08</v>
      </c>
      <c r="P832">
        <f t="shared" si="746"/>
        <v>11475.08</v>
      </c>
      <c r="Q832">
        <f t="shared" si="747"/>
        <v>0</v>
      </c>
      <c r="R832">
        <f t="shared" si="748"/>
        <v>0</v>
      </c>
      <c r="S832">
        <f t="shared" si="749"/>
        <v>0</v>
      </c>
      <c r="T832">
        <f t="shared" si="750"/>
        <v>0</v>
      </c>
      <c r="U832">
        <f t="shared" si="751"/>
        <v>0</v>
      </c>
      <c r="V832">
        <f t="shared" si="752"/>
        <v>0</v>
      </c>
      <c r="W832">
        <f t="shared" si="753"/>
        <v>0</v>
      </c>
      <c r="X832">
        <f t="shared" si="754"/>
        <v>0</v>
      </c>
      <c r="Y832">
        <f t="shared" si="755"/>
        <v>0</v>
      </c>
      <c r="AA832">
        <v>42938047</v>
      </c>
      <c r="AB832">
        <f t="shared" si="756"/>
        <v>361.99</v>
      </c>
      <c r="AC832">
        <f t="shared" si="757"/>
        <v>361.99</v>
      </c>
      <c r="AD832">
        <f t="shared" si="758"/>
        <v>0</v>
      </c>
      <c r="AE832">
        <f t="shared" si="759"/>
        <v>0</v>
      </c>
      <c r="AF832">
        <f t="shared" si="760"/>
        <v>0</v>
      </c>
      <c r="AG832">
        <f t="shared" si="761"/>
        <v>0</v>
      </c>
      <c r="AH832">
        <f t="shared" si="762"/>
        <v>0</v>
      </c>
      <c r="AI832">
        <f t="shared" si="763"/>
        <v>0</v>
      </c>
      <c r="AJ832">
        <f t="shared" si="764"/>
        <v>0</v>
      </c>
      <c r="AK832">
        <v>361.99</v>
      </c>
      <c r="AL832">
        <v>361.99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1</v>
      </c>
      <c r="AW832">
        <v>1</v>
      </c>
      <c r="AZ832">
        <v>1</v>
      </c>
      <c r="BA832">
        <v>1</v>
      </c>
      <c r="BB832">
        <v>1</v>
      </c>
      <c r="BC832">
        <v>6.34</v>
      </c>
      <c r="BD832" t="s">
        <v>3</v>
      </c>
      <c r="BE832" t="s">
        <v>3</v>
      </c>
      <c r="BF832" t="s">
        <v>3</v>
      </c>
      <c r="BG832" t="s">
        <v>3</v>
      </c>
      <c r="BH832">
        <v>3</v>
      </c>
      <c r="BI832">
        <v>1</v>
      </c>
      <c r="BJ832" t="s">
        <v>3</v>
      </c>
      <c r="BM832">
        <v>400002</v>
      </c>
      <c r="BN832">
        <v>0</v>
      </c>
      <c r="BO832" t="s">
        <v>3</v>
      </c>
      <c r="BP832">
        <v>0</v>
      </c>
      <c r="BQ832">
        <v>202</v>
      </c>
      <c r="BR832">
        <v>0</v>
      </c>
      <c r="BS832">
        <v>1</v>
      </c>
      <c r="BT832">
        <v>1</v>
      </c>
      <c r="BU832">
        <v>1</v>
      </c>
      <c r="BV832">
        <v>1</v>
      </c>
      <c r="BW832">
        <v>1</v>
      </c>
      <c r="BX832">
        <v>1</v>
      </c>
      <c r="BY832" t="s">
        <v>3</v>
      </c>
      <c r="BZ832">
        <v>0</v>
      </c>
      <c r="CA832">
        <v>0</v>
      </c>
      <c r="CB832" t="s">
        <v>3</v>
      </c>
      <c r="CE832">
        <v>30</v>
      </c>
      <c r="CF832">
        <v>0</v>
      </c>
      <c r="CG832">
        <v>0</v>
      </c>
      <c r="CM832">
        <v>0</v>
      </c>
      <c r="CN832" t="s">
        <v>3</v>
      </c>
      <c r="CO832">
        <v>0</v>
      </c>
      <c r="CP832">
        <f t="shared" si="765"/>
        <v>11475.08</v>
      </c>
      <c r="CQ832">
        <f t="shared" si="766"/>
        <v>2295.02</v>
      </c>
      <c r="CR832">
        <f t="shared" si="767"/>
        <v>0</v>
      </c>
      <c r="CS832">
        <f t="shared" si="768"/>
        <v>0</v>
      </c>
      <c r="CT832">
        <f t="shared" si="769"/>
        <v>0</v>
      </c>
      <c r="CU832">
        <f t="shared" si="770"/>
        <v>0</v>
      </c>
      <c r="CV832">
        <f t="shared" si="771"/>
        <v>0</v>
      </c>
      <c r="CW832">
        <f t="shared" si="772"/>
        <v>0</v>
      </c>
      <c r="CX832">
        <f t="shared" si="773"/>
        <v>0</v>
      </c>
      <c r="CY832">
        <f t="shared" si="774"/>
        <v>0</v>
      </c>
      <c r="CZ832">
        <f t="shared" si="775"/>
        <v>0</v>
      </c>
      <c r="DC832" t="s">
        <v>3</v>
      </c>
      <c r="DD832" t="s">
        <v>3</v>
      </c>
      <c r="DE832" t="s">
        <v>3</v>
      </c>
      <c r="DF832" t="s">
        <v>3</v>
      </c>
      <c r="DG832" t="s">
        <v>3</v>
      </c>
      <c r="DH832" t="s">
        <v>3</v>
      </c>
      <c r="DI832" t="s">
        <v>3</v>
      </c>
      <c r="DJ832" t="s">
        <v>3</v>
      </c>
      <c r="DK832" t="s">
        <v>3</v>
      </c>
      <c r="DL832" t="s">
        <v>3</v>
      </c>
      <c r="DM832" t="s">
        <v>3</v>
      </c>
      <c r="DN832">
        <v>0</v>
      </c>
      <c r="DO832">
        <v>0</v>
      </c>
      <c r="DP832">
        <v>1</v>
      </c>
      <c r="DQ832">
        <v>1</v>
      </c>
      <c r="DU832">
        <v>1010</v>
      </c>
      <c r="DV832" t="s">
        <v>169</v>
      </c>
      <c r="DW832" t="s">
        <v>169</v>
      </c>
      <c r="DX832">
        <v>1</v>
      </c>
      <c r="DZ832" t="s">
        <v>3</v>
      </c>
      <c r="EA832" t="s">
        <v>3</v>
      </c>
      <c r="EB832" t="s">
        <v>3</v>
      </c>
      <c r="EC832" t="s">
        <v>3</v>
      </c>
      <c r="EE832">
        <v>43090149</v>
      </c>
      <c r="EF832">
        <v>202</v>
      </c>
      <c r="EG832" t="s">
        <v>346</v>
      </c>
      <c r="EH832">
        <v>0</v>
      </c>
      <c r="EI832" t="s">
        <v>3</v>
      </c>
      <c r="EJ832">
        <v>1</v>
      </c>
      <c r="EK832">
        <v>400002</v>
      </c>
      <c r="EL832" t="s">
        <v>347</v>
      </c>
      <c r="EM832" t="s">
        <v>346</v>
      </c>
      <c r="EO832" t="s">
        <v>3</v>
      </c>
      <c r="EQ832">
        <v>0</v>
      </c>
      <c r="ER832">
        <v>361.99</v>
      </c>
      <c r="ES832">
        <v>361.99</v>
      </c>
      <c r="ET832">
        <v>0</v>
      </c>
      <c r="EU832">
        <v>0</v>
      </c>
      <c r="EV832">
        <v>0</v>
      </c>
      <c r="EW832">
        <v>0</v>
      </c>
      <c r="EX832">
        <v>0</v>
      </c>
      <c r="EY832">
        <v>0</v>
      </c>
      <c r="EZ832">
        <v>5</v>
      </c>
      <c r="FC832">
        <v>1</v>
      </c>
      <c r="FD832">
        <v>18</v>
      </c>
      <c r="FF832">
        <v>2700</v>
      </c>
      <c r="FQ832">
        <v>0</v>
      </c>
      <c r="FR832">
        <f t="shared" si="776"/>
        <v>0</v>
      </c>
      <c r="FS832">
        <v>0</v>
      </c>
      <c r="FX832">
        <v>0</v>
      </c>
      <c r="FY832">
        <v>0</v>
      </c>
      <c r="GA832" t="s">
        <v>932</v>
      </c>
      <c r="GD832">
        <v>0</v>
      </c>
      <c r="GF832">
        <v>1280944348</v>
      </c>
      <c r="GG832">
        <v>2</v>
      </c>
      <c r="GH832">
        <v>3</v>
      </c>
      <c r="GI832">
        <v>3</v>
      </c>
      <c r="GJ832">
        <v>0</v>
      </c>
      <c r="GK832">
        <f>ROUND(R832*(R12)/100,2)</f>
        <v>0</v>
      </c>
      <c r="GL832">
        <f t="shared" si="777"/>
        <v>0</v>
      </c>
      <c r="GM832">
        <f t="shared" si="778"/>
        <v>11475.08</v>
      </c>
      <c r="GN832">
        <f t="shared" si="779"/>
        <v>11475.08</v>
      </c>
      <c r="GO832">
        <f t="shared" si="780"/>
        <v>0</v>
      </c>
      <c r="GP832">
        <f t="shared" si="781"/>
        <v>0</v>
      </c>
      <c r="GR832">
        <v>1</v>
      </c>
      <c r="GS832">
        <v>1</v>
      </c>
      <c r="GT832">
        <v>0</v>
      </c>
      <c r="GU832" t="s">
        <v>3</v>
      </c>
      <c r="GV832">
        <f t="shared" si="782"/>
        <v>0</v>
      </c>
      <c r="GW832">
        <v>1</v>
      </c>
      <c r="GX832">
        <f t="shared" si="783"/>
        <v>0</v>
      </c>
      <c r="HA832">
        <v>0</v>
      </c>
      <c r="HB832">
        <v>0</v>
      </c>
      <c r="HC832">
        <f t="shared" si="784"/>
        <v>0</v>
      </c>
      <c r="HE832" t="s">
        <v>26</v>
      </c>
      <c r="HF832" t="s">
        <v>122</v>
      </c>
      <c r="HM832" t="s">
        <v>3</v>
      </c>
      <c r="IK832">
        <v>0</v>
      </c>
    </row>
    <row r="833" spans="1:245" x14ac:dyDescent="0.2">
      <c r="A833">
        <v>17</v>
      </c>
      <c r="B833">
        <v>1</v>
      </c>
      <c r="E833" t="s">
        <v>933</v>
      </c>
      <c r="F833" t="s">
        <v>118</v>
      </c>
      <c r="G833" t="s">
        <v>934</v>
      </c>
      <c r="H833" t="s">
        <v>169</v>
      </c>
      <c r="I833">
        <v>5</v>
      </c>
      <c r="J833">
        <v>0</v>
      </c>
      <c r="K833">
        <v>5</v>
      </c>
      <c r="O833">
        <f t="shared" si="745"/>
        <v>11475.08</v>
      </c>
      <c r="P833">
        <f t="shared" si="746"/>
        <v>11475.08</v>
      </c>
      <c r="Q833">
        <f t="shared" si="747"/>
        <v>0</v>
      </c>
      <c r="R833">
        <f t="shared" si="748"/>
        <v>0</v>
      </c>
      <c r="S833">
        <f t="shared" si="749"/>
        <v>0</v>
      </c>
      <c r="T833">
        <f t="shared" si="750"/>
        <v>0</v>
      </c>
      <c r="U833">
        <f t="shared" si="751"/>
        <v>0</v>
      </c>
      <c r="V833">
        <f t="shared" si="752"/>
        <v>0</v>
      </c>
      <c r="W833">
        <f t="shared" si="753"/>
        <v>0</v>
      </c>
      <c r="X833">
        <f t="shared" si="754"/>
        <v>0</v>
      </c>
      <c r="Y833">
        <f t="shared" si="755"/>
        <v>0</v>
      </c>
      <c r="AA833">
        <v>42938047</v>
      </c>
      <c r="AB833">
        <f t="shared" si="756"/>
        <v>361.99</v>
      </c>
      <c r="AC833">
        <f t="shared" si="757"/>
        <v>361.99</v>
      </c>
      <c r="AD833">
        <f t="shared" si="758"/>
        <v>0</v>
      </c>
      <c r="AE833">
        <f t="shared" si="759"/>
        <v>0</v>
      </c>
      <c r="AF833">
        <f t="shared" si="760"/>
        <v>0</v>
      </c>
      <c r="AG833">
        <f t="shared" si="761"/>
        <v>0</v>
      </c>
      <c r="AH833">
        <f t="shared" si="762"/>
        <v>0</v>
      </c>
      <c r="AI833">
        <f t="shared" si="763"/>
        <v>0</v>
      </c>
      <c r="AJ833">
        <f t="shared" si="764"/>
        <v>0</v>
      </c>
      <c r="AK833">
        <v>361.99</v>
      </c>
      <c r="AL833">
        <v>361.99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1</v>
      </c>
      <c r="AW833">
        <v>1</v>
      </c>
      <c r="AZ833">
        <v>1</v>
      </c>
      <c r="BA833">
        <v>1</v>
      </c>
      <c r="BB833">
        <v>1</v>
      </c>
      <c r="BC833">
        <v>6.34</v>
      </c>
      <c r="BD833" t="s">
        <v>3</v>
      </c>
      <c r="BE833" t="s">
        <v>3</v>
      </c>
      <c r="BF833" t="s">
        <v>3</v>
      </c>
      <c r="BG833" t="s">
        <v>3</v>
      </c>
      <c r="BH833">
        <v>3</v>
      </c>
      <c r="BI833">
        <v>1</v>
      </c>
      <c r="BJ833" t="s">
        <v>3</v>
      </c>
      <c r="BM833">
        <v>400002</v>
      </c>
      <c r="BN833">
        <v>0</v>
      </c>
      <c r="BO833" t="s">
        <v>3</v>
      </c>
      <c r="BP833">
        <v>0</v>
      </c>
      <c r="BQ833">
        <v>202</v>
      </c>
      <c r="BR833">
        <v>0</v>
      </c>
      <c r="BS833">
        <v>1</v>
      </c>
      <c r="BT833">
        <v>1</v>
      </c>
      <c r="BU833">
        <v>1</v>
      </c>
      <c r="BV833">
        <v>1</v>
      </c>
      <c r="BW833">
        <v>1</v>
      </c>
      <c r="BX833">
        <v>1</v>
      </c>
      <c r="BY833" t="s">
        <v>3</v>
      </c>
      <c r="BZ833">
        <v>0</v>
      </c>
      <c r="CA833">
        <v>0</v>
      </c>
      <c r="CB833" t="s">
        <v>3</v>
      </c>
      <c r="CE833">
        <v>30</v>
      </c>
      <c r="CF833">
        <v>0</v>
      </c>
      <c r="CG833">
        <v>0</v>
      </c>
      <c r="CM833">
        <v>0</v>
      </c>
      <c r="CN833" t="s">
        <v>3</v>
      </c>
      <c r="CO833">
        <v>0</v>
      </c>
      <c r="CP833">
        <f t="shared" si="765"/>
        <v>11475.08</v>
      </c>
      <c r="CQ833">
        <f t="shared" si="766"/>
        <v>2295.02</v>
      </c>
      <c r="CR833">
        <f t="shared" si="767"/>
        <v>0</v>
      </c>
      <c r="CS833">
        <f t="shared" si="768"/>
        <v>0</v>
      </c>
      <c r="CT833">
        <f t="shared" si="769"/>
        <v>0</v>
      </c>
      <c r="CU833">
        <f t="shared" si="770"/>
        <v>0</v>
      </c>
      <c r="CV833">
        <f t="shared" si="771"/>
        <v>0</v>
      </c>
      <c r="CW833">
        <f t="shared" si="772"/>
        <v>0</v>
      </c>
      <c r="CX833">
        <f t="shared" si="773"/>
        <v>0</v>
      </c>
      <c r="CY833">
        <f t="shared" si="774"/>
        <v>0</v>
      </c>
      <c r="CZ833">
        <f t="shared" si="775"/>
        <v>0</v>
      </c>
      <c r="DC833" t="s">
        <v>3</v>
      </c>
      <c r="DD833" t="s">
        <v>3</v>
      </c>
      <c r="DE833" t="s">
        <v>3</v>
      </c>
      <c r="DF833" t="s">
        <v>3</v>
      </c>
      <c r="DG833" t="s">
        <v>3</v>
      </c>
      <c r="DH833" t="s">
        <v>3</v>
      </c>
      <c r="DI833" t="s">
        <v>3</v>
      </c>
      <c r="DJ833" t="s">
        <v>3</v>
      </c>
      <c r="DK833" t="s">
        <v>3</v>
      </c>
      <c r="DL833" t="s">
        <v>3</v>
      </c>
      <c r="DM833" t="s">
        <v>3</v>
      </c>
      <c r="DN833">
        <v>0</v>
      </c>
      <c r="DO833">
        <v>0</v>
      </c>
      <c r="DP833">
        <v>1</v>
      </c>
      <c r="DQ833">
        <v>1</v>
      </c>
      <c r="DU833">
        <v>1010</v>
      </c>
      <c r="DV833" t="s">
        <v>169</v>
      </c>
      <c r="DW833" t="s">
        <v>169</v>
      </c>
      <c r="DX833">
        <v>1</v>
      </c>
      <c r="DZ833" t="s">
        <v>3</v>
      </c>
      <c r="EA833" t="s">
        <v>3</v>
      </c>
      <c r="EB833" t="s">
        <v>3</v>
      </c>
      <c r="EC833" t="s">
        <v>3</v>
      </c>
      <c r="EE833">
        <v>43090149</v>
      </c>
      <c r="EF833">
        <v>202</v>
      </c>
      <c r="EG833" t="s">
        <v>346</v>
      </c>
      <c r="EH833">
        <v>0</v>
      </c>
      <c r="EI833" t="s">
        <v>3</v>
      </c>
      <c r="EJ833">
        <v>1</v>
      </c>
      <c r="EK833">
        <v>400002</v>
      </c>
      <c r="EL833" t="s">
        <v>347</v>
      </c>
      <c r="EM833" t="s">
        <v>346</v>
      </c>
      <c r="EO833" t="s">
        <v>3</v>
      </c>
      <c r="EQ833">
        <v>0</v>
      </c>
      <c r="ER833">
        <v>361.99</v>
      </c>
      <c r="ES833">
        <v>361.99</v>
      </c>
      <c r="ET833">
        <v>0</v>
      </c>
      <c r="EU833">
        <v>0</v>
      </c>
      <c r="EV833">
        <v>0</v>
      </c>
      <c r="EW833">
        <v>0</v>
      </c>
      <c r="EX833">
        <v>0</v>
      </c>
      <c r="EY833">
        <v>0</v>
      </c>
      <c r="EZ833">
        <v>5</v>
      </c>
      <c r="FC833">
        <v>1</v>
      </c>
      <c r="FD833">
        <v>18</v>
      </c>
      <c r="FF833">
        <v>2700</v>
      </c>
      <c r="FQ833">
        <v>0</v>
      </c>
      <c r="FR833">
        <f t="shared" si="776"/>
        <v>0</v>
      </c>
      <c r="FS833">
        <v>0</v>
      </c>
      <c r="FX833">
        <v>0</v>
      </c>
      <c r="FY833">
        <v>0</v>
      </c>
      <c r="GA833" t="s">
        <v>932</v>
      </c>
      <c r="GD833">
        <v>0</v>
      </c>
      <c r="GF833">
        <v>-649143926</v>
      </c>
      <c r="GG833">
        <v>2</v>
      </c>
      <c r="GH833">
        <v>3</v>
      </c>
      <c r="GI833">
        <v>3</v>
      </c>
      <c r="GJ833">
        <v>0</v>
      </c>
      <c r="GK833">
        <f>ROUND(R833*(R12)/100,2)</f>
        <v>0</v>
      </c>
      <c r="GL833">
        <f t="shared" si="777"/>
        <v>0</v>
      </c>
      <c r="GM833">
        <f t="shared" si="778"/>
        <v>11475.08</v>
      </c>
      <c r="GN833">
        <f t="shared" si="779"/>
        <v>11475.08</v>
      </c>
      <c r="GO833">
        <f t="shared" si="780"/>
        <v>0</v>
      </c>
      <c r="GP833">
        <f t="shared" si="781"/>
        <v>0</v>
      </c>
      <c r="GR833">
        <v>1</v>
      </c>
      <c r="GS833">
        <v>1</v>
      </c>
      <c r="GT833">
        <v>0</v>
      </c>
      <c r="GU833" t="s">
        <v>3</v>
      </c>
      <c r="GV833">
        <f t="shared" si="782"/>
        <v>0</v>
      </c>
      <c r="GW833">
        <v>1</v>
      </c>
      <c r="GX833">
        <f t="shared" si="783"/>
        <v>0</v>
      </c>
      <c r="HA833">
        <v>0</v>
      </c>
      <c r="HB833">
        <v>0</v>
      </c>
      <c r="HC833">
        <f t="shared" si="784"/>
        <v>0</v>
      </c>
      <c r="HE833" t="s">
        <v>26</v>
      </c>
      <c r="HF833" t="s">
        <v>122</v>
      </c>
      <c r="HM833" t="s">
        <v>3</v>
      </c>
      <c r="IK833">
        <v>0</v>
      </c>
    </row>
    <row r="834" spans="1:245" x14ac:dyDescent="0.2">
      <c r="A834">
        <v>17</v>
      </c>
      <c r="B834">
        <v>1</v>
      </c>
      <c r="E834" t="s">
        <v>935</v>
      </c>
      <c r="F834" t="s">
        <v>118</v>
      </c>
      <c r="G834" t="s">
        <v>936</v>
      </c>
      <c r="H834" t="s">
        <v>169</v>
      </c>
      <c r="I834">
        <v>2</v>
      </c>
      <c r="J834">
        <v>0</v>
      </c>
      <c r="K834">
        <v>2</v>
      </c>
      <c r="O834">
        <f t="shared" si="745"/>
        <v>45560</v>
      </c>
      <c r="P834">
        <f t="shared" si="746"/>
        <v>45560</v>
      </c>
      <c r="Q834">
        <f t="shared" si="747"/>
        <v>0</v>
      </c>
      <c r="R834">
        <f t="shared" si="748"/>
        <v>0</v>
      </c>
      <c r="S834">
        <f t="shared" si="749"/>
        <v>0</v>
      </c>
      <c r="T834">
        <f t="shared" si="750"/>
        <v>0</v>
      </c>
      <c r="U834">
        <f t="shared" si="751"/>
        <v>0</v>
      </c>
      <c r="V834">
        <f t="shared" si="752"/>
        <v>0</v>
      </c>
      <c r="W834">
        <f t="shared" si="753"/>
        <v>0</v>
      </c>
      <c r="X834">
        <f t="shared" si="754"/>
        <v>0</v>
      </c>
      <c r="Y834">
        <f t="shared" si="755"/>
        <v>0</v>
      </c>
      <c r="AA834">
        <v>42938047</v>
      </c>
      <c r="AB834">
        <f t="shared" si="756"/>
        <v>3593.06</v>
      </c>
      <c r="AC834">
        <f t="shared" si="757"/>
        <v>3593.06</v>
      </c>
      <c r="AD834">
        <f t="shared" si="758"/>
        <v>0</v>
      </c>
      <c r="AE834">
        <f t="shared" si="759"/>
        <v>0</v>
      </c>
      <c r="AF834">
        <f t="shared" si="760"/>
        <v>0</v>
      </c>
      <c r="AG834">
        <f t="shared" si="761"/>
        <v>0</v>
      </c>
      <c r="AH834">
        <f t="shared" si="762"/>
        <v>0</v>
      </c>
      <c r="AI834">
        <f t="shared" si="763"/>
        <v>0</v>
      </c>
      <c r="AJ834">
        <f t="shared" si="764"/>
        <v>0</v>
      </c>
      <c r="AK834">
        <v>3593.06</v>
      </c>
      <c r="AL834">
        <v>3593.06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1</v>
      </c>
      <c r="AW834">
        <v>1</v>
      </c>
      <c r="AZ834">
        <v>1</v>
      </c>
      <c r="BA834">
        <v>1</v>
      </c>
      <c r="BB834">
        <v>1</v>
      </c>
      <c r="BC834">
        <v>6.34</v>
      </c>
      <c r="BD834" t="s">
        <v>3</v>
      </c>
      <c r="BE834" t="s">
        <v>3</v>
      </c>
      <c r="BF834" t="s">
        <v>3</v>
      </c>
      <c r="BG834" t="s">
        <v>3</v>
      </c>
      <c r="BH834">
        <v>3</v>
      </c>
      <c r="BI834">
        <v>1</v>
      </c>
      <c r="BJ834" t="s">
        <v>3</v>
      </c>
      <c r="BM834">
        <v>400002</v>
      </c>
      <c r="BN834">
        <v>0</v>
      </c>
      <c r="BO834" t="s">
        <v>3</v>
      </c>
      <c r="BP834">
        <v>0</v>
      </c>
      <c r="BQ834">
        <v>202</v>
      </c>
      <c r="BR834">
        <v>0</v>
      </c>
      <c r="BS834">
        <v>1</v>
      </c>
      <c r="BT834">
        <v>1</v>
      </c>
      <c r="BU834">
        <v>1</v>
      </c>
      <c r="BV834">
        <v>1</v>
      </c>
      <c r="BW834">
        <v>1</v>
      </c>
      <c r="BX834">
        <v>1</v>
      </c>
      <c r="BY834" t="s">
        <v>3</v>
      </c>
      <c r="BZ834">
        <v>0</v>
      </c>
      <c r="CA834">
        <v>0</v>
      </c>
      <c r="CB834" t="s">
        <v>3</v>
      </c>
      <c r="CE834">
        <v>30</v>
      </c>
      <c r="CF834">
        <v>0</v>
      </c>
      <c r="CG834">
        <v>0</v>
      </c>
      <c r="CM834">
        <v>0</v>
      </c>
      <c r="CN834" t="s">
        <v>3</v>
      </c>
      <c r="CO834">
        <v>0</v>
      </c>
      <c r="CP834">
        <f t="shared" si="765"/>
        <v>45560</v>
      </c>
      <c r="CQ834">
        <f t="shared" si="766"/>
        <v>22780</v>
      </c>
      <c r="CR834">
        <f t="shared" si="767"/>
        <v>0</v>
      </c>
      <c r="CS834">
        <f t="shared" si="768"/>
        <v>0</v>
      </c>
      <c r="CT834">
        <f t="shared" si="769"/>
        <v>0</v>
      </c>
      <c r="CU834">
        <f t="shared" si="770"/>
        <v>0</v>
      </c>
      <c r="CV834">
        <f t="shared" si="771"/>
        <v>0</v>
      </c>
      <c r="CW834">
        <f t="shared" si="772"/>
        <v>0</v>
      </c>
      <c r="CX834">
        <f t="shared" si="773"/>
        <v>0</v>
      </c>
      <c r="CY834">
        <f t="shared" si="774"/>
        <v>0</v>
      </c>
      <c r="CZ834">
        <f t="shared" si="775"/>
        <v>0</v>
      </c>
      <c r="DC834" t="s">
        <v>3</v>
      </c>
      <c r="DD834" t="s">
        <v>3</v>
      </c>
      <c r="DE834" t="s">
        <v>3</v>
      </c>
      <c r="DF834" t="s">
        <v>3</v>
      </c>
      <c r="DG834" t="s">
        <v>3</v>
      </c>
      <c r="DH834" t="s">
        <v>3</v>
      </c>
      <c r="DI834" t="s">
        <v>3</v>
      </c>
      <c r="DJ834" t="s">
        <v>3</v>
      </c>
      <c r="DK834" t="s">
        <v>3</v>
      </c>
      <c r="DL834" t="s">
        <v>3</v>
      </c>
      <c r="DM834" t="s">
        <v>3</v>
      </c>
      <c r="DN834">
        <v>0</v>
      </c>
      <c r="DO834">
        <v>0</v>
      </c>
      <c r="DP834">
        <v>1</v>
      </c>
      <c r="DQ834">
        <v>1</v>
      </c>
      <c r="DU834">
        <v>1010</v>
      </c>
      <c r="DV834" t="s">
        <v>169</v>
      </c>
      <c r="DW834" t="s">
        <v>169</v>
      </c>
      <c r="DX834">
        <v>1</v>
      </c>
      <c r="DZ834" t="s">
        <v>3</v>
      </c>
      <c r="EA834" t="s">
        <v>3</v>
      </c>
      <c r="EB834" t="s">
        <v>3</v>
      </c>
      <c r="EC834" t="s">
        <v>3</v>
      </c>
      <c r="EE834">
        <v>43090149</v>
      </c>
      <c r="EF834">
        <v>202</v>
      </c>
      <c r="EG834" t="s">
        <v>346</v>
      </c>
      <c r="EH834">
        <v>0</v>
      </c>
      <c r="EI834" t="s">
        <v>3</v>
      </c>
      <c r="EJ834">
        <v>1</v>
      </c>
      <c r="EK834">
        <v>400002</v>
      </c>
      <c r="EL834" t="s">
        <v>347</v>
      </c>
      <c r="EM834" t="s">
        <v>346</v>
      </c>
      <c r="EO834" t="s">
        <v>3</v>
      </c>
      <c r="EQ834">
        <v>0</v>
      </c>
      <c r="ER834">
        <v>3593.06</v>
      </c>
      <c r="ES834">
        <v>3593.06</v>
      </c>
      <c r="ET834">
        <v>0</v>
      </c>
      <c r="EU834">
        <v>0</v>
      </c>
      <c r="EV834">
        <v>0</v>
      </c>
      <c r="EW834">
        <v>0</v>
      </c>
      <c r="EX834">
        <v>0</v>
      </c>
      <c r="EY834">
        <v>0</v>
      </c>
      <c r="EZ834">
        <v>5</v>
      </c>
      <c r="FC834">
        <v>1</v>
      </c>
      <c r="FD834">
        <v>18</v>
      </c>
      <c r="FF834">
        <v>26800</v>
      </c>
      <c r="FQ834">
        <v>0</v>
      </c>
      <c r="FR834">
        <f t="shared" si="776"/>
        <v>0</v>
      </c>
      <c r="FS834">
        <v>0</v>
      </c>
      <c r="FX834">
        <v>0</v>
      </c>
      <c r="FY834">
        <v>0</v>
      </c>
      <c r="GA834" t="s">
        <v>937</v>
      </c>
      <c r="GD834">
        <v>0</v>
      </c>
      <c r="GF834">
        <v>-76610993</v>
      </c>
      <c r="GG834">
        <v>2</v>
      </c>
      <c r="GH834">
        <v>3</v>
      </c>
      <c r="GI834">
        <v>3</v>
      </c>
      <c r="GJ834">
        <v>0</v>
      </c>
      <c r="GK834">
        <f>ROUND(R834*(R12)/100,2)</f>
        <v>0</v>
      </c>
      <c r="GL834">
        <f t="shared" si="777"/>
        <v>0</v>
      </c>
      <c r="GM834">
        <f t="shared" si="778"/>
        <v>45560</v>
      </c>
      <c r="GN834">
        <f t="shared" si="779"/>
        <v>45560</v>
      </c>
      <c r="GO834">
        <f t="shared" si="780"/>
        <v>0</v>
      </c>
      <c r="GP834">
        <f t="shared" si="781"/>
        <v>0</v>
      </c>
      <c r="GR834">
        <v>1</v>
      </c>
      <c r="GS834">
        <v>1</v>
      </c>
      <c r="GT834">
        <v>0</v>
      </c>
      <c r="GU834" t="s">
        <v>3</v>
      </c>
      <c r="GV834">
        <f t="shared" si="782"/>
        <v>0</v>
      </c>
      <c r="GW834">
        <v>1</v>
      </c>
      <c r="GX834">
        <f t="shared" si="783"/>
        <v>0</v>
      </c>
      <c r="HA834">
        <v>0</v>
      </c>
      <c r="HB834">
        <v>0</v>
      </c>
      <c r="HC834">
        <f t="shared" si="784"/>
        <v>0</v>
      </c>
      <c r="HE834" t="s">
        <v>26</v>
      </c>
      <c r="HF834" t="s">
        <v>122</v>
      </c>
      <c r="HM834" t="s">
        <v>3</v>
      </c>
      <c r="IK834">
        <v>0</v>
      </c>
    </row>
    <row r="835" spans="1:245" x14ac:dyDescent="0.2">
      <c r="A835">
        <v>17</v>
      </c>
      <c r="B835">
        <v>1</v>
      </c>
      <c r="E835" t="s">
        <v>938</v>
      </c>
      <c r="F835" t="s">
        <v>118</v>
      </c>
      <c r="G835" t="s">
        <v>939</v>
      </c>
      <c r="H835" t="s">
        <v>169</v>
      </c>
      <c r="I835">
        <v>4</v>
      </c>
      <c r="J835">
        <v>0</v>
      </c>
      <c r="K835">
        <v>4</v>
      </c>
      <c r="O835">
        <f t="shared" si="745"/>
        <v>105399.96</v>
      </c>
      <c r="P835">
        <f t="shared" si="746"/>
        <v>105399.96</v>
      </c>
      <c r="Q835">
        <f t="shared" si="747"/>
        <v>0</v>
      </c>
      <c r="R835">
        <f t="shared" si="748"/>
        <v>0</v>
      </c>
      <c r="S835">
        <f t="shared" si="749"/>
        <v>0</v>
      </c>
      <c r="T835">
        <f t="shared" si="750"/>
        <v>0</v>
      </c>
      <c r="U835">
        <f t="shared" si="751"/>
        <v>0</v>
      </c>
      <c r="V835">
        <f t="shared" si="752"/>
        <v>0</v>
      </c>
      <c r="W835">
        <f t="shared" si="753"/>
        <v>0</v>
      </c>
      <c r="X835">
        <f t="shared" si="754"/>
        <v>0</v>
      </c>
      <c r="Y835">
        <f t="shared" si="755"/>
        <v>0</v>
      </c>
      <c r="AA835">
        <v>42938047</v>
      </c>
      <c r="AB835">
        <f t="shared" si="756"/>
        <v>4156.1499999999996</v>
      </c>
      <c r="AC835">
        <f t="shared" si="757"/>
        <v>4156.1499999999996</v>
      </c>
      <c r="AD835">
        <f t="shared" si="758"/>
        <v>0</v>
      </c>
      <c r="AE835">
        <f t="shared" si="759"/>
        <v>0</v>
      </c>
      <c r="AF835">
        <f t="shared" si="760"/>
        <v>0</v>
      </c>
      <c r="AG835">
        <f t="shared" si="761"/>
        <v>0</v>
      </c>
      <c r="AH835">
        <f t="shared" si="762"/>
        <v>0</v>
      </c>
      <c r="AI835">
        <f t="shared" si="763"/>
        <v>0</v>
      </c>
      <c r="AJ835">
        <f t="shared" si="764"/>
        <v>0</v>
      </c>
      <c r="AK835">
        <v>4156.1499999999996</v>
      </c>
      <c r="AL835">
        <v>4156.1499999999996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1</v>
      </c>
      <c r="AW835">
        <v>1</v>
      </c>
      <c r="AZ835">
        <v>1</v>
      </c>
      <c r="BA835">
        <v>1</v>
      </c>
      <c r="BB835">
        <v>1</v>
      </c>
      <c r="BC835">
        <v>6.34</v>
      </c>
      <c r="BD835" t="s">
        <v>3</v>
      </c>
      <c r="BE835" t="s">
        <v>3</v>
      </c>
      <c r="BF835" t="s">
        <v>3</v>
      </c>
      <c r="BG835" t="s">
        <v>3</v>
      </c>
      <c r="BH835">
        <v>3</v>
      </c>
      <c r="BI835">
        <v>1</v>
      </c>
      <c r="BJ835" t="s">
        <v>3</v>
      </c>
      <c r="BM835">
        <v>400002</v>
      </c>
      <c r="BN835">
        <v>0</v>
      </c>
      <c r="BO835" t="s">
        <v>3</v>
      </c>
      <c r="BP835">
        <v>0</v>
      </c>
      <c r="BQ835">
        <v>202</v>
      </c>
      <c r="BR835">
        <v>0</v>
      </c>
      <c r="BS835">
        <v>1</v>
      </c>
      <c r="BT835">
        <v>1</v>
      </c>
      <c r="BU835">
        <v>1</v>
      </c>
      <c r="BV835">
        <v>1</v>
      </c>
      <c r="BW835">
        <v>1</v>
      </c>
      <c r="BX835">
        <v>1</v>
      </c>
      <c r="BY835" t="s">
        <v>3</v>
      </c>
      <c r="BZ835">
        <v>0</v>
      </c>
      <c r="CA835">
        <v>0</v>
      </c>
      <c r="CB835" t="s">
        <v>3</v>
      </c>
      <c r="CE835">
        <v>30</v>
      </c>
      <c r="CF835">
        <v>0</v>
      </c>
      <c r="CG835">
        <v>0</v>
      </c>
      <c r="CM835">
        <v>0</v>
      </c>
      <c r="CN835" t="s">
        <v>3</v>
      </c>
      <c r="CO835">
        <v>0</v>
      </c>
      <c r="CP835">
        <f t="shared" si="765"/>
        <v>105399.96</v>
      </c>
      <c r="CQ835">
        <f t="shared" si="766"/>
        <v>26349.99</v>
      </c>
      <c r="CR835">
        <f t="shared" si="767"/>
        <v>0</v>
      </c>
      <c r="CS835">
        <f t="shared" si="768"/>
        <v>0</v>
      </c>
      <c r="CT835">
        <f t="shared" si="769"/>
        <v>0</v>
      </c>
      <c r="CU835">
        <f t="shared" si="770"/>
        <v>0</v>
      </c>
      <c r="CV835">
        <f t="shared" si="771"/>
        <v>0</v>
      </c>
      <c r="CW835">
        <f t="shared" si="772"/>
        <v>0</v>
      </c>
      <c r="CX835">
        <f t="shared" si="773"/>
        <v>0</v>
      </c>
      <c r="CY835">
        <f t="shared" si="774"/>
        <v>0</v>
      </c>
      <c r="CZ835">
        <f t="shared" si="775"/>
        <v>0</v>
      </c>
      <c r="DC835" t="s">
        <v>3</v>
      </c>
      <c r="DD835" t="s">
        <v>3</v>
      </c>
      <c r="DE835" t="s">
        <v>3</v>
      </c>
      <c r="DF835" t="s">
        <v>3</v>
      </c>
      <c r="DG835" t="s">
        <v>3</v>
      </c>
      <c r="DH835" t="s">
        <v>3</v>
      </c>
      <c r="DI835" t="s">
        <v>3</v>
      </c>
      <c r="DJ835" t="s">
        <v>3</v>
      </c>
      <c r="DK835" t="s">
        <v>3</v>
      </c>
      <c r="DL835" t="s">
        <v>3</v>
      </c>
      <c r="DM835" t="s">
        <v>3</v>
      </c>
      <c r="DN835">
        <v>0</v>
      </c>
      <c r="DO835">
        <v>0</v>
      </c>
      <c r="DP835">
        <v>1</v>
      </c>
      <c r="DQ835">
        <v>1</v>
      </c>
      <c r="DU835">
        <v>1010</v>
      </c>
      <c r="DV835" t="s">
        <v>169</v>
      </c>
      <c r="DW835" t="s">
        <v>169</v>
      </c>
      <c r="DX835">
        <v>1</v>
      </c>
      <c r="DZ835" t="s">
        <v>3</v>
      </c>
      <c r="EA835" t="s">
        <v>3</v>
      </c>
      <c r="EB835" t="s">
        <v>3</v>
      </c>
      <c r="EC835" t="s">
        <v>3</v>
      </c>
      <c r="EE835">
        <v>43090149</v>
      </c>
      <c r="EF835">
        <v>202</v>
      </c>
      <c r="EG835" t="s">
        <v>346</v>
      </c>
      <c r="EH835">
        <v>0</v>
      </c>
      <c r="EI835" t="s">
        <v>3</v>
      </c>
      <c r="EJ835">
        <v>1</v>
      </c>
      <c r="EK835">
        <v>400002</v>
      </c>
      <c r="EL835" t="s">
        <v>347</v>
      </c>
      <c r="EM835" t="s">
        <v>346</v>
      </c>
      <c r="EO835" t="s">
        <v>3</v>
      </c>
      <c r="EQ835">
        <v>0</v>
      </c>
      <c r="ER835">
        <v>4156.1499999999996</v>
      </c>
      <c r="ES835">
        <v>4156.1499999999996</v>
      </c>
      <c r="ET835">
        <v>0</v>
      </c>
      <c r="EU835">
        <v>0</v>
      </c>
      <c r="EV835">
        <v>0</v>
      </c>
      <c r="EW835">
        <v>0</v>
      </c>
      <c r="EX835">
        <v>0</v>
      </c>
      <c r="EY835">
        <v>0</v>
      </c>
      <c r="EZ835">
        <v>5</v>
      </c>
      <c r="FC835">
        <v>1</v>
      </c>
      <c r="FD835">
        <v>18</v>
      </c>
      <c r="FF835">
        <v>31000</v>
      </c>
      <c r="FQ835">
        <v>0</v>
      </c>
      <c r="FR835">
        <f t="shared" si="776"/>
        <v>0</v>
      </c>
      <c r="FS835">
        <v>0</v>
      </c>
      <c r="FX835">
        <v>0</v>
      </c>
      <c r="FY835">
        <v>0</v>
      </c>
      <c r="GA835" t="s">
        <v>940</v>
      </c>
      <c r="GD835">
        <v>0</v>
      </c>
      <c r="GF835">
        <v>-44145241</v>
      </c>
      <c r="GG835">
        <v>2</v>
      </c>
      <c r="GH835">
        <v>3</v>
      </c>
      <c r="GI835">
        <v>3</v>
      </c>
      <c r="GJ835">
        <v>0</v>
      </c>
      <c r="GK835">
        <f>ROUND(R835*(R12)/100,2)</f>
        <v>0</v>
      </c>
      <c r="GL835">
        <f t="shared" si="777"/>
        <v>0</v>
      </c>
      <c r="GM835">
        <f t="shared" si="778"/>
        <v>105399.96</v>
      </c>
      <c r="GN835">
        <f t="shared" si="779"/>
        <v>105399.96</v>
      </c>
      <c r="GO835">
        <f t="shared" si="780"/>
        <v>0</v>
      </c>
      <c r="GP835">
        <f t="shared" si="781"/>
        <v>0</v>
      </c>
      <c r="GR835">
        <v>1</v>
      </c>
      <c r="GS835">
        <v>1</v>
      </c>
      <c r="GT835">
        <v>0</v>
      </c>
      <c r="GU835" t="s">
        <v>3</v>
      </c>
      <c r="GV835">
        <f t="shared" si="782"/>
        <v>0</v>
      </c>
      <c r="GW835">
        <v>1</v>
      </c>
      <c r="GX835">
        <f t="shared" si="783"/>
        <v>0</v>
      </c>
      <c r="HA835">
        <v>0</v>
      </c>
      <c r="HB835">
        <v>0</v>
      </c>
      <c r="HC835">
        <f t="shared" si="784"/>
        <v>0</v>
      </c>
      <c r="HE835" t="s">
        <v>26</v>
      </c>
      <c r="HF835" t="s">
        <v>122</v>
      </c>
      <c r="HM835" t="s">
        <v>3</v>
      </c>
      <c r="IK835">
        <v>0</v>
      </c>
    </row>
    <row r="836" spans="1:245" x14ac:dyDescent="0.2">
      <c r="A836">
        <v>17</v>
      </c>
      <c r="B836">
        <v>1</v>
      </c>
      <c r="E836" t="s">
        <v>941</v>
      </c>
      <c r="F836" t="s">
        <v>118</v>
      </c>
      <c r="G836" t="s">
        <v>942</v>
      </c>
      <c r="H836" t="s">
        <v>169</v>
      </c>
      <c r="I836">
        <v>28</v>
      </c>
      <c r="J836">
        <v>0</v>
      </c>
      <c r="K836">
        <v>28</v>
      </c>
      <c r="O836">
        <f t="shared" si="745"/>
        <v>378421.16</v>
      </c>
      <c r="P836">
        <f t="shared" si="746"/>
        <v>378421.16</v>
      </c>
      <c r="Q836">
        <f t="shared" si="747"/>
        <v>0</v>
      </c>
      <c r="R836">
        <f t="shared" si="748"/>
        <v>0</v>
      </c>
      <c r="S836">
        <f t="shared" si="749"/>
        <v>0</v>
      </c>
      <c r="T836">
        <f t="shared" si="750"/>
        <v>0</v>
      </c>
      <c r="U836">
        <f t="shared" si="751"/>
        <v>0</v>
      </c>
      <c r="V836">
        <f t="shared" si="752"/>
        <v>0</v>
      </c>
      <c r="W836">
        <f t="shared" si="753"/>
        <v>0</v>
      </c>
      <c r="X836">
        <f t="shared" si="754"/>
        <v>0</v>
      </c>
      <c r="Y836">
        <f t="shared" si="755"/>
        <v>0</v>
      </c>
      <c r="AA836">
        <v>42938047</v>
      </c>
      <c r="AB836">
        <f t="shared" si="756"/>
        <v>2131.71</v>
      </c>
      <c r="AC836">
        <f t="shared" si="757"/>
        <v>2131.71</v>
      </c>
      <c r="AD836">
        <f t="shared" si="758"/>
        <v>0</v>
      </c>
      <c r="AE836">
        <f t="shared" si="759"/>
        <v>0</v>
      </c>
      <c r="AF836">
        <f t="shared" si="760"/>
        <v>0</v>
      </c>
      <c r="AG836">
        <f t="shared" si="761"/>
        <v>0</v>
      </c>
      <c r="AH836">
        <f t="shared" si="762"/>
        <v>0</v>
      </c>
      <c r="AI836">
        <f t="shared" si="763"/>
        <v>0</v>
      </c>
      <c r="AJ836">
        <f t="shared" si="764"/>
        <v>0</v>
      </c>
      <c r="AK836">
        <v>2131.71</v>
      </c>
      <c r="AL836">
        <v>2131.71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1</v>
      </c>
      <c r="AW836">
        <v>1</v>
      </c>
      <c r="AZ836">
        <v>1</v>
      </c>
      <c r="BA836">
        <v>1</v>
      </c>
      <c r="BB836">
        <v>1</v>
      </c>
      <c r="BC836">
        <v>6.34</v>
      </c>
      <c r="BD836" t="s">
        <v>3</v>
      </c>
      <c r="BE836" t="s">
        <v>3</v>
      </c>
      <c r="BF836" t="s">
        <v>3</v>
      </c>
      <c r="BG836" t="s">
        <v>3</v>
      </c>
      <c r="BH836">
        <v>3</v>
      </c>
      <c r="BI836">
        <v>1</v>
      </c>
      <c r="BJ836" t="s">
        <v>3</v>
      </c>
      <c r="BM836">
        <v>400002</v>
      </c>
      <c r="BN836">
        <v>0</v>
      </c>
      <c r="BO836" t="s">
        <v>3</v>
      </c>
      <c r="BP836">
        <v>0</v>
      </c>
      <c r="BQ836">
        <v>202</v>
      </c>
      <c r="BR836">
        <v>0</v>
      </c>
      <c r="BS836">
        <v>1</v>
      </c>
      <c r="BT836">
        <v>1</v>
      </c>
      <c r="BU836">
        <v>1</v>
      </c>
      <c r="BV836">
        <v>1</v>
      </c>
      <c r="BW836">
        <v>1</v>
      </c>
      <c r="BX836">
        <v>1</v>
      </c>
      <c r="BY836" t="s">
        <v>3</v>
      </c>
      <c r="BZ836">
        <v>0</v>
      </c>
      <c r="CA836">
        <v>0</v>
      </c>
      <c r="CB836" t="s">
        <v>3</v>
      </c>
      <c r="CE836">
        <v>30</v>
      </c>
      <c r="CF836">
        <v>0</v>
      </c>
      <c r="CG836">
        <v>0</v>
      </c>
      <c r="CM836">
        <v>0</v>
      </c>
      <c r="CN836" t="s">
        <v>3</v>
      </c>
      <c r="CO836">
        <v>0</v>
      </c>
      <c r="CP836">
        <f t="shared" si="765"/>
        <v>378421.16</v>
      </c>
      <c r="CQ836">
        <f t="shared" si="766"/>
        <v>13515.04</v>
      </c>
      <c r="CR836">
        <f t="shared" si="767"/>
        <v>0</v>
      </c>
      <c r="CS836">
        <f t="shared" si="768"/>
        <v>0</v>
      </c>
      <c r="CT836">
        <f t="shared" si="769"/>
        <v>0</v>
      </c>
      <c r="CU836">
        <f t="shared" si="770"/>
        <v>0</v>
      </c>
      <c r="CV836">
        <f t="shared" si="771"/>
        <v>0</v>
      </c>
      <c r="CW836">
        <f t="shared" si="772"/>
        <v>0</v>
      </c>
      <c r="CX836">
        <f t="shared" si="773"/>
        <v>0</v>
      </c>
      <c r="CY836">
        <f t="shared" si="774"/>
        <v>0</v>
      </c>
      <c r="CZ836">
        <f t="shared" si="775"/>
        <v>0</v>
      </c>
      <c r="DC836" t="s">
        <v>3</v>
      </c>
      <c r="DD836" t="s">
        <v>3</v>
      </c>
      <c r="DE836" t="s">
        <v>3</v>
      </c>
      <c r="DF836" t="s">
        <v>3</v>
      </c>
      <c r="DG836" t="s">
        <v>3</v>
      </c>
      <c r="DH836" t="s">
        <v>3</v>
      </c>
      <c r="DI836" t="s">
        <v>3</v>
      </c>
      <c r="DJ836" t="s">
        <v>3</v>
      </c>
      <c r="DK836" t="s">
        <v>3</v>
      </c>
      <c r="DL836" t="s">
        <v>3</v>
      </c>
      <c r="DM836" t="s">
        <v>3</v>
      </c>
      <c r="DN836">
        <v>0</v>
      </c>
      <c r="DO836">
        <v>0</v>
      </c>
      <c r="DP836">
        <v>1</v>
      </c>
      <c r="DQ836">
        <v>1</v>
      </c>
      <c r="DU836">
        <v>1010</v>
      </c>
      <c r="DV836" t="s">
        <v>169</v>
      </c>
      <c r="DW836" t="s">
        <v>169</v>
      </c>
      <c r="DX836">
        <v>1</v>
      </c>
      <c r="DZ836" t="s">
        <v>3</v>
      </c>
      <c r="EA836" t="s">
        <v>3</v>
      </c>
      <c r="EB836" t="s">
        <v>3</v>
      </c>
      <c r="EC836" t="s">
        <v>3</v>
      </c>
      <c r="EE836">
        <v>43090149</v>
      </c>
      <c r="EF836">
        <v>202</v>
      </c>
      <c r="EG836" t="s">
        <v>346</v>
      </c>
      <c r="EH836">
        <v>0</v>
      </c>
      <c r="EI836" t="s">
        <v>3</v>
      </c>
      <c r="EJ836">
        <v>1</v>
      </c>
      <c r="EK836">
        <v>400002</v>
      </c>
      <c r="EL836" t="s">
        <v>347</v>
      </c>
      <c r="EM836" t="s">
        <v>346</v>
      </c>
      <c r="EO836" t="s">
        <v>3</v>
      </c>
      <c r="EQ836">
        <v>0</v>
      </c>
      <c r="ER836">
        <v>2131.71</v>
      </c>
      <c r="ES836">
        <v>2131.71</v>
      </c>
      <c r="ET836">
        <v>0</v>
      </c>
      <c r="EU836">
        <v>0</v>
      </c>
      <c r="EV836">
        <v>0</v>
      </c>
      <c r="EW836">
        <v>0</v>
      </c>
      <c r="EX836">
        <v>0</v>
      </c>
      <c r="EY836">
        <v>0</v>
      </c>
      <c r="EZ836">
        <v>5</v>
      </c>
      <c r="FC836">
        <v>1</v>
      </c>
      <c r="FD836">
        <v>18</v>
      </c>
      <c r="FF836">
        <v>15900</v>
      </c>
      <c r="FQ836">
        <v>0</v>
      </c>
      <c r="FR836">
        <f t="shared" si="776"/>
        <v>0</v>
      </c>
      <c r="FS836">
        <v>0</v>
      </c>
      <c r="FX836">
        <v>0</v>
      </c>
      <c r="FY836">
        <v>0</v>
      </c>
      <c r="GA836" t="s">
        <v>943</v>
      </c>
      <c r="GD836">
        <v>0</v>
      </c>
      <c r="GF836">
        <v>1982658650</v>
      </c>
      <c r="GG836">
        <v>2</v>
      </c>
      <c r="GH836">
        <v>3</v>
      </c>
      <c r="GI836">
        <v>3</v>
      </c>
      <c r="GJ836">
        <v>0</v>
      </c>
      <c r="GK836">
        <f>ROUND(R836*(R12)/100,2)</f>
        <v>0</v>
      </c>
      <c r="GL836">
        <f t="shared" si="777"/>
        <v>0</v>
      </c>
      <c r="GM836">
        <f t="shared" si="778"/>
        <v>378421.16</v>
      </c>
      <c r="GN836">
        <f t="shared" si="779"/>
        <v>378421.16</v>
      </c>
      <c r="GO836">
        <f t="shared" si="780"/>
        <v>0</v>
      </c>
      <c r="GP836">
        <f t="shared" si="781"/>
        <v>0</v>
      </c>
      <c r="GR836">
        <v>1</v>
      </c>
      <c r="GS836">
        <v>1</v>
      </c>
      <c r="GT836">
        <v>0</v>
      </c>
      <c r="GU836" t="s">
        <v>3</v>
      </c>
      <c r="GV836">
        <f t="shared" si="782"/>
        <v>0</v>
      </c>
      <c r="GW836">
        <v>1</v>
      </c>
      <c r="GX836">
        <f t="shared" si="783"/>
        <v>0</v>
      </c>
      <c r="HA836">
        <v>0</v>
      </c>
      <c r="HB836">
        <v>0</v>
      </c>
      <c r="HC836">
        <f t="shared" si="784"/>
        <v>0</v>
      </c>
      <c r="HE836" t="s">
        <v>26</v>
      </c>
      <c r="HF836" t="s">
        <v>122</v>
      </c>
      <c r="HM836" t="s">
        <v>3</v>
      </c>
      <c r="IK836">
        <v>0</v>
      </c>
    </row>
    <row r="837" spans="1:245" x14ac:dyDescent="0.2">
      <c r="A837">
        <v>17</v>
      </c>
      <c r="B837">
        <v>1</v>
      </c>
      <c r="E837" t="s">
        <v>944</v>
      </c>
      <c r="F837" t="s">
        <v>118</v>
      </c>
      <c r="G837" t="s">
        <v>945</v>
      </c>
      <c r="H837" t="s">
        <v>169</v>
      </c>
      <c r="I837">
        <v>10</v>
      </c>
      <c r="J837">
        <v>0</v>
      </c>
      <c r="K837">
        <v>10</v>
      </c>
      <c r="O837">
        <f t="shared" si="745"/>
        <v>1548700.33</v>
      </c>
      <c r="P837">
        <f t="shared" si="746"/>
        <v>1548700.33</v>
      </c>
      <c r="Q837">
        <f t="shared" si="747"/>
        <v>0</v>
      </c>
      <c r="R837">
        <f t="shared" si="748"/>
        <v>0</v>
      </c>
      <c r="S837">
        <f t="shared" si="749"/>
        <v>0</v>
      </c>
      <c r="T837">
        <f t="shared" si="750"/>
        <v>0</v>
      </c>
      <c r="U837">
        <f t="shared" si="751"/>
        <v>0</v>
      </c>
      <c r="V837">
        <f t="shared" si="752"/>
        <v>0</v>
      </c>
      <c r="W837">
        <f t="shared" si="753"/>
        <v>0</v>
      </c>
      <c r="X837">
        <f t="shared" si="754"/>
        <v>0</v>
      </c>
      <c r="Y837">
        <f t="shared" si="755"/>
        <v>0</v>
      </c>
      <c r="AA837">
        <v>42938047</v>
      </c>
      <c r="AB837">
        <f t="shared" si="756"/>
        <v>24427.45</v>
      </c>
      <c r="AC837">
        <f t="shared" si="757"/>
        <v>24427.45</v>
      </c>
      <c r="AD837">
        <f t="shared" si="758"/>
        <v>0</v>
      </c>
      <c r="AE837">
        <f t="shared" si="759"/>
        <v>0</v>
      </c>
      <c r="AF837">
        <f t="shared" si="760"/>
        <v>0</v>
      </c>
      <c r="AG837">
        <f t="shared" si="761"/>
        <v>0</v>
      </c>
      <c r="AH837">
        <f t="shared" si="762"/>
        <v>0</v>
      </c>
      <c r="AI837">
        <f t="shared" si="763"/>
        <v>0</v>
      </c>
      <c r="AJ837">
        <f t="shared" si="764"/>
        <v>0</v>
      </c>
      <c r="AK837">
        <v>24427.45</v>
      </c>
      <c r="AL837">
        <v>24427.45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1</v>
      </c>
      <c r="AW837">
        <v>1</v>
      </c>
      <c r="AZ837">
        <v>1</v>
      </c>
      <c r="BA837">
        <v>1</v>
      </c>
      <c r="BB837">
        <v>1</v>
      </c>
      <c r="BC837">
        <v>6.34</v>
      </c>
      <c r="BD837" t="s">
        <v>3</v>
      </c>
      <c r="BE837" t="s">
        <v>3</v>
      </c>
      <c r="BF837" t="s">
        <v>3</v>
      </c>
      <c r="BG837" t="s">
        <v>3</v>
      </c>
      <c r="BH837">
        <v>3</v>
      </c>
      <c r="BI837">
        <v>1</v>
      </c>
      <c r="BJ837" t="s">
        <v>3</v>
      </c>
      <c r="BM837">
        <v>400002</v>
      </c>
      <c r="BN837">
        <v>0</v>
      </c>
      <c r="BO837" t="s">
        <v>3</v>
      </c>
      <c r="BP837">
        <v>0</v>
      </c>
      <c r="BQ837">
        <v>202</v>
      </c>
      <c r="BR837">
        <v>0</v>
      </c>
      <c r="BS837">
        <v>1</v>
      </c>
      <c r="BT837">
        <v>1</v>
      </c>
      <c r="BU837">
        <v>1</v>
      </c>
      <c r="BV837">
        <v>1</v>
      </c>
      <c r="BW837">
        <v>1</v>
      </c>
      <c r="BX837">
        <v>1</v>
      </c>
      <c r="BY837" t="s">
        <v>3</v>
      </c>
      <c r="BZ837">
        <v>0</v>
      </c>
      <c r="CA837">
        <v>0</v>
      </c>
      <c r="CB837" t="s">
        <v>3</v>
      </c>
      <c r="CE837">
        <v>30</v>
      </c>
      <c r="CF837">
        <v>0</v>
      </c>
      <c r="CG837">
        <v>0</v>
      </c>
      <c r="CM837">
        <v>0</v>
      </c>
      <c r="CN837" t="s">
        <v>3</v>
      </c>
      <c r="CO837">
        <v>0</v>
      </c>
      <c r="CP837">
        <f t="shared" si="765"/>
        <v>1548700.33</v>
      </c>
      <c r="CQ837">
        <f t="shared" si="766"/>
        <v>154870.03</v>
      </c>
      <c r="CR837">
        <f t="shared" si="767"/>
        <v>0</v>
      </c>
      <c r="CS837">
        <f t="shared" si="768"/>
        <v>0</v>
      </c>
      <c r="CT837">
        <f t="shared" si="769"/>
        <v>0</v>
      </c>
      <c r="CU837">
        <f t="shared" si="770"/>
        <v>0</v>
      </c>
      <c r="CV837">
        <f t="shared" si="771"/>
        <v>0</v>
      </c>
      <c r="CW837">
        <f t="shared" si="772"/>
        <v>0</v>
      </c>
      <c r="CX837">
        <f t="shared" si="773"/>
        <v>0</v>
      </c>
      <c r="CY837">
        <f t="shared" si="774"/>
        <v>0</v>
      </c>
      <c r="CZ837">
        <f t="shared" si="775"/>
        <v>0</v>
      </c>
      <c r="DC837" t="s">
        <v>3</v>
      </c>
      <c r="DD837" t="s">
        <v>3</v>
      </c>
      <c r="DE837" t="s">
        <v>3</v>
      </c>
      <c r="DF837" t="s">
        <v>3</v>
      </c>
      <c r="DG837" t="s">
        <v>3</v>
      </c>
      <c r="DH837" t="s">
        <v>3</v>
      </c>
      <c r="DI837" t="s">
        <v>3</v>
      </c>
      <c r="DJ837" t="s">
        <v>3</v>
      </c>
      <c r="DK837" t="s">
        <v>3</v>
      </c>
      <c r="DL837" t="s">
        <v>3</v>
      </c>
      <c r="DM837" t="s">
        <v>3</v>
      </c>
      <c r="DN837">
        <v>0</v>
      </c>
      <c r="DO837">
        <v>0</v>
      </c>
      <c r="DP837">
        <v>1</v>
      </c>
      <c r="DQ837">
        <v>1</v>
      </c>
      <c r="DU837">
        <v>1010</v>
      </c>
      <c r="DV837" t="s">
        <v>169</v>
      </c>
      <c r="DW837" t="s">
        <v>169</v>
      </c>
      <c r="DX837">
        <v>1</v>
      </c>
      <c r="DZ837" t="s">
        <v>3</v>
      </c>
      <c r="EA837" t="s">
        <v>3</v>
      </c>
      <c r="EB837" t="s">
        <v>3</v>
      </c>
      <c r="EC837" t="s">
        <v>3</v>
      </c>
      <c r="EE837">
        <v>43090149</v>
      </c>
      <c r="EF837">
        <v>202</v>
      </c>
      <c r="EG837" t="s">
        <v>346</v>
      </c>
      <c r="EH837">
        <v>0</v>
      </c>
      <c r="EI837" t="s">
        <v>3</v>
      </c>
      <c r="EJ837">
        <v>1</v>
      </c>
      <c r="EK837">
        <v>400002</v>
      </c>
      <c r="EL837" t="s">
        <v>347</v>
      </c>
      <c r="EM837" t="s">
        <v>346</v>
      </c>
      <c r="EO837" t="s">
        <v>3</v>
      </c>
      <c r="EQ837">
        <v>0</v>
      </c>
      <c r="ER837">
        <v>24427.45</v>
      </c>
      <c r="ES837">
        <v>24427.45</v>
      </c>
      <c r="ET837">
        <v>0</v>
      </c>
      <c r="EU837">
        <v>0</v>
      </c>
      <c r="EV837">
        <v>0</v>
      </c>
      <c r="EW837">
        <v>0</v>
      </c>
      <c r="EX837">
        <v>0</v>
      </c>
      <c r="EY837">
        <v>0</v>
      </c>
      <c r="EZ837">
        <v>5</v>
      </c>
      <c r="FC837">
        <v>1</v>
      </c>
      <c r="FD837">
        <v>18</v>
      </c>
      <c r="FF837">
        <v>182200</v>
      </c>
      <c r="FQ837">
        <v>0</v>
      </c>
      <c r="FR837">
        <f t="shared" si="776"/>
        <v>0</v>
      </c>
      <c r="FS837">
        <v>0</v>
      </c>
      <c r="FX837">
        <v>0</v>
      </c>
      <c r="FY837">
        <v>0</v>
      </c>
      <c r="GA837" t="s">
        <v>946</v>
      </c>
      <c r="GD837">
        <v>0</v>
      </c>
      <c r="GF837">
        <v>1997385639</v>
      </c>
      <c r="GG837">
        <v>2</v>
      </c>
      <c r="GH837">
        <v>3</v>
      </c>
      <c r="GI837">
        <v>3</v>
      </c>
      <c r="GJ837">
        <v>0</v>
      </c>
      <c r="GK837">
        <f>ROUND(R837*(R12)/100,2)</f>
        <v>0</v>
      </c>
      <c r="GL837">
        <f t="shared" si="777"/>
        <v>0</v>
      </c>
      <c r="GM837">
        <f t="shared" si="778"/>
        <v>1548700.33</v>
      </c>
      <c r="GN837">
        <f t="shared" si="779"/>
        <v>1548700.33</v>
      </c>
      <c r="GO837">
        <f t="shared" si="780"/>
        <v>0</v>
      </c>
      <c r="GP837">
        <f t="shared" si="781"/>
        <v>0</v>
      </c>
      <c r="GR837">
        <v>1</v>
      </c>
      <c r="GS837">
        <v>1</v>
      </c>
      <c r="GT837">
        <v>0</v>
      </c>
      <c r="GU837" t="s">
        <v>3</v>
      </c>
      <c r="GV837">
        <f t="shared" si="782"/>
        <v>0</v>
      </c>
      <c r="GW837">
        <v>1</v>
      </c>
      <c r="GX837">
        <f t="shared" si="783"/>
        <v>0</v>
      </c>
      <c r="HA837">
        <v>0</v>
      </c>
      <c r="HB837">
        <v>0</v>
      </c>
      <c r="HC837">
        <f t="shared" si="784"/>
        <v>0</v>
      </c>
      <c r="HE837" t="s">
        <v>26</v>
      </c>
      <c r="HF837" t="s">
        <v>122</v>
      </c>
      <c r="HM837" t="s">
        <v>3</v>
      </c>
      <c r="IK837">
        <v>0</v>
      </c>
    </row>
    <row r="838" spans="1:245" x14ac:dyDescent="0.2">
      <c r="A838">
        <v>17</v>
      </c>
      <c r="B838">
        <v>1</v>
      </c>
      <c r="E838" t="s">
        <v>947</v>
      </c>
      <c r="F838" t="s">
        <v>118</v>
      </c>
      <c r="G838" t="s">
        <v>948</v>
      </c>
      <c r="H838" t="s">
        <v>169</v>
      </c>
      <c r="I838">
        <v>20</v>
      </c>
      <c r="J838">
        <v>0</v>
      </c>
      <c r="K838">
        <v>20</v>
      </c>
      <c r="O838">
        <f t="shared" si="745"/>
        <v>28900.26</v>
      </c>
      <c r="P838">
        <f t="shared" si="746"/>
        <v>28900.26</v>
      </c>
      <c r="Q838">
        <f t="shared" si="747"/>
        <v>0</v>
      </c>
      <c r="R838">
        <f t="shared" si="748"/>
        <v>0</v>
      </c>
      <c r="S838">
        <f t="shared" si="749"/>
        <v>0</v>
      </c>
      <c r="T838">
        <f t="shared" si="750"/>
        <v>0</v>
      </c>
      <c r="U838">
        <f t="shared" si="751"/>
        <v>0</v>
      </c>
      <c r="V838">
        <f t="shared" si="752"/>
        <v>0</v>
      </c>
      <c r="W838">
        <f t="shared" si="753"/>
        <v>0</v>
      </c>
      <c r="X838">
        <f t="shared" si="754"/>
        <v>0</v>
      </c>
      <c r="Y838">
        <f t="shared" si="755"/>
        <v>0</v>
      </c>
      <c r="AA838">
        <v>42938047</v>
      </c>
      <c r="AB838">
        <f t="shared" si="756"/>
        <v>227.92</v>
      </c>
      <c r="AC838">
        <f t="shared" si="757"/>
        <v>227.92</v>
      </c>
      <c r="AD838">
        <f t="shared" si="758"/>
        <v>0</v>
      </c>
      <c r="AE838">
        <f t="shared" si="759"/>
        <v>0</v>
      </c>
      <c r="AF838">
        <f t="shared" si="760"/>
        <v>0</v>
      </c>
      <c r="AG838">
        <f t="shared" si="761"/>
        <v>0</v>
      </c>
      <c r="AH838">
        <f t="shared" si="762"/>
        <v>0</v>
      </c>
      <c r="AI838">
        <f t="shared" si="763"/>
        <v>0</v>
      </c>
      <c r="AJ838">
        <f t="shared" si="764"/>
        <v>0</v>
      </c>
      <c r="AK838">
        <v>227.92</v>
      </c>
      <c r="AL838">
        <v>227.92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1</v>
      </c>
      <c r="AW838">
        <v>1</v>
      </c>
      <c r="AZ838">
        <v>1</v>
      </c>
      <c r="BA838">
        <v>1</v>
      </c>
      <c r="BB838">
        <v>1</v>
      </c>
      <c r="BC838">
        <v>6.34</v>
      </c>
      <c r="BD838" t="s">
        <v>3</v>
      </c>
      <c r="BE838" t="s">
        <v>3</v>
      </c>
      <c r="BF838" t="s">
        <v>3</v>
      </c>
      <c r="BG838" t="s">
        <v>3</v>
      </c>
      <c r="BH838">
        <v>3</v>
      </c>
      <c r="BI838">
        <v>1</v>
      </c>
      <c r="BJ838" t="s">
        <v>3</v>
      </c>
      <c r="BM838">
        <v>400002</v>
      </c>
      <c r="BN838">
        <v>0</v>
      </c>
      <c r="BO838" t="s">
        <v>3</v>
      </c>
      <c r="BP838">
        <v>0</v>
      </c>
      <c r="BQ838">
        <v>202</v>
      </c>
      <c r="BR838">
        <v>0</v>
      </c>
      <c r="BS838">
        <v>1</v>
      </c>
      <c r="BT838">
        <v>1</v>
      </c>
      <c r="BU838">
        <v>1</v>
      </c>
      <c r="BV838">
        <v>1</v>
      </c>
      <c r="BW838">
        <v>1</v>
      </c>
      <c r="BX838">
        <v>1</v>
      </c>
      <c r="BY838" t="s">
        <v>3</v>
      </c>
      <c r="BZ838">
        <v>0</v>
      </c>
      <c r="CA838">
        <v>0</v>
      </c>
      <c r="CB838" t="s">
        <v>3</v>
      </c>
      <c r="CE838">
        <v>30</v>
      </c>
      <c r="CF838">
        <v>0</v>
      </c>
      <c r="CG838">
        <v>0</v>
      </c>
      <c r="CM838">
        <v>0</v>
      </c>
      <c r="CN838" t="s">
        <v>3</v>
      </c>
      <c r="CO838">
        <v>0</v>
      </c>
      <c r="CP838">
        <f t="shared" si="765"/>
        <v>28900.26</v>
      </c>
      <c r="CQ838">
        <f t="shared" si="766"/>
        <v>1445.01</v>
      </c>
      <c r="CR838">
        <f t="shared" si="767"/>
        <v>0</v>
      </c>
      <c r="CS838">
        <f t="shared" si="768"/>
        <v>0</v>
      </c>
      <c r="CT838">
        <f t="shared" si="769"/>
        <v>0</v>
      </c>
      <c r="CU838">
        <f t="shared" si="770"/>
        <v>0</v>
      </c>
      <c r="CV838">
        <f t="shared" si="771"/>
        <v>0</v>
      </c>
      <c r="CW838">
        <f t="shared" si="772"/>
        <v>0</v>
      </c>
      <c r="CX838">
        <f t="shared" si="773"/>
        <v>0</v>
      </c>
      <c r="CY838">
        <f t="shared" si="774"/>
        <v>0</v>
      </c>
      <c r="CZ838">
        <f t="shared" si="775"/>
        <v>0</v>
      </c>
      <c r="DC838" t="s">
        <v>3</v>
      </c>
      <c r="DD838" t="s">
        <v>3</v>
      </c>
      <c r="DE838" t="s">
        <v>3</v>
      </c>
      <c r="DF838" t="s">
        <v>3</v>
      </c>
      <c r="DG838" t="s">
        <v>3</v>
      </c>
      <c r="DH838" t="s">
        <v>3</v>
      </c>
      <c r="DI838" t="s">
        <v>3</v>
      </c>
      <c r="DJ838" t="s">
        <v>3</v>
      </c>
      <c r="DK838" t="s">
        <v>3</v>
      </c>
      <c r="DL838" t="s">
        <v>3</v>
      </c>
      <c r="DM838" t="s">
        <v>3</v>
      </c>
      <c r="DN838">
        <v>0</v>
      </c>
      <c r="DO838">
        <v>0</v>
      </c>
      <c r="DP838">
        <v>1</v>
      </c>
      <c r="DQ838">
        <v>1</v>
      </c>
      <c r="DU838">
        <v>1010</v>
      </c>
      <c r="DV838" t="s">
        <v>169</v>
      </c>
      <c r="DW838" t="s">
        <v>169</v>
      </c>
      <c r="DX838">
        <v>1</v>
      </c>
      <c r="DZ838" t="s">
        <v>3</v>
      </c>
      <c r="EA838" t="s">
        <v>3</v>
      </c>
      <c r="EB838" t="s">
        <v>3</v>
      </c>
      <c r="EC838" t="s">
        <v>3</v>
      </c>
      <c r="EE838">
        <v>43090149</v>
      </c>
      <c r="EF838">
        <v>202</v>
      </c>
      <c r="EG838" t="s">
        <v>346</v>
      </c>
      <c r="EH838">
        <v>0</v>
      </c>
      <c r="EI838" t="s">
        <v>3</v>
      </c>
      <c r="EJ838">
        <v>1</v>
      </c>
      <c r="EK838">
        <v>400002</v>
      </c>
      <c r="EL838" t="s">
        <v>347</v>
      </c>
      <c r="EM838" t="s">
        <v>346</v>
      </c>
      <c r="EO838" t="s">
        <v>3</v>
      </c>
      <c r="EQ838">
        <v>0</v>
      </c>
      <c r="ER838">
        <v>227.92</v>
      </c>
      <c r="ES838">
        <v>227.92</v>
      </c>
      <c r="ET838">
        <v>0</v>
      </c>
      <c r="EU838">
        <v>0</v>
      </c>
      <c r="EV838">
        <v>0</v>
      </c>
      <c r="EW838">
        <v>0</v>
      </c>
      <c r="EX838">
        <v>0</v>
      </c>
      <c r="EY838">
        <v>0</v>
      </c>
      <c r="EZ838">
        <v>5</v>
      </c>
      <c r="FC838">
        <v>1</v>
      </c>
      <c r="FD838">
        <v>18</v>
      </c>
      <c r="FF838">
        <v>1700</v>
      </c>
      <c r="FQ838">
        <v>0</v>
      </c>
      <c r="FR838">
        <f t="shared" si="776"/>
        <v>0</v>
      </c>
      <c r="FS838">
        <v>0</v>
      </c>
      <c r="FX838">
        <v>0</v>
      </c>
      <c r="FY838">
        <v>0</v>
      </c>
      <c r="GA838" t="s">
        <v>949</v>
      </c>
      <c r="GD838">
        <v>0</v>
      </c>
      <c r="GF838">
        <v>-755868815</v>
      </c>
      <c r="GG838">
        <v>2</v>
      </c>
      <c r="GH838">
        <v>3</v>
      </c>
      <c r="GI838">
        <v>3</v>
      </c>
      <c r="GJ838">
        <v>0</v>
      </c>
      <c r="GK838">
        <f>ROUND(R838*(R12)/100,2)</f>
        <v>0</v>
      </c>
      <c r="GL838">
        <f t="shared" si="777"/>
        <v>0</v>
      </c>
      <c r="GM838">
        <f t="shared" si="778"/>
        <v>28900.26</v>
      </c>
      <c r="GN838">
        <f t="shared" si="779"/>
        <v>28900.26</v>
      </c>
      <c r="GO838">
        <f t="shared" si="780"/>
        <v>0</v>
      </c>
      <c r="GP838">
        <f t="shared" si="781"/>
        <v>0</v>
      </c>
      <c r="GR838">
        <v>1</v>
      </c>
      <c r="GS838">
        <v>1</v>
      </c>
      <c r="GT838">
        <v>0</v>
      </c>
      <c r="GU838" t="s">
        <v>3</v>
      </c>
      <c r="GV838">
        <f t="shared" si="782"/>
        <v>0</v>
      </c>
      <c r="GW838">
        <v>1</v>
      </c>
      <c r="GX838">
        <f t="shared" si="783"/>
        <v>0</v>
      </c>
      <c r="HA838">
        <v>0</v>
      </c>
      <c r="HB838">
        <v>0</v>
      </c>
      <c r="HC838">
        <f t="shared" si="784"/>
        <v>0</v>
      </c>
      <c r="HE838" t="s">
        <v>26</v>
      </c>
      <c r="HF838" t="s">
        <v>122</v>
      </c>
      <c r="HM838" t="s">
        <v>3</v>
      </c>
      <c r="IK838">
        <v>0</v>
      </c>
    </row>
    <row r="839" spans="1:245" x14ac:dyDescent="0.2">
      <c r="A839">
        <v>17</v>
      </c>
      <c r="B839">
        <v>1</v>
      </c>
      <c r="C839">
        <f>ROW(SmtRes!A448)</f>
        <v>448</v>
      </c>
      <c r="D839">
        <f>ROW(EtalonRes!A444)</f>
        <v>444</v>
      </c>
      <c r="E839" t="s">
        <v>950</v>
      </c>
      <c r="F839" t="s">
        <v>204</v>
      </c>
      <c r="G839" t="s">
        <v>205</v>
      </c>
      <c r="H839" t="s">
        <v>104</v>
      </c>
      <c r="I839">
        <v>45</v>
      </c>
      <c r="J839">
        <v>0</v>
      </c>
      <c r="K839">
        <v>45</v>
      </c>
      <c r="O839">
        <f t="shared" si="745"/>
        <v>25274.7</v>
      </c>
      <c r="P839">
        <f t="shared" si="746"/>
        <v>0</v>
      </c>
      <c r="Q839">
        <f t="shared" si="747"/>
        <v>25274.7</v>
      </c>
      <c r="R839">
        <f t="shared" si="748"/>
        <v>0</v>
      </c>
      <c r="S839">
        <f t="shared" si="749"/>
        <v>0</v>
      </c>
      <c r="T839">
        <f t="shared" si="750"/>
        <v>0</v>
      </c>
      <c r="U839">
        <f t="shared" si="751"/>
        <v>0</v>
      </c>
      <c r="V839">
        <f t="shared" si="752"/>
        <v>0</v>
      </c>
      <c r="W839">
        <f t="shared" si="753"/>
        <v>0</v>
      </c>
      <c r="X839">
        <f t="shared" si="754"/>
        <v>0</v>
      </c>
      <c r="Y839">
        <f t="shared" si="755"/>
        <v>0</v>
      </c>
      <c r="AA839">
        <v>42938047</v>
      </c>
      <c r="AB839">
        <f t="shared" si="756"/>
        <v>46</v>
      </c>
      <c r="AC839">
        <f t="shared" si="757"/>
        <v>0</v>
      </c>
      <c r="AD839">
        <f t="shared" si="758"/>
        <v>46</v>
      </c>
      <c r="AE839">
        <f t="shared" si="759"/>
        <v>0</v>
      </c>
      <c r="AF839">
        <f t="shared" si="760"/>
        <v>0</v>
      </c>
      <c r="AG839">
        <f t="shared" si="761"/>
        <v>0</v>
      </c>
      <c r="AH839">
        <f t="shared" si="762"/>
        <v>0</v>
      </c>
      <c r="AI839">
        <f t="shared" si="763"/>
        <v>0</v>
      </c>
      <c r="AJ839">
        <f t="shared" si="764"/>
        <v>0</v>
      </c>
      <c r="AK839">
        <v>46</v>
      </c>
      <c r="AL839">
        <v>0</v>
      </c>
      <c r="AM839">
        <v>46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93</v>
      </c>
      <c r="AU839">
        <v>64</v>
      </c>
      <c r="AV839">
        <v>1</v>
      </c>
      <c r="AW839">
        <v>1</v>
      </c>
      <c r="AZ839">
        <v>1</v>
      </c>
      <c r="BA839">
        <v>1</v>
      </c>
      <c r="BB839">
        <v>12.21</v>
      </c>
      <c r="BC839">
        <v>1</v>
      </c>
      <c r="BD839" t="s">
        <v>3</v>
      </c>
      <c r="BE839" t="s">
        <v>3</v>
      </c>
      <c r="BF839" t="s">
        <v>3</v>
      </c>
      <c r="BG839" t="s">
        <v>3</v>
      </c>
      <c r="BH839">
        <v>0</v>
      </c>
      <c r="BI839">
        <v>4</v>
      </c>
      <c r="BJ839" t="s">
        <v>206</v>
      </c>
      <c r="BM839">
        <v>1111</v>
      </c>
      <c r="BN839">
        <v>0</v>
      </c>
      <c r="BO839" t="s">
        <v>204</v>
      </c>
      <c r="BP839">
        <v>1</v>
      </c>
      <c r="BQ839">
        <v>150</v>
      </c>
      <c r="BR839">
        <v>0</v>
      </c>
      <c r="BS839">
        <v>1</v>
      </c>
      <c r="BT839">
        <v>1</v>
      </c>
      <c r="BU839">
        <v>1</v>
      </c>
      <c r="BV839">
        <v>1</v>
      </c>
      <c r="BW839">
        <v>1</v>
      </c>
      <c r="BX839">
        <v>1</v>
      </c>
      <c r="BY839" t="s">
        <v>3</v>
      </c>
      <c r="BZ839">
        <v>93</v>
      </c>
      <c r="CA839">
        <v>64</v>
      </c>
      <c r="CB839" t="s">
        <v>3</v>
      </c>
      <c r="CE839">
        <v>30</v>
      </c>
      <c r="CF839">
        <v>0</v>
      </c>
      <c r="CG839">
        <v>0</v>
      </c>
      <c r="CM839">
        <v>0</v>
      </c>
      <c r="CN839" t="s">
        <v>3</v>
      </c>
      <c r="CO839">
        <v>0</v>
      </c>
      <c r="CP839">
        <f t="shared" si="765"/>
        <v>25274.7</v>
      </c>
      <c r="CQ839">
        <f t="shared" si="766"/>
        <v>0</v>
      </c>
      <c r="CR839">
        <f t="shared" si="767"/>
        <v>561.66</v>
      </c>
      <c r="CS839">
        <f t="shared" si="768"/>
        <v>0</v>
      </c>
      <c r="CT839">
        <f t="shared" si="769"/>
        <v>0</v>
      </c>
      <c r="CU839">
        <f t="shared" si="770"/>
        <v>0</v>
      </c>
      <c r="CV839">
        <f t="shared" si="771"/>
        <v>0</v>
      </c>
      <c r="CW839">
        <f t="shared" si="772"/>
        <v>0</v>
      </c>
      <c r="CX839">
        <f t="shared" si="773"/>
        <v>0</v>
      </c>
      <c r="CY839">
        <f t="shared" si="774"/>
        <v>0</v>
      </c>
      <c r="CZ839">
        <f t="shared" si="775"/>
        <v>0</v>
      </c>
      <c r="DC839" t="s">
        <v>3</v>
      </c>
      <c r="DD839" t="s">
        <v>3</v>
      </c>
      <c r="DE839" t="s">
        <v>3</v>
      </c>
      <c r="DF839" t="s">
        <v>3</v>
      </c>
      <c r="DG839" t="s">
        <v>3</v>
      </c>
      <c r="DH839" t="s">
        <v>3</v>
      </c>
      <c r="DI839" t="s">
        <v>3</v>
      </c>
      <c r="DJ839" t="s">
        <v>3</v>
      </c>
      <c r="DK839" t="s">
        <v>3</v>
      </c>
      <c r="DL839" t="s">
        <v>3</v>
      </c>
      <c r="DM839" t="s">
        <v>3</v>
      </c>
      <c r="DN839">
        <v>0</v>
      </c>
      <c r="DO839">
        <v>0</v>
      </c>
      <c r="DP839">
        <v>1</v>
      </c>
      <c r="DQ839">
        <v>1</v>
      </c>
      <c r="DU839">
        <v>1009</v>
      </c>
      <c r="DV839" t="s">
        <v>104</v>
      </c>
      <c r="DW839" t="s">
        <v>104</v>
      </c>
      <c r="DX839">
        <v>1000</v>
      </c>
      <c r="DZ839" t="s">
        <v>3</v>
      </c>
      <c r="EA839" t="s">
        <v>3</v>
      </c>
      <c r="EB839" t="s">
        <v>3</v>
      </c>
      <c r="EC839" t="s">
        <v>3</v>
      </c>
      <c r="EE839">
        <v>43089189</v>
      </c>
      <c r="EF839">
        <v>150</v>
      </c>
      <c r="EG839" t="s">
        <v>190</v>
      </c>
      <c r="EH839">
        <v>0</v>
      </c>
      <c r="EI839" t="s">
        <v>3</v>
      </c>
      <c r="EJ839">
        <v>4</v>
      </c>
      <c r="EK839">
        <v>1111</v>
      </c>
      <c r="EL839" t="s">
        <v>207</v>
      </c>
      <c r="EM839" t="s">
        <v>208</v>
      </c>
      <c r="EO839" t="s">
        <v>3</v>
      </c>
      <c r="EQ839">
        <v>0</v>
      </c>
      <c r="ER839">
        <v>46</v>
      </c>
      <c r="ES839">
        <v>0</v>
      </c>
      <c r="ET839">
        <v>46</v>
      </c>
      <c r="EU839">
        <v>0</v>
      </c>
      <c r="EV839">
        <v>0</v>
      </c>
      <c r="EW839">
        <v>0</v>
      </c>
      <c r="EX839">
        <v>0</v>
      </c>
      <c r="EY839">
        <v>0</v>
      </c>
      <c r="FQ839">
        <v>0</v>
      </c>
      <c r="FR839">
        <f t="shared" si="776"/>
        <v>0</v>
      </c>
      <c r="FS839">
        <v>0</v>
      </c>
      <c r="FX839">
        <v>0</v>
      </c>
      <c r="FY839">
        <v>0</v>
      </c>
      <c r="GA839" t="s">
        <v>3</v>
      </c>
      <c r="GD839">
        <v>0</v>
      </c>
      <c r="GF839">
        <v>1570066743</v>
      </c>
      <c r="GG839">
        <v>2</v>
      </c>
      <c r="GH839">
        <v>1</v>
      </c>
      <c r="GI839">
        <v>2</v>
      </c>
      <c r="GJ839">
        <v>0</v>
      </c>
      <c r="GK839">
        <f>ROUND(R839*(R12)/100,2)</f>
        <v>0</v>
      </c>
      <c r="GL839">
        <f t="shared" si="777"/>
        <v>0</v>
      </c>
      <c r="GM839">
        <f t="shared" si="778"/>
        <v>25274.7</v>
      </c>
      <c r="GN839">
        <f t="shared" si="779"/>
        <v>0</v>
      </c>
      <c r="GO839">
        <f t="shared" si="780"/>
        <v>0</v>
      </c>
      <c r="GP839">
        <f t="shared" si="781"/>
        <v>25274.7</v>
      </c>
      <c r="GR839">
        <v>0</v>
      </c>
      <c r="GS839">
        <v>3</v>
      </c>
      <c r="GT839">
        <v>0</v>
      </c>
      <c r="GU839" t="s">
        <v>3</v>
      </c>
      <c r="GV839">
        <f t="shared" si="782"/>
        <v>0</v>
      </c>
      <c r="GW839">
        <v>1</v>
      </c>
      <c r="GX839">
        <f t="shared" si="783"/>
        <v>0</v>
      </c>
      <c r="HA839">
        <v>0</v>
      </c>
      <c r="HB839">
        <v>0</v>
      </c>
      <c r="HC839">
        <f t="shared" si="784"/>
        <v>0</v>
      </c>
      <c r="HE839" t="s">
        <v>3</v>
      </c>
      <c r="HF839" t="s">
        <v>3</v>
      </c>
      <c r="HM839" t="s">
        <v>3</v>
      </c>
      <c r="IK839">
        <v>0</v>
      </c>
    </row>
    <row r="840" spans="1:245" x14ac:dyDescent="0.2">
      <c r="A840">
        <v>17</v>
      </c>
      <c r="B840">
        <v>1</v>
      </c>
      <c r="C840">
        <f>ROW(SmtRes!A449)</f>
        <v>449</v>
      </c>
      <c r="D840">
        <f>ROW(EtalonRes!A445)</f>
        <v>445</v>
      </c>
      <c r="E840" t="s">
        <v>951</v>
      </c>
      <c r="F840" t="s">
        <v>210</v>
      </c>
      <c r="G840" t="s">
        <v>211</v>
      </c>
      <c r="H840" t="s">
        <v>182</v>
      </c>
      <c r="I840">
        <v>45</v>
      </c>
      <c r="J840">
        <v>0</v>
      </c>
      <c r="K840">
        <v>45</v>
      </c>
      <c r="O840">
        <f t="shared" si="745"/>
        <v>4329.6400000000003</v>
      </c>
      <c r="P840">
        <f t="shared" si="746"/>
        <v>0</v>
      </c>
      <c r="Q840">
        <f t="shared" si="747"/>
        <v>4329.6400000000003</v>
      </c>
      <c r="R840">
        <f t="shared" si="748"/>
        <v>0</v>
      </c>
      <c r="S840">
        <f t="shared" si="749"/>
        <v>0</v>
      </c>
      <c r="T840">
        <f t="shared" si="750"/>
        <v>0</v>
      </c>
      <c r="U840">
        <f t="shared" si="751"/>
        <v>0</v>
      </c>
      <c r="V840">
        <f t="shared" si="752"/>
        <v>0</v>
      </c>
      <c r="W840">
        <f t="shared" si="753"/>
        <v>0</v>
      </c>
      <c r="X840">
        <f t="shared" si="754"/>
        <v>0</v>
      </c>
      <c r="Y840">
        <f t="shared" si="755"/>
        <v>0</v>
      </c>
      <c r="AA840">
        <v>42938047</v>
      </c>
      <c r="AB840">
        <f t="shared" si="756"/>
        <v>12.61</v>
      </c>
      <c r="AC840">
        <f t="shared" si="757"/>
        <v>0</v>
      </c>
      <c r="AD840">
        <f t="shared" si="758"/>
        <v>12.61</v>
      </c>
      <c r="AE840">
        <f t="shared" si="759"/>
        <v>0</v>
      </c>
      <c r="AF840">
        <f t="shared" si="760"/>
        <v>0</v>
      </c>
      <c r="AG840">
        <f t="shared" si="761"/>
        <v>0</v>
      </c>
      <c r="AH840">
        <f t="shared" si="762"/>
        <v>0</v>
      </c>
      <c r="AI840">
        <f t="shared" si="763"/>
        <v>0</v>
      </c>
      <c r="AJ840">
        <f t="shared" si="764"/>
        <v>0</v>
      </c>
      <c r="AK840">
        <v>12.61</v>
      </c>
      <c r="AL840">
        <v>0</v>
      </c>
      <c r="AM840">
        <v>12.61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93</v>
      </c>
      <c r="AU840">
        <v>64</v>
      </c>
      <c r="AV840">
        <v>1</v>
      </c>
      <c r="AW840">
        <v>1</v>
      </c>
      <c r="AZ840">
        <v>1</v>
      </c>
      <c r="BA840">
        <v>1</v>
      </c>
      <c r="BB840">
        <v>7.63</v>
      </c>
      <c r="BC840">
        <v>1</v>
      </c>
      <c r="BD840" t="s">
        <v>3</v>
      </c>
      <c r="BE840" t="s">
        <v>3</v>
      </c>
      <c r="BF840" t="s">
        <v>3</v>
      </c>
      <c r="BG840" t="s">
        <v>3</v>
      </c>
      <c r="BH840">
        <v>0</v>
      </c>
      <c r="BI840">
        <v>4</v>
      </c>
      <c r="BJ840" t="s">
        <v>212</v>
      </c>
      <c r="BM840">
        <v>1113</v>
      </c>
      <c r="BN840">
        <v>0</v>
      </c>
      <c r="BO840" t="s">
        <v>210</v>
      </c>
      <c r="BP840">
        <v>1</v>
      </c>
      <c r="BQ840">
        <v>150</v>
      </c>
      <c r="BR840">
        <v>0</v>
      </c>
      <c r="BS840">
        <v>1</v>
      </c>
      <c r="BT840">
        <v>1</v>
      </c>
      <c r="BU840">
        <v>1</v>
      </c>
      <c r="BV840">
        <v>1</v>
      </c>
      <c r="BW840">
        <v>1</v>
      </c>
      <c r="BX840">
        <v>1</v>
      </c>
      <c r="BY840" t="s">
        <v>3</v>
      </c>
      <c r="BZ840">
        <v>93</v>
      </c>
      <c r="CA840">
        <v>64</v>
      </c>
      <c r="CB840" t="s">
        <v>3</v>
      </c>
      <c r="CE840">
        <v>30</v>
      </c>
      <c r="CF840">
        <v>0</v>
      </c>
      <c r="CG840">
        <v>0</v>
      </c>
      <c r="CM840">
        <v>0</v>
      </c>
      <c r="CN840" t="s">
        <v>3</v>
      </c>
      <c r="CO840">
        <v>0</v>
      </c>
      <c r="CP840">
        <f t="shared" si="765"/>
        <v>4329.6400000000003</v>
      </c>
      <c r="CQ840">
        <f t="shared" si="766"/>
        <v>0</v>
      </c>
      <c r="CR840">
        <f t="shared" si="767"/>
        <v>96.21</v>
      </c>
      <c r="CS840">
        <f t="shared" si="768"/>
        <v>0</v>
      </c>
      <c r="CT840">
        <f t="shared" si="769"/>
        <v>0</v>
      </c>
      <c r="CU840">
        <f t="shared" si="770"/>
        <v>0</v>
      </c>
      <c r="CV840">
        <f t="shared" si="771"/>
        <v>0</v>
      </c>
      <c r="CW840">
        <f t="shared" si="772"/>
        <v>0</v>
      </c>
      <c r="CX840">
        <f t="shared" si="773"/>
        <v>0</v>
      </c>
      <c r="CY840">
        <f t="shared" si="774"/>
        <v>0</v>
      </c>
      <c r="CZ840">
        <f t="shared" si="775"/>
        <v>0</v>
      </c>
      <c r="DC840" t="s">
        <v>3</v>
      </c>
      <c r="DD840" t="s">
        <v>3</v>
      </c>
      <c r="DE840" t="s">
        <v>3</v>
      </c>
      <c r="DF840" t="s">
        <v>3</v>
      </c>
      <c r="DG840" t="s">
        <v>3</v>
      </c>
      <c r="DH840" t="s">
        <v>3</v>
      </c>
      <c r="DI840" t="s">
        <v>3</v>
      </c>
      <c r="DJ840" t="s">
        <v>3</v>
      </c>
      <c r="DK840" t="s">
        <v>3</v>
      </c>
      <c r="DL840" t="s">
        <v>3</v>
      </c>
      <c r="DM840" t="s">
        <v>3</v>
      </c>
      <c r="DN840">
        <v>0</v>
      </c>
      <c r="DO840">
        <v>0</v>
      </c>
      <c r="DP840">
        <v>1</v>
      </c>
      <c r="DQ840">
        <v>1</v>
      </c>
      <c r="DU840">
        <v>1013</v>
      </c>
      <c r="DV840" t="s">
        <v>182</v>
      </c>
      <c r="DW840" t="s">
        <v>182</v>
      </c>
      <c r="DX840">
        <v>1</v>
      </c>
      <c r="DZ840" t="s">
        <v>3</v>
      </c>
      <c r="EA840" t="s">
        <v>3</v>
      </c>
      <c r="EB840" t="s">
        <v>3</v>
      </c>
      <c r="EC840" t="s">
        <v>3</v>
      </c>
      <c r="EE840">
        <v>43089191</v>
      </c>
      <c r="EF840">
        <v>150</v>
      </c>
      <c r="EG840" t="s">
        <v>190</v>
      </c>
      <c r="EH840">
        <v>0</v>
      </c>
      <c r="EI840" t="s">
        <v>3</v>
      </c>
      <c r="EJ840">
        <v>4</v>
      </c>
      <c r="EK840">
        <v>1113</v>
      </c>
      <c r="EL840" t="s">
        <v>191</v>
      </c>
      <c r="EM840" t="s">
        <v>192</v>
      </c>
      <c r="EO840" t="s">
        <v>3</v>
      </c>
      <c r="EQ840">
        <v>0</v>
      </c>
      <c r="ER840">
        <v>12.61</v>
      </c>
      <c r="ES840">
        <v>0</v>
      </c>
      <c r="ET840">
        <v>12.61</v>
      </c>
      <c r="EU840">
        <v>0</v>
      </c>
      <c r="EV840">
        <v>0</v>
      </c>
      <c r="EW840">
        <v>0</v>
      </c>
      <c r="EX840">
        <v>0</v>
      </c>
      <c r="EY840">
        <v>0</v>
      </c>
      <c r="FQ840">
        <v>0</v>
      </c>
      <c r="FR840">
        <f t="shared" si="776"/>
        <v>0</v>
      </c>
      <c r="FS840">
        <v>0</v>
      </c>
      <c r="FX840">
        <v>0</v>
      </c>
      <c r="FY840">
        <v>0</v>
      </c>
      <c r="GA840" t="s">
        <v>3</v>
      </c>
      <c r="GD840">
        <v>0</v>
      </c>
      <c r="GF840">
        <v>-1630031867</v>
      </c>
      <c r="GG840">
        <v>2</v>
      </c>
      <c r="GH840">
        <v>1</v>
      </c>
      <c r="GI840">
        <v>2</v>
      </c>
      <c r="GJ840">
        <v>0</v>
      </c>
      <c r="GK840">
        <f>ROUND(R840*(R12)/100,2)</f>
        <v>0</v>
      </c>
      <c r="GL840">
        <f t="shared" si="777"/>
        <v>0</v>
      </c>
      <c r="GM840">
        <f t="shared" si="778"/>
        <v>4329.6400000000003</v>
      </c>
      <c r="GN840">
        <f t="shared" si="779"/>
        <v>0</v>
      </c>
      <c r="GO840">
        <f t="shared" si="780"/>
        <v>0</v>
      </c>
      <c r="GP840">
        <f t="shared" si="781"/>
        <v>4329.6400000000003</v>
      </c>
      <c r="GR840">
        <v>0</v>
      </c>
      <c r="GS840">
        <v>3</v>
      </c>
      <c r="GT840">
        <v>0</v>
      </c>
      <c r="GU840" t="s">
        <v>3</v>
      </c>
      <c r="GV840">
        <f t="shared" si="782"/>
        <v>0</v>
      </c>
      <c r="GW840">
        <v>1</v>
      </c>
      <c r="GX840">
        <f t="shared" si="783"/>
        <v>0</v>
      </c>
      <c r="HA840">
        <v>0</v>
      </c>
      <c r="HB840">
        <v>0</v>
      </c>
      <c r="HC840">
        <f t="shared" si="784"/>
        <v>0</v>
      </c>
      <c r="HE840" t="s">
        <v>3</v>
      </c>
      <c r="HF840" t="s">
        <v>3</v>
      </c>
      <c r="HM840" t="s">
        <v>3</v>
      </c>
      <c r="IK840">
        <v>0</v>
      </c>
    </row>
    <row r="842" spans="1:245" x14ac:dyDescent="0.2">
      <c r="A842" s="2">
        <v>51</v>
      </c>
      <c r="B842" s="2">
        <f>B826</f>
        <v>1</v>
      </c>
      <c r="C842" s="2">
        <f>A826</f>
        <v>5</v>
      </c>
      <c r="D842" s="2">
        <f>ROW(A826)</f>
        <v>826</v>
      </c>
      <c r="E842" s="2"/>
      <c r="F842" s="2" t="str">
        <f>IF(F826&lt;&gt;"",F826,"")</f>
        <v>Новый подраздел</v>
      </c>
      <c r="G842" s="2" t="str">
        <f>IF(G826&lt;&gt;"",G826,"")</f>
        <v>Посадочные материалы</v>
      </c>
      <c r="H842" s="2">
        <v>0</v>
      </c>
      <c r="I842" s="2"/>
      <c r="J842" s="2"/>
      <c r="K842" s="2"/>
      <c r="L842" s="2"/>
      <c r="M842" s="2"/>
      <c r="N842" s="2"/>
      <c r="O842" s="2">
        <f t="shared" ref="O842:T842" si="785">ROUND(AB842,2)</f>
        <v>2177386.4900000002</v>
      </c>
      <c r="P842" s="2">
        <f t="shared" si="785"/>
        <v>2147782.15</v>
      </c>
      <c r="Q842" s="2">
        <f t="shared" si="785"/>
        <v>29604.34</v>
      </c>
      <c r="R842" s="2">
        <f t="shared" si="785"/>
        <v>0</v>
      </c>
      <c r="S842" s="2">
        <f t="shared" si="785"/>
        <v>0</v>
      </c>
      <c r="T842" s="2">
        <f t="shared" si="785"/>
        <v>0</v>
      </c>
      <c r="U842" s="2">
        <f>AH842</f>
        <v>0</v>
      </c>
      <c r="V842" s="2">
        <f>AI842</f>
        <v>0</v>
      </c>
      <c r="W842" s="2">
        <f>ROUND(AJ842,2)</f>
        <v>0</v>
      </c>
      <c r="X842" s="2">
        <f>ROUND(AK842,2)</f>
        <v>0</v>
      </c>
      <c r="Y842" s="2">
        <f>ROUND(AL842,2)</f>
        <v>0</v>
      </c>
      <c r="Z842" s="2"/>
      <c r="AA842" s="2"/>
      <c r="AB842" s="2">
        <f>ROUND(SUMIF(AA830:AA840,"=42938047",O830:O840),2)</f>
        <v>2177386.4900000002</v>
      </c>
      <c r="AC842" s="2">
        <f>ROUND(SUMIF(AA830:AA840,"=42938047",P830:P840),2)</f>
        <v>2147782.15</v>
      </c>
      <c r="AD842" s="2">
        <f>ROUND(SUMIF(AA830:AA840,"=42938047",Q830:Q840),2)</f>
        <v>29604.34</v>
      </c>
      <c r="AE842" s="2">
        <f>ROUND(SUMIF(AA830:AA840,"=42938047",R830:R840),2)</f>
        <v>0</v>
      </c>
      <c r="AF842" s="2">
        <f>ROUND(SUMIF(AA830:AA840,"=42938047",S830:S840),2)</f>
        <v>0</v>
      </c>
      <c r="AG842" s="2">
        <f>ROUND(SUMIF(AA830:AA840,"=42938047",T830:T840),2)</f>
        <v>0</v>
      </c>
      <c r="AH842" s="2">
        <f>SUMIF(AA830:AA840,"=42938047",U830:U840)</f>
        <v>0</v>
      </c>
      <c r="AI842" s="2">
        <f>SUMIF(AA830:AA840,"=42938047",V830:V840)</f>
        <v>0</v>
      </c>
      <c r="AJ842" s="2">
        <f>ROUND(SUMIF(AA830:AA840,"=42938047",W830:W840),2)</f>
        <v>0</v>
      </c>
      <c r="AK842" s="2">
        <f>ROUND(SUMIF(AA830:AA840,"=42938047",X830:X840),2)</f>
        <v>0</v>
      </c>
      <c r="AL842" s="2">
        <f>ROUND(SUMIF(AA830:AA840,"=42938047",Y830:Y840),2)</f>
        <v>0</v>
      </c>
      <c r="AM842" s="2"/>
      <c r="AN842" s="2"/>
      <c r="AO842" s="2">
        <f t="shared" ref="AO842:BD842" si="786">ROUND(BX842,2)</f>
        <v>0</v>
      </c>
      <c r="AP842" s="2">
        <f t="shared" si="786"/>
        <v>0</v>
      </c>
      <c r="AQ842" s="2">
        <f t="shared" si="786"/>
        <v>0</v>
      </c>
      <c r="AR842" s="2">
        <f t="shared" si="786"/>
        <v>2177386.4900000002</v>
      </c>
      <c r="AS842" s="2">
        <f t="shared" si="786"/>
        <v>2147782.15</v>
      </c>
      <c r="AT842" s="2">
        <f t="shared" si="786"/>
        <v>0</v>
      </c>
      <c r="AU842" s="2">
        <f t="shared" si="786"/>
        <v>29604.34</v>
      </c>
      <c r="AV842" s="2">
        <f t="shared" si="786"/>
        <v>2147782.15</v>
      </c>
      <c r="AW842" s="2">
        <f t="shared" si="786"/>
        <v>2147782.15</v>
      </c>
      <c r="AX842" s="2">
        <f t="shared" si="786"/>
        <v>0</v>
      </c>
      <c r="AY842" s="2">
        <f t="shared" si="786"/>
        <v>2147782.15</v>
      </c>
      <c r="AZ842" s="2">
        <f t="shared" si="786"/>
        <v>0</v>
      </c>
      <c r="BA842" s="2">
        <f t="shared" si="786"/>
        <v>0</v>
      </c>
      <c r="BB842" s="2">
        <f t="shared" si="786"/>
        <v>0</v>
      </c>
      <c r="BC842" s="2">
        <f t="shared" si="786"/>
        <v>0</v>
      </c>
      <c r="BD842" s="2">
        <f t="shared" si="786"/>
        <v>0</v>
      </c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>
        <f>ROUND(SUMIF(AA830:AA840,"=42938047",FQ830:FQ840),2)</f>
        <v>0</v>
      </c>
      <c r="BY842" s="2">
        <f>ROUND(SUMIF(AA830:AA840,"=42938047",FR830:FR840),2)</f>
        <v>0</v>
      </c>
      <c r="BZ842" s="2">
        <f>ROUND(SUMIF(AA830:AA840,"=42938047",GL830:GL840),2)</f>
        <v>0</v>
      </c>
      <c r="CA842" s="2">
        <f>ROUND(SUMIF(AA830:AA840,"=42938047",GM830:GM840),2)</f>
        <v>2177386.4900000002</v>
      </c>
      <c r="CB842" s="2">
        <f>ROUND(SUMIF(AA830:AA840,"=42938047",GN830:GN840),2)</f>
        <v>2147782.15</v>
      </c>
      <c r="CC842" s="2">
        <f>ROUND(SUMIF(AA830:AA840,"=42938047",GO830:GO840),2)</f>
        <v>0</v>
      </c>
      <c r="CD842" s="2">
        <f>ROUND(SUMIF(AA830:AA840,"=42938047",GP830:GP840),2)</f>
        <v>29604.34</v>
      </c>
      <c r="CE842" s="2">
        <f>AC842-BX842</f>
        <v>2147782.15</v>
      </c>
      <c r="CF842" s="2">
        <f>AC842-BY842</f>
        <v>2147782.15</v>
      </c>
      <c r="CG842" s="2">
        <f>BX842-BZ842</f>
        <v>0</v>
      </c>
      <c r="CH842" s="2">
        <f>AC842-BX842-BY842+BZ842</f>
        <v>2147782.15</v>
      </c>
      <c r="CI842" s="2">
        <f>BY842-BZ842</f>
        <v>0</v>
      </c>
      <c r="CJ842" s="2">
        <f>ROUND(SUMIF(AA830:AA840,"=42938047",GX830:GX840),2)</f>
        <v>0</v>
      </c>
      <c r="CK842" s="2">
        <f>ROUND(SUMIF(AA830:AA840,"=42938047",GY830:GY840),2)</f>
        <v>0</v>
      </c>
      <c r="CL842" s="2">
        <f>ROUND(SUMIF(AA830:AA840,"=42938047",GZ830:GZ840),2)</f>
        <v>0</v>
      </c>
      <c r="CM842" s="2">
        <f>ROUND(SUMIF(AA830:AA840,"=42938047",HD830:HD840),2)</f>
        <v>0</v>
      </c>
      <c r="CN842" s="2"/>
      <c r="CO842" s="2"/>
      <c r="CP842" s="2"/>
      <c r="CQ842" s="2"/>
      <c r="CR842" s="2"/>
      <c r="CS842" s="2"/>
      <c r="CT842" s="2"/>
      <c r="CU842" s="2"/>
      <c r="CV842" s="2"/>
      <c r="CW842" s="2"/>
      <c r="CX842" s="2"/>
      <c r="CY842" s="2"/>
      <c r="CZ842" s="2"/>
      <c r="DA842" s="2"/>
      <c r="DB842" s="2"/>
      <c r="DC842" s="2"/>
      <c r="DD842" s="2"/>
      <c r="DE842" s="2"/>
      <c r="DF842" s="2"/>
      <c r="DG842" s="3"/>
      <c r="DH842" s="3"/>
      <c r="DI842" s="3"/>
      <c r="DJ842" s="3"/>
      <c r="DK842" s="3"/>
      <c r="DL842" s="3"/>
      <c r="DM842" s="3"/>
      <c r="DN842" s="3"/>
      <c r="DO842" s="3"/>
      <c r="DP842" s="3"/>
      <c r="DQ842" s="3"/>
      <c r="DR842" s="3"/>
      <c r="DS842" s="3"/>
      <c r="DT842" s="3"/>
      <c r="DU842" s="3"/>
      <c r="DV842" s="3"/>
      <c r="DW842" s="3"/>
      <c r="DX842" s="3"/>
      <c r="DY842" s="3"/>
      <c r="DZ842" s="3"/>
      <c r="EA842" s="3"/>
      <c r="EB842" s="3"/>
      <c r="EC842" s="3"/>
      <c r="ED842" s="3"/>
      <c r="EE842" s="3"/>
      <c r="EF842" s="3"/>
      <c r="EG842" s="3"/>
      <c r="EH842" s="3"/>
      <c r="EI842" s="3"/>
      <c r="EJ842" s="3"/>
      <c r="EK842" s="3"/>
      <c r="EL842" s="3"/>
      <c r="EM842" s="3"/>
      <c r="EN842" s="3"/>
      <c r="EO842" s="3"/>
      <c r="EP842" s="3"/>
      <c r="EQ842" s="3"/>
      <c r="ER842" s="3"/>
      <c r="ES842" s="3"/>
      <c r="ET842" s="3"/>
      <c r="EU842" s="3"/>
      <c r="EV842" s="3"/>
      <c r="EW842" s="3"/>
      <c r="EX842" s="3"/>
      <c r="EY842" s="3"/>
      <c r="EZ842" s="3"/>
      <c r="FA842" s="3"/>
      <c r="FB842" s="3"/>
      <c r="FC842" s="3"/>
      <c r="FD842" s="3"/>
      <c r="FE842" s="3"/>
      <c r="FF842" s="3"/>
      <c r="FG842" s="3"/>
      <c r="FH842" s="3"/>
      <c r="FI842" s="3"/>
      <c r="FJ842" s="3"/>
      <c r="FK842" s="3"/>
      <c r="FL842" s="3"/>
      <c r="FM842" s="3"/>
      <c r="FN842" s="3"/>
      <c r="FO842" s="3"/>
      <c r="FP842" s="3"/>
      <c r="FQ842" s="3"/>
      <c r="FR842" s="3"/>
      <c r="FS842" s="3"/>
      <c r="FT842" s="3"/>
      <c r="FU842" s="3"/>
      <c r="FV842" s="3"/>
      <c r="FW842" s="3"/>
      <c r="FX842" s="3"/>
      <c r="FY842" s="3"/>
      <c r="FZ842" s="3"/>
      <c r="GA842" s="3"/>
      <c r="GB842" s="3"/>
      <c r="GC842" s="3"/>
      <c r="GD842" s="3"/>
      <c r="GE842" s="3"/>
      <c r="GF842" s="3"/>
      <c r="GG842" s="3"/>
      <c r="GH842" s="3"/>
      <c r="GI842" s="3"/>
      <c r="GJ842" s="3"/>
      <c r="GK842" s="3"/>
      <c r="GL842" s="3"/>
      <c r="GM842" s="3"/>
      <c r="GN842" s="3"/>
      <c r="GO842" s="3"/>
      <c r="GP842" s="3"/>
      <c r="GQ842" s="3"/>
      <c r="GR842" s="3"/>
      <c r="GS842" s="3"/>
      <c r="GT842" s="3"/>
      <c r="GU842" s="3"/>
      <c r="GV842" s="3"/>
      <c r="GW842" s="3"/>
      <c r="GX842" s="3">
        <v>0</v>
      </c>
    </row>
    <row r="844" spans="1:245" x14ac:dyDescent="0.2">
      <c r="A844" s="4">
        <v>50</v>
      </c>
      <c r="B844" s="4">
        <v>0</v>
      </c>
      <c r="C844" s="4">
        <v>0</v>
      </c>
      <c r="D844" s="4">
        <v>1</v>
      </c>
      <c r="E844" s="4">
        <v>201</v>
      </c>
      <c r="F844" s="4">
        <f>ROUND(Source!O842,O844)</f>
        <v>2177386.4900000002</v>
      </c>
      <c r="G844" s="4" t="s">
        <v>213</v>
      </c>
      <c r="H844" s="4" t="s">
        <v>214</v>
      </c>
      <c r="I844" s="4"/>
      <c r="J844" s="4"/>
      <c r="K844" s="4">
        <v>201</v>
      </c>
      <c r="L844" s="4">
        <v>1</v>
      </c>
      <c r="M844" s="4">
        <v>3</v>
      </c>
      <c r="N844" s="4" t="s">
        <v>3</v>
      </c>
      <c r="O844" s="4">
        <v>2</v>
      </c>
      <c r="P844" s="4"/>
      <c r="Q844" s="4"/>
      <c r="R844" s="4"/>
      <c r="S844" s="4"/>
      <c r="T844" s="4"/>
      <c r="U844" s="4"/>
      <c r="V844" s="4"/>
      <c r="W844" s="4"/>
    </row>
    <row r="845" spans="1:245" x14ac:dyDescent="0.2">
      <c r="A845" s="4">
        <v>50</v>
      </c>
      <c r="B845" s="4">
        <v>0</v>
      </c>
      <c r="C845" s="4">
        <v>0</v>
      </c>
      <c r="D845" s="4">
        <v>1</v>
      </c>
      <c r="E845" s="4">
        <v>202</v>
      </c>
      <c r="F845" s="4">
        <f>ROUND(Source!P842,O845)</f>
        <v>2147782.15</v>
      </c>
      <c r="G845" s="4" t="s">
        <v>215</v>
      </c>
      <c r="H845" s="4" t="s">
        <v>216</v>
      </c>
      <c r="I845" s="4"/>
      <c r="J845" s="4"/>
      <c r="K845" s="4">
        <v>202</v>
      </c>
      <c r="L845" s="4">
        <v>2</v>
      </c>
      <c r="M845" s="4">
        <v>3</v>
      </c>
      <c r="N845" s="4" t="s">
        <v>3</v>
      </c>
      <c r="O845" s="4">
        <v>2</v>
      </c>
      <c r="P845" s="4"/>
      <c r="Q845" s="4"/>
      <c r="R845" s="4"/>
      <c r="S845" s="4"/>
      <c r="T845" s="4"/>
      <c r="U845" s="4"/>
      <c r="V845" s="4"/>
      <c r="W845" s="4"/>
    </row>
    <row r="846" spans="1:245" x14ac:dyDescent="0.2">
      <c r="A846" s="4">
        <v>50</v>
      </c>
      <c r="B846" s="4">
        <v>0</v>
      </c>
      <c r="C846" s="4">
        <v>0</v>
      </c>
      <c r="D846" s="4">
        <v>1</v>
      </c>
      <c r="E846" s="4">
        <v>222</v>
      </c>
      <c r="F846" s="4">
        <f>ROUND(Source!AO842,O846)</f>
        <v>0</v>
      </c>
      <c r="G846" s="4" t="s">
        <v>217</v>
      </c>
      <c r="H846" s="4" t="s">
        <v>218</v>
      </c>
      <c r="I846" s="4"/>
      <c r="J846" s="4"/>
      <c r="K846" s="4">
        <v>222</v>
      </c>
      <c r="L846" s="4">
        <v>3</v>
      </c>
      <c r="M846" s="4">
        <v>3</v>
      </c>
      <c r="N846" s="4" t="s">
        <v>3</v>
      </c>
      <c r="O846" s="4">
        <v>2</v>
      </c>
      <c r="P846" s="4"/>
      <c r="Q846" s="4"/>
      <c r="R846" s="4"/>
      <c r="S846" s="4"/>
      <c r="T846" s="4"/>
      <c r="U846" s="4"/>
      <c r="V846" s="4"/>
      <c r="W846" s="4"/>
    </row>
    <row r="847" spans="1:245" x14ac:dyDescent="0.2">
      <c r="A847" s="4">
        <v>50</v>
      </c>
      <c r="B847" s="4">
        <v>0</v>
      </c>
      <c r="C847" s="4">
        <v>0</v>
      </c>
      <c r="D847" s="4">
        <v>1</v>
      </c>
      <c r="E847" s="4">
        <v>225</v>
      </c>
      <c r="F847" s="4">
        <f>ROUND(Source!AV842,O847)</f>
        <v>2147782.15</v>
      </c>
      <c r="G847" s="4" t="s">
        <v>219</v>
      </c>
      <c r="H847" s="4" t="s">
        <v>220</v>
      </c>
      <c r="I847" s="4"/>
      <c r="J847" s="4"/>
      <c r="K847" s="4">
        <v>225</v>
      </c>
      <c r="L847" s="4">
        <v>4</v>
      </c>
      <c r="M847" s="4">
        <v>3</v>
      </c>
      <c r="N847" s="4" t="s">
        <v>3</v>
      </c>
      <c r="O847" s="4">
        <v>2</v>
      </c>
      <c r="P847" s="4"/>
      <c r="Q847" s="4"/>
      <c r="R847" s="4"/>
      <c r="S847" s="4"/>
      <c r="T847" s="4"/>
      <c r="U847" s="4"/>
      <c r="V847" s="4"/>
      <c r="W847" s="4"/>
    </row>
    <row r="848" spans="1:245" x14ac:dyDescent="0.2">
      <c r="A848" s="4">
        <v>50</v>
      </c>
      <c r="B848" s="4">
        <v>0</v>
      </c>
      <c r="C848" s="4">
        <v>0</v>
      </c>
      <c r="D848" s="4">
        <v>1</v>
      </c>
      <c r="E848" s="4">
        <v>226</v>
      </c>
      <c r="F848" s="4">
        <f>ROUND(Source!AW842,O848)</f>
        <v>2147782.15</v>
      </c>
      <c r="G848" s="4" t="s">
        <v>221</v>
      </c>
      <c r="H848" s="4" t="s">
        <v>222</v>
      </c>
      <c r="I848" s="4"/>
      <c r="J848" s="4"/>
      <c r="K848" s="4">
        <v>226</v>
      </c>
      <c r="L848" s="4">
        <v>5</v>
      </c>
      <c r="M848" s="4">
        <v>3</v>
      </c>
      <c r="N848" s="4" t="s">
        <v>3</v>
      </c>
      <c r="O848" s="4">
        <v>2</v>
      </c>
      <c r="P848" s="4"/>
      <c r="Q848" s="4"/>
      <c r="R848" s="4"/>
      <c r="S848" s="4"/>
      <c r="T848" s="4"/>
      <c r="U848" s="4"/>
      <c r="V848" s="4"/>
      <c r="W848" s="4"/>
    </row>
    <row r="849" spans="1:23" x14ac:dyDescent="0.2">
      <c r="A849" s="4">
        <v>50</v>
      </c>
      <c r="B849" s="4">
        <v>0</v>
      </c>
      <c r="C849" s="4">
        <v>0</v>
      </c>
      <c r="D849" s="4">
        <v>1</v>
      </c>
      <c r="E849" s="4">
        <v>227</v>
      </c>
      <c r="F849" s="4">
        <f>ROUND(Source!AX842,O849)</f>
        <v>0</v>
      </c>
      <c r="G849" s="4" t="s">
        <v>223</v>
      </c>
      <c r="H849" s="4" t="s">
        <v>224</v>
      </c>
      <c r="I849" s="4"/>
      <c r="J849" s="4"/>
      <c r="K849" s="4">
        <v>227</v>
      </c>
      <c r="L849" s="4">
        <v>6</v>
      </c>
      <c r="M849" s="4">
        <v>3</v>
      </c>
      <c r="N849" s="4" t="s">
        <v>3</v>
      </c>
      <c r="O849" s="4">
        <v>2</v>
      </c>
      <c r="P849" s="4"/>
      <c r="Q849" s="4"/>
      <c r="R849" s="4"/>
      <c r="S849" s="4"/>
      <c r="T849" s="4"/>
      <c r="U849" s="4"/>
      <c r="V849" s="4"/>
      <c r="W849" s="4"/>
    </row>
    <row r="850" spans="1:23" x14ac:dyDescent="0.2">
      <c r="A850" s="4">
        <v>50</v>
      </c>
      <c r="B850" s="4">
        <v>0</v>
      </c>
      <c r="C850" s="4">
        <v>0</v>
      </c>
      <c r="D850" s="4">
        <v>1</v>
      </c>
      <c r="E850" s="4">
        <v>228</v>
      </c>
      <c r="F850" s="4">
        <f>ROUND(Source!AY842,O850)</f>
        <v>2147782.15</v>
      </c>
      <c r="G850" s="4" t="s">
        <v>225</v>
      </c>
      <c r="H850" s="4" t="s">
        <v>226</v>
      </c>
      <c r="I850" s="4"/>
      <c r="J850" s="4"/>
      <c r="K850" s="4">
        <v>228</v>
      </c>
      <c r="L850" s="4">
        <v>7</v>
      </c>
      <c r="M850" s="4">
        <v>3</v>
      </c>
      <c r="N850" s="4" t="s">
        <v>3</v>
      </c>
      <c r="O850" s="4">
        <v>2</v>
      </c>
      <c r="P850" s="4"/>
      <c r="Q850" s="4"/>
      <c r="R850" s="4"/>
      <c r="S850" s="4"/>
      <c r="T850" s="4"/>
      <c r="U850" s="4"/>
      <c r="V850" s="4"/>
      <c r="W850" s="4"/>
    </row>
    <row r="851" spans="1:23" x14ac:dyDescent="0.2">
      <c r="A851" s="4">
        <v>50</v>
      </c>
      <c r="B851" s="4">
        <v>0</v>
      </c>
      <c r="C851" s="4">
        <v>0</v>
      </c>
      <c r="D851" s="4">
        <v>1</v>
      </c>
      <c r="E851" s="4">
        <v>216</v>
      </c>
      <c r="F851" s="4">
        <f>ROUND(Source!AP842,O851)</f>
        <v>0</v>
      </c>
      <c r="G851" s="4" t="s">
        <v>227</v>
      </c>
      <c r="H851" s="4" t="s">
        <v>228</v>
      </c>
      <c r="I851" s="4"/>
      <c r="J851" s="4"/>
      <c r="K851" s="4">
        <v>216</v>
      </c>
      <c r="L851" s="4">
        <v>8</v>
      </c>
      <c r="M851" s="4">
        <v>3</v>
      </c>
      <c r="N851" s="4" t="s">
        <v>3</v>
      </c>
      <c r="O851" s="4">
        <v>2</v>
      </c>
      <c r="P851" s="4"/>
      <c r="Q851" s="4"/>
      <c r="R851" s="4"/>
      <c r="S851" s="4"/>
      <c r="T851" s="4"/>
      <c r="U851" s="4"/>
      <c r="V851" s="4"/>
      <c r="W851" s="4"/>
    </row>
    <row r="852" spans="1:23" x14ac:dyDescent="0.2">
      <c r="A852" s="4">
        <v>50</v>
      </c>
      <c r="B852" s="4">
        <v>0</v>
      </c>
      <c r="C852" s="4">
        <v>0</v>
      </c>
      <c r="D852" s="4">
        <v>1</v>
      </c>
      <c r="E852" s="4">
        <v>223</v>
      </c>
      <c r="F852" s="4">
        <f>ROUND(Source!AQ842,O852)</f>
        <v>0</v>
      </c>
      <c r="G852" s="4" t="s">
        <v>229</v>
      </c>
      <c r="H852" s="4" t="s">
        <v>230</v>
      </c>
      <c r="I852" s="4"/>
      <c r="J852" s="4"/>
      <c r="K852" s="4">
        <v>223</v>
      </c>
      <c r="L852" s="4">
        <v>9</v>
      </c>
      <c r="M852" s="4">
        <v>3</v>
      </c>
      <c r="N852" s="4" t="s">
        <v>3</v>
      </c>
      <c r="O852" s="4">
        <v>2</v>
      </c>
      <c r="P852" s="4"/>
      <c r="Q852" s="4"/>
      <c r="R852" s="4"/>
      <c r="S852" s="4"/>
      <c r="T852" s="4"/>
      <c r="U852" s="4"/>
      <c r="V852" s="4"/>
      <c r="W852" s="4"/>
    </row>
    <row r="853" spans="1:23" x14ac:dyDescent="0.2">
      <c r="A853" s="4">
        <v>50</v>
      </c>
      <c r="B853" s="4">
        <v>0</v>
      </c>
      <c r="C853" s="4">
        <v>0</v>
      </c>
      <c r="D853" s="4">
        <v>1</v>
      </c>
      <c r="E853" s="4">
        <v>229</v>
      </c>
      <c r="F853" s="4">
        <f>ROUND(Source!AZ842,O853)</f>
        <v>0</v>
      </c>
      <c r="G853" s="4" t="s">
        <v>231</v>
      </c>
      <c r="H853" s="4" t="s">
        <v>232</v>
      </c>
      <c r="I853" s="4"/>
      <c r="J853" s="4"/>
      <c r="K853" s="4">
        <v>229</v>
      </c>
      <c r="L853" s="4">
        <v>10</v>
      </c>
      <c r="M853" s="4">
        <v>3</v>
      </c>
      <c r="N853" s="4" t="s">
        <v>3</v>
      </c>
      <c r="O853" s="4">
        <v>2</v>
      </c>
      <c r="P853" s="4"/>
      <c r="Q853" s="4"/>
      <c r="R853" s="4"/>
      <c r="S853" s="4"/>
      <c r="T853" s="4"/>
      <c r="U853" s="4"/>
      <c r="V853" s="4"/>
      <c r="W853" s="4"/>
    </row>
    <row r="854" spans="1:23" x14ac:dyDescent="0.2">
      <c r="A854" s="4">
        <v>50</v>
      </c>
      <c r="B854" s="4">
        <v>0</v>
      </c>
      <c r="C854" s="4">
        <v>0</v>
      </c>
      <c r="D854" s="4">
        <v>1</v>
      </c>
      <c r="E854" s="4">
        <v>203</v>
      </c>
      <c r="F854" s="4">
        <f>ROUND(Source!Q842,O854)</f>
        <v>29604.34</v>
      </c>
      <c r="G854" s="4" t="s">
        <v>233</v>
      </c>
      <c r="H854" s="4" t="s">
        <v>234</v>
      </c>
      <c r="I854" s="4"/>
      <c r="J854" s="4"/>
      <c r="K854" s="4">
        <v>203</v>
      </c>
      <c r="L854" s="4">
        <v>11</v>
      </c>
      <c r="M854" s="4">
        <v>3</v>
      </c>
      <c r="N854" s="4" t="s">
        <v>3</v>
      </c>
      <c r="O854" s="4">
        <v>2</v>
      </c>
      <c r="P854" s="4"/>
      <c r="Q854" s="4"/>
      <c r="R854" s="4"/>
      <c r="S854" s="4"/>
      <c r="T854" s="4"/>
      <c r="U854" s="4"/>
      <c r="V854" s="4"/>
      <c r="W854" s="4"/>
    </row>
    <row r="855" spans="1:23" x14ac:dyDescent="0.2">
      <c r="A855" s="4">
        <v>50</v>
      </c>
      <c r="B855" s="4">
        <v>0</v>
      </c>
      <c r="C855" s="4">
        <v>0</v>
      </c>
      <c r="D855" s="4">
        <v>1</v>
      </c>
      <c r="E855" s="4">
        <v>231</v>
      </c>
      <c r="F855" s="4">
        <f>ROUND(Source!BB842,O855)</f>
        <v>0</v>
      </c>
      <c r="G855" s="4" t="s">
        <v>235</v>
      </c>
      <c r="H855" s="4" t="s">
        <v>236</v>
      </c>
      <c r="I855" s="4"/>
      <c r="J855" s="4"/>
      <c r="K855" s="4">
        <v>231</v>
      </c>
      <c r="L855" s="4">
        <v>12</v>
      </c>
      <c r="M855" s="4">
        <v>3</v>
      </c>
      <c r="N855" s="4" t="s">
        <v>3</v>
      </c>
      <c r="O855" s="4">
        <v>2</v>
      </c>
      <c r="P855" s="4"/>
      <c r="Q855" s="4"/>
      <c r="R855" s="4"/>
      <c r="S855" s="4"/>
      <c r="T855" s="4"/>
      <c r="U855" s="4"/>
      <c r="V855" s="4"/>
      <c r="W855" s="4"/>
    </row>
    <row r="856" spans="1:23" x14ac:dyDescent="0.2">
      <c r="A856" s="4">
        <v>50</v>
      </c>
      <c r="B856" s="4">
        <v>0</v>
      </c>
      <c r="C856" s="4">
        <v>0</v>
      </c>
      <c r="D856" s="4">
        <v>1</v>
      </c>
      <c r="E856" s="4">
        <v>204</v>
      </c>
      <c r="F856" s="4">
        <f>ROUND(Source!R842,O856)</f>
        <v>0</v>
      </c>
      <c r="G856" s="4" t="s">
        <v>237</v>
      </c>
      <c r="H856" s="4" t="s">
        <v>238</v>
      </c>
      <c r="I856" s="4"/>
      <c r="J856" s="4"/>
      <c r="K856" s="4">
        <v>204</v>
      </c>
      <c r="L856" s="4">
        <v>13</v>
      </c>
      <c r="M856" s="4">
        <v>3</v>
      </c>
      <c r="N856" s="4" t="s">
        <v>3</v>
      </c>
      <c r="O856" s="4">
        <v>2</v>
      </c>
      <c r="P856" s="4"/>
      <c r="Q856" s="4"/>
      <c r="R856" s="4"/>
      <c r="S856" s="4"/>
      <c r="T856" s="4"/>
      <c r="U856" s="4"/>
      <c r="V856" s="4"/>
      <c r="W856" s="4"/>
    </row>
    <row r="857" spans="1:23" x14ac:dyDescent="0.2">
      <c r="A857" s="4">
        <v>50</v>
      </c>
      <c r="B857" s="4">
        <v>0</v>
      </c>
      <c r="C857" s="4">
        <v>0</v>
      </c>
      <c r="D857" s="4">
        <v>1</v>
      </c>
      <c r="E857" s="4">
        <v>205</v>
      </c>
      <c r="F857" s="4">
        <f>ROUND(Source!S842,O857)</f>
        <v>0</v>
      </c>
      <c r="G857" s="4" t="s">
        <v>239</v>
      </c>
      <c r="H857" s="4" t="s">
        <v>240</v>
      </c>
      <c r="I857" s="4"/>
      <c r="J857" s="4"/>
      <c r="K857" s="4">
        <v>205</v>
      </c>
      <c r="L857" s="4">
        <v>14</v>
      </c>
      <c r="M857" s="4">
        <v>3</v>
      </c>
      <c r="N857" s="4" t="s">
        <v>3</v>
      </c>
      <c r="O857" s="4">
        <v>2</v>
      </c>
      <c r="P857" s="4"/>
      <c r="Q857" s="4"/>
      <c r="R857" s="4"/>
      <c r="S857" s="4"/>
      <c r="T857" s="4"/>
      <c r="U857" s="4"/>
      <c r="V857" s="4"/>
      <c r="W857" s="4"/>
    </row>
    <row r="858" spans="1:23" x14ac:dyDescent="0.2">
      <c r="A858" s="4">
        <v>50</v>
      </c>
      <c r="B858" s="4">
        <v>0</v>
      </c>
      <c r="C858" s="4">
        <v>0</v>
      </c>
      <c r="D858" s="4">
        <v>1</v>
      </c>
      <c r="E858" s="4">
        <v>232</v>
      </c>
      <c r="F858" s="4">
        <f>ROUND(Source!BC842,O858)</f>
        <v>0</v>
      </c>
      <c r="G858" s="4" t="s">
        <v>241</v>
      </c>
      <c r="H858" s="4" t="s">
        <v>242</v>
      </c>
      <c r="I858" s="4"/>
      <c r="J858" s="4"/>
      <c r="K858" s="4">
        <v>232</v>
      </c>
      <c r="L858" s="4">
        <v>15</v>
      </c>
      <c r="M858" s="4">
        <v>3</v>
      </c>
      <c r="N858" s="4" t="s">
        <v>3</v>
      </c>
      <c r="O858" s="4">
        <v>2</v>
      </c>
      <c r="P858" s="4"/>
      <c r="Q858" s="4"/>
      <c r="R858" s="4"/>
      <c r="S858" s="4"/>
      <c r="T858" s="4"/>
      <c r="U858" s="4"/>
      <c r="V858" s="4"/>
      <c r="W858" s="4"/>
    </row>
    <row r="859" spans="1:23" x14ac:dyDescent="0.2">
      <c r="A859" s="4">
        <v>50</v>
      </c>
      <c r="B859" s="4">
        <v>0</v>
      </c>
      <c r="C859" s="4">
        <v>0</v>
      </c>
      <c r="D859" s="4">
        <v>1</v>
      </c>
      <c r="E859" s="4">
        <v>214</v>
      </c>
      <c r="F859" s="4">
        <f>ROUND(Source!AS842,O859)</f>
        <v>2147782.15</v>
      </c>
      <c r="G859" s="4" t="s">
        <v>243</v>
      </c>
      <c r="H859" s="4" t="s">
        <v>244</v>
      </c>
      <c r="I859" s="4"/>
      <c r="J859" s="4"/>
      <c r="K859" s="4">
        <v>214</v>
      </c>
      <c r="L859" s="4">
        <v>16</v>
      </c>
      <c r="M859" s="4">
        <v>3</v>
      </c>
      <c r="N859" s="4" t="s">
        <v>3</v>
      </c>
      <c r="O859" s="4">
        <v>2</v>
      </c>
      <c r="P859" s="4"/>
      <c r="Q859" s="4"/>
      <c r="R859" s="4"/>
      <c r="S859" s="4"/>
      <c r="T859" s="4"/>
      <c r="U859" s="4"/>
      <c r="V859" s="4"/>
      <c r="W859" s="4"/>
    </row>
    <row r="860" spans="1:23" x14ac:dyDescent="0.2">
      <c r="A860" s="4">
        <v>50</v>
      </c>
      <c r="B860" s="4">
        <v>0</v>
      </c>
      <c r="C860" s="4">
        <v>0</v>
      </c>
      <c r="D860" s="4">
        <v>1</v>
      </c>
      <c r="E860" s="4">
        <v>215</v>
      </c>
      <c r="F860" s="4">
        <f>ROUND(Source!AT842,O860)</f>
        <v>0</v>
      </c>
      <c r="G860" s="4" t="s">
        <v>245</v>
      </c>
      <c r="H860" s="4" t="s">
        <v>246</v>
      </c>
      <c r="I860" s="4"/>
      <c r="J860" s="4"/>
      <c r="K860" s="4">
        <v>215</v>
      </c>
      <c r="L860" s="4">
        <v>17</v>
      </c>
      <c r="M860" s="4">
        <v>3</v>
      </c>
      <c r="N860" s="4" t="s">
        <v>3</v>
      </c>
      <c r="O860" s="4">
        <v>2</v>
      </c>
      <c r="P860" s="4"/>
      <c r="Q860" s="4"/>
      <c r="R860" s="4"/>
      <c r="S860" s="4"/>
      <c r="T860" s="4"/>
      <c r="U860" s="4"/>
      <c r="V860" s="4"/>
      <c r="W860" s="4"/>
    </row>
    <row r="861" spans="1:23" x14ac:dyDescent="0.2">
      <c r="A861" s="4">
        <v>50</v>
      </c>
      <c r="B861" s="4">
        <v>0</v>
      </c>
      <c r="C861" s="4">
        <v>0</v>
      </c>
      <c r="D861" s="4">
        <v>1</v>
      </c>
      <c r="E861" s="4">
        <v>217</v>
      </c>
      <c r="F861" s="4">
        <f>ROUND(Source!AU842,O861)</f>
        <v>29604.34</v>
      </c>
      <c r="G861" s="4" t="s">
        <v>247</v>
      </c>
      <c r="H861" s="4" t="s">
        <v>248</v>
      </c>
      <c r="I861" s="4"/>
      <c r="J861" s="4"/>
      <c r="K861" s="4">
        <v>217</v>
      </c>
      <c r="L861" s="4">
        <v>18</v>
      </c>
      <c r="M861" s="4">
        <v>3</v>
      </c>
      <c r="N861" s="4" t="s">
        <v>3</v>
      </c>
      <c r="O861" s="4">
        <v>2</v>
      </c>
      <c r="P861" s="4"/>
      <c r="Q861" s="4"/>
      <c r="R861" s="4"/>
      <c r="S861" s="4"/>
      <c r="T861" s="4"/>
      <c r="U861" s="4"/>
      <c r="V861" s="4"/>
      <c r="W861" s="4"/>
    </row>
    <row r="862" spans="1:23" x14ac:dyDescent="0.2">
      <c r="A862" s="4">
        <v>50</v>
      </c>
      <c r="B862" s="4">
        <v>0</v>
      </c>
      <c r="C862" s="4">
        <v>0</v>
      </c>
      <c r="D862" s="4">
        <v>1</v>
      </c>
      <c r="E862" s="4">
        <v>230</v>
      </c>
      <c r="F862" s="4">
        <f>ROUND(Source!BA842,O862)</f>
        <v>0</v>
      </c>
      <c r="G862" s="4" t="s">
        <v>249</v>
      </c>
      <c r="H862" s="4" t="s">
        <v>250</v>
      </c>
      <c r="I862" s="4"/>
      <c r="J862" s="4"/>
      <c r="K862" s="4">
        <v>230</v>
      </c>
      <c r="L862" s="4">
        <v>19</v>
      </c>
      <c r="M862" s="4">
        <v>3</v>
      </c>
      <c r="N862" s="4" t="s">
        <v>3</v>
      </c>
      <c r="O862" s="4">
        <v>2</v>
      </c>
      <c r="P862" s="4"/>
      <c r="Q862" s="4"/>
      <c r="R862" s="4"/>
      <c r="S862" s="4"/>
      <c r="T862" s="4"/>
      <c r="U862" s="4"/>
      <c r="V862" s="4"/>
      <c r="W862" s="4"/>
    </row>
    <row r="863" spans="1:23" x14ac:dyDescent="0.2">
      <c r="A863" s="4">
        <v>50</v>
      </c>
      <c r="B863" s="4">
        <v>0</v>
      </c>
      <c r="C863" s="4">
        <v>0</v>
      </c>
      <c r="D863" s="4">
        <v>1</v>
      </c>
      <c r="E863" s="4">
        <v>206</v>
      </c>
      <c r="F863" s="4">
        <f>ROUND(Source!T842,O863)</f>
        <v>0</v>
      </c>
      <c r="G863" s="4" t="s">
        <v>251</v>
      </c>
      <c r="H863" s="4" t="s">
        <v>252</v>
      </c>
      <c r="I863" s="4"/>
      <c r="J863" s="4"/>
      <c r="K863" s="4">
        <v>206</v>
      </c>
      <c r="L863" s="4">
        <v>20</v>
      </c>
      <c r="M863" s="4">
        <v>3</v>
      </c>
      <c r="N863" s="4" t="s">
        <v>3</v>
      </c>
      <c r="O863" s="4">
        <v>2</v>
      </c>
      <c r="P863" s="4"/>
      <c r="Q863" s="4"/>
      <c r="R863" s="4"/>
      <c r="S863" s="4"/>
      <c r="T863" s="4"/>
      <c r="U863" s="4"/>
      <c r="V863" s="4"/>
      <c r="W863" s="4"/>
    </row>
    <row r="864" spans="1:23" x14ac:dyDescent="0.2">
      <c r="A864" s="4">
        <v>50</v>
      </c>
      <c r="B864" s="4">
        <v>0</v>
      </c>
      <c r="C864" s="4">
        <v>0</v>
      </c>
      <c r="D864" s="4">
        <v>1</v>
      </c>
      <c r="E864" s="4">
        <v>207</v>
      </c>
      <c r="F864" s="4">
        <f>Source!U842</f>
        <v>0</v>
      </c>
      <c r="G864" s="4" t="s">
        <v>253</v>
      </c>
      <c r="H864" s="4" t="s">
        <v>254</v>
      </c>
      <c r="I864" s="4"/>
      <c r="J864" s="4"/>
      <c r="K864" s="4">
        <v>207</v>
      </c>
      <c r="L864" s="4">
        <v>21</v>
      </c>
      <c r="M864" s="4">
        <v>3</v>
      </c>
      <c r="N864" s="4" t="s">
        <v>3</v>
      </c>
      <c r="O864" s="4">
        <v>-1</v>
      </c>
      <c r="P864" s="4"/>
      <c r="Q864" s="4"/>
      <c r="R864" s="4"/>
      <c r="S864" s="4"/>
      <c r="T864" s="4"/>
      <c r="U864" s="4"/>
      <c r="V864" s="4"/>
      <c r="W864" s="4"/>
    </row>
    <row r="865" spans="1:206" x14ac:dyDescent="0.2">
      <c r="A865" s="4">
        <v>50</v>
      </c>
      <c r="B865" s="4">
        <v>0</v>
      </c>
      <c r="C865" s="4">
        <v>0</v>
      </c>
      <c r="D865" s="4">
        <v>1</v>
      </c>
      <c r="E865" s="4">
        <v>208</v>
      </c>
      <c r="F865" s="4">
        <f>Source!V842</f>
        <v>0</v>
      </c>
      <c r="G865" s="4" t="s">
        <v>255</v>
      </c>
      <c r="H865" s="4" t="s">
        <v>256</v>
      </c>
      <c r="I865" s="4"/>
      <c r="J865" s="4"/>
      <c r="K865" s="4">
        <v>208</v>
      </c>
      <c r="L865" s="4">
        <v>22</v>
      </c>
      <c r="M865" s="4">
        <v>3</v>
      </c>
      <c r="N865" s="4" t="s">
        <v>3</v>
      </c>
      <c r="O865" s="4">
        <v>-1</v>
      </c>
      <c r="P865" s="4"/>
      <c r="Q865" s="4"/>
      <c r="R865" s="4"/>
      <c r="S865" s="4"/>
      <c r="T865" s="4"/>
      <c r="U865" s="4"/>
      <c r="V865" s="4"/>
      <c r="W865" s="4"/>
    </row>
    <row r="866" spans="1:206" x14ac:dyDescent="0.2">
      <c r="A866" s="4">
        <v>50</v>
      </c>
      <c r="B866" s="4">
        <v>0</v>
      </c>
      <c r="C866" s="4">
        <v>0</v>
      </c>
      <c r="D866" s="4">
        <v>1</v>
      </c>
      <c r="E866" s="4">
        <v>209</v>
      </c>
      <c r="F866" s="4">
        <f>ROUND(Source!W842,O866)</f>
        <v>0</v>
      </c>
      <c r="G866" s="4" t="s">
        <v>257</v>
      </c>
      <c r="H866" s="4" t="s">
        <v>258</v>
      </c>
      <c r="I866" s="4"/>
      <c r="J866" s="4"/>
      <c r="K866" s="4">
        <v>209</v>
      </c>
      <c r="L866" s="4">
        <v>23</v>
      </c>
      <c r="M866" s="4">
        <v>3</v>
      </c>
      <c r="N866" s="4" t="s">
        <v>3</v>
      </c>
      <c r="O866" s="4">
        <v>2</v>
      </c>
      <c r="P866" s="4"/>
      <c r="Q866" s="4"/>
      <c r="R866" s="4"/>
      <c r="S866" s="4"/>
      <c r="T866" s="4"/>
      <c r="U866" s="4"/>
      <c r="V866" s="4"/>
      <c r="W866" s="4"/>
    </row>
    <row r="867" spans="1:206" x14ac:dyDescent="0.2">
      <c r="A867" s="4">
        <v>50</v>
      </c>
      <c r="B867" s="4">
        <v>0</v>
      </c>
      <c r="C867" s="4">
        <v>0</v>
      </c>
      <c r="D867" s="4">
        <v>1</v>
      </c>
      <c r="E867" s="4">
        <v>233</v>
      </c>
      <c r="F867" s="4">
        <f>ROUND(Source!BD842,O867)</f>
        <v>0</v>
      </c>
      <c r="G867" s="4" t="s">
        <v>259</v>
      </c>
      <c r="H867" s="4" t="s">
        <v>260</v>
      </c>
      <c r="I867" s="4"/>
      <c r="J867" s="4"/>
      <c r="K867" s="4">
        <v>233</v>
      </c>
      <c r="L867" s="4">
        <v>24</v>
      </c>
      <c r="M867" s="4">
        <v>3</v>
      </c>
      <c r="N867" s="4" t="s">
        <v>3</v>
      </c>
      <c r="O867" s="4">
        <v>2</v>
      </c>
      <c r="P867" s="4"/>
      <c r="Q867" s="4"/>
      <c r="R867" s="4"/>
      <c r="S867" s="4"/>
      <c r="T867" s="4"/>
      <c r="U867" s="4"/>
      <c r="V867" s="4"/>
      <c r="W867" s="4"/>
    </row>
    <row r="868" spans="1:206" x14ac:dyDescent="0.2">
      <c r="A868" s="4">
        <v>50</v>
      </c>
      <c r="B868" s="4">
        <v>0</v>
      </c>
      <c r="C868" s="4">
        <v>0</v>
      </c>
      <c r="D868" s="4">
        <v>1</v>
      </c>
      <c r="E868" s="4">
        <v>210</v>
      </c>
      <c r="F868" s="4">
        <f>ROUND(Source!X842,O868)</f>
        <v>0</v>
      </c>
      <c r="G868" s="4" t="s">
        <v>261</v>
      </c>
      <c r="H868" s="4" t="s">
        <v>262</v>
      </c>
      <c r="I868" s="4"/>
      <c r="J868" s="4"/>
      <c r="K868" s="4">
        <v>210</v>
      </c>
      <c r="L868" s="4">
        <v>25</v>
      </c>
      <c r="M868" s="4">
        <v>3</v>
      </c>
      <c r="N868" s="4" t="s">
        <v>3</v>
      </c>
      <c r="O868" s="4">
        <v>2</v>
      </c>
      <c r="P868" s="4"/>
      <c r="Q868" s="4"/>
      <c r="R868" s="4"/>
      <c r="S868" s="4"/>
      <c r="T868" s="4"/>
      <c r="U868" s="4"/>
      <c r="V868" s="4"/>
      <c r="W868" s="4"/>
    </row>
    <row r="869" spans="1:206" x14ac:dyDescent="0.2">
      <c r="A869" s="4">
        <v>50</v>
      </c>
      <c r="B869" s="4">
        <v>0</v>
      </c>
      <c r="C869" s="4">
        <v>0</v>
      </c>
      <c r="D869" s="4">
        <v>1</v>
      </c>
      <c r="E869" s="4">
        <v>211</v>
      </c>
      <c r="F869" s="4">
        <f>ROUND(Source!Y842,O869)</f>
        <v>0</v>
      </c>
      <c r="G869" s="4" t="s">
        <v>263</v>
      </c>
      <c r="H869" s="4" t="s">
        <v>264</v>
      </c>
      <c r="I869" s="4"/>
      <c r="J869" s="4"/>
      <c r="K869" s="4">
        <v>211</v>
      </c>
      <c r="L869" s="4">
        <v>26</v>
      </c>
      <c r="M869" s="4">
        <v>3</v>
      </c>
      <c r="N869" s="4" t="s">
        <v>3</v>
      </c>
      <c r="O869" s="4">
        <v>2</v>
      </c>
      <c r="P869" s="4"/>
      <c r="Q869" s="4"/>
      <c r="R869" s="4"/>
      <c r="S869" s="4"/>
      <c r="T869" s="4"/>
      <c r="U869" s="4"/>
      <c r="V869" s="4"/>
      <c r="W869" s="4"/>
    </row>
    <row r="870" spans="1:206" x14ac:dyDescent="0.2">
      <c r="A870" s="4">
        <v>50</v>
      </c>
      <c r="B870" s="4">
        <v>0</v>
      </c>
      <c r="C870" s="4">
        <v>0</v>
      </c>
      <c r="D870" s="4">
        <v>1</v>
      </c>
      <c r="E870" s="4">
        <v>224</v>
      </c>
      <c r="F870" s="4">
        <f>ROUND(Source!AR842,O870)</f>
        <v>2177386.4900000002</v>
      </c>
      <c r="G870" s="4" t="s">
        <v>265</v>
      </c>
      <c r="H870" s="4" t="s">
        <v>266</v>
      </c>
      <c r="I870" s="4"/>
      <c r="J870" s="4"/>
      <c r="K870" s="4">
        <v>224</v>
      </c>
      <c r="L870" s="4">
        <v>27</v>
      </c>
      <c r="M870" s="4">
        <v>3</v>
      </c>
      <c r="N870" s="4" t="s">
        <v>3</v>
      </c>
      <c r="O870" s="4">
        <v>2</v>
      </c>
      <c r="P870" s="4"/>
      <c r="Q870" s="4"/>
      <c r="R870" s="4"/>
      <c r="S870" s="4"/>
      <c r="T870" s="4"/>
      <c r="U870" s="4"/>
      <c r="V870" s="4"/>
      <c r="W870" s="4"/>
    </row>
    <row r="872" spans="1:206" x14ac:dyDescent="0.2">
      <c r="A872" s="2">
        <v>51</v>
      </c>
      <c r="B872" s="2">
        <f>B811</f>
        <v>1</v>
      </c>
      <c r="C872" s="2">
        <f>A811</f>
        <v>4</v>
      </c>
      <c r="D872" s="2">
        <f>ROW(A811)</f>
        <v>811</v>
      </c>
      <c r="E872" s="2"/>
      <c r="F872" s="2" t="str">
        <f>IF(F811&lt;&gt;"",F811,"")</f>
        <v>Новый раздел</v>
      </c>
      <c r="G872" s="2" t="str">
        <f>IF(G811&lt;&gt;"",G811,"")</f>
        <v>Посадка деревьев и кустарников</v>
      </c>
      <c r="H872" s="2">
        <v>0</v>
      </c>
      <c r="I872" s="2"/>
      <c r="J872" s="2"/>
      <c r="K872" s="2"/>
      <c r="L872" s="2"/>
      <c r="M872" s="2"/>
      <c r="N872" s="2"/>
      <c r="O872" s="2">
        <f t="shared" ref="O872:T872" si="787">ROUND(O842+AB872,2)</f>
        <v>2334426</v>
      </c>
      <c r="P872" s="2">
        <f t="shared" si="787"/>
        <v>2173847.73</v>
      </c>
      <c r="Q872" s="2">
        <f t="shared" si="787"/>
        <v>63073.87</v>
      </c>
      <c r="R872" s="2">
        <f t="shared" si="787"/>
        <v>7976.2</v>
      </c>
      <c r="S872" s="2">
        <f t="shared" si="787"/>
        <v>97504.4</v>
      </c>
      <c r="T872" s="2">
        <f t="shared" si="787"/>
        <v>0</v>
      </c>
      <c r="U872" s="2">
        <f>U842+AH872</f>
        <v>345.06115</v>
      </c>
      <c r="V872" s="2">
        <f>V842+AI872</f>
        <v>0</v>
      </c>
      <c r="W872" s="2">
        <f>ROUND(W842+AJ872,2)</f>
        <v>0</v>
      </c>
      <c r="X872" s="2">
        <f>ROUND(X842+AK872,2)</f>
        <v>86722.33</v>
      </c>
      <c r="Y872" s="2">
        <f>ROUND(Y842+AL872,2)</f>
        <v>39976.81</v>
      </c>
      <c r="Z872" s="2"/>
      <c r="AA872" s="2"/>
      <c r="AB872" s="2">
        <f>ROUND(SUMIF(AA815:AA824,"=42938047",O815:O824),2)</f>
        <v>157039.51</v>
      </c>
      <c r="AC872" s="2">
        <f>ROUND(SUMIF(AA815:AA824,"=42938047",P815:P824),2)</f>
        <v>26065.58</v>
      </c>
      <c r="AD872" s="2">
        <f>ROUND(SUMIF(AA815:AA824,"=42938047",Q815:Q824),2)</f>
        <v>33469.53</v>
      </c>
      <c r="AE872" s="2">
        <f>ROUND(SUMIF(AA815:AA824,"=42938047",R815:R824),2)</f>
        <v>7976.2</v>
      </c>
      <c r="AF872" s="2">
        <f>ROUND(SUMIF(AA815:AA824,"=42938047",S815:S824),2)</f>
        <v>97504.4</v>
      </c>
      <c r="AG872" s="2">
        <f>ROUND(SUMIF(AA815:AA824,"=42938047",T815:T824),2)</f>
        <v>0</v>
      </c>
      <c r="AH872" s="2">
        <f>SUMIF(AA815:AA824,"=42938047",U815:U824)</f>
        <v>345.06115</v>
      </c>
      <c r="AI872" s="2">
        <f>SUMIF(AA815:AA824,"=42938047",V815:V824)</f>
        <v>0</v>
      </c>
      <c r="AJ872" s="2">
        <f>ROUND(SUMIF(AA815:AA824,"=42938047",W815:W824),2)</f>
        <v>0</v>
      </c>
      <c r="AK872" s="2">
        <f>ROUND(SUMIF(AA815:AA824,"=42938047",X815:X824),2)</f>
        <v>86722.33</v>
      </c>
      <c r="AL872" s="2">
        <f>ROUND(SUMIF(AA815:AA824,"=42938047",Y815:Y824),2)</f>
        <v>39976.81</v>
      </c>
      <c r="AM872" s="2"/>
      <c r="AN872" s="2"/>
      <c r="AO872" s="2">
        <f t="shared" ref="AO872:BD872" si="788">ROUND(AO842+BX872,2)</f>
        <v>0</v>
      </c>
      <c r="AP872" s="2">
        <f t="shared" si="788"/>
        <v>0</v>
      </c>
      <c r="AQ872" s="2">
        <f t="shared" si="788"/>
        <v>0</v>
      </c>
      <c r="AR872" s="2">
        <f t="shared" si="788"/>
        <v>2473647.7799999998</v>
      </c>
      <c r="AS872" s="2">
        <f t="shared" si="788"/>
        <v>2443747.4300000002</v>
      </c>
      <c r="AT872" s="2">
        <f t="shared" si="788"/>
        <v>0</v>
      </c>
      <c r="AU872" s="2">
        <f t="shared" si="788"/>
        <v>29900.35</v>
      </c>
      <c r="AV872" s="2">
        <f t="shared" si="788"/>
        <v>2173847.73</v>
      </c>
      <c r="AW872" s="2">
        <f t="shared" si="788"/>
        <v>2173847.73</v>
      </c>
      <c r="AX872" s="2">
        <f t="shared" si="788"/>
        <v>0</v>
      </c>
      <c r="AY872" s="2">
        <f t="shared" si="788"/>
        <v>2173847.73</v>
      </c>
      <c r="AZ872" s="2">
        <f t="shared" si="788"/>
        <v>0</v>
      </c>
      <c r="BA872" s="2">
        <f t="shared" si="788"/>
        <v>0</v>
      </c>
      <c r="BB872" s="2">
        <f t="shared" si="788"/>
        <v>0</v>
      </c>
      <c r="BC872" s="2">
        <f t="shared" si="788"/>
        <v>0</v>
      </c>
      <c r="BD872" s="2">
        <f t="shared" si="788"/>
        <v>0</v>
      </c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>
        <f>ROUND(SUMIF(AA815:AA824,"=42938047",FQ815:FQ824),2)</f>
        <v>0</v>
      </c>
      <c r="BY872" s="2">
        <f>ROUND(SUMIF(AA815:AA824,"=42938047",FR815:FR824),2)</f>
        <v>0</v>
      </c>
      <c r="BZ872" s="2">
        <f>ROUND(SUMIF(AA815:AA824,"=42938047",GL815:GL824),2)</f>
        <v>0</v>
      </c>
      <c r="CA872" s="2">
        <f>ROUND(SUMIF(AA815:AA824,"=42938047",GM815:GM824),2)</f>
        <v>296261.28999999998</v>
      </c>
      <c r="CB872" s="2">
        <f>ROUND(SUMIF(AA815:AA824,"=42938047",GN815:GN824),2)</f>
        <v>295965.28000000003</v>
      </c>
      <c r="CC872" s="2">
        <f>ROUND(SUMIF(AA815:AA824,"=42938047",GO815:GO824),2)</f>
        <v>0</v>
      </c>
      <c r="CD872" s="2">
        <f>ROUND(SUMIF(AA815:AA824,"=42938047",GP815:GP824),2)</f>
        <v>296.01</v>
      </c>
      <c r="CE872" s="2">
        <f>AC872-BX872</f>
        <v>26065.58</v>
      </c>
      <c r="CF872" s="2">
        <f>AC872-BY872</f>
        <v>26065.58</v>
      </c>
      <c r="CG872" s="2">
        <f>BX872-BZ872</f>
        <v>0</v>
      </c>
      <c r="CH872" s="2">
        <f>AC872-BX872-BY872+BZ872</f>
        <v>26065.58</v>
      </c>
      <c r="CI872" s="2">
        <f>BY872-BZ872</f>
        <v>0</v>
      </c>
      <c r="CJ872" s="2">
        <f>ROUND(SUMIF(AA815:AA824,"=42938047",GX815:GX824),2)</f>
        <v>0</v>
      </c>
      <c r="CK872" s="2">
        <f>ROUND(SUMIF(AA815:AA824,"=42938047",GY815:GY824),2)</f>
        <v>0</v>
      </c>
      <c r="CL872" s="2">
        <f>ROUND(SUMIF(AA815:AA824,"=42938047",GZ815:GZ824),2)</f>
        <v>0</v>
      </c>
      <c r="CM872" s="2">
        <f>ROUND(SUMIF(AA815:AA824,"=42938047",HD815:HD824),2)</f>
        <v>0</v>
      </c>
      <c r="CN872" s="2"/>
      <c r="CO872" s="2"/>
      <c r="CP872" s="2"/>
      <c r="CQ872" s="2"/>
      <c r="CR872" s="2"/>
      <c r="CS872" s="2"/>
      <c r="CT872" s="2"/>
      <c r="CU872" s="2"/>
      <c r="CV872" s="2"/>
      <c r="CW872" s="2"/>
      <c r="CX872" s="2"/>
      <c r="CY872" s="2"/>
      <c r="CZ872" s="2"/>
      <c r="DA872" s="2"/>
      <c r="DB872" s="2"/>
      <c r="DC872" s="2"/>
      <c r="DD872" s="2"/>
      <c r="DE872" s="2"/>
      <c r="DF872" s="2"/>
      <c r="DG872" s="3"/>
      <c r="DH872" s="3"/>
      <c r="DI872" s="3"/>
      <c r="DJ872" s="3"/>
      <c r="DK872" s="3"/>
      <c r="DL872" s="3"/>
      <c r="DM872" s="3"/>
      <c r="DN872" s="3"/>
      <c r="DO872" s="3"/>
      <c r="DP872" s="3"/>
      <c r="DQ872" s="3"/>
      <c r="DR872" s="3"/>
      <c r="DS872" s="3"/>
      <c r="DT872" s="3"/>
      <c r="DU872" s="3"/>
      <c r="DV872" s="3"/>
      <c r="DW872" s="3"/>
      <c r="DX872" s="3"/>
      <c r="DY872" s="3"/>
      <c r="DZ872" s="3"/>
      <c r="EA872" s="3"/>
      <c r="EB872" s="3"/>
      <c r="EC872" s="3"/>
      <c r="ED872" s="3"/>
      <c r="EE872" s="3"/>
      <c r="EF872" s="3"/>
      <c r="EG872" s="3"/>
      <c r="EH872" s="3"/>
      <c r="EI872" s="3"/>
      <c r="EJ872" s="3"/>
      <c r="EK872" s="3"/>
      <c r="EL872" s="3"/>
      <c r="EM872" s="3"/>
      <c r="EN872" s="3"/>
      <c r="EO872" s="3"/>
      <c r="EP872" s="3"/>
      <c r="EQ872" s="3"/>
      <c r="ER872" s="3"/>
      <c r="ES872" s="3"/>
      <c r="ET872" s="3"/>
      <c r="EU872" s="3"/>
      <c r="EV872" s="3"/>
      <c r="EW872" s="3"/>
      <c r="EX872" s="3"/>
      <c r="EY872" s="3"/>
      <c r="EZ872" s="3"/>
      <c r="FA872" s="3"/>
      <c r="FB872" s="3"/>
      <c r="FC872" s="3"/>
      <c r="FD872" s="3"/>
      <c r="FE872" s="3"/>
      <c r="FF872" s="3"/>
      <c r="FG872" s="3"/>
      <c r="FH872" s="3"/>
      <c r="FI872" s="3"/>
      <c r="FJ872" s="3"/>
      <c r="FK872" s="3"/>
      <c r="FL872" s="3"/>
      <c r="FM872" s="3"/>
      <c r="FN872" s="3"/>
      <c r="FO872" s="3"/>
      <c r="FP872" s="3"/>
      <c r="FQ872" s="3"/>
      <c r="FR872" s="3"/>
      <c r="FS872" s="3"/>
      <c r="FT872" s="3"/>
      <c r="FU872" s="3"/>
      <c r="FV872" s="3"/>
      <c r="FW872" s="3"/>
      <c r="FX872" s="3"/>
      <c r="FY872" s="3"/>
      <c r="FZ872" s="3"/>
      <c r="GA872" s="3"/>
      <c r="GB872" s="3"/>
      <c r="GC872" s="3"/>
      <c r="GD872" s="3"/>
      <c r="GE872" s="3"/>
      <c r="GF872" s="3"/>
      <c r="GG872" s="3"/>
      <c r="GH872" s="3"/>
      <c r="GI872" s="3"/>
      <c r="GJ872" s="3"/>
      <c r="GK872" s="3"/>
      <c r="GL872" s="3"/>
      <c r="GM872" s="3"/>
      <c r="GN872" s="3"/>
      <c r="GO872" s="3"/>
      <c r="GP872" s="3"/>
      <c r="GQ872" s="3"/>
      <c r="GR872" s="3"/>
      <c r="GS872" s="3"/>
      <c r="GT872" s="3"/>
      <c r="GU872" s="3"/>
      <c r="GV872" s="3"/>
      <c r="GW872" s="3"/>
      <c r="GX872" s="3">
        <v>0</v>
      </c>
    </row>
    <row r="874" spans="1:206" x14ac:dyDescent="0.2">
      <c r="A874" s="4">
        <v>50</v>
      </c>
      <c r="B874" s="4">
        <v>0</v>
      </c>
      <c r="C874" s="4">
        <v>0</v>
      </c>
      <c r="D874" s="4">
        <v>1</v>
      </c>
      <c r="E874" s="4">
        <v>201</v>
      </c>
      <c r="F874" s="4">
        <f>ROUND(Source!O872,O874)</f>
        <v>2334426</v>
      </c>
      <c r="G874" s="4" t="s">
        <v>213</v>
      </c>
      <c r="H874" s="4" t="s">
        <v>214</v>
      </c>
      <c r="I874" s="4"/>
      <c r="J874" s="4"/>
      <c r="K874" s="4">
        <v>201</v>
      </c>
      <c r="L874" s="4">
        <v>1</v>
      </c>
      <c r="M874" s="4">
        <v>3</v>
      </c>
      <c r="N874" s="4" t="s">
        <v>3</v>
      </c>
      <c r="O874" s="4">
        <v>2</v>
      </c>
      <c r="P874" s="4"/>
      <c r="Q874" s="4"/>
      <c r="R874" s="4"/>
      <c r="S874" s="4"/>
      <c r="T874" s="4"/>
      <c r="U874" s="4"/>
      <c r="V874" s="4"/>
      <c r="W874" s="4"/>
    </row>
    <row r="875" spans="1:206" x14ac:dyDescent="0.2">
      <c r="A875" s="4">
        <v>50</v>
      </c>
      <c r="B875" s="4">
        <v>0</v>
      </c>
      <c r="C875" s="4">
        <v>0</v>
      </c>
      <c r="D875" s="4">
        <v>1</v>
      </c>
      <c r="E875" s="4">
        <v>202</v>
      </c>
      <c r="F875" s="4">
        <f>ROUND(Source!P872,O875)</f>
        <v>2173847.73</v>
      </c>
      <c r="G875" s="4" t="s">
        <v>215</v>
      </c>
      <c r="H875" s="4" t="s">
        <v>216</v>
      </c>
      <c r="I875" s="4"/>
      <c r="J875" s="4"/>
      <c r="K875" s="4">
        <v>202</v>
      </c>
      <c r="L875" s="4">
        <v>2</v>
      </c>
      <c r="M875" s="4">
        <v>3</v>
      </c>
      <c r="N875" s="4" t="s">
        <v>3</v>
      </c>
      <c r="O875" s="4">
        <v>2</v>
      </c>
      <c r="P875" s="4"/>
      <c r="Q875" s="4"/>
      <c r="R875" s="4"/>
      <c r="S875" s="4"/>
      <c r="T875" s="4"/>
      <c r="U875" s="4"/>
      <c r="V875" s="4"/>
      <c r="W875" s="4"/>
    </row>
    <row r="876" spans="1:206" x14ac:dyDescent="0.2">
      <c r="A876" s="4">
        <v>50</v>
      </c>
      <c r="B876" s="4">
        <v>0</v>
      </c>
      <c r="C876" s="4">
        <v>0</v>
      </c>
      <c r="D876" s="4">
        <v>1</v>
      </c>
      <c r="E876" s="4">
        <v>222</v>
      </c>
      <c r="F876" s="4">
        <f>ROUND(Source!AO872,O876)</f>
        <v>0</v>
      </c>
      <c r="G876" s="4" t="s">
        <v>217</v>
      </c>
      <c r="H876" s="4" t="s">
        <v>218</v>
      </c>
      <c r="I876" s="4"/>
      <c r="J876" s="4"/>
      <c r="K876" s="4">
        <v>222</v>
      </c>
      <c r="L876" s="4">
        <v>3</v>
      </c>
      <c r="M876" s="4">
        <v>3</v>
      </c>
      <c r="N876" s="4" t="s">
        <v>3</v>
      </c>
      <c r="O876" s="4">
        <v>2</v>
      </c>
      <c r="P876" s="4"/>
      <c r="Q876" s="4"/>
      <c r="R876" s="4"/>
      <c r="S876" s="4"/>
      <c r="T876" s="4"/>
      <c r="U876" s="4"/>
      <c r="V876" s="4"/>
      <c r="W876" s="4"/>
    </row>
    <row r="877" spans="1:206" x14ac:dyDescent="0.2">
      <c r="A877" s="4">
        <v>50</v>
      </c>
      <c r="B877" s="4">
        <v>0</v>
      </c>
      <c r="C877" s="4">
        <v>0</v>
      </c>
      <c r="D877" s="4">
        <v>1</v>
      </c>
      <c r="E877" s="4">
        <v>225</v>
      </c>
      <c r="F877" s="4">
        <f>ROUND(Source!AV872,O877)</f>
        <v>2173847.73</v>
      </c>
      <c r="G877" s="4" t="s">
        <v>219</v>
      </c>
      <c r="H877" s="4" t="s">
        <v>220</v>
      </c>
      <c r="I877" s="4"/>
      <c r="J877" s="4"/>
      <c r="K877" s="4">
        <v>225</v>
      </c>
      <c r="L877" s="4">
        <v>4</v>
      </c>
      <c r="M877" s="4">
        <v>3</v>
      </c>
      <c r="N877" s="4" t="s">
        <v>3</v>
      </c>
      <c r="O877" s="4">
        <v>2</v>
      </c>
      <c r="P877" s="4"/>
      <c r="Q877" s="4"/>
      <c r="R877" s="4"/>
      <c r="S877" s="4"/>
      <c r="T877" s="4"/>
      <c r="U877" s="4"/>
      <c r="V877" s="4"/>
      <c r="W877" s="4"/>
    </row>
    <row r="878" spans="1:206" x14ac:dyDescent="0.2">
      <c r="A878" s="4">
        <v>50</v>
      </c>
      <c r="B878" s="4">
        <v>0</v>
      </c>
      <c r="C878" s="4">
        <v>0</v>
      </c>
      <c r="D878" s="4">
        <v>1</v>
      </c>
      <c r="E878" s="4">
        <v>226</v>
      </c>
      <c r="F878" s="4">
        <f>ROUND(Source!AW872,O878)</f>
        <v>2173847.73</v>
      </c>
      <c r="G878" s="4" t="s">
        <v>221</v>
      </c>
      <c r="H878" s="4" t="s">
        <v>222</v>
      </c>
      <c r="I878" s="4"/>
      <c r="J878" s="4"/>
      <c r="K878" s="4">
        <v>226</v>
      </c>
      <c r="L878" s="4">
        <v>5</v>
      </c>
      <c r="M878" s="4">
        <v>3</v>
      </c>
      <c r="N878" s="4" t="s">
        <v>3</v>
      </c>
      <c r="O878" s="4">
        <v>2</v>
      </c>
      <c r="P878" s="4"/>
      <c r="Q878" s="4"/>
      <c r="R878" s="4"/>
      <c r="S878" s="4"/>
      <c r="T878" s="4"/>
      <c r="U878" s="4"/>
      <c r="V878" s="4"/>
      <c r="W878" s="4"/>
    </row>
    <row r="879" spans="1:206" x14ac:dyDescent="0.2">
      <c r="A879" s="4">
        <v>50</v>
      </c>
      <c r="B879" s="4">
        <v>0</v>
      </c>
      <c r="C879" s="4">
        <v>0</v>
      </c>
      <c r="D879" s="4">
        <v>1</v>
      </c>
      <c r="E879" s="4">
        <v>227</v>
      </c>
      <c r="F879" s="4">
        <f>ROUND(Source!AX872,O879)</f>
        <v>0</v>
      </c>
      <c r="G879" s="4" t="s">
        <v>223</v>
      </c>
      <c r="H879" s="4" t="s">
        <v>224</v>
      </c>
      <c r="I879" s="4"/>
      <c r="J879" s="4"/>
      <c r="K879" s="4">
        <v>227</v>
      </c>
      <c r="L879" s="4">
        <v>6</v>
      </c>
      <c r="M879" s="4">
        <v>3</v>
      </c>
      <c r="N879" s="4" t="s">
        <v>3</v>
      </c>
      <c r="O879" s="4">
        <v>2</v>
      </c>
      <c r="P879" s="4"/>
      <c r="Q879" s="4"/>
      <c r="R879" s="4"/>
      <c r="S879" s="4"/>
      <c r="T879" s="4"/>
      <c r="U879" s="4"/>
      <c r="V879" s="4"/>
      <c r="W879" s="4"/>
    </row>
    <row r="880" spans="1:206" x14ac:dyDescent="0.2">
      <c r="A880" s="4">
        <v>50</v>
      </c>
      <c r="B880" s="4">
        <v>0</v>
      </c>
      <c r="C880" s="4">
        <v>0</v>
      </c>
      <c r="D880" s="4">
        <v>1</v>
      </c>
      <c r="E880" s="4">
        <v>228</v>
      </c>
      <c r="F880" s="4">
        <f>ROUND(Source!AY872,O880)</f>
        <v>2173847.73</v>
      </c>
      <c r="G880" s="4" t="s">
        <v>225</v>
      </c>
      <c r="H880" s="4" t="s">
        <v>226</v>
      </c>
      <c r="I880" s="4"/>
      <c r="J880" s="4"/>
      <c r="K880" s="4">
        <v>228</v>
      </c>
      <c r="L880" s="4">
        <v>7</v>
      </c>
      <c r="M880" s="4">
        <v>3</v>
      </c>
      <c r="N880" s="4" t="s">
        <v>3</v>
      </c>
      <c r="O880" s="4">
        <v>2</v>
      </c>
      <c r="P880" s="4"/>
      <c r="Q880" s="4"/>
      <c r="R880" s="4"/>
      <c r="S880" s="4"/>
      <c r="T880" s="4"/>
      <c r="U880" s="4"/>
      <c r="V880" s="4"/>
      <c r="W880" s="4"/>
    </row>
    <row r="881" spans="1:23" x14ac:dyDescent="0.2">
      <c r="A881" s="4">
        <v>50</v>
      </c>
      <c r="B881" s="4">
        <v>0</v>
      </c>
      <c r="C881" s="4">
        <v>0</v>
      </c>
      <c r="D881" s="4">
        <v>1</v>
      </c>
      <c r="E881" s="4">
        <v>216</v>
      </c>
      <c r="F881" s="4">
        <f>ROUND(Source!AP872,O881)</f>
        <v>0</v>
      </c>
      <c r="G881" s="4" t="s">
        <v>227</v>
      </c>
      <c r="H881" s="4" t="s">
        <v>228</v>
      </c>
      <c r="I881" s="4"/>
      <c r="J881" s="4"/>
      <c r="K881" s="4">
        <v>216</v>
      </c>
      <c r="L881" s="4">
        <v>8</v>
      </c>
      <c r="M881" s="4">
        <v>3</v>
      </c>
      <c r="N881" s="4" t="s">
        <v>3</v>
      </c>
      <c r="O881" s="4">
        <v>2</v>
      </c>
      <c r="P881" s="4"/>
      <c r="Q881" s="4"/>
      <c r="R881" s="4"/>
      <c r="S881" s="4"/>
      <c r="T881" s="4"/>
      <c r="U881" s="4"/>
      <c r="V881" s="4"/>
      <c r="W881" s="4"/>
    </row>
    <row r="882" spans="1:23" x14ac:dyDescent="0.2">
      <c r="A882" s="4">
        <v>50</v>
      </c>
      <c r="B882" s="4">
        <v>0</v>
      </c>
      <c r="C882" s="4">
        <v>0</v>
      </c>
      <c r="D882" s="4">
        <v>1</v>
      </c>
      <c r="E882" s="4">
        <v>223</v>
      </c>
      <c r="F882" s="4">
        <f>ROUND(Source!AQ872,O882)</f>
        <v>0</v>
      </c>
      <c r="G882" s="4" t="s">
        <v>229</v>
      </c>
      <c r="H882" s="4" t="s">
        <v>230</v>
      </c>
      <c r="I882" s="4"/>
      <c r="J882" s="4"/>
      <c r="K882" s="4">
        <v>223</v>
      </c>
      <c r="L882" s="4">
        <v>9</v>
      </c>
      <c r="M882" s="4">
        <v>3</v>
      </c>
      <c r="N882" s="4" t="s">
        <v>3</v>
      </c>
      <c r="O882" s="4">
        <v>2</v>
      </c>
      <c r="P882" s="4"/>
      <c r="Q882" s="4"/>
      <c r="R882" s="4"/>
      <c r="S882" s="4"/>
      <c r="T882" s="4"/>
      <c r="U882" s="4"/>
      <c r="V882" s="4"/>
      <c r="W882" s="4"/>
    </row>
    <row r="883" spans="1:23" x14ac:dyDescent="0.2">
      <c r="A883" s="4">
        <v>50</v>
      </c>
      <c r="B883" s="4">
        <v>0</v>
      </c>
      <c r="C883" s="4">
        <v>0</v>
      </c>
      <c r="D883" s="4">
        <v>1</v>
      </c>
      <c r="E883" s="4">
        <v>229</v>
      </c>
      <c r="F883" s="4">
        <f>ROUND(Source!AZ872,O883)</f>
        <v>0</v>
      </c>
      <c r="G883" s="4" t="s">
        <v>231</v>
      </c>
      <c r="H883" s="4" t="s">
        <v>232</v>
      </c>
      <c r="I883" s="4"/>
      <c r="J883" s="4"/>
      <c r="K883" s="4">
        <v>229</v>
      </c>
      <c r="L883" s="4">
        <v>10</v>
      </c>
      <c r="M883" s="4">
        <v>3</v>
      </c>
      <c r="N883" s="4" t="s">
        <v>3</v>
      </c>
      <c r="O883" s="4">
        <v>2</v>
      </c>
      <c r="P883" s="4"/>
      <c r="Q883" s="4"/>
      <c r="R883" s="4"/>
      <c r="S883" s="4"/>
      <c r="T883" s="4"/>
      <c r="U883" s="4"/>
      <c r="V883" s="4"/>
      <c r="W883" s="4"/>
    </row>
    <row r="884" spans="1:23" x14ac:dyDescent="0.2">
      <c r="A884" s="4">
        <v>50</v>
      </c>
      <c r="B884" s="4">
        <v>0</v>
      </c>
      <c r="C884" s="4">
        <v>0</v>
      </c>
      <c r="D884" s="4">
        <v>1</v>
      </c>
      <c r="E884" s="4">
        <v>203</v>
      </c>
      <c r="F884" s="4">
        <f>ROUND(Source!Q872,O884)</f>
        <v>63073.87</v>
      </c>
      <c r="G884" s="4" t="s">
        <v>233</v>
      </c>
      <c r="H884" s="4" t="s">
        <v>234</v>
      </c>
      <c r="I884" s="4"/>
      <c r="J884" s="4"/>
      <c r="K884" s="4">
        <v>203</v>
      </c>
      <c r="L884" s="4">
        <v>11</v>
      </c>
      <c r="M884" s="4">
        <v>3</v>
      </c>
      <c r="N884" s="4" t="s">
        <v>3</v>
      </c>
      <c r="O884" s="4">
        <v>2</v>
      </c>
      <c r="P884" s="4"/>
      <c r="Q884" s="4"/>
      <c r="R884" s="4"/>
      <c r="S884" s="4"/>
      <c r="T884" s="4"/>
      <c r="U884" s="4"/>
      <c r="V884" s="4"/>
      <c r="W884" s="4"/>
    </row>
    <row r="885" spans="1:23" x14ac:dyDescent="0.2">
      <c r="A885" s="4">
        <v>50</v>
      </c>
      <c r="B885" s="4">
        <v>0</v>
      </c>
      <c r="C885" s="4">
        <v>0</v>
      </c>
      <c r="D885" s="4">
        <v>1</v>
      </c>
      <c r="E885" s="4">
        <v>231</v>
      </c>
      <c r="F885" s="4">
        <f>ROUND(Source!BB872,O885)</f>
        <v>0</v>
      </c>
      <c r="G885" s="4" t="s">
        <v>235</v>
      </c>
      <c r="H885" s="4" t="s">
        <v>236</v>
      </c>
      <c r="I885" s="4"/>
      <c r="J885" s="4"/>
      <c r="K885" s="4">
        <v>231</v>
      </c>
      <c r="L885" s="4">
        <v>12</v>
      </c>
      <c r="M885" s="4">
        <v>3</v>
      </c>
      <c r="N885" s="4" t="s">
        <v>3</v>
      </c>
      <c r="O885" s="4">
        <v>2</v>
      </c>
      <c r="P885" s="4"/>
      <c r="Q885" s="4"/>
      <c r="R885" s="4"/>
      <c r="S885" s="4"/>
      <c r="T885" s="4"/>
      <c r="U885" s="4"/>
      <c r="V885" s="4"/>
      <c r="W885" s="4"/>
    </row>
    <row r="886" spans="1:23" x14ac:dyDescent="0.2">
      <c r="A886" s="4">
        <v>50</v>
      </c>
      <c r="B886" s="4">
        <v>0</v>
      </c>
      <c r="C886" s="4">
        <v>0</v>
      </c>
      <c r="D886" s="4">
        <v>1</v>
      </c>
      <c r="E886" s="4">
        <v>204</v>
      </c>
      <c r="F886" s="4">
        <f>ROUND(Source!R872,O886)</f>
        <v>7976.2</v>
      </c>
      <c r="G886" s="4" t="s">
        <v>237</v>
      </c>
      <c r="H886" s="4" t="s">
        <v>238</v>
      </c>
      <c r="I886" s="4"/>
      <c r="J886" s="4"/>
      <c r="K886" s="4">
        <v>204</v>
      </c>
      <c r="L886" s="4">
        <v>13</v>
      </c>
      <c r="M886" s="4">
        <v>3</v>
      </c>
      <c r="N886" s="4" t="s">
        <v>3</v>
      </c>
      <c r="O886" s="4">
        <v>2</v>
      </c>
      <c r="P886" s="4"/>
      <c r="Q886" s="4"/>
      <c r="R886" s="4"/>
      <c r="S886" s="4"/>
      <c r="T886" s="4"/>
      <c r="U886" s="4"/>
      <c r="V886" s="4"/>
      <c r="W886" s="4"/>
    </row>
    <row r="887" spans="1:23" x14ac:dyDescent="0.2">
      <c r="A887" s="4">
        <v>50</v>
      </c>
      <c r="B887" s="4">
        <v>0</v>
      </c>
      <c r="C887" s="4">
        <v>0</v>
      </c>
      <c r="D887" s="4">
        <v>1</v>
      </c>
      <c r="E887" s="4">
        <v>205</v>
      </c>
      <c r="F887" s="4">
        <f>ROUND(Source!S872,O887)</f>
        <v>97504.4</v>
      </c>
      <c r="G887" s="4" t="s">
        <v>239</v>
      </c>
      <c r="H887" s="4" t="s">
        <v>240</v>
      </c>
      <c r="I887" s="4"/>
      <c r="J887" s="4"/>
      <c r="K887" s="4">
        <v>205</v>
      </c>
      <c r="L887" s="4">
        <v>14</v>
      </c>
      <c r="M887" s="4">
        <v>3</v>
      </c>
      <c r="N887" s="4" t="s">
        <v>3</v>
      </c>
      <c r="O887" s="4">
        <v>2</v>
      </c>
      <c r="P887" s="4"/>
      <c r="Q887" s="4"/>
      <c r="R887" s="4"/>
      <c r="S887" s="4"/>
      <c r="T887" s="4"/>
      <c r="U887" s="4"/>
      <c r="V887" s="4"/>
      <c r="W887" s="4"/>
    </row>
    <row r="888" spans="1:23" x14ac:dyDescent="0.2">
      <c r="A888" s="4">
        <v>50</v>
      </c>
      <c r="B888" s="4">
        <v>0</v>
      </c>
      <c r="C888" s="4">
        <v>0</v>
      </c>
      <c r="D888" s="4">
        <v>1</v>
      </c>
      <c r="E888" s="4">
        <v>232</v>
      </c>
      <c r="F888" s="4">
        <f>ROUND(Source!BC872,O888)</f>
        <v>0</v>
      </c>
      <c r="G888" s="4" t="s">
        <v>241</v>
      </c>
      <c r="H888" s="4" t="s">
        <v>242</v>
      </c>
      <c r="I888" s="4"/>
      <c r="J888" s="4"/>
      <c r="K888" s="4">
        <v>232</v>
      </c>
      <c r="L888" s="4">
        <v>15</v>
      </c>
      <c r="M888" s="4">
        <v>3</v>
      </c>
      <c r="N888" s="4" t="s">
        <v>3</v>
      </c>
      <c r="O888" s="4">
        <v>2</v>
      </c>
      <c r="P888" s="4"/>
      <c r="Q888" s="4"/>
      <c r="R888" s="4"/>
      <c r="S888" s="4"/>
      <c r="T888" s="4"/>
      <c r="U888" s="4"/>
      <c r="V888" s="4"/>
      <c r="W888" s="4"/>
    </row>
    <row r="889" spans="1:23" x14ac:dyDescent="0.2">
      <c r="A889" s="4">
        <v>50</v>
      </c>
      <c r="B889" s="4">
        <v>0</v>
      </c>
      <c r="C889" s="4">
        <v>0</v>
      </c>
      <c r="D889" s="4">
        <v>1</v>
      </c>
      <c r="E889" s="4">
        <v>214</v>
      </c>
      <c r="F889" s="4">
        <f>ROUND(Source!AS872,O889)</f>
        <v>2443747.4300000002</v>
      </c>
      <c r="G889" s="4" t="s">
        <v>243</v>
      </c>
      <c r="H889" s="4" t="s">
        <v>244</v>
      </c>
      <c r="I889" s="4"/>
      <c r="J889" s="4"/>
      <c r="K889" s="4">
        <v>214</v>
      </c>
      <c r="L889" s="4">
        <v>16</v>
      </c>
      <c r="M889" s="4">
        <v>3</v>
      </c>
      <c r="N889" s="4" t="s">
        <v>3</v>
      </c>
      <c r="O889" s="4">
        <v>2</v>
      </c>
      <c r="P889" s="4"/>
      <c r="Q889" s="4"/>
      <c r="R889" s="4"/>
      <c r="S889" s="4"/>
      <c r="T889" s="4"/>
      <c r="U889" s="4"/>
      <c r="V889" s="4"/>
      <c r="W889" s="4"/>
    </row>
    <row r="890" spans="1:23" x14ac:dyDescent="0.2">
      <c r="A890" s="4">
        <v>50</v>
      </c>
      <c r="B890" s="4">
        <v>0</v>
      </c>
      <c r="C890" s="4">
        <v>0</v>
      </c>
      <c r="D890" s="4">
        <v>1</v>
      </c>
      <c r="E890" s="4">
        <v>215</v>
      </c>
      <c r="F890" s="4">
        <f>ROUND(Source!AT872,O890)</f>
        <v>0</v>
      </c>
      <c r="G890" s="4" t="s">
        <v>245</v>
      </c>
      <c r="H890" s="4" t="s">
        <v>246</v>
      </c>
      <c r="I890" s="4"/>
      <c r="J890" s="4"/>
      <c r="K890" s="4">
        <v>215</v>
      </c>
      <c r="L890" s="4">
        <v>17</v>
      </c>
      <c r="M890" s="4">
        <v>3</v>
      </c>
      <c r="N890" s="4" t="s">
        <v>3</v>
      </c>
      <c r="O890" s="4">
        <v>2</v>
      </c>
      <c r="P890" s="4"/>
      <c r="Q890" s="4"/>
      <c r="R890" s="4"/>
      <c r="S890" s="4"/>
      <c r="T890" s="4"/>
      <c r="U890" s="4"/>
      <c r="V890" s="4"/>
      <c r="W890" s="4"/>
    </row>
    <row r="891" spans="1:23" x14ac:dyDescent="0.2">
      <c r="A891" s="4">
        <v>50</v>
      </c>
      <c r="B891" s="4">
        <v>0</v>
      </c>
      <c r="C891" s="4">
        <v>0</v>
      </c>
      <c r="D891" s="4">
        <v>1</v>
      </c>
      <c r="E891" s="4">
        <v>217</v>
      </c>
      <c r="F891" s="4">
        <f>ROUND(Source!AU872,O891)</f>
        <v>29900.35</v>
      </c>
      <c r="G891" s="4" t="s">
        <v>247</v>
      </c>
      <c r="H891" s="4" t="s">
        <v>248</v>
      </c>
      <c r="I891" s="4"/>
      <c r="J891" s="4"/>
      <c r="K891" s="4">
        <v>217</v>
      </c>
      <c r="L891" s="4">
        <v>18</v>
      </c>
      <c r="M891" s="4">
        <v>3</v>
      </c>
      <c r="N891" s="4" t="s">
        <v>3</v>
      </c>
      <c r="O891" s="4">
        <v>2</v>
      </c>
      <c r="P891" s="4"/>
      <c r="Q891" s="4"/>
      <c r="R891" s="4"/>
      <c r="S891" s="4"/>
      <c r="T891" s="4"/>
      <c r="U891" s="4"/>
      <c r="V891" s="4"/>
      <c r="W891" s="4"/>
    </row>
    <row r="892" spans="1:23" x14ac:dyDescent="0.2">
      <c r="A892" s="4">
        <v>50</v>
      </c>
      <c r="B892" s="4">
        <v>0</v>
      </c>
      <c r="C892" s="4">
        <v>0</v>
      </c>
      <c r="D892" s="4">
        <v>1</v>
      </c>
      <c r="E892" s="4">
        <v>230</v>
      </c>
      <c r="F892" s="4">
        <f>ROUND(Source!BA872,O892)</f>
        <v>0</v>
      </c>
      <c r="G892" s="4" t="s">
        <v>249</v>
      </c>
      <c r="H892" s="4" t="s">
        <v>250</v>
      </c>
      <c r="I892" s="4"/>
      <c r="J892" s="4"/>
      <c r="K892" s="4">
        <v>230</v>
      </c>
      <c r="L892" s="4">
        <v>19</v>
      </c>
      <c r="M892" s="4">
        <v>3</v>
      </c>
      <c r="N892" s="4" t="s">
        <v>3</v>
      </c>
      <c r="O892" s="4">
        <v>2</v>
      </c>
      <c r="P892" s="4"/>
      <c r="Q892" s="4"/>
      <c r="R892" s="4"/>
      <c r="S892" s="4"/>
      <c r="T892" s="4"/>
      <c r="U892" s="4"/>
      <c r="V892" s="4"/>
      <c r="W892" s="4"/>
    </row>
    <row r="893" spans="1:23" x14ac:dyDescent="0.2">
      <c r="A893" s="4">
        <v>50</v>
      </c>
      <c r="B893" s="4">
        <v>0</v>
      </c>
      <c r="C893" s="4">
        <v>0</v>
      </c>
      <c r="D893" s="4">
        <v>1</v>
      </c>
      <c r="E893" s="4">
        <v>206</v>
      </c>
      <c r="F893" s="4">
        <f>ROUND(Source!T872,O893)</f>
        <v>0</v>
      </c>
      <c r="G893" s="4" t="s">
        <v>251</v>
      </c>
      <c r="H893" s="4" t="s">
        <v>252</v>
      </c>
      <c r="I893" s="4"/>
      <c r="J893" s="4"/>
      <c r="K893" s="4">
        <v>206</v>
      </c>
      <c r="L893" s="4">
        <v>20</v>
      </c>
      <c r="M893" s="4">
        <v>3</v>
      </c>
      <c r="N893" s="4" t="s">
        <v>3</v>
      </c>
      <c r="O893" s="4">
        <v>2</v>
      </c>
      <c r="P893" s="4"/>
      <c r="Q893" s="4"/>
      <c r="R893" s="4"/>
      <c r="S893" s="4"/>
      <c r="T893" s="4"/>
      <c r="U893" s="4"/>
      <c r="V893" s="4"/>
      <c r="W893" s="4"/>
    </row>
    <row r="894" spans="1:23" x14ac:dyDescent="0.2">
      <c r="A894" s="4">
        <v>50</v>
      </c>
      <c r="B894" s="4">
        <v>0</v>
      </c>
      <c r="C894" s="4">
        <v>0</v>
      </c>
      <c r="D894" s="4">
        <v>1</v>
      </c>
      <c r="E894" s="4">
        <v>207</v>
      </c>
      <c r="F894" s="4">
        <f>Source!U872</f>
        <v>345.06115</v>
      </c>
      <c r="G894" s="4" t="s">
        <v>253</v>
      </c>
      <c r="H894" s="4" t="s">
        <v>254</v>
      </c>
      <c r="I894" s="4"/>
      <c r="J894" s="4"/>
      <c r="K894" s="4">
        <v>207</v>
      </c>
      <c r="L894" s="4">
        <v>21</v>
      </c>
      <c r="M894" s="4">
        <v>3</v>
      </c>
      <c r="N894" s="4" t="s">
        <v>3</v>
      </c>
      <c r="O894" s="4">
        <v>-1</v>
      </c>
      <c r="P894" s="4"/>
      <c r="Q894" s="4"/>
      <c r="R894" s="4"/>
      <c r="S894" s="4"/>
      <c r="T894" s="4"/>
      <c r="U894" s="4"/>
      <c r="V894" s="4"/>
      <c r="W894" s="4"/>
    </row>
    <row r="895" spans="1:23" x14ac:dyDescent="0.2">
      <c r="A895" s="4">
        <v>50</v>
      </c>
      <c r="B895" s="4">
        <v>0</v>
      </c>
      <c r="C895" s="4">
        <v>0</v>
      </c>
      <c r="D895" s="4">
        <v>1</v>
      </c>
      <c r="E895" s="4">
        <v>208</v>
      </c>
      <c r="F895" s="4">
        <f>Source!V872</f>
        <v>0</v>
      </c>
      <c r="G895" s="4" t="s">
        <v>255</v>
      </c>
      <c r="H895" s="4" t="s">
        <v>256</v>
      </c>
      <c r="I895" s="4"/>
      <c r="J895" s="4"/>
      <c r="K895" s="4">
        <v>208</v>
      </c>
      <c r="L895" s="4">
        <v>22</v>
      </c>
      <c r="M895" s="4">
        <v>3</v>
      </c>
      <c r="N895" s="4" t="s">
        <v>3</v>
      </c>
      <c r="O895" s="4">
        <v>-1</v>
      </c>
      <c r="P895" s="4"/>
      <c r="Q895" s="4"/>
      <c r="R895" s="4"/>
      <c r="S895" s="4"/>
      <c r="T895" s="4"/>
      <c r="U895" s="4"/>
      <c r="V895" s="4"/>
      <c r="W895" s="4"/>
    </row>
    <row r="896" spans="1:23" x14ac:dyDescent="0.2">
      <c r="A896" s="4">
        <v>50</v>
      </c>
      <c r="B896" s="4">
        <v>0</v>
      </c>
      <c r="C896" s="4">
        <v>0</v>
      </c>
      <c r="D896" s="4">
        <v>1</v>
      </c>
      <c r="E896" s="4">
        <v>209</v>
      </c>
      <c r="F896" s="4">
        <f>ROUND(Source!W872,O896)</f>
        <v>0</v>
      </c>
      <c r="G896" s="4" t="s">
        <v>257</v>
      </c>
      <c r="H896" s="4" t="s">
        <v>258</v>
      </c>
      <c r="I896" s="4"/>
      <c r="J896" s="4"/>
      <c r="K896" s="4">
        <v>209</v>
      </c>
      <c r="L896" s="4">
        <v>23</v>
      </c>
      <c r="M896" s="4">
        <v>3</v>
      </c>
      <c r="N896" s="4" t="s">
        <v>3</v>
      </c>
      <c r="O896" s="4">
        <v>2</v>
      </c>
      <c r="P896" s="4"/>
      <c r="Q896" s="4"/>
      <c r="R896" s="4"/>
      <c r="S896" s="4"/>
      <c r="T896" s="4"/>
      <c r="U896" s="4"/>
      <c r="V896" s="4"/>
      <c r="W896" s="4"/>
    </row>
    <row r="897" spans="1:245" x14ac:dyDescent="0.2">
      <c r="A897" s="4">
        <v>50</v>
      </c>
      <c r="B897" s="4">
        <v>0</v>
      </c>
      <c r="C897" s="4">
        <v>0</v>
      </c>
      <c r="D897" s="4">
        <v>1</v>
      </c>
      <c r="E897" s="4">
        <v>233</v>
      </c>
      <c r="F897" s="4">
        <f>ROUND(Source!BD872,O897)</f>
        <v>0</v>
      </c>
      <c r="G897" s="4" t="s">
        <v>259</v>
      </c>
      <c r="H897" s="4" t="s">
        <v>260</v>
      </c>
      <c r="I897" s="4"/>
      <c r="J897" s="4"/>
      <c r="K897" s="4">
        <v>233</v>
      </c>
      <c r="L897" s="4">
        <v>24</v>
      </c>
      <c r="M897" s="4">
        <v>3</v>
      </c>
      <c r="N897" s="4" t="s">
        <v>3</v>
      </c>
      <c r="O897" s="4">
        <v>2</v>
      </c>
      <c r="P897" s="4"/>
      <c r="Q897" s="4"/>
      <c r="R897" s="4"/>
      <c r="S897" s="4"/>
      <c r="T897" s="4"/>
      <c r="U897" s="4"/>
      <c r="V897" s="4"/>
      <c r="W897" s="4"/>
    </row>
    <row r="898" spans="1:245" x14ac:dyDescent="0.2">
      <c r="A898" s="4">
        <v>50</v>
      </c>
      <c r="B898" s="4">
        <v>0</v>
      </c>
      <c r="C898" s="4">
        <v>0</v>
      </c>
      <c r="D898" s="4">
        <v>1</v>
      </c>
      <c r="E898" s="4">
        <v>210</v>
      </c>
      <c r="F898" s="4">
        <f>ROUND(Source!X872,O898)</f>
        <v>86722.33</v>
      </c>
      <c r="G898" s="4" t="s">
        <v>261</v>
      </c>
      <c r="H898" s="4" t="s">
        <v>262</v>
      </c>
      <c r="I898" s="4"/>
      <c r="J898" s="4"/>
      <c r="K898" s="4">
        <v>210</v>
      </c>
      <c r="L898" s="4">
        <v>25</v>
      </c>
      <c r="M898" s="4">
        <v>3</v>
      </c>
      <c r="N898" s="4" t="s">
        <v>3</v>
      </c>
      <c r="O898" s="4">
        <v>2</v>
      </c>
      <c r="P898" s="4"/>
      <c r="Q898" s="4"/>
      <c r="R898" s="4"/>
      <c r="S898" s="4"/>
      <c r="T898" s="4"/>
      <c r="U898" s="4"/>
      <c r="V898" s="4"/>
      <c r="W898" s="4"/>
    </row>
    <row r="899" spans="1:245" x14ac:dyDescent="0.2">
      <c r="A899" s="4">
        <v>50</v>
      </c>
      <c r="B899" s="4">
        <v>0</v>
      </c>
      <c r="C899" s="4">
        <v>0</v>
      </c>
      <c r="D899" s="4">
        <v>1</v>
      </c>
      <c r="E899" s="4">
        <v>211</v>
      </c>
      <c r="F899" s="4">
        <f>ROUND(Source!Y872,O899)</f>
        <v>39976.81</v>
      </c>
      <c r="G899" s="4" t="s">
        <v>263</v>
      </c>
      <c r="H899" s="4" t="s">
        <v>264</v>
      </c>
      <c r="I899" s="4"/>
      <c r="J899" s="4"/>
      <c r="K899" s="4">
        <v>211</v>
      </c>
      <c r="L899" s="4">
        <v>26</v>
      </c>
      <c r="M899" s="4">
        <v>3</v>
      </c>
      <c r="N899" s="4" t="s">
        <v>3</v>
      </c>
      <c r="O899" s="4">
        <v>2</v>
      </c>
      <c r="P899" s="4"/>
      <c r="Q899" s="4"/>
      <c r="R899" s="4"/>
      <c r="S899" s="4"/>
      <c r="T899" s="4"/>
      <c r="U899" s="4"/>
      <c r="V899" s="4"/>
      <c r="W899" s="4"/>
    </row>
    <row r="900" spans="1:245" x14ac:dyDescent="0.2">
      <c r="A900" s="4">
        <v>50</v>
      </c>
      <c r="B900" s="4">
        <v>0</v>
      </c>
      <c r="C900" s="4">
        <v>0</v>
      </c>
      <c r="D900" s="4">
        <v>1</v>
      </c>
      <c r="E900" s="4">
        <v>224</v>
      </c>
      <c r="F900" s="4">
        <f>ROUND(Source!AR872,O900)</f>
        <v>2473647.7799999998</v>
      </c>
      <c r="G900" s="4" t="s">
        <v>265</v>
      </c>
      <c r="H900" s="4" t="s">
        <v>266</v>
      </c>
      <c r="I900" s="4"/>
      <c r="J900" s="4"/>
      <c r="K900" s="4">
        <v>224</v>
      </c>
      <c r="L900" s="4">
        <v>27</v>
      </c>
      <c r="M900" s="4">
        <v>3</v>
      </c>
      <c r="N900" s="4" t="s">
        <v>3</v>
      </c>
      <c r="O900" s="4">
        <v>2</v>
      </c>
      <c r="P900" s="4"/>
      <c r="Q900" s="4"/>
      <c r="R900" s="4"/>
      <c r="S900" s="4"/>
      <c r="T900" s="4"/>
      <c r="U900" s="4"/>
      <c r="V900" s="4"/>
      <c r="W900" s="4"/>
    </row>
    <row r="902" spans="1:245" x14ac:dyDescent="0.2">
      <c r="A902" s="1">
        <v>4</v>
      </c>
      <c r="B902" s="1">
        <v>1</v>
      </c>
      <c r="C902" s="1"/>
      <c r="D902" s="1">
        <f>ROW(A936)</f>
        <v>936</v>
      </c>
      <c r="E902" s="1"/>
      <c r="F902" s="1" t="s">
        <v>13</v>
      </c>
      <c r="G902" s="1" t="s">
        <v>952</v>
      </c>
      <c r="H902" s="1" t="s">
        <v>3</v>
      </c>
      <c r="I902" s="1">
        <v>0</v>
      </c>
      <c r="J902" s="1"/>
      <c r="K902" s="1">
        <v>0</v>
      </c>
      <c r="L902" s="1"/>
      <c r="M902" s="1" t="s">
        <v>3</v>
      </c>
      <c r="N902" s="1"/>
      <c r="O902" s="1"/>
      <c r="P902" s="1"/>
      <c r="Q902" s="1"/>
      <c r="R902" s="1"/>
      <c r="S902" s="1">
        <v>0</v>
      </c>
      <c r="T902" s="1"/>
      <c r="U902" s="1" t="s">
        <v>3</v>
      </c>
      <c r="V902" s="1">
        <v>0</v>
      </c>
      <c r="W902" s="1"/>
      <c r="X902" s="1"/>
      <c r="Y902" s="1"/>
      <c r="Z902" s="1"/>
      <c r="AA902" s="1"/>
      <c r="AB902" s="1" t="s">
        <v>3</v>
      </c>
      <c r="AC902" s="1" t="s">
        <v>3</v>
      </c>
      <c r="AD902" s="1" t="s">
        <v>3</v>
      </c>
      <c r="AE902" s="1" t="s">
        <v>3</v>
      </c>
      <c r="AF902" s="1" t="s">
        <v>3</v>
      </c>
      <c r="AG902" s="1" t="s">
        <v>3</v>
      </c>
      <c r="AH902" s="1"/>
      <c r="AI902" s="1"/>
      <c r="AJ902" s="1"/>
      <c r="AK902" s="1"/>
      <c r="AL902" s="1"/>
      <c r="AM902" s="1"/>
      <c r="AN902" s="1"/>
      <c r="AO902" s="1"/>
      <c r="AP902" s="1" t="s">
        <v>3</v>
      </c>
      <c r="AQ902" s="1" t="s">
        <v>3</v>
      </c>
      <c r="AR902" s="1" t="s">
        <v>3</v>
      </c>
      <c r="AS902" s="1"/>
      <c r="AT902" s="1"/>
      <c r="AU902" s="1"/>
      <c r="AV902" s="1"/>
      <c r="AW902" s="1"/>
      <c r="AX902" s="1"/>
      <c r="AY902" s="1"/>
      <c r="AZ902" s="1" t="s">
        <v>3</v>
      </c>
      <c r="BA902" s="1"/>
      <c r="BB902" s="1" t="s">
        <v>3</v>
      </c>
      <c r="BC902" s="1" t="s">
        <v>3</v>
      </c>
      <c r="BD902" s="1" t="s">
        <v>3</v>
      </c>
      <c r="BE902" s="1" t="s">
        <v>3</v>
      </c>
      <c r="BF902" s="1" t="s">
        <v>3</v>
      </c>
      <c r="BG902" s="1" t="s">
        <v>3</v>
      </c>
      <c r="BH902" s="1" t="s">
        <v>3</v>
      </c>
      <c r="BI902" s="1" t="s">
        <v>3</v>
      </c>
      <c r="BJ902" s="1" t="s">
        <v>3</v>
      </c>
      <c r="BK902" s="1" t="s">
        <v>3</v>
      </c>
      <c r="BL902" s="1" t="s">
        <v>3</v>
      </c>
      <c r="BM902" s="1" t="s">
        <v>3</v>
      </c>
      <c r="BN902" s="1" t="s">
        <v>3</v>
      </c>
      <c r="BO902" s="1" t="s">
        <v>3</v>
      </c>
      <c r="BP902" s="1" t="s">
        <v>3</v>
      </c>
      <c r="BQ902" s="1"/>
      <c r="BR902" s="1"/>
      <c r="BS902" s="1"/>
      <c r="BT902" s="1"/>
      <c r="BU902" s="1"/>
      <c r="BV902" s="1"/>
      <c r="BW902" s="1"/>
      <c r="BX902" s="1">
        <v>0</v>
      </c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>
        <v>0</v>
      </c>
    </row>
    <row r="904" spans="1:245" x14ac:dyDescent="0.2">
      <c r="A904" s="2">
        <v>52</v>
      </c>
      <c r="B904" s="2">
        <f t="shared" ref="B904:G904" si="789">B936</f>
        <v>1</v>
      </c>
      <c r="C904" s="2">
        <f t="shared" si="789"/>
        <v>4</v>
      </c>
      <c r="D904" s="2">
        <f t="shared" si="789"/>
        <v>902</v>
      </c>
      <c r="E904" s="2">
        <f t="shared" si="789"/>
        <v>0</v>
      </c>
      <c r="F904" s="2" t="str">
        <f t="shared" si="789"/>
        <v>Новый раздел</v>
      </c>
      <c r="G904" s="2" t="str">
        <f t="shared" si="789"/>
        <v>Установка  ландшафтных светильников</v>
      </c>
      <c r="H904" s="2"/>
      <c r="I904" s="2"/>
      <c r="J904" s="2"/>
      <c r="K904" s="2"/>
      <c r="L904" s="2"/>
      <c r="M904" s="2"/>
      <c r="N904" s="2"/>
      <c r="O904" s="2">
        <f t="shared" ref="O904:AT904" si="790">O936</f>
        <v>1042253.99</v>
      </c>
      <c r="P904" s="2">
        <f t="shared" si="790"/>
        <v>870531.46</v>
      </c>
      <c r="Q904" s="2">
        <f t="shared" si="790"/>
        <v>75341.8</v>
      </c>
      <c r="R904" s="2">
        <f t="shared" si="790"/>
        <v>19340.75</v>
      </c>
      <c r="S904" s="2">
        <f t="shared" si="790"/>
        <v>96380.73</v>
      </c>
      <c r="T904" s="2">
        <f t="shared" si="790"/>
        <v>0</v>
      </c>
      <c r="U904" s="2">
        <f t="shared" si="790"/>
        <v>303.88545875</v>
      </c>
      <c r="V904" s="2">
        <f t="shared" si="790"/>
        <v>0</v>
      </c>
      <c r="W904" s="2">
        <f t="shared" si="790"/>
        <v>0</v>
      </c>
      <c r="X904" s="2">
        <f t="shared" si="790"/>
        <v>78448.259999999995</v>
      </c>
      <c r="Y904" s="2">
        <f t="shared" si="790"/>
        <v>39566.26</v>
      </c>
      <c r="Z904" s="2">
        <f t="shared" si="790"/>
        <v>0</v>
      </c>
      <c r="AA904" s="2">
        <f t="shared" si="790"/>
        <v>0</v>
      </c>
      <c r="AB904" s="2">
        <f t="shared" si="790"/>
        <v>1042253.99</v>
      </c>
      <c r="AC904" s="2">
        <f t="shared" si="790"/>
        <v>870531.46</v>
      </c>
      <c r="AD904" s="2">
        <f t="shared" si="790"/>
        <v>75341.8</v>
      </c>
      <c r="AE904" s="2">
        <f t="shared" si="790"/>
        <v>19340.75</v>
      </c>
      <c r="AF904" s="2">
        <f t="shared" si="790"/>
        <v>96380.73</v>
      </c>
      <c r="AG904" s="2">
        <f t="shared" si="790"/>
        <v>0</v>
      </c>
      <c r="AH904" s="2">
        <f t="shared" si="790"/>
        <v>303.88545875</v>
      </c>
      <c r="AI904" s="2">
        <f t="shared" si="790"/>
        <v>0</v>
      </c>
      <c r="AJ904" s="2">
        <f t="shared" si="790"/>
        <v>0</v>
      </c>
      <c r="AK904" s="2">
        <f t="shared" si="790"/>
        <v>78448.259999999995</v>
      </c>
      <c r="AL904" s="2">
        <f t="shared" si="790"/>
        <v>39566.26</v>
      </c>
      <c r="AM904" s="2">
        <f t="shared" si="790"/>
        <v>0</v>
      </c>
      <c r="AN904" s="2">
        <f t="shared" si="790"/>
        <v>0</v>
      </c>
      <c r="AO904" s="2">
        <f t="shared" si="790"/>
        <v>0</v>
      </c>
      <c r="AP904" s="2">
        <f t="shared" si="790"/>
        <v>170267.15</v>
      </c>
      <c r="AQ904" s="2">
        <f t="shared" si="790"/>
        <v>0</v>
      </c>
      <c r="AR904" s="2">
        <f t="shared" si="790"/>
        <v>1190633.5</v>
      </c>
      <c r="AS904" s="2">
        <f t="shared" si="790"/>
        <v>812277.44</v>
      </c>
      <c r="AT904" s="2">
        <f t="shared" si="790"/>
        <v>128119.65</v>
      </c>
      <c r="AU904" s="2">
        <f t="shared" ref="AU904:BZ904" si="791">AU936</f>
        <v>79969.259999999995</v>
      </c>
      <c r="AV904" s="2">
        <f t="shared" si="791"/>
        <v>870531.46</v>
      </c>
      <c r="AW904" s="2">
        <f t="shared" si="791"/>
        <v>700264.31</v>
      </c>
      <c r="AX904" s="2">
        <f t="shared" si="791"/>
        <v>0</v>
      </c>
      <c r="AY904" s="2">
        <f t="shared" si="791"/>
        <v>700264.31</v>
      </c>
      <c r="AZ904" s="2">
        <f t="shared" si="791"/>
        <v>170267.15</v>
      </c>
      <c r="BA904" s="2">
        <f t="shared" si="791"/>
        <v>0</v>
      </c>
      <c r="BB904" s="2">
        <f t="shared" si="791"/>
        <v>0</v>
      </c>
      <c r="BC904" s="2">
        <f t="shared" si="791"/>
        <v>0</v>
      </c>
      <c r="BD904" s="2">
        <f t="shared" si="791"/>
        <v>0</v>
      </c>
      <c r="BE904" s="2">
        <f t="shared" si="791"/>
        <v>0</v>
      </c>
      <c r="BF904" s="2">
        <f t="shared" si="791"/>
        <v>0</v>
      </c>
      <c r="BG904" s="2">
        <f t="shared" si="791"/>
        <v>0</v>
      </c>
      <c r="BH904" s="2">
        <f t="shared" si="791"/>
        <v>0</v>
      </c>
      <c r="BI904" s="2">
        <f t="shared" si="791"/>
        <v>0</v>
      </c>
      <c r="BJ904" s="2">
        <f t="shared" si="791"/>
        <v>0</v>
      </c>
      <c r="BK904" s="2">
        <f t="shared" si="791"/>
        <v>0</v>
      </c>
      <c r="BL904" s="2">
        <f t="shared" si="791"/>
        <v>0</v>
      </c>
      <c r="BM904" s="2">
        <f t="shared" si="791"/>
        <v>0</v>
      </c>
      <c r="BN904" s="2">
        <f t="shared" si="791"/>
        <v>0</v>
      </c>
      <c r="BO904" s="2">
        <f t="shared" si="791"/>
        <v>0</v>
      </c>
      <c r="BP904" s="2">
        <f t="shared" si="791"/>
        <v>0</v>
      </c>
      <c r="BQ904" s="2">
        <f t="shared" si="791"/>
        <v>0</v>
      </c>
      <c r="BR904" s="2">
        <f t="shared" si="791"/>
        <v>0</v>
      </c>
      <c r="BS904" s="2">
        <f t="shared" si="791"/>
        <v>0</v>
      </c>
      <c r="BT904" s="2">
        <f t="shared" si="791"/>
        <v>0</v>
      </c>
      <c r="BU904" s="2">
        <f t="shared" si="791"/>
        <v>0</v>
      </c>
      <c r="BV904" s="2">
        <f t="shared" si="791"/>
        <v>0</v>
      </c>
      <c r="BW904" s="2">
        <f t="shared" si="791"/>
        <v>0</v>
      </c>
      <c r="BX904" s="2">
        <f t="shared" si="791"/>
        <v>0</v>
      </c>
      <c r="BY904" s="2">
        <f t="shared" si="791"/>
        <v>170267.15</v>
      </c>
      <c r="BZ904" s="2">
        <f t="shared" si="791"/>
        <v>0</v>
      </c>
      <c r="CA904" s="2">
        <f t="shared" ref="CA904:DF904" si="792">CA936</f>
        <v>1190633.5</v>
      </c>
      <c r="CB904" s="2">
        <f t="shared" si="792"/>
        <v>812277.44</v>
      </c>
      <c r="CC904" s="2">
        <f t="shared" si="792"/>
        <v>128119.65</v>
      </c>
      <c r="CD904" s="2">
        <f t="shared" si="792"/>
        <v>79969.259999999995</v>
      </c>
      <c r="CE904" s="2">
        <f t="shared" si="792"/>
        <v>870531.46</v>
      </c>
      <c r="CF904" s="2">
        <f t="shared" si="792"/>
        <v>700264.30999999994</v>
      </c>
      <c r="CG904" s="2">
        <f t="shared" si="792"/>
        <v>0</v>
      </c>
      <c r="CH904" s="2">
        <f t="shared" si="792"/>
        <v>700264.30999999994</v>
      </c>
      <c r="CI904" s="2">
        <f t="shared" si="792"/>
        <v>170267.15</v>
      </c>
      <c r="CJ904" s="2">
        <f t="shared" si="792"/>
        <v>0</v>
      </c>
      <c r="CK904" s="2">
        <f t="shared" si="792"/>
        <v>0</v>
      </c>
      <c r="CL904" s="2">
        <f t="shared" si="792"/>
        <v>0</v>
      </c>
      <c r="CM904" s="2">
        <f t="shared" si="792"/>
        <v>0</v>
      </c>
      <c r="CN904" s="2">
        <f t="shared" si="792"/>
        <v>0</v>
      </c>
      <c r="CO904" s="2">
        <f t="shared" si="792"/>
        <v>0</v>
      </c>
      <c r="CP904" s="2">
        <f t="shared" si="792"/>
        <v>0</v>
      </c>
      <c r="CQ904" s="2">
        <f t="shared" si="792"/>
        <v>0</v>
      </c>
      <c r="CR904" s="2">
        <f t="shared" si="792"/>
        <v>0</v>
      </c>
      <c r="CS904" s="2">
        <f t="shared" si="792"/>
        <v>0</v>
      </c>
      <c r="CT904" s="2">
        <f t="shared" si="792"/>
        <v>0</v>
      </c>
      <c r="CU904" s="2">
        <f t="shared" si="792"/>
        <v>0</v>
      </c>
      <c r="CV904" s="2">
        <f t="shared" si="792"/>
        <v>0</v>
      </c>
      <c r="CW904" s="2">
        <f t="shared" si="792"/>
        <v>0</v>
      </c>
      <c r="CX904" s="2">
        <f t="shared" si="792"/>
        <v>0</v>
      </c>
      <c r="CY904" s="2">
        <f t="shared" si="792"/>
        <v>0</v>
      </c>
      <c r="CZ904" s="2">
        <f t="shared" si="792"/>
        <v>0</v>
      </c>
      <c r="DA904" s="2">
        <f t="shared" si="792"/>
        <v>0</v>
      </c>
      <c r="DB904" s="2">
        <f t="shared" si="792"/>
        <v>0</v>
      </c>
      <c r="DC904" s="2">
        <f t="shared" si="792"/>
        <v>0</v>
      </c>
      <c r="DD904" s="2">
        <f t="shared" si="792"/>
        <v>0</v>
      </c>
      <c r="DE904" s="2">
        <f t="shared" si="792"/>
        <v>0</v>
      </c>
      <c r="DF904" s="2">
        <f t="shared" si="792"/>
        <v>0</v>
      </c>
      <c r="DG904" s="3">
        <f t="shared" ref="DG904:EL904" si="793">DG936</f>
        <v>0</v>
      </c>
      <c r="DH904" s="3">
        <f t="shared" si="793"/>
        <v>0</v>
      </c>
      <c r="DI904" s="3">
        <f t="shared" si="793"/>
        <v>0</v>
      </c>
      <c r="DJ904" s="3">
        <f t="shared" si="793"/>
        <v>0</v>
      </c>
      <c r="DK904" s="3">
        <f t="shared" si="793"/>
        <v>0</v>
      </c>
      <c r="DL904" s="3">
        <f t="shared" si="793"/>
        <v>0</v>
      </c>
      <c r="DM904" s="3">
        <f t="shared" si="793"/>
        <v>0</v>
      </c>
      <c r="DN904" s="3">
        <f t="shared" si="793"/>
        <v>0</v>
      </c>
      <c r="DO904" s="3">
        <f t="shared" si="793"/>
        <v>0</v>
      </c>
      <c r="DP904" s="3">
        <f t="shared" si="793"/>
        <v>0</v>
      </c>
      <c r="DQ904" s="3">
        <f t="shared" si="793"/>
        <v>0</v>
      </c>
      <c r="DR904" s="3">
        <f t="shared" si="793"/>
        <v>0</v>
      </c>
      <c r="DS904" s="3">
        <f t="shared" si="793"/>
        <v>0</v>
      </c>
      <c r="DT904" s="3">
        <f t="shared" si="793"/>
        <v>0</v>
      </c>
      <c r="DU904" s="3">
        <f t="shared" si="793"/>
        <v>0</v>
      </c>
      <c r="DV904" s="3">
        <f t="shared" si="793"/>
        <v>0</v>
      </c>
      <c r="DW904" s="3">
        <f t="shared" si="793"/>
        <v>0</v>
      </c>
      <c r="DX904" s="3">
        <f t="shared" si="793"/>
        <v>0</v>
      </c>
      <c r="DY904" s="3">
        <f t="shared" si="793"/>
        <v>0</v>
      </c>
      <c r="DZ904" s="3">
        <f t="shared" si="793"/>
        <v>0</v>
      </c>
      <c r="EA904" s="3">
        <f t="shared" si="793"/>
        <v>0</v>
      </c>
      <c r="EB904" s="3">
        <f t="shared" si="793"/>
        <v>0</v>
      </c>
      <c r="EC904" s="3">
        <f t="shared" si="793"/>
        <v>0</v>
      </c>
      <c r="ED904" s="3">
        <f t="shared" si="793"/>
        <v>0</v>
      </c>
      <c r="EE904" s="3">
        <f t="shared" si="793"/>
        <v>0</v>
      </c>
      <c r="EF904" s="3">
        <f t="shared" si="793"/>
        <v>0</v>
      </c>
      <c r="EG904" s="3">
        <f t="shared" si="793"/>
        <v>0</v>
      </c>
      <c r="EH904" s="3">
        <f t="shared" si="793"/>
        <v>0</v>
      </c>
      <c r="EI904" s="3">
        <f t="shared" si="793"/>
        <v>0</v>
      </c>
      <c r="EJ904" s="3">
        <f t="shared" si="793"/>
        <v>0</v>
      </c>
      <c r="EK904" s="3">
        <f t="shared" si="793"/>
        <v>0</v>
      </c>
      <c r="EL904" s="3">
        <f t="shared" si="793"/>
        <v>0</v>
      </c>
      <c r="EM904" s="3">
        <f t="shared" ref="EM904:FR904" si="794">EM936</f>
        <v>0</v>
      </c>
      <c r="EN904" s="3">
        <f t="shared" si="794"/>
        <v>0</v>
      </c>
      <c r="EO904" s="3">
        <f t="shared" si="794"/>
        <v>0</v>
      </c>
      <c r="EP904" s="3">
        <f t="shared" si="794"/>
        <v>0</v>
      </c>
      <c r="EQ904" s="3">
        <f t="shared" si="794"/>
        <v>0</v>
      </c>
      <c r="ER904" s="3">
        <f t="shared" si="794"/>
        <v>0</v>
      </c>
      <c r="ES904" s="3">
        <f t="shared" si="794"/>
        <v>0</v>
      </c>
      <c r="ET904" s="3">
        <f t="shared" si="794"/>
        <v>0</v>
      </c>
      <c r="EU904" s="3">
        <f t="shared" si="794"/>
        <v>0</v>
      </c>
      <c r="EV904" s="3">
        <f t="shared" si="794"/>
        <v>0</v>
      </c>
      <c r="EW904" s="3">
        <f t="shared" si="794"/>
        <v>0</v>
      </c>
      <c r="EX904" s="3">
        <f t="shared" si="794"/>
        <v>0</v>
      </c>
      <c r="EY904" s="3">
        <f t="shared" si="794"/>
        <v>0</v>
      </c>
      <c r="EZ904" s="3">
        <f t="shared" si="794"/>
        <v>0</v>
      </c>
      <c r="FA904" s="3">
        <f t="shared" si="794"/>
        <v>0</v>
      </c>
      <c r="FB904" s="3">
        <f t="shared" si="794"/>
        <v>0</v>
      </c>
      <c r="FC904" s="3">
        <f t="shared" si="794"/>
        <v>0</v>
      </c>
      <c r="FD904" s="3">
        <f t="shared" si="794"/>
        <v>0</v>
      </c>
      <c r="FE904" s="3">
        <f t="shared" si="794"/>
        <v>0</v>
      </c>
      <c r="FF904" s="3">
        <f t="shared" si="794"/>
        <v>0</v>
      </c>
      <c r="FG904" s="3">
        <f t="shared" si="794"/>
        <v>0</v>
      </c>
      <c r="FH904" s="3">
        <f t="shared" si="794"/>
        <v>0</v>
      </c>
      <c r="FI904" s="3">
        <f t="shared" si="794"/>
        <v>0</v>
      </c>
      <c r="FJ904" s="3">
        <f t="shared" si="794"/>
        <v>0</v>
      </c>
      <c r="FK904" s="3">
        <f t="shared" si="794"/>
        <v>0</v>
      </c>
      <c r="FL904" s="3">
        <f t="shared" si="794"/>
        <v>0</v>
      </c>
      <c r="FM904" s="3">
        <f t="shared" si="794"/>
        <v>0</v>
      </c>
      <c r="FN904" s="3">
        <f t="shared" si="794"/>
        <v>0</v>
      </c>
      <c r="FO904" s="3">
        <f t="shared" si="794"/>
        <v>0</v>
      </c>
      <c r="FP904" s="3">
        <f t="shared" si="794"/>
        <v>0</v>
      </c>
      <c r="FQ904" s="3">
        <f t="shared" si="794"/>
        <v>0</v>
      </c>
      <c r="FR904" s="3">
        <f t="shared" si="794"/>
        <v>0</v>
      </c>
      <c r="FS904" s="3">
        <f t="shared" ref="FS904:GX904" si="795">FS936</f>
        <v>0</v>
      </c>
      <c r="FT904" s="3">
        <f t="shared" si="795"/>
        <v>0</v>
      </c>
      <c r="FU904" s="3">
        <f t="shared" si="795"/>
        <v>0</v>
      </c>
      <c r="FV904" s="3">
        <f t="shared" si="795"/>
        <v>0</v>
      </c>
      <c r="FW904" s="3">
        <f t="shared" si="795"/>
        <v>0</v>
      </c>
      <c r="FX904" s="3">
        <f t="shared" si="795"/>
        <v>0</v>
      </c>
      <c r="FY904" s="3">
        <f t="shared" si="795"/>
        <v>0</v>
      </c>
      <c r="FZ904" s="3">
        <f t="shared" si="795"/>
        <v>0</v>
      </c>
      <c r="GA904" s="3">
        <f t="shared" si="795"/>
        <v>0</v>
      </c>
      <c r="GB904" s="3">
        <f t="shared" si="795"/>
        <v>0</v>
      </c>
      <c r="GC904" s="3">
        <f t="shared" si="795"/>
        <v>0</v>
      </c>
      <c r="GD904" s="3">
        <f t="shared" si="795"/>
        <v>0</v>
      </c>
      <c r="GE904" s="3">
        <f t="shared" si="795"/>
        <v>0</v>
      </c>
      <c r="GF904" s="3">
        <f t="shared" si="795"/>
        <v>0</v>
      </c>
      <c r="GG904" s="3">
        <f t="shared" si="795"/>
        <v>0</v>
      </c>
      <c r="GH904" s="3">
        <f t="shared" si="795"/>
        <v>0</v>
      </c>
      <c r="GI904" s="3">
        <f t="shared" si="795"/>
        <v>0</v>
      </c>
      <c r="GJ904" s="3">
        <f t="shared" si="795"/>
        <v>0</v>
      </c>
      <c r="GK904" s="3">
        <f t="shared" si="795"/>
        <v>0</v>
      </c>
      <c r="GL904" s="3">
        <f t="shared" si="795"/>
        <v>0</v>
      </c>
      <c r="GM904" s="3">
        <f t="shared" si="795"/>
        <v>0</v>
      </c>
      <c r="GN904" s="3">
        <f t="shared" si="795"/>
        <v>0</v>
      </c>
      <c r="GO904" s="3">
        <f t="shared" si="795"/>
        <v>0</v>
      </c>
      <c r="GP904" s="3">
        <f t="shared" si="795"/>
        <v>0</v>
      </c>
      <c r="GQ904" s="3">
        <f t="shared" si="795"/>
        <v>0</v>
      </c>
      <c r="GR904" s="3">
        <f t="shared" si="795"/>
        <v>0</v>
      </c>
      <c r="GS904" s="3">
        <f t="shared" si="795"/>
        <v>0</v>
      </c>
      <c r="GT904" s="3">
        <f t="shared" si="795"/>
        <v>0</v>
      </c>
      <c r="GU904" s="3">
        <f t="shared" si="795"/>
        <v>0</v>
      </c>
      <c r="GV904" s="3">
        <f t="shared" si="795"/>
        <v>0</v>
      </c>
      <c r="GW904" s="3">
        <f t="shared" si="795"/>
        <v>0</v>
      </c>
      <c r="GX904" s="3">
        <f t="shared" si="795"/>
        <v>0</v>
      </c>
    </row>
    <row r="906" spans="1:245" x14ac:dyDescent="0.2">
      <c r="A906">
        <v>17</v>
      </c>
      <c r="B906">
        <v>1</v>
      </c>
      <c r="C906">
        <f>ROW(SmtRes!A451)</f>
        <v>451</v>
      </c>
      <c r="D906">
        <f>ROW(EtalonRes!A447)</f>
        <v>447</v>
      </c>
      <c r="E906" t="s">
        <v>953</v>
      </c>
      <c r="F906" t="s">
        <v>954</v>
      </c>
      <c r="G906" t="s">
        <v>955</v>
      </c>
      <c r="H906" t="s">
        <v>63</v>
      </c>
      <c r="I906">
        <f>ROUND(57/100,9)</f>
        <v>0.56999999999999995</v>
      </c>
      <c r="J906">
        <v>0</v>
      </c>
      <c r="K906">
        <f>ROUND(57/100,9)</f>
        <v>0.56999999999999995</v>
      </c>
      <c r="O906">
        <f t="shared" ref="O906:O934" si="796">ROUND(CP906,2)</f>
        <v>2858.68</v>
      </c>
      <c r="P906">
        <f t="shared" ref="P906:P934" si="797">ROUND((ROUND((AC906*AW906*I906),2)*BC906),2)</f>
        <v>0</v>
      </c>
      <c r="Q906">
        <f>(ROUND((ROUND(((((ET906*0.75)*1.25))*AV906*I906),2)*BB906),2)+ROUND((ROUND(((AE906-(((EU906*0.75)*1.25)))*AV906*I906),2)*BS906),2))</f>
        <v>2704</v>
      </c>
      <c r="R906">
        <f t="shared" ref="R906:R934" si="798">ROUND((ROUND((AE906*AV906*I906),2)*BS906),2)</f>
        <v>748.95</v>
      </c>
      <c r="S906">
        <f t="shared" ref="S906:S934" si="799">ROUND((ROUND((AF906*AV906*I906),2)*BA906),2)</f>
        <v>154.68</v>
      </c>
      <c r="T906">
        <f t="shared" ref="T906:T934" si="800">ROUND(CU906*I906,2)</f>
        <v>0</v>
      </c>
      <c r="U906">
        <f t="shared" ref="U906:U934" si="801">CV906*I906</f>
        <v>0.59486624999999982</v>
      </c>
      <c r="V906">
        <f t="shared" ref="V906:V934" si="802">CW906*I906</f>
        <v>0</v>
      </c>
      <c r="W906">
        <f t="shared" ref="W906:W934" si="803">ROUND(CX906*I906,2)</f>
        <v>0</v>
      </c>
      <c r="X906">
        <f t="shared" ref="X906:X934" si="804">ROUND(CY906,2)</f>
        <v>142.31</v>
      </c>
      <c r="Y906">
        <f t="shared" ref="Y906:Y934" si="805">ROUND(CZ906,2)</f>
        <v>77.34</v>
      </c>
      <c r="AA906">
        <v>42938047</v>
      </c>
      <c r="AB906">
        <f t="shared" ref="AB906:AB934" si="806">ROUND((AC906+AD906+AF906),6)</f>
        <v>543.68475000000001</v>
      </c>
      <c r="AC906">
        <f t="shared" ref="AC906:AC934" si="807">ROUND((ES906),6)</f>
        <v>0</v>
      </c>
      <c r="AD906">
        <f>ROUND((((((ET906*0.75)*1.25))-(((EU906*0.75)*1.25)))+AE906),6)</f>
        <v>533.015625</v>
      </c>
      <c r="AE906">
        <f>ROUND((((EU906*0.75)*1.25)),6)</f>
        <v>51.646875000000001</v>
      </c>
      <c r="AF906">
        <f>ROUND((((EV906*0.75)*1.15)),6)</f>
        <v>10.669124999999999</v>
      </c>
      <c r="AG906">
        <f t="shared" ref="AG906:AG934" si="808">ROUND((AP906),6)</f>
        <v>0</v>
      </c>
      <c r="AH906">
        <f>(((EW906*0.75)*1.15))</f>
        <v>1.0436249999999998</v>
      </c>
      <c r="AI906">
        <f>(((EX906*0.75)*1.25))</f>
        <v>0</v>
      </c>
      <c r="AJ906">
        <f t="shared" ref="AJ906:AJ934" si="809">(AS906)</f>
        <v>0</v>
      </c>
      <c r="AK906">
        <v>580.91999999999996</v>
      </c>
      <c r="AL906">
        <v>0</v>
      </c>
      <c r="AM906">
        <v>568.54999999999995</v>
      </c>
      <c r="AN906">
        <v>55.09</v>
      </c>
      <c r="AO906">
        <v>12.37</v>
      </c>
      <c r="AP906">
        <v>0</v>
      </c>
      <c r="AQ906">
        <v>1.21</v>
      </c>
      <c r="AR906">
        <v>0</v>
      </c>
      <c r="AS906">
        <v>0</v>
      </c>
      <c r="AT906">
        <v>92</v>
      </c>
      <c r="AU906">
        <v>50</v>
      </c>
      <c r="AV906">
        <v>1</v>
      </c>
      <c r="AW906">
        <v>1</v>
      </c>
      <c r="AZ906">
        <v>1</v>
      </c>
      <c r="BA906">
        <v>25.44</v>
      </c>
      <c r="BB906">
        <v>8.9</v>
      </c>
      <c r="BC906">
        <v>1</v>
      </c>
      <c r="BD906" t="s">
        <v>3</v>
      </c>
      <c r="BE906" t="s">
        <v>3</v>
      </c>
      <c r="BF906" t="s">
        <v>3</v>
      </c>
      <c r="BG906" t="s">
        <v>3</v>
      </c>
      <c r="BH906">
        <v>0</v>
      </c>
      <c r="BI906">
        <v>1</v>
      </c>
      <c r="BJ906" t="s">
        <v>956</v>
      </c>
      <c r="BM906">
        <v>2</v>
      </c>
      <c r="BN906">
        <v>0</v>
      </c>
      <c r="BO906" t="s">
        <v>954</v>
      </c>
      <c r="BP906">
        <v>1</v>
      </c>
      <c r="BQ906">
        <v>30</v>
      </c>
      <c r="BR906">
        <v>0</v>
      </c>
      <c r="BS906">
        <v>25.44</v>
      </c>
      <c r="BT906">
        <v>1</v>
      </c>
      <c r="BU906">
        <v>1</v>
      </c>
      <c r="BV906">
        <v>1</v>
      </c>
      <c r="BW906">
        <v>1</v>
      </c>
      <c r="BX906">
        <v>1</v>
      </c>
      <c r="BY906" t="s">
        <v>3</v>
      </c>
      <c r="BZ906">
        <v>92</v>
      </c>
      <c r="CA906">
        <v>50</v>
      </c>
      <c r="CB906" t="s">
        <v>3</v>
      </c>
      <c r="CE906">
        <v>30</v>
      </c>
      <c r="CF906">
        <v>0</v>
      </c>
      <c r="CG906">
        <v>0</v>
      </c>
      <c r="CM906">
        <v>0</v>
      </c>
      <c r="CN906" t="s">
        <v>1584</v>
      </c>
      <c r="CO906">
        <v>0</v>
      </c>
      <c r="CP906">
        <f t="shared" ref="CP906:CP934" si="810">(P906+Q906+S906)</f>
        <v>2858.68</v>
      </c>
      <c r="CQ906">
        <f t="shared" ref="CQ906:CQ934" si="811">ROUND((ROUND((AC906*AW906*1),2)*BC906),2)</f>
        <v>0</v>
      </c>
      <c r="CR906">
        <f>(ROUND((ROUND(((((ET906*0.75)*1.25))*AV906*1),2)*BB906),2)+ROUND((ROUND(((AE906-(((EU906*0.75)*1.25)))*AV906*1),2)*BS906),2))</f>
        <v>4743.88</v>
      </c>
      <c r="CS906">
        <f t="shared" ref="CS906:CS934" si="812">ROUND((ROUND((AE906*AV906*1),2)*BS906),2)</f>
        <v>1313.98</v>
      </c>
      <c r="CT906">
        <f t="shared" ref="CT906:CT934" si="813">ROUND((ROUND((AF906*AV906*1),2)*BA906),2)</f>
        <v>271.44</v>
      </c>
      <c r="CU906">
        <f t="shared" ref="CU906:CU934" si="814">AG906</f>
        <v>0</v>
      </c>
      <c r="CV906">
        <f t="shared" ref="CV906:CV934" si="815">(AH906*AV906)</f>
        <v>1.0436249999999998</v>
      </c>
      <c r="CW906">
        <f t="shared" ref="CW906:CW934" si="816">AI906</f>
        <v>0</v>
      </c>
      <c r="CX906">
        <f t="shared" ref="CX906:CX934" si="817">AJ906</f>
        <v>0</v>
      </c>
      <c r="CY906">
        <f t="shared" ref="CY906:CY934" si="818">S906*(BZ906/100)</f>
        <v>142.3056</v>
      </c>
      <c r="CZ906">
        <f t="shared" ref="CZ906:CZ934" si="819">S906*(CA906/100)</f>
        <v>77.34</v>
      </c>
      <c r="DC906" t="s">
        <v>3</v>
      </c>
      <c r="DD906" t="s">
        <v>3</v>
      </c>
      <c r="DE906" t="s">
        <v>55</v>
      </c>
      <c r="DF906" t="s">
        <v>55</v>
      </c>
      <c r="DG906" t="s">
        <v>56</v>
      </c>
      <c r="DH906" t="s">
        <v>3</v>
      </c>
      <c r="DI906" t="s">
        <v>56</v>
      </c>
      <c r="DJ906" t="s">
        <v>55</v>
      </c>
      <c r="DK906" t="s">
        <v>3</v>
      </c>
      <c r="DL906" t="s">
        <v>3</v>
      </c>
      <c r="DM906" t="s">
        <v>3</v>
      </c>
      <c r="DN906">
        <v>98</v>
      </c>
      <c r="DO906">
        <v>77</v>
      </c>
      <c r="DP906">
        <v>1</v>
      </c>
      <c r="DQ906">
        <v>1</v>
      </c>
      <c r="DU906">
        <v>1013</v>
      </c>
      <c r="DV906" t="s">
        <v>63</v>
      </c>
      <c r="DW906" t="s">
        <v>63</v>
      </c>
      <c r="DX906">
        <v>1</v>
      </c>
      <c r="DZ906" t="s">
        <v>3</v>
      </c>
      <c r="EA906" t="s">
        <v>3</v>
      </c>
      <c r="EB906" t="s">
        <v>3</v>
      </c>
      <c r="EC906" t="s">
        <v>3</v>
      </c>
      <c r="EE906">
        <v>43090081</v>
      </c>
      <c r="EF906">
        <v>30</v>
      </c>
      <c r="EG906" t="s">
        <v>22</v>
      </c>
      <c r="EH906">
        <v>0</v>
      </c>
      <c r="EI906" t="s">
        <v>3</v>
      </c>
      <c r="EJ906">
        <v>1</v>
      </c>
      <c r="EK906">
        <v>2</v>
      </c>
      <c r="EL906" t="s">
        <v>72</v>
      </c>
      <c r="EM906" t="s">
        <v>73</v>
      </c>
      <c r="EO906" t="s">
        <v>59</v>
      </c>
      <c r="EQ906">
        <v>0</v>
      </c>
      <c r="ER906">
        <v>580.91999999999996</v>
      </c>
      <c r="ES906">
        <v>0</v>
      </c>
      <c r="ET906">
        <v>568.54999999999995</v>
      </c>
      <c r="EU906">
        <v>55.09</v>
      </c>
      <c r="EV906">
        <v>12.37</v>
      </c>
      <c r="EW906">
        <v>1.21</v>
      </c>
      <c r="EX906">
        <v>0</v>
      </c>
      <c r="EY906">
        <v>0</v>
      </c>
      <c r="FQ906">
        <v>0</v>
      </c>
      <c r="FR906">
        <f t="shared" ref="FR906:FR934" si="820">ROUND(IF(AND(BH906=3,BI906=3),P906,0),2)</f>
        <v>0</v>
      </c>
      <c r="FS906">
        <v>0</v>
      </c>
      <c r="FX906">
        <v>98</v>
      </c>
      <c r="FY906">
        <v>77</v>
      </c>
      <c r="GA906" t="s">
        <v>3</v>
      </c>
      <c r="GD906">
        <v>0</v>
      </c>
      <c r="GF906">
        <v>-2114210630</v>
      </c>
      <c r="GG906">
        <v>2</v>
      </c>
      <c r="GH906">
        <v>1</v>
      </c>
      <c r="GI906">
        <v>2</v>
      </c>
      <c r="GJ906">
        <v>0</v>
      </c>
      <c r="GK906">
        <f>ROUND(R906*(R12)/100,2)</f>
        <v>1175.8499999999999</v>
      </c>
      <c r="GL906">
        <f t="shared" ref="GL906:GL934" si="821">ROUND(IF(AND(BH906=3,BI906=3,FS906&lt;&gt;0),P906,0),2)</f>
        <v>0</v>
      </c>
      <c r="GM906">
        <f t="shared" ref="GM906:GM934" si="822">ROUND(O906+X906+Y906+GK906,2)+GX906</f>
        <v>4254.18</v>
      </c>
      <c r="GN906">
        <f t="shared" ref="GN906:GN934" si="823">IF(OR(BI906=0,BI906=1),ROUND(O906+X906+Y906+GK906,2),0)</f>
        <v>4254.18</v>
      </c>
      <c r="GO906">
        <f t="shared" ref="GO906:GO934" si="824">IF(BI906=2,ROUND(O906+X906+Y906+GK906,2),0)</f>
        <v>0</v>
      </c>
      <c r="GP906">
        <f t="shared" ref="GP906:GP934" si="825">IF(BI906=4,ROUND(O906+X906+Y906+GK906,2)+GX906,0)</f>
        <v>0</v>
      </c>
      <c r="GR906">
        <v>0</v>
      </c>
      <c r="GS906">
        <v>3</v>
      </c>
      <c r="GT906">
        <v>0</v>
      </c>
      <c r="GU906" t="s">
        <v>3</v>
      </c>
      <c r="GV906">
        <f t="shared" ref="GV906:GV934" si="826">ROUND((GT906),6)</f>
        <v>0</v>
      </c>
      <c r="GW906">
        <v>1</v>
      </c>
      <c r="GX906">
        <f t="shared" ref="GX906:GX934" si="827">ROUND(HC906*I906,2)</f>
        <v>0</v>
      </c>
      <c r="HA906">
        <v>0</v>
      </c>
      <c r="HB906">
        <v>0</v>
      </c>
      <c r="HC906">
        <f t="shared" ref="HC906:HC934" si="828">GV906*GW906</f>
        <v>0</v>
      </c>
      <c r="HE906" t="s">
        <v>3</v>
      </c>
      <c r="HF906" t="s">
        <v>3</v>
      </c>
      <c r="HM906" t="s">
        <v>3</v>
      </c>
      <c r="IK906">
        <v>0</v>
      </c>
    </row>
    <row r="907" spans="1:245" x14ac:dyDescent="0.2">
      <c r="A907">
        <v>17</v>
      </c>
      <c r="B907">
        <v>1</v>
      </c>
      <c r="C907">
        <f>ROW(SmtRes!A452)</f>
        <v>452</v>
      </c>
      <c r="D907">
        <f>ROW(EtalonRes!A448)</f>
        <v>448</v>
      </c>
      <c r="E907" t="s">
        <v>957</v>
      </c>
      <c r="F907" t="s">
        <v>61</v>
      </c>
      <c r="G907" t="s">
        <v>330</v>
      </c>
      <c r="H907" t="s">
        <v>63</v>
      </c>
      <c r="I907">
        <f>ROUND(57/100,9)</f>
        <v>0.56999999999999995</v>
      </c>
      <c r="J907">
        <v>0</v>
      </c>
      <c r="K907">
        <f>ROUND(57/100,9)</f>
        <v>0.56999999999999995</v>
      </c>
      <c r="O907">
        <f t="shared" si="796"/>
        <v>8515.5300000000007</v>
      </c>
      <c r="P907">
        <f t="shared" si="797"/>
        <v>0</v>
      </c>
      <c r="Q907">
        <f>(ROUND((ROUND((((ET907*1.25))*AV907*I907),2)*BB907),2)+ROUND((ROUND(((AE907-((EU907*1.25)))*AV907*I907),2)*BS907),2))</f>
        <v>0</v>
      </c>
      <c r="R907">
        <f t="shared" si="798"/>
        <v>0</v>
      </c>
      <c r="S907">
        <f t="shared" si="799"/>
        <v>8515.5300000000007</v>
      </c>
      <c r="T907">
        <f t="shared" si="800"/>
        <v>0</v>
      </c>
      <c r="U907">
        <f t="shared" si="801"/>
        <v>31.578712499999991</v>
      </c>
      <c r="V907">
        <f t="shared" si="802"/>
        <v>0</v>
      </c>
      <c r="W907">
        <f t="shared" si="803"/>
        <v>0</v>
      </c>
      <c r="X907">
        <f t="shared" si="804"/>
        <v>6216.34</v>
      </c>
      <c r="Y907">
        <f t="shared" si="805"/>
        <v>3491.37</v>
      </c>
      <c r="AA907">
        <v>42938047</v>
      </c>
      <c r="AB907">
        <f t="shared" si="806"/>
        <v>587.25324999999998</v>
      </c>
      <c r="AC907">
        <f t="shared" si="807"/>
        <v>0</v>
      </c>
      <c r="AD907">
        <f>ROUND(((((ET907*1.25))-((EU907*1.25)))+AE907),6)</f>
        <v>0</v>
      </c>
      <c r="AE907">
        <f>ROUND(((EU907*1.25)),6)</f>
        <v>0</v>
      </c>
      <c r="AF907">
        <f>ROUND((((EV907*0.25)*1.15)),6)</f>
        <v>587.25324999999998</v>
      </c>
      <c r="AG907">
        <f t="shared" si="808"/>
        <v>0</v>
      </c>
      <c r="AH907">
        <f>(((EW907*0.25)*1.15))</f>
        <v>55.40124999999999</v>
      </c>
      <c r="AI907">
        <f>((EX907*1.25))</f>
        <v>0</v>
      </c>
      <c r="AJ907">
        <f t="shared" si="809"/>
        <v>0</v>
      </c>
      <c r="AK907">
        <v>2042.62</v>
      </c>
      <c r="AL907">
        <v>0</v>
      </c>
      <c r="AM907">
        <v>0</v>
      </c>
      <c r="AN907">
        <v>0</v>
      </c>
      <c r="AO907">
        <v>2042.62</v>
      </c>
      <c r="AP907">
        <v>0</v>
      </c>
      <c r="AQ907">
        <v>192.7</v>
      </c>
      <c r="AR907">
        <v>0</v>
      </c>
      <c r="AS907">
        <v>0</v>
      </c>
      <c r="AT907">
        <v>73</v>
      </c>
      <c r="AU907">
        <v>41</v>
      </c>
      <c r="AV907">
        <v>1</v>
      </c>
      <c r="AW907">
        <v>1</v>
      </c>
      <c r="AZ907">
        <v>1</v>
      </c>
      <c r="BA907">
        <v>25.44</v>
      </c>
      <c r="BB907">
        <v>1</v>
      </c>
      <c r="BC907">
        <v>1</v>
      </c>
      <c r="BD907" t="s">
        <v>3</v>
      </c>
      <c r="BE907" t="s">
        <v>3</v>
      </c>
      <c r="BF907" t="s">
        <v>3</v>
      </c>
      <c r="BG907" t="s">
        <v>3</v>
      </c>
      <c r="BH907">
        <v>0</v>
      </c>
      <c r="BI907">
        <v>1</v>
      </c>
      <c r="BJ907" t="s">
        <v>64</v>
      </c>
      <c r="BM907">
        <v>16</v>
      </c>
      <c r="BN907">
        <v>0</v>
      </c>
      <c r="BO907" t="s">
        <v>61</v>
      </c>
      <c r="BP907">
        <v>1</v>
      </c>
      <c r="BQ907">
        <v>30</v>
      </c>
      <c r="BR907">
        <v>0</v>
      </c>
      <c r="BS907">
        <v>25.44</v>
      </c>
      <c r="BT907">
        <v>1</v>
      </c>
      <c r="BU907">
        <v>1</v>
      </c>
      <c r="BV907">
        <v>1</v>
      </c>
      <c r="BW907">
        <v>1</v>
      </c>
      <c r="BX907">
        <v>1</v>
      </c>
      <c r="BY907" t="s">
        <v>3</v>
      </c>
      <c r="BZ907">
        <v>73</v>
      </c>
      <c r="CA907">
        <v>41</v>
      </c>
      <c r="CB907" t="s">
        <v>3</v>
      </c>
      <c r="CE907">
        <v>30</v>
      </c>
      <c r="CF907">
        <v>0</v>
      </c>
      <c r="CG907">
        <v>0</v>
      </c>
      <c r="CM907">
        <v>0</v>
      </c>
      <c r="CN907" t="s">
        <v>1584</v>
      </c>
      <c r="CO907">
        <v>0</v>
      </c>
      <c r="CP907">
        <f t="shared" si="810"/>
        <v>8515.5300000000007</v>
      </c>
      <c r="CQ907">
        <f t="shared" si="811"/>
        <v>0</v>
      </c>
      <c r="CR907">
        <f>(ROUND((ROUND((((ET907*1.25))*AV907*1),2)*BB907),2)+ROUND((ROUND(((AE907-((EU907*1.25)))*AV907*1),2)*BS907),2))</f>
        <v>0</v>
      </c>
      <c r="CS907">
        <f t="shared" si="812"/>
        <v>0</v>
      </c>
      <c r="CT907">
        <f t="shared" si="813"/>
        <v>14939.64</v>
      </c>
      <c r="CU907">
        <f t="shared" si="814"/>
        <v>0</v>
      </c>
      <c r="CV907">
        <f t="shared" si="815"/>
        <v>55.40124999999999</v>
      </c>
      <c r="CW907">
        <f t="shared" si="816"/>
        <v>0</v>
      </c>
      <c r="CX907">
        <f t="shared" si="817"/>
        <v>0</v>
      </c>
      <c r="CY907">
        <f t="shared" si="818"/>
        <v>6216.3369000000002</v>
      </c>
      <c r="CZ907">
        <f t="shared" si="819"/>
        <v>3491.3672999999999</v>
      </c>
      <c r="DC907" t="s">
        <v>3</v>
      </c>
      <c r="DD907" t="s">
        <v>3</v>
      </c>
      <c r="DE907" t="s">
        <v>20</v>
      </c>
      <c r="DF907" t="s">
        <v>20</v>
      </c>
      <c r="DG907" t="s">
        <v>65</v>
      </c>
      <c r="DH907" t="s">
        <v>3</v>
      </c>
      <c r="DI907" t="s">
        <v>65</v>
      </c>
      <c r="DJ907" t="s">
        <v>20</v>
      </c>
      <c r="DK907" t="s">
        <v>3</v>
      </c>
      <c r="DL907" t="s">
        <v>3</v>
      </c>
      <c r="DM907" t="s">
        <v>3</v>
      </c>
      <c r="DN907">
        <v>91</v>
      </c>
      <c r="DO907">
        <v>67</v>
      </c>
      <c r="DP907">
        <v>1</v>
      </c>
      <c r="DQ907">
        <v>1</v>
      </c>
      <c r="DU907">
        <v>1013</v>
      </c>
      <c r="DV907" t="s">
        <v>63</v>
      </c>
      <c r="DW907" t="s">
        <v>63</v>
      </c>
      <c r="DX907">
        <v>1</v>
      </c>
      <c r="DZ907" t="s">
        <v>3</v>
      </c>
      <c r="EA907" t="s">
        <v>3</v>
      </c>
      <c r="EB907" t="s">
        <v>3</v>
      </c>
      <c r="EC907" t="s">
        <v>3</v>
      </c>
      <c r="EE907">
        <v>43090095</v>
      </c>
      <c r="EF907">
        <v>30</v>
      </c>
      <c r="EG907" t="s">
        <v>22</v>
      </c>
      <c r="EH907">
        <v>0</v>
      </c>
      <c r="EI907" t="s">
        <v>3</v>
      </c>
      <c r="EJ907">
        <v>1</v>
      </c>
      <c r="EK907">
        <v>16</v>
      </c>
      <c r="EL907" t="s">
        <v>66</v>
      </c>
      <c r="EM907" t="s">
        <v>67</v>
      </c>
      <c r="EO907" t="s">
        <v>59</v>
      </c>
      <c r="EQ907">
        <v>0</v>
      </c>
      <c r="ER907">
        <v>2042.62</v>
      </c>
      <c r="ES907">
        <v>0</v>
      </c>
      <c r="ET907">
        <v>0</v>
      </c>
      <c r="EU907">
        <v>0</v>
      </c>
      <c r="EV907">
        <v>2042.62</v>
      </c>
      <c r="EW907">
        <v>192.7</v>
      </c>
      <c r="EX907">
        <v>0</v>
      </c>
      <c r="EY907">
        <v>0</v>
      </c>
      <c r="FQ907">
        <v>0</v>
      </c>
      <c r="FR907">
        <f t="shared" si="820"/>
        <v>0</v>
      </c>
      <c r="FS907">
        <v>0</v>
      </c>
      <c r="FX907">
        <v>91</v>
      </c>
      <c r="FY907">
        <v>67</v>
      </c>
      <c r="GA907" t="s">
        <v>3</v>
      </c>
      <c r="GD907">
        <v>0</v>
      </c>
      <c r="GF907">
        <v>-1632341149</v>
      </c>
      <c r="GG907">
        <v>2</v>
      </c>
      <c r="GH907">
        <v>1</v>
      </c>
      <c r="GI907">
        <v>2</v>
      </c>
      <c r="GJ907">
        <v>0</v>
      </c>
      <c r="GK907">
        <f>ROUND(R907*(R12)/100,2)</f>
        <v>0</v>
      </c>
      <c r="GL907">
        <f t="shared" si="821"/>
        <v>0</v>
      </c>
      <c r="GM907">
        <f t="shared" si="822"/>
        <v>18223.240000000002</v>
      </c>
      <c r="GN907">
        <f t="shared" si="823"/>
        <v>18223.240000000002</v>
      </c>
      <c r="GO907">
        <f t="shared" si="824"/>
        <v>0</v>
      </c>
      <c r="GP907">
        <f t="shared" si="825"/>
        <v>0</v>
      </c>
      <c r="GR907">
        <v>0</v>
      </c>
      <c r="GS907">
        <v>3</v>
      </c>
      <c r="GT907">
        <v>0</v>
      </c>
      <c r="GU907" t="s">
        <v>3</v>
      </c>
      <c r="GV907">
        <f t="shared" si="826"/>
        <v>0</v>
      </c>
      <c r="GW907">
        <v>1</v>
      </c>
      <c r="GX907">
        <f t="shared" si="827"/>
        <v>0</v>
      </c>
      <c r="HA907">
        <v>0</v>
      </c>
      <c r="HB907">
        <v>0</v>
      </c>
      <c r="HC907">
        <f t="shared" si="828"/>
        <v>0</v>
      </c>
      <c r="HE907" t="s">
        <v>3</v>
      </c>
      <c r="HF907" t="s">
        <v>3</v>
      </c>
      <c r="HM907" t="s">
        <v>3</v>
      </c>
      <c r="IK907">
        <v>0</v>
      </c>
    </row>
    <row r="908" spans="1:245" x14ac:dyDescent="0.2">
      <c r="A908">
        <v>17</v>
      </c>
      <c r="B908">
        <v>1</v>
      </c>
      <c r="C908">
        <f>ROW(SmtRes!A455)</f>
        <v>455</v>
      </c>
      <c r="D908">
        <f>ROW(EtalonRes!A451)</f>
        <v>451</v>
      </c>
      <c r="E908" t="s">
        <v>958</v>
      </c>
      <c r="F908" t="s">
        <v>514</v>
      </c>
      <c r="G908" t="s">
        <v>959</v>
      </c>
      <c r="H908" t="s">
        <v>505</v>
      </c>
      <c r="I908">
        <f>ROUND(34.2/10,9)</f>
        <v>3.42</v>
      </c>
      <c r="J908">
        <v>0</v>
      </c>
      <c r="K908">
        <f>ROUND(34.2/10,9)</f>
        <v>3.42</v>
      </c>
      <c r="O908">
        <f t="shared" si="796"/>
        <v>11918.72</v>
      </c>
      <c r="P908">
        <f t="shared" si="797"/>
        <v>0</v>
      </c>
      <c r="Q908">
        <f>(ROUND((ROUND((((ET908*1.25))*AV908*I908),2)*BB908),2)+ROUND((ROUND(((AE908-((EU908*1.25)))*AV908*I908),2)*BS908),2))</f>
        <v>998.6</v>
      </c>
      <c r="R908">
        <f t="shared" si="798"/>
        <v>588.42999999999995</v>
      </c>
      <c r="S908">
        <f t="shared" si="799"/>
        <v>10920.12</v>
      </c>
      <c r="T908">
        <f t="shared" si="800"/>
        <v>0</v>
      </c>
      <c r="U908">
        <f t="shared" si="801"/>
        <v>40.116599999999991</v>
      </c>
      <c r="V908">
        <f t="shared" si="802"/>
        <v>0</v>
      </c>
      <c r="W908">
        <f t="shared" si="803"/>
        <v>0</v>
      </c>
      <c r="X908">
        <f t="shared" si="804"/>
        <v>10264.91</v>
      </c>
      <c r="Y908">
        <f t="shared" si="805"/>
        <v>4477.25</v>
      </c>
      <c r="AA908">
        <v>42938047</v>
      </c>
      <c r="AB908">
        <f t="shared" si="806"/>
        <v>154.71100000000001</v>
      </c>
      <c r="AC908">
        <f t="shared" si="807"/>
        <v>0</v>
      </c>
      <c r="AD908">
        <f>ROUND(((((ET908*1.25))-((EU908*1.25)))+AE908),6)</f>
        <v>29.2</v>
      </c>
      <c r="AE908">
        <f>ROUND(((EU908*1.25)),6)</f>
        <v>6.7625000000000002</v>
      </c>
      <c r="AF908">
        <f>ROUND(((EV908*1.15)),6)</f>
        <v>125.511</v>
      </c>
      <c r="AG908">
        <f t="shared" si="808"/>
        <v>0</v>
      </c>
      <c r="AH908">
        <f>((EW908*1.15))</f>
        <v>11.729999999999999</v>
      </c>
      <c r="AI908">
        <f>((EX908*1.25))</f>
        <v>0</v>
      </c>
      <c r="AJ908">
        <f t="shared" si="809"/>
        <v>0</v>
      </c>
      <c r="AK908">
        <v>132.5</v>
      </c>
      <c r="AL908">
        <v>0</v>
      </c>
      <c r="AM908">
        <v>23.36</v>
      </c>
      <c r="AN908">
        <v>5.41</v>
      </c>
      <c r="AO908">
        <v>109.14</v>
      </c>
      <c r="AP908">
        <v>0</v>
      </c>
      <c r="AQ908">
        <v>10.199999999999999</v>
      </c>
      <c r="AR908">
        <v>0</v>
      </c>
      <c r="AS908">
        <v>0</v>
      </c>
      <c r="AT908">
        <v>94</v>
      </c>
      <c r="AU908">
        <v>41</v>
      </c>
      <c r="AV908">
        <v>1</v>
      </c>
      <c r="AW908">
        <v>1</v>
      </c>
      <c r="AZ908">
        <v>1</v>
      </c>
      <c r="BA908">
        <v>25.44</v>
      </c>
      <c r="BB908">
        <v>10</v>
      </c>
      <c r="BC908">
        <v>1</v>
      </c>
      <c r="BD908" t="s">
        <v>3</v>
      </c>
      <c r="BE908" t="s">
        <v>3</v>
      </c>
      <c r="BF908" t="s">
        <v>3</v>
      </c>
      <c r="BG908" t="s">
        <v>3</v>
      </c>
      <c r="BH908">
        <v>0</v>
      </c>
      <c r="BI908">
        <v>1</v>
      </c>
      <c r="BJ908" t="s">
        <v>516</v>
      </c>
      <c r="BM908">
        <v>141</v>
      </c>
      <c r="BN908">
        <v>0</v>
      </c>
      <c r="BO908" t="s">
        <v>514</v>
      </c>
      <c r="BP908">
        <v>1</v>
      </c>
      <c r="BQ908">
        <v>30</v>
      </c>
      <c r="BR908">
        <v>0</v>
      </c>
      <c r="BS908">
        <v>25.44</v>
      </c>
      <c r="BT908">
        <v>1</v>
      </c>
      <c r="BU908">
        <v>1</v>
      </c>
      <c r="BV908">
        <v>1</v>
      </c>
      <c r="BW908">
        <v>1</v>
      </c>
      <c r="BX908">
        <v>1</v>
      </c>
      <c r="BY908" t="s">
        <v>3</v>
      </c>
      <c r="BZ908">
        <v>94</v>
      </c>
      <c r="CA908">
        <v>41</v>
      </c>
      <c r="CB908" t="s">
        <v>3</v>
      </c>
      <c r="CE908">
        <v>30</v>
      </c>
      <c r="CF908">
        <v>0</v>
      </c>
      <c r="CG908">
        <v>0</v>
      </c>
      <c r="CM908">
        <v>0</v>
      </c>
      <c r="CN908" t="s">
        <v>1584</v>
      </c>
      <c r="CO908">
        <v>0</v>
      </c>
      <c r="CP908">
        <f t="shared" si="810"/>
        <v>11918.720000000001</v>
      </c>
      <c r="CQ908">
        <f t="shared" si="811"/>
        <v>0</v>
      </c>
      <c r="CR908">
        <f>(ROUND((ROUND((((ET908*1.25))*AV908*1),2)*BB908),2)+ROUND((ROUND(((AE908-((EU908*1.25)))*AV908*1),2)*BS908),2))</f>
        <v>292</v>
      </c>
      <c r="CS908">
        <f t="shared" si="812"/>
        <v>171.97</v>
      </c>
      <c r="CT908">
        <f t="shared" si="813"/>
        <v>3192.97</v>
      </c>
      <c r="CU908">
        <f t="shared" si="814"/>
        <v>0</v>
      </c>
      <c r="CV908">
        <f t="shared" si="815"/>
        <v>11.729999999999999</v>
      </c>
      <c r="CW908">
        <f t="shared" si="816"/>
        <v>0</v>
      </c>
      <c r="CX908">
        <f t="shared" si="817"/>
        <v>0</v>
      </c>
      <c r="CY908">
        <f t="shared" si="818"/>
        <v>10264.9128</v>
      </c>
      <c r="CZ908">
        <f t="shared" si="819"/>
        <v>4477.2492000000002</v>
      </c>
      <c r="DC908" t="s">
        <v>3</v>
      </c>
      <c r="DD908" t="s">
        <v>3</v>
      </c>
      <c r="DE908" t="s">
        <v>20</v>
      </c>
      <c r="DF908" t="s">
        <v>20</v>
      </c>
      <c r="DG908" t="s">
        <v>21</v>
      </c>
      <c r="DH908" t="s">
        <v>3</v>
      </c>
      <c r="DI908" t="s">
        <v>21</v>
      </c>
      <c r="DJ908" t="s">
        <v>20</v>
      </c>
      <c r="DK908" t="s">
        <v>3</v>
      </c>
      <c r="DL908" t="s">
        <v>3</v>
      </c>
      <c r="DM908" t="s">
        <v>3</v>
      </c>
      <c r="DN908">
        <v>116</v>
      </c>
      <c r="DO908">
        <v>68</v>
      </c>
      <c r="DP908">
        <v>1</v>
      </c>
      <c r="DQ908">
        <v>1</v>
      </c>
      <c r="DU908">
        <v>1013</v>
      </c>
      <c r="DV908" t="s">
        <v>505</v>
      </c>
      <c r="DW908" t="s">
        <v>505</v>
      </c>
      <c r="DX908">
        <v>1</v>
      </c>
      <c r="DZ908" t="s">
        <v>3</v>
      </c>
      <c r="EA908" t="s">
        <v>3</v>
      </c>
      <c r="EB908" t="s">
        <v>3</v>
      </c>
      <c r="EC908" t="s">
        <v>3</v>
      </c>
      <c r="EE908">
        <v>43088219</v>
      </c>
      <c r="EF908">
        <v>30</v>
      </c>
      <c r="EG908" t="s">
        <v>22</v>
      </c>
      <c r="EH908">
        <v>0</v>
      </c>
      <c r="EI908" t="s">
        <v>3</v>
      </c>
      <c r="EJ908">
        <v>1</v>
      </c>
      <c r="EK908">
        <v>141</v>
      </c>
      <c r="EL908" t="s">
        <v>507</v>
      </c>
      <c r="EM908" t="s">
        <v>508</v>
      </c>
      <c r="EO908" t="s">
        <v>59</v>
      </c>
      <c r="EQ908">
        <v>0</v>
      </c>
      <c r="ER908">
        <v>132.5</v>
      </c>
      <c r="ES908">
        <v>0</v>
      </c>
      <c r="ET908">
        <v>23.36</v>
      </c>
      <c r="EU908">
        <v>5.41</v>
      </c>
      <c r="EV908">
        <v>109.14</v>
      </c>
      <c r="EW908">
        <v>10.199999999999999</v>
      </c>
      <c r="EX908">
        <v>0</v>
      </c>
      <c r="EY908">
        <v>0</v>
      </c>
      <c r="FQ908">
        <v>0</v>
      </c>
      <c r="FR908">
        <f t="shared" si="820"/>
        <v>0</v>
      </c>
      <c r="FS908">
        <v>0</v>
      </c>
      <c r="FX908">
        <v>116</v>
      </c>
      <c r="FY908">
        <v>68</v>
      </c>
      <c r="GA908" t="s">
        <v>3</v>
      </c>
      <c r="GD908">
        <v>0</v>
      </c>
      <c r="GF908">
        <v>323801624</v>
      </c>
      <c r="GG908">
        <v>2</v>
      </c>
      <c r="GH908">
        <v>1</v>
      </c>
      <c r="GI908">
        <v>2</v>
      </c>
      <c r="GJ908">
        <v>0</v>
      </c>
      <c r="GK908">
        <f>ROUND(R908*(R12)/100,2)</f>
        <v>923.84</v>
      </c>
      <c r="GL908">
        <f t="shared" si="821"/>
        <v>0</v>
      </c>
      <c r="GM908">
        <f t="shared" si="822"/>
        <v>27584.720000000001</v>
      </c>
      <c r="GN908">
        <f t="shared" si="823"/>
        <v>27584.720000000001</v>
      </c>
      <c r="GO908">
        <f t="shared" si="824"/>
        <v>0</v>
      </c>
      <c r="GP908">
        <f t="shared" si="825"/>
        <v>0</v>
      </c>
      <c r="GR908">
        <v>0</v>
      </c>
      <c r="GS908">
        <v>3</v>
      </c>
      <c r="GT908">
        <v>0</v>
      </c>
      <c r="GU908" t="s">
        <v>3</v>
      </c>
      <c r="GV908">
        <f t="shared" si="826"/>
        <v>0</v>
      </c>
      <c r="GW908">
        <v>1</v>
      </c>
      <c r="GX908">
        <f t="shared" si="827"/>
        <v>0</v>
      </c>
      <c r="HA908">
        <v>0</v>
      </c>
      <c r="HB908">
        <v>0</v>
      </c>
      <c r="HC908">
        <f t="shared" si="828"/>
        <v>0</v>
      </c>
      <c r="HE908" t="s">
        <v>3</v>
      </c>
      <c r="HF908" t="s">
        <v>3</v>
      </c>
      <c r="HM908" t="s">
        <v>3</v>
      </c>
      <c r="IK908">
        <v>0</v>
      </c>
    </row>
    <row r="909" spans="1:245" x14ac:dyDescent="0.2">
      <c r="A909">
        <v>18</v>
      </c>
      <c r="B909">
        <v>1</v>
      </c>
      <c r="C909">
        <v>455</v>
      </c>
      <c r="E909" t="s">
        <v>960</v>
      </c>
      <c r="F909" t="s">
        <v>91</v>
      </c>
      <c r="G909" t="s">
        <v>92</v>
      </c>
      <c r="H909" t="s">
        <v>84</v>
      </c>
      <c r="I909">
        <f>I908*J909</f>
        <v>37.619999999999997</v>
      </c>
      <c r="J909">
        <v>11</v>
      </c>
      <c r="K909">
        <v>11</v>
      </c>
      <c r="O909">
        <f t="shared" si="796"/>
        <v>21762.959999999999</v>
      </c>
      <c r="P909">
        <f t="shared" si="797"/>
        <v>21762.959999999999</v>
      </c>
      <c r="Q909">
        <f>(ROUND((ROUND(((ET909)*AV909*I909),2)*BB909),2)+ROUND((ROUND(((AE909-(EU909))*AV909*I909),2)*BS909),2))</f>
        <v>0</v>
      </c>
      <c r="R909">
        <f t="shared" si="798"/>
        <v>0</v>
      </c>
      <c r="S909">
        <f t="shared" si="799"/>
        <v>0</v>
      </c>
      <c r="T909">
        <f t="shared" si="800"/>
        <v>0</v>
      </c>
      <c r="U909">
        <f t="shared" si="801"/>
        <v>0</v>
      </c>
      <c r="V909">
        <f t="shared" si="802"/>
        <v>0</v>
      </c>
      <c r="W909">
        <f t="shared" si="803"/>
        <v>0</v>
      </c>
      <c r="X909">
        <f t="shared" si="804"/>
        <v>0</v>
      </c>
      <c r="Y909">
        <f t="shared" si="805"/>
        <v>0</v>
      </c>
      <c r="AA909">
        <v>42938047</v>
      </c>
      <c r="AB909">
        <f t="shared" si="806"/>
        <v>104.99</v>
      </c>
      <c r="AC909">
        <f t="shared" si="807"/>
        <v>104.99</v>
      </c>
      <c r="AD909">
        <f>ROUND((((ET909)-(EU909))+AE909),6)</f>
        <v>0</v>
      </c>
      <c r="AE909">
        <f>ROUND((EU909),6)</f>
        <v>0</v>
      </c>
      <c r="AF909">
        <f>ROUND((EV909),6)</f>
        <v>0</v>
      </c>
      <c r="AG909">
        <f t="shared" si="808"/>
        <v>0</v>
      </c>
      <c r="AH909">
        <f>(EW909)</f>
        <v>0</v>
      </c>
      <c r="AI909">
        <f>(EX909)</f>
        <v>0</v>
      </c>
      <c r="AJ909">
        <f t="shared" si="809"/>
        <v>0</v>
      </c>
      <c r="AK909">
        <v>104.99</v>
      </c>
      <c r="AL909">
        <v>104.99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1</v>
      </c>
      <c r="AW909">
        <v>1</v>
      </c>
      <c r="AZ909">
        <v>1</v>
      </c>
      <c r="BA909">
        <v>1</v>
      </c>
      <c r="BB909">
        <v>1</v>
      </c>
      <c r="BC909">
        <v>5.51</v>
      </c>
      <c r="BD909" t="s">
        <v>3</v>
      </c>
      <c r="BE909" t="s">
        <v>3</v>
      </c>
      <c r="BF909" t="s">
        <v>3</v>
      </c>
      <c r="BG909" t="s">
        <v>3</v>
      </c>
      <c r="BH909">
        <v>3</v>
      </c>
      <c r="BI909">
        <v>1</v>
      </c>
      <c r="BJ909" t="s">
        <v>93</v>
      </c>
      <c r="BM909">
        <v>141</v>
      </c>
      <c r="BN909">
        <v>0</v>
      </c>
      <c r="BO909" t="s">
        <v>91</v>
      </c>
      <c r="BP909">
        <v>1</v>
      </c>
      <c r="BQ909">
        <v>30</v>
      </c>
      <c r="BR909">
        <v>0</v>
      </c>
      <c r="BS909">
        <v>1</v>
      </c>
      <c r="BT909">
        <v>1</v>
      </c>
      <c r="BU909">
        <v>1</v>
      </c>
      <c r="BV909">
        <v>1</v>
      </c>
      <c r="BW909">
        <v>1</v>
      </c>
      <c r="BX909">
        <v>1</v>
      </c>
      <c r="BY909" t="s">
        <v>3</v>
      </c>
      <c r="BZ909">
        <v>0</v>
      </c>
      <c r="CA909">
        <v>0</v>
      </c>
      <c r="CB909" t="s">
        <v>3</v>
      </c>
      <c r="CE909">
        <v>30</v>
      </c>
      <c r="CF909">
        <v>0</v>
      </c>
      <c r="CG909">
        <v>0</v>
      </c>
      <c r="CM909">
        <v>0</v>
      </c>
      <c r="CN909" t="s">
        <v>3</v>
      </c>
      <c r="CO909">
        <v>0</v>
      </c>
      <c r="CP909">
        <f t="shared" si="810"/>
        <v>21762.959999999999</v>
      </c>
      <c r="CQ909">
        <f t="shared" si="811"/>
        <v>578.49</v>
      </c>
      <c r="CR909">
        <f>(ROUND((ROUND(((ET909)*AV909*1),2)*BB909),2)+ROUND((ROUND(((AE909-(EU909))*AV909*1),2)*BS909),2))</f>
        <v>0</v>
      </c>
      <c r="CS909">
        <f t="shared" si="812"/>
        <v>0</v>
      </c>
      <c r="CT909">
        <f t="shared" si="813"/>
        <v>0</v>
      </c>
      <c r="CU909">
        <f t="shared" si="814"/>
        <v>0</v>
      </c>
      <c r="CV909">
        <f t="shared" si="815"/>
        <v>0</v>
      </c>
      <c r="CW909">
        <f t="shared" si="816"/>
        <v>0</v>
      </c>
      <c r="CX909">
        <f t="shared" si="817"/>
        <v>0</v>
      </c>
      <c r="CY909">
        <f t="shared" si="818"/>
        <v>0</v>
      </c>
      <c r="CZ909">
        <f t="shared" si="819"/>
        <v>0</v>
      </c>
      <c r="DC909" t="s">
        <v>3</v>
      </c>
      <c r="DD909" t="s">
        <v>3</v>
      </c>
      <c r="DE909" t="s">
        <v>3</v>
      </c>
      <c r="DF909" t="s">
        <v>3</v>
      </c>
      <c r="DG909" t="s">
        <v>3</v>
      </c>
      <c r="DH909" t="s">
        <v>3</v>
      </c>
      <c r="DI909" t="s">
        <v>3</v>
      </c>
      <c r="DJ909" t="s">
        <v>3</v>
      </c>
      <c r="DK909" t="s">
        <v>3</v>
      </c>
      <c r="DL909" t="s">
        <v>3</v>
      </c>
      <c r="DM909" t="s">
        <v>3</v>
      </c>
      <c r="DN909">
        <v>116</v>
      </c>
      <c r="DO909">
        <v>68</v>
      </c>
      <c r="DP909">
        <v>1</v>
      </c>
      <c r="DQ909">
        <v>1</v>
      </c>
      <c r="DU909">
        <v>1007</v>
      </c>
      <c r="DV909" t="s">
        <v>84</v>
      </c>
      <c r="DW909" t="s">
        <v>84</v>
      </c>
      <c r="DX909">
        <v>1</v>
      </c>
      <c r="DZ909" t="s">
        <v>3</v>
      </c>
      <c r="EA909" t="s">
        <v>3</v>
      </c>
      <c r="EB909" t="s">
        <v>3</v>
      </c>
      <c r="EC909" t="s">
        <v>3</v>
      </c>
      <c r="EE909">
        <v>43088219</v>
      </c>
      <c r="EF909">
        <v>30</v>
      </c>
      <c r="EG909" t="s">
        <v>22</v>
      </c>
      <c r="EH909">
        <v>0</v>
      </c>
      <c r="EI909" t="s">
        <v>3</v>
      </c>
      <c r="EJ909">
        <v>1</v>
      </c>
      <c r="EK909">
        <v>141</v>
      </c>
      <c r="EL909" t="s">
        <v>507</v>
      </c>
      <c r="EM909" t="s">
        <v>508</v>
      </c>
      <c r="EO909" t="s">
        <v>3</v>
      </c>
      <c r="EQ909">
        <v>0</v>
      </c>
      <c r="ER909">
        <v>104.99</v>
      </c>
      <c r="ES909">
        <v>104.99</v>
      </c>
      <c r="ET909">
        <v>0</v>
      </c>
      <c r="EU909">
        <v>0</v>
      </c>
      <c r="EV909">
        <v>0</v>
      </c>
      <c r="EW909">
        <v>0</v>
      </c>
      <c r="EX909">
        <v>0</v>
      </c>
      <c r="FQ909">
        <v>0</v>
      </c>
      <c r="FR909">
        <f t="shared" si="820"/>
        <v>0</v>
      </c>
      <c r="FS909">
        <v>0</v>
      </c>
      <c r="FX909">
        <v>116</v>
      </c>
      <c r="FY909">
        <v>68</v>
      </c>
      <c r="GA909" t="s">
        <v>3</v>
      </c>
      <c r="GD909">
        <v>0</v>
      </c>
      <c r="GF909">
        <v>2069056849</v>
      </c>
      <c r="GG909">
        <v>2</v>
      </c>
      <c r="GH909">
        <v>1</v>
      </c>
      <c r="GI909">
        <v>2</v>
      </c>
      <c r="GJ909">
        <v>0</v>
      </c>
      <c r="GK909">
        <f>ROUND(R909*(R12)/100,2)</f>
        <v>0</v>
      </c>
      <c r="GL909">
        <f t="shared" si="821"/>
        <v>0</v>
      </c>
      <c r="GM909">
        <f t="shared" si="822"/>
        <v>21762.959999999999</v>
      </c>
      <c r="GN909">
        <f t="shared" si="823"/>
        <v>21762.959999999999</v>
      </c>
      <c r="GO909">
        <f t="shared" si="824"/>
        <v>0</v>
      </c>
      <c r="GP909">
        <f t="shared" si="825"/>
        <v>0</v>
      </c>
      <c r="GR909">
        <v>0</v>
      </c>
      <c r="GS909">
        <v>3</v>
      </c>
      <c r="GT909">
        <v>0</v>
      </c>
      <c r="GU909" t="s">
        <v>3</v>
      </c>
      <c r="GV909">
        <f t="shared" si="826"/>
        <v>0</v>
      </c>
      <c r="GW909">
        <v>1</v>
      </c>
      <c r="GX909">
        <f t="shared" si="827"/>
        <v>0</v>
      </c>
      <c r="HA909">
        <v>0</v>
      </c>
      <c r="HB909">
        <v>0</v>
      </c>
      <c r="HC909">
        <f t="shared" si="828"/>
        <v>0</v>
      </c>
      <c r="HE909" t="s">
        <v>3</v>
      </c>
      <c r="HF909" t="s">
        <v>3</v>
      </c>
      <c r="HM909" t="s">
        <v>3</v>
      </c>
      <c r="IK909">
        <v>0</v>
      </c>
    </row>
    <row r="910" spans="1:245" x14ac:dyDescent="0.2">
      <c r="A910">
        <v>17</v>
      </c>
      <c r="B910">
        <v>1</v>
      </c>
      <c r="C910">
        <f>ROW(SmtRes!A459)</f>
        <v>459</v>
      </c>
      <c r="D910">
        <f>ROW(EtalonRes!A454)</f>
        <v>454</v>
      </c>
      <c r="E910" t="s">
        <v>961</v>
      </c>
      <c r="F910" t="s">
        <v>962</v>
      </c>
      <c r="G910" t="s">
        <v>963</v>
      </c>
      <c r="H910" t="s">
        <v>964</v>
      </c>
      <c r="I910">
        <v>0.38</v>
      </c>
      <c r="J910">
        <v>0</v>
      </c>
      <c r="K910">
        <v>0.38</v>
      </c>
      <c r="O910">
        <f t="shared" si="796"/>
        <v>16641.599999999999</v>
      </c>
      <c r="P910">
        <f t="shared" si="797"/>
        <v>110.94</v>
      </c>
      <c r="Q910">
        <f>(ROUND((ROUND((((ET910*1.25))*AV910*I910),2)*BB910),2)+ROUND((ROUND(((AE910-((EU910*1.25)))*AV910*I910),2)*BS910),2))</f>
        <v>0</v>
      </c>
      <c r="R910">
        <f t="shared" si="798"/>
        <v>0</v>
      </c>
      <c r="S910">
        <f t="shared" si="799"/>
        <v>16530.66</v>
      </c>
      <c r="T910">
        <f t="shared" si="800"/>
        <v>0</v>
      </c>
      <c r="U910">
        <f t="shared" si="801"/>
        <v>58.120999999999995</v>
      </c>
      <c r="V910">
        <f t="shared" si="802"/>
        <v>0</v>
      </c>
      <c r="W910">
        <f t="shared" si="803"/>
        <v>0</v>
      </c>
      <c r="X910">
        <f t="shared" si="804"/>
        <v>14877.59</v>
      </c>
      <c r="Y910">
        <f t="shared" si="805"/>
        <v>6777.57</v>
      </c>
      <c r="AA910">
        <v>42938047</v>
      </c>
      <c r="AB910">
        <f t="shared" si="806"/>
        <v>1754.3610000000001</v>
      </c>
      <c r="AC910">
        <f t="shared" si="807"/>
        <v>44.38</v>
      </c>
      <c r="AD910">
        <f>ROUND(((((ET910*1.25))-((EU910*1.25)))+AE910),6)</f>
        <v>0</v>
      </c>
      <c r="AE910">
        <f>ROUND(((EU910*1.25)),6)</f>
        <v>0</v>
      </c>
      <c r="AF910">
        <f>ROUND(((EV910*1.15)),6)</f>
        <v>1709.981</v>
      </c>
      <c r="AG910">
        <f t="shared" si="808"/>
        <v>0</v>
      </c>
      <c r="AH910">
        <f>((EW910*1.15))</f>
        <v>152.94999999999999</v>
      </c>
      <c r="AI910">
        <f>((EX910*1.25))</f>
        <v>0</v>
      </c>
      <c r="AJ910">
        <f t="shared" si="809"/>
        <v>0</v>
      </c>
      <c r="AK910">
        <v>1531.32</v>
      </c>
      <c r="AL910">
        <v>44.38</v>
      </c>
      <c r="AM910">
        <v>0</v>
      </c>
      <c r="AN910">
        <v>0</v>
      </c>
      <c r="AO910">
        <v>1486.94</v>
      </c>
      <c r="AP910">
        <v>0</v>
      </c>
      <c r="AQ910">
        <v>133</v>
      </c>
      <c r="AR910">
        <v>0</v>
      </c>
      <c r="AS910">
        <v>0</v>
      </c>
      <c r="AT910">
        <v>90</v>
      </c>
      <c r="AU910">
        <v>41</v>
      </c>
      <c r="AV910">
        <v>1</v>
      </c>
      <c r="AW910">
        <v>1</v>
      </c>
      <c r="AZ910">
        <v>1</v>
      </c>
      <c r="BA910">
        <v>25.44</v>
      </c>
      <c r="BB910">
        <v>1</v>
      </c>
      <c r="BC910">
        <v>6.58</v>
      </c>
      <c r="BD910" t="s">
        <v>3</v>
      </c>
      <c r="BE910" t="s">
        <v>3</v>
      </c>
      <c r="BF910" t="s">
        <v>3</v>
      </c>
      <c r="BG910" t="s">
        <v>3</v>
      </c>
      <c r="BH910">
        <v>0</v>
      </c>
      <c r="BI910">
        <v>1</v>
      </c>
      <c r="BJ910" t="s">
        <v>965</v>
      </c>
      <c r="BM910">
        <v>242</v>
      </c>
      <c r="BN910">
        <v>0</v>
      </c>
      <c r="BO910" t="s">
        <v>962</v>
      </c>
      <c r="BP910">
        <v>1</v>
      </c>
      <c r="BQ910">
        <v>30</v>
      </c>
      <c r="BR910">
        <v>0</v>
      </c>
      <c r="BS910">
        <v>25.44</v>
      </c>
      <c r="BT910">
        <v>1</v>
      </c>
      <c r="BU910">
        <v>1</v>
      </c>
      <c r="BV910">
        <v>1</v>
      </c>
      <c r="BW910">
        <v>1</v>
      </c>
      <c r="BX910">
        <v>1</v>
      </c>
      <c r="BY910" t="s">
        <v>3</v>
      </c>
      <c r="BZ910">
        <v>90</v>
      </c>
      <c r="CA910">
        <v>41</v>
      </c>
      <c r="CB910" t="s">
        <v>3</v>
      </c>
      <c r="CE910">
        <v>30</v>
      </c>
      <c r="CF910">
        <v>0</v>
      </c>
      <c r="CG910">
        <v>0</v>
      </c>
      <c r="CM910">
        <v>0</v>
      </c>
      <c r="CN910" t="s">
        <v>1584</v>
      </c>
      <c r="CO910">
        <v>0</v>
      </c>
      <c r="CP910">
        <f t="shared" si="810"/>
        <v>16641.599999999999</v>
      </c>
      <c r="CQ910">
        <f t="shared" si="811"/>
        <v>292.02</v>
      </c>
      <c r="CR910">
        <f>(ROUND((ROUND((((ET910*1.25))*AV910*1),2)*BB910),2)+ROUND((ROUND(((AE910-((EU910*1.25)))*AV910*1),2)*BS910),2))</f>
        <v>0</v>
      </c>
      <c r="CS910">
        <f t="shared" si="812"/>
        <v>0</v>
      </c>
      <c r="CT910">
        <f t="shared" si="813"/>
        <v>43501.89</v>
      </c>
      <c r="CU910">
        <f t="shared" si="814"/>
        <v>0</v>
      </c>
      <c r="CV910">
        <f t="shared" si="815"/>
        <v>152.94999999999999</v>
      </c>
      <c r="CW910">
        <f t="shared" si="816"/>
        <v>0</v>
      </c>
      <c r="CX910">
        <f t="shared" si="817"/>
        <v>0</v>
      </c>
      <c r="CY910">
        <f t="shared" si="818"/>
        <v>14877.594000000001</v>
      </c>
      <c r="CZ910">
        <f t="shared" si="819"/>
        <v>6777.5705999999991</v>
      </c>
      <c r="DC910" t="s">
        <v>3</v>
      </c>
      <c r="DD910" t="s">
        <v>3</v>
      </c>
      <c r="DE910" t="s">
        <v>20</v>
      </c>
      <c r="DF910" t="s">
        <v>20</v>
      </c>
      <c r="DG910" t="s">
        <v>21</v>
      </c>
      <c r="DH910" t="s">
        <v>3</v>
      </c>
      <c r="DI910" t="s">
        <v>21</v>
      </c>
      <c r="DJ910" t="s">
        <v>20</v>
      </c>
      <c r="DK910" t="s">
        <v>3</v>
      </c>
      <c r="DL910" t="s">
        <v>3</v>
      </c>
      <c r="DM910" t="s">
        <v>3</v>
      </c>
      <c r="DN910">
        <v>112</v>
      </c>
      <c r="DO910">
        <v>70</v>
      </c>
      <c r="DP910">
        <v>1</v>
      </c>
      <c r="DQ910">
        <v>1</v>
      </c>
      <c r="DU910">
        <v>1013</v>
      </c>
      <c r="DV910" t="s">
        <v>964</v>
      </c>
      <c r="DW910" t="s">
        <v>964</v>
      </c>
      <c r="DX910">
        <v>1</v>
      </c>
      <c r="DZ910" t="s">
        <v>3</v>
      </c>
      <c r="EA910" t="s">
        <v>3</v>
      </c>
      <c r="EB910" t="s">
        <v>3</v>
      </c>
      <c r="EC910" t="s">
        <v>3</v>
      </c>
      <c r="EE910">
        <v>43088320</v>
      </c>
      <c r="EF910">
        <v>30</v>
      </c>
      <c r="EG910" t="s">
        <v>22</v>
      </c>
      <c r="EH910">
        <v>0</v>
      </c>
      <c r="EI910" t="s">
        <v>3</v>
      </c>
      <c r="EJ910">
        <v>1</v>
      </c>
      <c r="EK910">
        <v>242</v>
      </c>
      <c r="EL910" t="s">
        <v>966</v>
      </c>
      <c r="EM910" t="s">
        <v>967</v>
      </c>
      <c r="EO910" t="s">
        <v>59</v>
      </c>
      <c r="EQ910">
        <v>0</v>
      </c>
      <c r="ER910">
        <v>1531.32</v>
      </c>
      <c r="ES910">
        <v>44.38</v>
      </c>
      <c r="ET910">
        <v>0</v>
      </c>
      <c r="EU910">
        <v>0</v>
      </c>
      <c r="EV910">
        <v>1486.94</v>
      </c>
      <c r="EW910">
        <v>133</v>
      </c>
      <c r="EX910">
        <v>0</v>
      </c>
      <c r="EY910">
        <v>0</v>
      </c>
      <c r="FQ910">
        <v>0</v>
      </c>
      <c r="FR910">
        <f t="shared" si="820"/>
        <v>0</v>
      </c>
      <c r="FS910">
        <v>0</v>
      </c>
      <c r="FX910">
        <v>112</v>
      </c>
      <c r="FY910">
        <v>70</v>
      </c>
      <c r="GA910" t="s">
        <v>3</v>
      </c>
      <c r="GD910">
        <v>0</v>
      </c>
      <c r="GF910">
        <v>1220014803</v>
      </c>
      <c r="GG910">
        <v>2</v>
      </c>
      <c r="GH910">
        <v>1</v>
      </c>
      <c r="GI910">
        <v>2</v>
      </c>
      <c r="GJ910">
        <v>0</v>
      </c>
      <c r="GK910">
        <f>ROUND(R910*(R12)/100,2)</f>
        <v>0</v>
      </c>
      <c r="GL910">
        <f t="shared" si="821"/>
        <v>0</v>
      </c>
      <c r="GM910">
        <f t="shared" si="822"/>
        <v>38296.76</v>
      </c>
      <c r="GN910">
        <f t="shared" si="823"/>
        <v>38296.76</v>
      </c>
      <c r="GO910">
        <f t="shared" si="824"/>
        <v>0</v>
      </c>
      <c r="GP910">
        <f t="shared" si="825"/>
        <v>0</v>
      </c>
      <c r="GR910">
        <v>0</v>
      </c>
      <c r="GS910">
        <v>3</v>
      </c>
      <c r="GT910">
        <v>0</v>
      </c>
      <c r="GU910" t="s">
        <v>3</v>
      </c>
      <c r="GV910">
        <f t="shared" si="826"/>
        <v>0</v>
      </c>
      <c r="GW910">
        <v>1</v>
      </c>
      <c r="GX910">
        <f t="shared" si="827"/>
        <v>0</v>
      </c>
      <c r="HA910">
        <v>0</v>
      </c>
      <c r="HB910">
        <v>0</v>
      </c>
      <c r="HC910">
        <f t="shared" si="828"/>
        <v>0</v>
      </c>
      <c r="HE910" t="s">
        <v>3</v>
      </c>
      <c r="HF910" t="s">
        <v>3</v>
      </c>
      <c r="HM910" t="s">
        <v>3</v>
      </c>
      <c r="IK910">
        <v>0</v>
      </c>
    </row>
    <row r="911" spans="1:245" x14ac:dyDescent="0.2">
      <c r="A911">
        <v>18</v>
      </c>
      <c r="B911">
        <v>1</v>
      </c>
      <c r="C911">
        <v>457</v>
      </c>
      <c r="E911" t="s">
        <v>968</v>
      </c>
      <c r="F911" t="s">
        <v>969</v>
      </c>
      <c r="G911" t="s">
        <v>1594</v>
      </c>
      <c r="H911" t="s">
        <v>136</v>
      </c>
      <c r="I911">
        <f>I910*J911</f>
        <v>380</v>
      </c>
      <c r="J911">
        <v>1000</v>
      </c>
      <c r="K911">
        <v>1000</v>
      </c>
      <c r="O911">
        <f t="shared" si="796"/>
        <v>85049.7</v>
      </c>
      <c r="P911">
        <f t="shared" si="797"/>
        <v>85049.7</v>
      </c>
      <c r="Q911">
        <f t="shared" ref="Q911:Q917" si="829">(ROUND((ROUND(((ET911)*AV911*I911),2)*BB911),2)+ROUND((ROUND(((AE911-(EU911))*AV911*I911),2)*BS911),2))</f>
        <v>0</v>
      </c>
      <c r="R911">
        <f t="shared" si="798"/>
        <v>0</v>
      </c>
      <c r="S911">
        <f t="shared" si="799"/>
        <v>0</v>
      </c>
      <c r="T911">
        <f t="shared" si="800"/>
        <v>0</v>
      </c>
      <c r="U911">
        <f t="shared" si="801"/>
        <v>0</v>
      </c>
      <c r="V911">
        <f t="shared" si="802"/>
        <v>0</v>
      </c>
      <c r="W911">
        <f t="shared" si="803"/>
        <v>0</v>
      </c>
      <c r="X911">
        <f t="shared" si="804"/>
        <v>0</v>
      </c>
      <c r="Y911">
        <f t="shared" si="805"/>
        <v>0</v>
      </c>
      <c r="AA911">
        <v>42938047</v>
      </c>
      <c r="AB911">
        <f t="shared" si="806"/>
        <v>32.25</v>
      </c>
      <c r="AC911">
        <f t="shared" si="807"/>
        <v>32.25</v>
      </c>
      <c r="AD911">
        <f t="shared" ref="AD911:AD917" si="830">ROUND((((ET911)-(EU911))+AE911),6)</f>
        <v>0</v>
      </c>
      <c r="AE911">
        <f t="shared" ref="AE911:AF917" si="831">ROUND((EU911),6)</f>
        <v>0</v>
      </c>
      <c r="AF911">
        <f t="shared" si="831"/>
        <v>0</v>
      </c>
      <c r="AG911">
        <f t="shared" si="808"/>
        <v>0</v>
      </c>
      <c r="AH911">
        <f t="shared" ref="AH911:AI917" si="832">(EW911)</f>
        <v>0</v>
      </c>
      <c r="AI911">
        <f t="shared" si="832"/>
        <v>0</v>
      </c>
      <c r="AJ911">
        <f t="shared" si="809"/>
        <v>0</v>
      </c>
      <c r="AK911">
        <v>32.25</v>
      </c>
      <c r="AL911">
        <v>32.25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1</v>
      </c>
      <c r="AW911">
        <v>1</v>
      </c>
      <c r="AZ911">
        <v>1</v>
      </c>
      <c r="BA911">
        <v>1</v>
      </c>
      <c r="BB911">
        <v>1</v>
      </c>
      <c r="BC911">
        <v>6.94</v>
      </c>
      <c r="BD911" t="s">
        <v>3</v>
      </c>
      <c r="BE911" t="s">
        <v>3</v>
      </c>
      <c r="BF911" t="s">
        <v>3</v>
      </c>
      <c r="BG911" t="s">
        <v>3</v>
      </c>
      <c r="BH911">
        <v>3</v>
      </c>
      <c r="BI911">
        <v>1</v>
      </c>
      <c r="BJ911" t="s">
        <v>970</v>
      </c>
      <c r="BM911">
        <v>242</v>
      </c>
      <c r="BN911">
        <v>0</v>
      </c>
      <c r="BO911" t="s">
        <v>969</v>
      </c>
      <c r="BP911">
        <v>1</v>
      </c>
      <c r="BQ911">
        <v>30</v>
      </c>
      <c r="BR911">
        <v>0</v>
      </c>
      <c r="BS911">
        <v>1</v>
      </c>
      <c r="BT911">
        <v>1</v>
      </c>
      <c r="BU911">
        <v>1</v>
      </c>
      <c r="BV911">
        <v>1</v>
      </c>
      <c r="BW911">
        <v>1</v>
      </c>
      <c r="BX911">
        <v>1</v>
      </c>
      <c r="BY911" t="s">
        <v>3</v>
      </c>
      <c r="BZ911">
        <v>0</v>
      </c>
      <c r="CA911">
        <v>0</v>
      </c>
      <c r="CB911" t="s">
        <v>3</v>
      </c>
      <c r="CE911">
        <v>30</v>
      </c>
      <c r="CF911">
        <v>0</v>
      </c>
      <c r="CG911">
        <v>0</v>
      </c>
      <c r="CM911">
        <v>0</v>
      </c>
      <c r="CN911" t="s">
        <v>3</v>
      </c>
      <c r="CO911">
        <v>0</v>
      </c>
      <c r="CP911">
        <f t="shared" si="810"/>
        <v>85049.7</v>
      </c>
      <c r="CQ911">
        <f t="shared" si="811"/>
        <v>223.82</v>
      </c>
      <c r="CR911">
        <f t="shared" ref="CR911:CR917" si="833">(ROUND((ROUND(((ET911)*AV911*1),2)*BB911),2)+ROUND((ROUND(((AE911-(EU911))*AV911*1),2)*BS911),2))</f>
        <v>0</v>
      </c>
      <c r="CS911">
        <f t="shared" si="812"/>
        <v>0</v>
      </c>
      <c r="CT911">
        <f t="shared" si="813"/>
        <v>0</v>
      </c>
      <c r="CU911">
        <f t="shared" si="814"/>
        <v>0</v>
      </c>
      <c r="CV911">
        <f t="shared" si="815"/>
        <v>0</v>
      </c>
      <c r="CW911">
        <f t="shared" si="816"/>
        <v>0</v>
      </c>
      <c r="CX911">
        <f t="shared" si="817"/>
        <v>0</v>
      </c>
      <c r="CY911">
        <f t="shared" si="818"/>
        <v>0</v>
      </c>
      <c r="CZ911">
        <f t="shared" si="819"/>
        <v>0</v>
      </c>
      <c r="DC911" t="s">
        <v>3</v>
      </c>
      <c r="DD911" t="s">
        <v>3</v>
      </c>
      <c r="DE911" t="s">
        <v>3</v>
      </c>
      <c r="DF911" t="s">
        <v>3</v>
      </c>
      <c r="DG911" t="s">
        <v>3</v>
      </c>
      <c r="DH911" t="s">
        <v>3</v>
      </c>
      <c r="DI911" t="s">
        <v>3</v>
      </c>
      <c r="DJ911" t="s">
        <v>3</v>
      </c>
      <c r="DK911" t="s">
        <v>3</v>
      </c>
      <c r="DL911" t="s">
        <v>3</v>
      </c>
      <c r="DM911" t="s">
        <v>3</v>
      </c>
      <c r="DN911">
        <v>112</v>
      </c>
      <c r="DO911">
        <v>70</v>
      </c>
      <c r="DP911">
        <v>1</v>
      </c>
      <c r="DQ911">
        <v>1</v>
      </c>
      <c r="DU911">
        <v>1003</v>
      </c>
      <c r="DV911" t="s">
        <v>136</v>
      </c>
      <c r="DW911" t="s">
        <v>136</v>
      </c>
      <c r="DX911">
        <v>1</v>
      </c>
      <c r="DZ911" t="s">
        <v>3</v>
      </c>
      <c r="EA911" t="s">
        <v>3</v>
      </c>
      <c r="EB911" t="s">
        <v>3</v>
      </c>
      <c r="EC911" t="s">
        <v>3</v>
      </c>
      <c r="EE911">
        <v>43088320</v>
      </c>
      <c r="EF911">
        <v>30</v>
      </c>
      <c r="EG911" t="s">
        <v>22</v>
      </c>
      <c r="EH911">
        <v>0</v>
      </c>
      <c r="EI911" t="s">
        <v>3</v>
      </c>
      <c r="EJ911">
        <v>1</v>
      </c>
      <c r="EK911">
        <v>242</v>
      </c>
      <c r="EL911" t="s">
        <v>966</v>
      </c>
      <c r="EM911" t="s">
        <v>967</v>
      </c>
      <c r="EO911" t="s">
        <v>3</v>
      </c>
      <c r="EQ911">
        <v>0</v>
      </c>
      <c r="ER911">
        <v>32.25</v>
      </c>
      <c r="ES911">
        <v>32.25</v>
      </c>
      <c r="ET911">
        <v>0</v>
      </c>
      <c r="EU911">
        <v>0</v>
      </c>
      <c r="EV911">
        <v>0</v>
      </c>
      <c r="EW911">
        <v>0</v>
      </c>
      <c r="EX911">
        <v>0</v>
      </c>
      <c r="FQ911">
        <v>0</v>
      </c>
      <c r="FR911">
        <f t="shared" si="820"/>
        <v>0</v>
      </c>
      <c r="FS911">
        <v>0</v>
      </c>
      <c r="FX911">
        <v>112</v>
      </c>
      <c r="FY911">
        <v>70</v>
      </c>
      <c r="GA911" t="s">
        <v>3</v>
      </c>
      <c r="GD911">
        <v>0</v>
      </c>
      <c r="GF911">
        <v>1265767261</v>
      </c>
      <c r="GG911">
        <v>2</v>
      </c>
      <c r="GH911">
        <v>1</v>
      </c>
      <c r="GI911">
        <v>2</v>
      </c>
      <c r="GJ911">
        <v>0</v>
      </c>
      <c r="GK911">
        <f>ROUND(R911*(R12)/100,2)</f>
        <v>0</v>
      </c>
      <c r="GL911">
        <f t="shared" si="821"/>
        <v>0</v>
      </c>
      <c r="GM911">
        <f t="shared" si="822"/>
        <v>85049.7</v>
      </c>
      <c r="GN911">
        <f t="shared" si="823"/>
        <v>85049.7</v>
      </c>
      <c r="GO911">
        <f t="shared" si="824"/>
        <v>0</v>
      </c>
      <c r="GP911">
        <f t="shared" si="825"/>
        <v>0</v>
      </c>
      <c r="GR911">
        <v>0</v>
      </c>
      <c r="GS911">
        <v>3</v>
      </c>
      <c r="GT911">
        <v>0</v>
      </c>
      <c r="GU911" t="s">
        <v>3</v>
      </c>
      <c r="GV911">
        <f t="shared" si="826"/>
        <v>0</v>
      </c>
      <c r="GW911">
        <v>1</v>
      </c>
      <c r="GX911">
        <f t="shared" si="827"/>
        <v>0</v>
      </c>
      <c r="HA911">
        <v>0</v>
      </c>
      <c r="HB911">
        <v>0</v>
      </c>
      <c r="HC911">
        <f t="shared" si="828"/>
        <v>0</v>
      </c>
      <c r="HE911" t="s">
        <v>3</v>
      </c>
      <c r="HF911" t="s">
        <v>3</v>
      </c>
      <c r="HM911" t="s">
        <v>3</v>
      </c>
      <c r="IK911">
        <v>0</v>
      </c>
    </row>
    <row r="912" spans="1:245" x14ac:dyDescent="0.2">
      <c r="A912">
        <v>18</v>
      </c>
      <c r="B912">
        <v>1</v>
      </c>
      <c r="C912">
        <v>459</v>
      </c>
      <c r="E912" t="s">
        <v>971</v>
      </c>
      <c r="F912" t="s">
        <v>118</v>
      </c>
      <c r="G912" t="s">
        <v>972</v>
      </c>
      <c r="H912" t="s">
        <v>136</v>
      </c>
      <c r="I912">
        <f>I910*J912</f>
        <v>380</v>
      </c>
      <c r="J912">
        <v>1000</v>
      </c>
      <c r="K912">
        <v>1000</v>
      </c>
      <c r="O912">
        <f t="shared" si="796"/>
        <v>51677.34</v>
      </c>
      <c r="P912">
        <f t="shared" si="797"/>
        <v>51677.34</v>
      </c>
      <c r="Q912">
        <f t="shared" si="829"/>
        <v>0</v>
      </c>
      <c r="R912">
        <f t="shared" si="798"/>
        <v>0</v>
      </c>
      <c r="S912">
        <f t="shared" si="799"/>
        <v>0</v>
      </c>
      <c r="T912">
        <f t="shared" si="800"/>
        <v>0</v>
      </c>
      <c r="U912">
        <f t="shared" si="801"/>
        <v>0</v>
      </c>
      <c r="V912">
        <f t="shared" si="802"/>
        <v>0</v>
      </c>
      <c r="W912">
        <f t="shared" si="803"/>
        <v>0</v>
      </c>
      <c r="X912">
        <f t="shared" si="804"/>
        <v>0</v>
      </c>
      <c r="Y912">
        <f t="shared" si="805"/>
        <v>0</v>
      </c>
      <c r="AA912">
        <v>42938047</v>
      </c>
      <c r="AB912">
        <f t="shared" si="806"/>
        <v>21.45</v>
      </c>
      <c r="AC912">
        <f t="shared" si="807"/>
        <v>21.45</v>
      </c>
      <c r="AD912">
        <f t="shared" si="830"/>
        <v>0</v>
      </c>
      <c r="AE912">
        <f t="shared" si="831"/>
        <v>0</v>
      </c>
      <c r="AF912">
        <f t="shared" si="831"/>
        <v>0</v>
      </c>
      <c r="AG912">
        <f t="shared" si="808"/>
        <v>0</v>
      </c>
      <c r="AH912">
        <f t="shared" si="832"/>
        <v>0</v>
      </c>
      <c r="AI912">
        <f t="shared" si="832"/>
        <v>0</v>
      </c>
      <c r="AJ912">
        <f t="shared" si="809"/>
        <v>0</v>
      </c>
      <c r="AK912">
        <v>21.450000000000003</v>
      </c>
      <c r="AL912">
        <v>21.450000000000003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1</v>
      </c>
      <c r="AW912">
        <v>1</v>
      </c>
      <c r="AZ912">
        <v>1</v>
      </c>
      <c r="BA912">
        <v>1</v>
      </c>
      <c r="BB912">
        <v>1</v>
      </c>
      <c r="BC912">
        <v>6.34</v>
      </c>
      <c r="BD912" t="s">
        <v>3</v>
      </c>
      <c r="BE912" t="s">
        <v>3</v>
      </c>
      <c r="BF912" t="s">
        <v>3</v>
      </c>
      <c r="BG912" t="s">
        <v>3</v>
      </c>
      <c r="BH912">
        <v>3</v>
      </c>
      <c r="BI912">
        <v>1</v>
      </c>
      <c r="BJ912" t="s">
        <v>3</v>
      </c>
      <c r="BM912">
        <v>242</v>
      </c>
      <c r="BN912">
        <v>0</v>
      </c>
      <c r="BO912" t="s">
        <v>3</v>
      </c>
      <c r="BP912">
        <v>0</v>
      </c>
      <c r="BQ912">
        <v>30</v>
      </c>
      <c r="BR912">
        <v>0</v>
      </c>
      <c r="BS912">
        <v>1</v>
      </c>
      <c r="BT912">
        <v>1</v>
      </c>
      <c r="BU912">
        <v>1</v>
      </c>
      <c r="BV912">
        <v>1</v>
      </c>
      <c r="BW912">
        <v>1</v>
      </c>
      <c r="BX912">
        <v>1</v>
      </c>
      <c r="BY912" t="s">
        <v>3</v>
      </c>
      <c r="BZ912">
        <v>0</v>
      </c>
      <c r="CA912">
        <v>0</v>
      </c>
      <c r="CB912" t="s">
        <v>3</v>
      </c>
      <c r="CE912">
        <v>30</v>
      </c>
      <c r="CF912">
        <v>0</v>
      </c>
      <c r="CG912">
        <v>0</v>
      </c>
      <c r="CM912">
        <v>0</v>
      </c>
      <c r="CN912" t="s">
        <v>3</v>
      </c>
      <c r="CO912">
        <v>0</v>
      </c>
      <c r="CP912">
        <f t="shared" si="810"/>
        <v>51677.34</v>
      </c>
      <c r="CQ912">
        <f t="shared" si="811"/>
        <v>135.99</v>
      </c>
      <c r="CR912">
        <f t="shared" si="833"/>
        <v>0</v>
      </c>
      <c r="CS912">
        <f t="shared" si="812"/>
        <v>0</v>
      </c>
      <c r="CT912">
        <f t="shared" si="813"/>
        <v>0</v>
      </c>
      <c r="CU912">
        <f t="shared" si="814"/>
        <v>0</v>
      </c>
      <c r="CV912">
        <f t="shared" si="815"/>
        <v>0</v>
      </c>
      <c r="CW912">
        <f t="shared" si="816"/>
        <v>0</v>
      </c>
      <c r="CX912">
        <f t="shared" si="817"/>
        <v>0</v>
      </c>
      <c r="CY912">
        <f t="shared" si="818"/>
        <v>0</v>
      </c>
      <c r="CZ912">
        <f t="shared" si="819"/>
        <v>0</v>
      </c>
      <c r="DC912" t="s">
        <v>3</v>
      </c>
      <c r="DD912" t="s">
        <v>3</v>
      </c>
      <c r="DE912" t="s">
        <v>3</v>
      </c>
      <c r="DF912" t="s">
        <v>3</v>
      </c>
      <c r="DG912" t="s">
        <v>3</v>
      </c>
      <c r="DH912" t="s">
        <v>3</v>
      </c>
      <c r="DI912" t="s">
        <v>3</v>
      </c>
      <c r="DJ912" t="s">
        <v>3</v>
      </c>
      <c r="DK912" t="s">
        <v>3</v>
      </c>
      <c r="DL912" t="s">
        <v>3</v>
      </c>
      <c r="DM912" t="s">
        <v>3</v>
      </c>
      <c r="DN912">
        <v>112</v>
      </c>
      <c r="DO912">
        <v>70</v>
      </c>
      <c r="DP912">
        <v>1</v>
      </c>
      <c r="DQ912">
        <v>1</v>
      </c>
      <c r="DU912">
        <v>1003</v>
      </c>
      <c r="DV912" t="s">
        <v>136</v>
      </c>
      <c r="DW912" t="s">
        <v>136</v>
      </c>
      <c r="DX912">
        <v>1</v>
      </c>
      <c r="DZ912" t="s">
        <v>3</v>
      </c>
      <c r="EA912" t="s">
        <v>3</v>
      </c>
      <c r="EB912" t="s">
        <v>3</v>
      </c>
      <c r="EC912" t="s">
        <v>3</v>
      </c>
      <c r="EE912">
        <v>43088320</v>
      </c>
      <c r="EF912">
        <v>30</v>
      </c>
      <c r="EG912" t="s">
        <v>22</v>
      </c>
      <c r="EH912">
        <v>0</v>
      </c>
      <c r="EI912" t="s">
        <v>3</v>
      </c>
      <c r="EJ912">
        <v>1</v>
      </c>
      <c r="EK912">
        <v>242</v>
      </c>
      <c r="EL912" t="s">
        <v>966</v>
      </c>
      <c r="EM912" t="s">
        <v>967</v>
      </c>
      <c r="EO912" t="s">
        <v>3</v>
      </c>
      <c r="EQ912">
        <v>0</v>
      </c>
      <c r="ER912">
        <v>21.450000000000003</v>
      </c>
      <c r="ES912">
        <v>21.450000000000003</v>
      </c>
      <c r="ET912">
        <v>0</v>
      </c>
      <c r="EU912">
        <v>0</v>
      </c>
      <c r="EV912">
        <v>0</v>
      </c>
      <c r="EW912">
        <v>0</v>
      </c>
      <c r="EX912">
        <v>0</v>
      </c>
      <c r="EZ912">
        <v>5</v>
      </c>
      <c r="FC912">
        <v>1</v>
      </c>
      <c r="FD912">
        <v>18</v>
      </c>
      <c r="FF912">
        <v>160</v>
      </c>
      <c r="FQ912">
        <v>0</v>
      </c>
      <c r="FR912">
        <f t="shared" si="820"/>
        <v>0</v>
      </c>
      <c r="FS912">
        <v>0</v>
      </c>
      <c r="FX912">
        <v>112</v>
      </c>
      <c r="FY912">
        <v>70</v>
      </c>
      <c r="GA912" t="s">
        <v>973</v>
      </c>
      <c r="GD912">
        <v>0</v>
      </c>
      <c r="GF912">
        <v>583085282</v>
      </c>
      <c r="GG912">
        <v>2</v>
      </c>
      <c r="GH912">
        <v>3</v>
      </c>
      <c r="GI912">
        <v>3</v>
      </c>
      <c r="GJ912">
        <v>0</v>
      </c>
      <c r="GK912">
        <f>ROUND(R912*(R12)/100,2)</f>
        <v>0</v>
      </c>
      <c r="GL912">
        <f t="shared" si="821"/>
        <v>0</v>
      </c>
      <c r="GM912">
        <f t="shared" si="822"/>
        <v>51677.34</v>
      </c>
      <c r="GN912">
        <f t="shared" si="823"/>
        <v>51677.34</v>
      </c>
      <c r="GO912">
        <f t="shared" si="824"/>
        <v>0</v>
      </c>
      <c r="GP912">
        <f t="shared" si="825"/>
        <v>0</v>
      </c>
      <c r="GR912">
        <v>1</v>
      </c>
      <c r="GS912">
        <v>1</v>
      </c>
      <c r="GT912">
        <v>0</v>
      </c>
      <c r="GU912" t="s">
        <v>3</v>
      </c>
      <c r="GV912">
        <f t="shared" si="826"/>
        <v>0</v>
      </c>
      <c r="GW912">
        <v>1</v>
      </c>
      <c r="GX912">
        <f t="shared" si="827"/>
        <v>0</v>
      </c>
      <c r="HA912">
        <v>0</v>
      </c>
      <c r="HB912">
        <v>0</v>
      </c>
      <c r="HC912">
        <f t="shared" si="828"/>
        <v>0</v>
      </c>
      <c r="HE912" t="s">
        <v>26</v>
      </c>
      <c r="HF912" t="s">
        <v>122</v>
      </c>
      <c r="HM912" t="s">
        <v>3</v>
      </c>
      <c r="IK912">
        <v>0</v>
      </c>
    </row>
    <row r="913" spans="1:245" x14ac:dyDescent="0.2">
      <c r="A913">
        <v>17</v>
      </c>
      <c r="B913">
        <v>1</v>
      </c>
      <c r="C913">
        <f>ROW(SmtRes!A462)</f>
        <v>462</v>
      </c>
      <c r="D913">
        <f>ROW(EtalonRes!A455)</f>
        <v>455</v>
      </c>
      <c r="E913" t="s">
        <v>974</v>
      </c>
      <c r="F913" t="s">
        <v>975</v>
      </c>
      <c r="G913" t="s">
        <v>976</v>
      </c>
      <c r="H913" t="s">
        <v>977</v>
      </c>
      <c r="I913">
        <f>ROUND(380/100,9)</f>
        <v>3.8</v>
      </c>
      <c r="J913">
        <v>0</v>
      </c>
      <c r="K913">
        <f>ROUND(380/100,9)</f>
        <v>3.8</v>
      </c>
      <c r="O913">
        <f t="shared" si="796"/>
        <v>14864.42</v>
      </c>
      <c r="P913">
        <f t="shared" si="797"/>
        <v>878.63</v>
      </c>
      <c r="Q913">
        <f t="shared" si="829"/>
        <v>1231.95</v>
      </c>
      <c r="R913">
        <f t="shared" si="798"/>
        <v>687.39</v>
      </c>
      <c r="S913">
        <f t="shared" si="799"/>
        <v>12753.84</v>
      </c>
      <c r="T913">
        <f t="shared" si="800"/>
        <v>0</v>
      </c>
      <c r="U913">
        <f t="shared" si="801"/>
        <v>40.659999999999997</v>
      </c>
      <c r="V913">
        <f t="shared" si="802"/>
        <v>0</v>
      </c>
      <c r="W913">
        <f t="shared" si="803"/>
        <v>0</v>
      </c>
      <c r="X913">
        <f t="shared" si="804"/>
        <v>9820.4599999999991</v>
      </c>
      <c r="Y913">
        <f t="shared" si="805"/>
        <v>5229.07</v>
      </c>
      <c r="AA913">
        <v>42938047</v>
      </c>
      <c r="AB913">
        <f t="shared" si="806"/>
        <v>198.7</v>
      </c>
      <c r="AC913">
        <f t="shared" si="807"/>
        <v>35.14</v>
      </c>
      <c r="AD913">
        <f t="shared" si="830"/>
        <v>31.63</v>
      </c>
      <c r="AE913">
        <f t="shared" si="831"/>
        <v>7.11</v>
      </c>
      <c r="AF913">
        <f t="shared" si="831"/>
        <v>131.93</v>
      </c>
      <c r="AG913">
        <f t="shared" si="808"/>
        <v>0</v>
      </c>
      <c r="AH913">
        <f t="shared" si="832"/>
        <v>10.7</v>
      </c>
      <c r="AI913">
        <f t="shared" si="832"/>
        <v>0</v>
      </c>
      <c r="AJ913">
        <f t="shared" si="809"/>
        <v>0</v>
      </c>
      <c r="AK913">
        <v>198.7</v>
      </c>
      <c r="AL913">
        <v>35.14</v>
      </c>
      <c r="AM913">
        <v>31.63</v>
      </c>
      <c r="AN913">
        <v>7.11</v>
      </c>
      <c r="AO913">
        <v>131.93</v>
      </c>
      <c r="AP913">
        <v>0</v>
      </c>
      <c r="AQ913">
        <v>10.7</v>
      </c>
      <c r="AR913">
        <v>0</v>
      </c>
      <c r="AS913">
        <v>0</v>
      </c>
      <c r="AT913">
        <v>77</v>
      </c>
      <c r="AU913">
        <v>41</v>
      </c>
      <c r="AV913">
        <v>1</v>
      </c>
      <c r="AW913">
        <v>1</v>
      </c>
      <c r="AZ913">
        <v>1</v>
      </c>
      <c r="BA913">
        <v>25.44</v>
      </c>
      <c r="BB913">
        <v>10.25</v>
      </c>
      <c r="BC913">
        <v>6.58</v>
      </c>
      <c r="BD913" t="s">
        <v>3</v>
      </c>
      <c r="BE913" t="s">
        <v>3</v>
      </c>
      <c r="BF913" t="s">
        <v>3</v>
      </c>
      <c r="BG913" t="s">
        <v>3</v>
      </c>
      <c r="BH913">
        <v>0</v>
      </c>
      <c r="BI913">
        <v>2</v>
      </c>
      <c r="BJ913" t="s">
        <v>978</v>
      </c>
      <c r="BM913">
        <v>318</v>
      </c>
      <c r="BN913">
        <v>0</v>
      </c>
      <c r="BO913" t="s">
        <v>975</v>
      </c>
      <c r="BP913">
        <v>1</v>
      </c>
      <c r="BQ913">
        <v>40</v>
      </c>
      <c r="BR913">
        <v>0</v>
      </c>
      <c r="BS913">
        <v>25.44</v>
      </c>
      <c r="BT913">
        <v>1</v>
      </c>
      <c r="BU913">
        <v>1</v>
      </c>
      <c r="BV913">
        <v>1</v>
      </c>
      <c r="BW913">
        <v>1</v>
      </c>
      <c r="BX913">
        <v>1</v>
      </c>
      <c r="BY913" t="s">
        <v>3</v>
      </c>
      <c r="BZ913">
        <v>77</v>
      </c>
      <c r="CA913">
        <v>41</v>
      </c>
      <c r="CB913" t="s">
        <v>3</v>
      </c>
      <c r="CE913">
        <v>30</v>
      </c>
      <c r="CF913">
        <v>0</v>
      </c>
      <c r="CG913">
        <v>0</v>
      </c>
      <c r="CM913">
        <v>0</v>
      </c>
      <c r="CN913" t="s">
        <v>3</v>
      </c>
      <c r="CO913">
        <v>0</v>
      </c>
      <c r="CP913">
        <f t="shared" si="810"/>
        <v>14864.42</v>
      </c>
      <c r="CQ913">
        <f t="shared" si="811"/>
        <v>231.22</v>
      </c>
      <c r="CR913">
        <f t="shared" si="833"/>
        <v>324.20999999999998</v>
      </c>
      <c r="CS913">
        <f t="shared" si="812"/>
        <v>180.88</v>
      </c>
      <c r="CT913">
        <f t="shared" si="813"/>
        <v>3356.3</v>
      </c>
      <c r="CU913">
        <f t="shared" si="814"/>
        <v>0</v>
      </c>
      <c r="CV913">
        <f t="shared" si="815"/>
        <v>10.7</v>
      </c>
      <c r="CW913">
        <f t="shared" si="816"/>
        <v>0</v>
      </c>
      <c r="CX913">
        <f t="shared" si="817"/>
        <v>0</v>
      </c>
      <c r="CY913">
        <f t="shared" si="818"/>
        <v>9820.4567999999999</v>
      </c>
      <c r="CZ913">
        <f t="shared" si="819"/>
        <v>5229.0743999999995</v>
      </c>
      <c r="DC913" t="s">
        <v>3</v>
      </c>
      <c r="DD913" t="s">
        <v>3</v>
      </c>
      <c r="DE913" t="s">
        <v>3</v>
      </c>
      <c r="DF913" t="s">
        <v>3</v>
      </c>
      <c r="DG913" t="s">
        <v>3</v>
      </c>
      <c r="DH913" t="s">
        <v>3</v>
      </c>
      <c r="DI913" t="s">
        <v>3</v>
      </c>
      <c r="DJ913" t="s">
        <v>3</v>
      </c>
      <c r="DK913" t="s">
        <v>3</v>
      </c>
      <c r="DL913" t="s">
        <v>3</v>
      </c>
      <c r="DM913" t="s">
        <v>3</v>
      </c>
      <c r="DN913">
        <v>114</v>
      </c>
      <c r="DO913">
        <v>67</v>
      </c>
      <c r="DP913">
        <v>1</v>
      </c>
      <c r="DQ913">
        <v>1</v>
      </c>
      <c r="DU913">
        <v>1013</v>
      </c>
      <c r="DV913" t="s">
        <v>977</v>
      </c>
      <c r="DW913" t="s">
        <v>977</v>
      </c>
      <c r="DX913">
        <v>1</v>
      </c>
      <c r="DZ913" t="s">
        <v>3</v>
      </c>
      <c r="EA913" t="s">
        <v>3</v>
      </c>
      <c r="EB913" t="s">
        <v>3</v>
      </c>
      <c r="EC913" t="s">
        <v>3</v>
      </c>
      <c r="EE913">
        <v>43088396</v>
      </c>
      <c r="EF913">
        <v>40</v>
      </c>
      <c r="EG913" t="s">
        <v>553</v>
      </c>
      <c r="EH913">
        <v>0</v>
      </c>
      <c r="EI913" t="s">
        <v>3</v>
      </c>
      <c r="EJ913">
        <v>2</v>
      </c>
      <c r="EK913">
        <v>318</v>
      </c>
      <c r="EL913" t="s">
        <v>979</v>
      </c>
      <c r="EM913" t="s">
        <v>980</v>
      </c>
      <c r="EO913" t="s">
        <v>3</v>
      </c>
      <c r="EQ913">
        <v>0</v>
      </c>
      <c r="ER913">
        <v>198.7</v>
      </c>
      <c r="ES913">
        <v>35.14</v>
      </c>
      <c r="ET913">
        <v>31.63</v>
      </c>
      <c r="EU913">
        <v>7.11</v>
      </c>
      <c r="EV913">
        <v>131.93</v>
      </c>
      <c r="EW913">
        <v>10.7</v>
      </c>
      <c r="EX913">
        <v>0</v>
      </c>
      <c r="EY913">
        <v>0</v>
      </c>
      <c r="FQ913">
        <v>0</v>
      </c>
      <c r="FR913">
        <f t="shared" si="820"/>
        <v>0</v>
      </c>
      <c r="FS913">
        <v>0</v>
      </c>
      <c r="FX913">
        <v>114</v>
      </c>
      <c r="FY913">
        <v>67</v>
      </c>
      <c r="GA913" t="s">
        <v>3</v>
      </c>
      <c r="GD913">
        <v>0</v>
      </c>
      <c r="GF913">
        <v>1470758951</v>
      </c>
      <c r="GG913">
        <v>2</v>
      </c>
      <c r="GH913">
        <v>1</v>
      </c>
      <c r="GI913">
        <v>2</v>
      </c>
      <c r="GJ913">
        <v>0</v>
      </c>
      <c r="GK913">
        <f>ROUND(R913*(R12)/100,2)</f>
        <v>1079.2</v>
      </c>
      <c r="GL913">
        <f t="shared" si="821"/>
        <v>0</v>
      </c>
      <c r="GM913">
        <f t="shared" si="822"/>
        <v>30993.15</v>
      </c>
      <c r="GN913">
        <f t="shared" si="823"/>
        <v>0</v>
      </c>
      <c r="GO913">
        <f t="shared" si="824"/>
        <v>30993.15</v>
      </c>
      <c r="GP913">
        <f t="shared" si="825"/>
        <v>0</v>
      </c>
      <c r="GR913">
        <v>0</v>
      </c>
      <c r="GS913">
        <v>3</v>
      </c>
      <c r="GT913">
        <v>0</v>
      </c>
      <c r="GU913" t="s">
        <v>3</v>
      </c>
      <c r="GV913">
        <f t="shared" si="826"/>
        <v>0</v>
      </c>
      <c r="GW913">
        <v>1</v>
      </c>
      <c r="GX913">
        <f t="shared" si="827"/>
        <v>0</v>
      </c>
      <c r="HA913">
        <v>0</v>
      </c>
      <c r="HB913">
        <v>0</v>
      </c>
      <c r="HC913">
        <f t="shared" si="828"/>
        <v>0</v>
      </c>
      <c r="HE913" t="s">
        <v>3</v>
      </c>
      <c r="HF913" t="s">
        <v>3</v>
      </c>
      <c r="HM913" t="s">
        <v>3</v>
      </c>
      <c r="IK913">
        <v>0</v>
      </c>
    </row>
    <row r="914" spans="1:245" x14ac:dyDescent="0.2">
      <c r="A914">
        <v>18</v>
      </c>
      <c r="B914">
        <v>1</v>
      </c>
      <c r="C914">
        <v>462</v>
      </c>
      <c r="E914" t="s">
        <v>981</v>
      </c>
      <c r="F914" t="s">
        <v>982</v>
      </c>
      <c r="G914" t="s">
        <v>983</v>
      </c>
      <c r="H914" t="s">
        <v>810</v>
      </c>
      <c r="I914">
        <f>I913*J914</f>
        <v>0.38</v>
      </c>
      <c r="J914">
        <v>0.1</v>
      </c>
      <c r="K914">
        <v>0.1</v>
      </c>
      <c r="O914">
        <f t="shared" si="796"/>
        <v>61106.8</v>
      </c>
      <c r="P914">
        <f t="shared" si="797"/>
        <v>61106.8</v>
      </c>
      <c r="Q914">
        <f t="shared" si="829"/>
        <v>0</v>
      </c>
      <c r="R914">
        <f t="shared" si="798"/>
        <v>0</v>
      </c>
      <c r="S914">
        <f t="shared" si="799"/>
        <v>0</v>
      </c>
      <c r="T914">
        <f t="shared" si="800"/>
        <v>0</v>
      </c>
      <c r="U914">
        <f t="shared" si="801"/>
        <v>0</v>
      </c>
      <c r="V914">
        <f t="shared" si="802"/>
        <v>0</v>
      </c>
      <c r="W914">
        <f t="shared" si="803"/>
        <v>0</v>
      </c>
      <c r="X914">
        <f t="shared" si="804"/>
        <v>0</v>
      </c>
      <c r="Y914">
        <f t="shared" si="805"/>
        <v>0</v>
      </c>
      <c r="AA914">
        <v>42938047</v>
      </c>
      <c r="AB914">
        <f t="shared" si="806"/>
        <v>22680.87</v>
      </c>
      <c r="AC914">
        <f t="shared" si="807"/>
        <v>22680.87</v>
      </c>
      <c r="AD914">
        <f t="shared" si="830"/>
        <v>0</v>
      </c>
      <c r="AE914">
        <f t="shared" si="831"/>
        <v>0</v>
      </c>
      <c r="AF914">
        <f t="shared" si="831"/>
        <v>0</v>
      </c>
      <c r="AG914">
        <f t="shared" si="808"/>
        <v>0</v>
      </c>
      <c r="AH914">
        <f t="shared" si="832"/>
        <v>0</v>
      </c>
      <c r="AI914">
        <f t="shared" si="832"/>
        <v>0</v>
      </c>
      <c r="AJ914">
        <f t="shared" si="809"/>
        <v>0</v>
      </c>
      <c r="AK914">
        <v>22680.87</v>
      </c>
      <c r="AL914">
        <v>22680.87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1</v>
      </c>
      <c r="AW914">
        <v>1</v>
      </c>
      <c r="AZ914">
        <v>1</v>
      </c>
      <c r="BA914">
        <v>1</v>
      </c>
      <c r="BB914">
        <v>1</v>
      </c>
      <c r="BC914">
        <v>7.09</v>
      </c>
      <c r="BD914" t="s">
        <v>3</v>
      </c>
      <c r="BE914" t="s">
        <v>3</v>
      </c>
      <c r="BF914" t="s">
        <v>3</v>
      </c>
      <c r="BG914" t="s">
        <v>3</v>
      </c>
      <c r="BH914">
        <v>3</v>
      </c>
      <c r="BI914">
        <v>2</v>
      </c>
      <c r="BJ914" t="s">
        <v>984</v>
      </c>
      <c r="BM914">
        <v>318</v>
      </c>
      <c r="BN914">
        <v>0</v>
      </c>
      <c r="BO914" t="s">
        <v>982</v>
      </c>
      <c r="BP914">
        <v>1</v>
      </c>
      <c r="BQ914">
        <v>40</v>
      </c>
      <c r="BR914">
        <v>0</v>
      </c>
      <c r="BS914">
        <v>1</v>
      </c>
      <c r="BT914">
        <v>1</v>
      </c>
      <c r="BU914">
        <v>1</v>
      </c>
      <c r="BV914">
        <v>1</v>
      </c>
      <c r="BW914">
        <v>1</v>
      </c>
      <c r="BX914">
        <v>1</v>
      </c>
      <c r="BY914" t="s">
        <v>3</v>
      </c>
      <c r="BZ914">
        <v>0</v>
      </c>
      <c r="CA914">
        <v>0</v>
      </c>
      <c r="CB914" t="s">
        <v>3</v>
      </c>
      <c r="CE914">
        <v>30</v>
      </c>
      <c r="CF914">
        <v>0</v>
      </c>
      <c r="CG914">
        <v>0</v>
      </c>
      <c r="CM914">
        <v>0</v>
      </c>
      <c r="CN914" t="s">
        <v>3</v>
      </c>
      <c r="CO914">
        <v>0</v>
      </c>
      <c r="CP914">
        <f t="shared" si="810"/>
        <v>61106.8</v>
      </c>
      <c r="CQ914">
        <f t="shared" si="811"/>
        <v>160807.37</v>
      </c>
      <c r="CR914">
        <f t="shared" si="833"/>
        <v>0</v>
      </c>
      <c r="CS914">
        <f t="shared" si="812"/>
        <v>0</v>
      </c>
      <c r="CT914">
        <f t="shared" si="813"/>
        <v>0</v>
      </c>
      <c r="CU914">
        <f t="shared" si="814"/>
        <v>0</v>
      </c>
      <c r="CV914">
        <f t="shared" si="815"/>
        <v>0</v>
      </c>
      <c r="CW914">
        <f t="shared" si="816"/>
        <v>0</v>
      </c>
      <c r="CX914">
        <f t="shared" si="817"/>
        <v>0</v>
      </c>
      <c r="CY914">
        <f t="shared" si="818"/>
        <v>0</v>
      </c>
      <c r="CZ914">
        <f t="shared" si="819"/>
        <v>0</v>
      </c>
      <c r="DC914" t="s">
        <v>3</v>
      </c>
      <c r="DD914" t="s">
        <v>3</v>
      </c>
      <c r="DE914" t="s">
        <v>3</v>
      </c>
      <c r="DF914" t="s">
        <v>3</v>
      </c>
      <c r="DG914" t="s">
        <v>3</v>
      </c>
      <c r="DH914" t="s">
        <v>3</v>
      </c>
      <c r="DI914" t="s">
        <v>3</v>
      </c>
      <c r="DJ914" t="s">
        <v>3</v>
      </c>
      <c r="DK914" t="s">
        <v>3</v>
      </c>
      <c r="DL914" t="s">
        <v>3</v>
      </c>
      <c r="DM914" t="s">
        <v>3</v>
      </c>
      <c r="DN914">
        <v>114</v>
      </c>
      <c r="DO914">
        <v>67</v>
      </c>
      <c r="DP914">
        <v>1</v>
      </c>
      <c r="DQ914">
        <v>1</v>
      </c>
      <c r="DU914">
        <v>1003</v>
      </c>
      <c r="DV914" t="s">
        <v>810</v>
      </c>
      <c r="DW914" t="s">
        <v>810</v>
      </c>
      <c r="DX914">
        <v>1000</v>
      </c>
      <c r="DZ914" t="s">
        <v>3</v>
      </c>
      <c r="EA914" t="s">
        <v>3</v>
      </c>
      <c r="EB914" t="s">
        <v>3</v>
      </c>
      <c r="EC914" t="s">
        <v>3</v>
      </c>
      <c r="EE914">
        <v>43088396</v>
      </c>
      <c r="EF914">
        <v>40</v>
      </c>
      <c r="EG914" t="s">
        <v>553</v>
      </c>
      <c r="EH914">
        <v>0</v>
      </c>
      <c r="EI914" t="s">
        <v>3</v>
      </c>
      <c r="EJ914">
        <v>2</v>
      </c>
      <c r="EK914">
        <v>318</v>
      </c>
      <c r="EL914" t="s">
        <v>979</v>
      </c>
      <c r="EM914" t="s">
        <v>980</v>
      </c>
      <c r="EO914" t="s">
        <v>3</v>
      </c>
      <c r="EQ914">
        <v>0</v>
      </c>
      <c r="ER914">
        <v>22680.87</v>
      </c>
      <c r="ES914">
        <v>22680.87</v>
      </c>
      <c r="ET914">
        <v>0</v>
      </c>
      <c r="EU914">
        <v>0</v>
      </c>
      <c r="EV914">
        <v>0</v>
      </c>
      <c r="EW914">
        <v>0</v>
      </c>
      <c r="EX914">
        <v>0</v>
      </c>
      <c r="FQ914">
        <v>0</v>
      </c>
      <c r="FR914">
        <f t="shared" si="820"/>
        <v>0</v>
      </c>
      <c r="FS914">
        <v>0</v>
      </c>
      <c r="FX914">
        <v>114</v>
      </c>
      <c r="FY914">
        <v>67</v>
      </c>
      <c r="GA914" t="s">
        <v>3</v>
      </c>
      <c r="GD914">
        <v>0</v>
      </c>
      <c r="GF914">
        <v>-1505588850</v>
      </c>
      <c r="GG914">
        <v>2</v>
      </c>
      <c r="GH914">
        <v>1</v>
      </c>
      <c r="GI914">
        <v>2</v>
      </c>
      <c r="GJ914">
        <v>0</v>
      </c>
      <c r="GK914">
        <f>ROUND(R914*(R12)/100,2)</f>
        <v>0</v>
      </c>
      <c r="GL914">
        <f t="shared" si="821"/>
        <v>0</v>
      </c>
      <c r="GM914">
        <f t="shared" si="822"/>
        <v>61106.8</v>
      </c>
      <c r="GN914">
        <f t="shared" si="823"/>
        <v>0</v>
      </c>
      <c r="GO914">
        <f t="shared" si="824"/>
        <v>61106.8</v>
      </c>
      <c r="GP914">
        <f t="shared" si="825"/>
        <v>0</v>
      </c>
      <c r="GR914">
        <v>0</v>
      </c>
      <c r="GS914">
        <v>3</v>
      </c>
      <c r="GT914">
        <v>0</v>
      </c>
      <c r="GU914" t="s">
        <v>3</v>
      </c>
      <c r="GV914">
        <f t="shared" si="826"/>
        <v>0</v>
      </c>
      <c r="GW914">
        <v>1</v>
      </c>
      <c r="GX914">
        <f t="shared" si="827"/>
        <v>0</v>
      </c>
      <c r="HA914">
        <v>0</v>
      </c>
      <c r="HB914">
        <v>0</v>
      </c>
      <c r="HC914">
        <f t="shared" si="828"/>
        <v>0</v>
      </c>
      <c r="HE914" t="s">
        <v>3</v>
      </c>
      <c r="HF914" t="s">
        <v>3</v>
      </c>
      <c r="HM914" t="s">
        <v>3</v>
      </c>
      <c r="IK914">
        <v>0</v>
      </c>
    </row>
    <row r="915" spans="1:245" x14ac:dyDescent="0.2">
      <c r="A915">
        <v>18</v>
      </c>
      <c r="B915">
        <v>1</v>
      </c>
      <c r="C915">
        <v>461</v>
      </c>
      <c r="E915" t="s">
        <v>985</v>
      </c>
      <c r="F915" t="s">
        <v>986</v>
      </c>
      <c r="G915" t="s">
        <v>987</v>
      </c>
      <c r="H915" t="s">
        <v>169</v>
      </c>
      <c r="I915">
        <f>I913*J915</f>
        <v>30</v>
      </c>
      <c r="J915">
        <v>7.8947368421052637</v>
      </c>
      <c r="K915">
        <v>7.8947370000000001</v>
      </c>
      <c r="O915">
        <f t="shared" si="796"/>
        <v>15783.58</v>
      </c>
      <c r="P915">
        <f t="shared" si="797"/>
        <v>15783.58</v>
      </c>
      <c r="Q915">
        <f t="shared" si="829"/>
        <v>0</v>
      </c>
      <c r="R915">
        <f t="shared" si="798"/>
        <v>0</v>
      </c>
      <c r="S915">
        <f t="shared" si="799"/>
        <v>0</v>
      </c>
      <c r="T915">
        <f t="shared" si="800"/>
        <v>0</v>
      </c>
      <c r="U915">
        <f t="shared" si="801"/>
        <v>0</v>
      </c>
      <c r="V915">
        <f t="shared" si="802"/>
        <v>0</v>
      </c>
      <c r="W915">
        <f t="shared" si="803"/>
        <v>0</v>
      </c>
      <c r="X915">
        <f t="shared" si="804"/>
        <v>0</v>
      </c>
      <c r="Y915">
        <f t="shared" si="805"/>
        <v>0</v>
      </c>
      <c r="AA915">
        <v>42938047</v>
      </c>
      <c r="AB915">
        <f t="shared" si="806"/>
        <v>92.79</v>
      </c>
      <c r="AC915">
        <f t="shared" si="807"/>
        <v>92.79</v>
      </c>
      <c r="AD915">
        <f t="shared" si="830"/>
        <v>0</v>
      </c>
      <c r="AE915">
        <f t="shared" si="831"/>
        <v>0</v>
      </c>
      <c r="AF915">
        <f t="shared" si="831"/>
        <v>0</v>
      </c>
      <c r="AG915">
        <f t="shared" si="808"/>
        <v>0</v>
      </c>
      <c r="AH915">
        <f t="shared" si="832"/>
        <v>0</v>
      </c>
      <c r="AI915">
        <f t="shared" si="832"/>
        <v>0</v>
      </c>
      <c r="AJ915">
        <f t="shared" si="809"/>
        <v>0</v>
      </c>
      <c r="AK915">
        <v>92.79</v>
      </c>
      <c r="AL915">
        <v>92.79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1</v>
      </c>
      <c r="AW915">
        <v>1</v>
      </c>
      <c r="AZ915">
        <v>1</v>
      </c>
      <c r="BA915">
        <v>1</v>
      </c>
      <c r="BB915">
        <v>1</v>
      </c>
      <c r="BC915">
        <v>5.67</v>
      </c>
      <c r="BD915" t="s">
        <v>3</v>
      </c>
      <c r="BE915" t="s">
        <v>3</v>
      </c>
      <c r="BF915" t="s">
        <v>3</v>
      </c>
      <c r="BG915" t="s">
        <v>3</v>
      </c>
      <c r="BH915">
        <v>3</v>
      </c>
      <c r="BI915">
        <v>2</v>
      </c>
      <c r="BJ915" t="s">
        <v>988</v>
      </c>
      <c r="BM915">
        <v>318</v>
      </c>
      <c r="BN915">
        <v>0</v>
      </c>
      <c r="BO915" t="s">
        <v>986</v>
      </c>
      <c r="BP915">
        <v>1</v>
      </c>
      <c r="BQ915">
        <v>40</v>
      </c>
      <c r="BR915">
        <v>0</v>
      </c>
      <c r="BS915">
        <v>1</v>
      </c>
      <c r="BT915">
        <v>1</v>
      </c>
      <c r="BU915">
        <v>1</v>
      </c>
      <c r="BV915">
        <v>1</v>
      </c>
      <c r="BW915">
        <v>1</v>
      </c>
      <c r="BX915">
        <v>1</v>
      </c>
      <c r="BY915" t="s">
        <v>3</v>
      </c>
      <c r="BZ915">
        <v>0</v>
      </c>
      <c r="CA915">
        <v>0</v>
      </c>
      <c r="CB915" t="s">
        <v>3</v>
      </c>
      <c r="CE915">
        <v>30</v>
      </c>
      <c r="CF915">
        <v>0</v>
      </c>
      <c r="CG915">
        <v>0</v>
      </c>
      <c r="CM915">
        <v>0</v>
      </c>
      <c r="CN915" t="s">
        <v>3</v>
      </c>
      <c r="CO915">
        <v>0</v>
      </c>
      <c r="CP915">
        <f t="shared" si="810"/>
        <v>15783.58</v>
      </c>
      <c r="CQ915">
        <f t="shared" si="811"/>
        <v>526.12</v>
      </c>
      <c r="CR915">
        <f t="shared" si="833"/>
        <v>0</v>
      </c>
      <c r="CS915">
        <f t="shared" si="812"/>
        <v>0</v>
      </c>
      <c r="CT915">
        <f t="shared" si="813"/>
        <v>0</v>
      </c>
      <c r="CU915">
        <f t="shared" si="814"/>
        <v>0</v>
      </c>
      <c r="CV915">
        <f t="shared" si="815"/>
        <v>0</v>
      </c>
      <c r="CW915">
        <f t="shared" si="816"/>
        <v>0</v>
      </c>
      <c r="CX915">
        <f t="shared" si="817"/>
        <v>0</v>
      </c>
      <c r="CY915">
        <f t="shared" si="818"/>
        <v>0</v>
      </c>
      <c r="CZ915">
        <f t="shared" si="819"/>
        <v>0</v>
      </c>
      <c r="DC915" t="s">
        <v>3</v>
      </c>
      <c r="DD915" t="s">
        <v>3</v>
      </c>
      <c r="DE915" t="s">
        <v>3</v>
      </c>
      <c r="DF915" t="s">
        <v>3</v>
      </c>
      <c r="DG915" t="s">
        <v>3</v>
      </c>
      <c r="DH915" t="s">
        <v>3</v>
      </c>
      <c r="DI915" t="s">
        <v>3</v>
      </c>
      <c r="DJ915" t="s">
        <v>3</v>
      </c>
      <c r="DK915" t="s">
        <v>3</v>
      </c>
      <c r="DL915" t="s">
        <v>3</v>
      </c>
      <c r="DM915" t="s">
        <v>3</v>
      </c>
      <c r="DN915">
        <v>114</v>
      </c>
      <c r="DO915">
        <v>67</v>
      </c>
      <c r="DP915">
        <v>1</v>
      </c>
      <c r="DQ915">
        <v>1</v>
      </c>
      <c r="DU915">
        <v>1010</v>
      </c>
      <c r="DV915" t="s">
        <v>169</v>
      </c>
      <c r="DW915" t="s">
        <v>169</v>
      </c>
      <c r="DX915">
        <v>1</v>
      </c>
      <c r="DZ915" t="s">
        <v>3</v>
      </c>
      <c r="EA915" t="s">
        <v>3</v>
      </c>
      <c r="EB915" t="s">
        <v>3</v>
      </c>
      <c r="EC915" t="s">
        <v>3</v>
      </c>
      <c r="EE915">
        <v>43088396</v>
      </c>
      <c r="EF915">
        <v>40</v>
      </c>
      <c r="EG915" t="s">
        <v>553</v>
      </c>
      <c r="EH915">
        <v>0</v>
      </c>
      <c r="EI915" t="s">
        <v>3</v>
      </c>
      <c r="EJ915">
        <v>2</v>
      </c>
      <c r="EK915">
        <v>318</v>
      </c>
      <c r="EL915" t="s">
        <v>979</v>
      </c>
      <c r="EM915" t="s">
        <v>980</v>
      </c>
      <c r="EO915" t="s">
        <v>3</v>
      </c>
      <c r="EQ915">
        <v>0</v>
      </c>
      <c r="ER915">
        <v>92.79</v>
      </c>
      <c r="ES915">
        <v>92.79</v>
      </c>
      <c r="ET915">
        <v>0</v>
      </c>
      <c r="EU915">
        <v>0</v>
      </c>
      <c r="EV915">
        <v>0</v>
      </c>
      <c r="EW915">
        <v>0</v>
      </c>
      <c r="EX915">
        <v>0</v>
      </c>
      <c r="FQ915">
        <v>0</v>
      </c>
      <c r="FR915">
        <f t="shared" si="820"/>
        <v>0</v>
      </c>
      <c r="FS915">
        <v>0</v>
      </c>
      <c r="FX915">
        <v>114</v>
      </c>
      <c r="FY915">
        <v>67</v>
      </c>
      <c r="GA915" t="s">
        <v>3</v>
      </c>
      <c r="GD915">
        <v>0</v>
      </c>
      <c r="GF915">
        <v>-906918116</v>
      </c>
      <c r="GG915">
        <v>2</v>
      </c>
      <c r="GH915">
        <v>1</v>
      </c>
      <c r="GI915">
        <v>2</v>
      </c>
      <c r="GJ915">
        <v>0</v>
      </c>
      <c r="GK915">
        <f>ROUND(R915*(R12)/100,2)</f>
        <v>0</v>
      </c>
      <c r="GL915">
        <f t="shared" si="821"/>
        <v>0</v>
      </c>
      <c r="GM915">
        <f t="shared" si="822"/>
        <v>15783.58</v>
      </c>
      <c r="GN915">
        <f t="shared" si="823"/>
        <v>0</v>
      </c>
      <c r="GO915">
        <f t="shared" si="824"/>
        <v>15783.58</v>
      </c>
      <c r="GP915">
        <f t="shared" si="825"/>
        <v>0</v>
      </c>
      <c r="GR915">
        <v>0</v>
      </c>
      <c r="GS915">
        <v>3</v>
      </c>
      <c r="GT915">
        <v>0</v>
      </c>
      <c r="GU915" t="s">
        <v>3</v>
      </c>
      <c r="GV915">
        <f t="shared" si="826"/>
        <v>0</v>
      </c>
      <c r="GW915">
        <v>1</v>
      </c>
      <c r="GX915">
        <f t="shared" si="827"/>
        <v>0</v>
      </c>
      <c r="HA915">
        <v>0</v>
      </c>
      <c r="HB915">
        <v>0</v>
      </c>
      <c r="HC915">
        <f t="shared" si="828"/>
        <v>0</v>
      </c>
      <c r="HE915" t="s">
        <v>3</v>
      </c>
      <c r="HF915" t="s">
        <v>3</v>
      </c>
      <c r="HM915" t="s">
        <v>3</v>
      </c>
      <c r="IK915">
        <v>0</v>
      </c>
    </row>
    <row r="916" spans="1:245" x14ac:dyDescent="0.2">
      <c r="A916">
        <v>17</v>
      </c>
      <c r="B916">
        <v>1</v>
      </c>
      <c r="C916">
        <f>ROW(SmtRes!A463)</f>
        <v>463</v>
      </c>
      <c r="D916">
        <f>ROW(EtalonRes!A456)</f>
        <v>456</v>
      </c>
      <c r="E916" t="s">
        <v>989</v>
      </c>
      <c r="F916" t="s">
        <v>990</v>
      </c>
      <c r="G916" t="s">
        <v>991</v>
      </c>
      <c r="H916" t="s">
        <v>992</v>
      </c>
      <c r="I916">
        <v>0.38</v>
      </c>
      <c r="J916">
        <v>0</v>
      </c>
      <c r="K916">
        <v>0.38</v>
      </c>
      <c r="O916">
        <f t="shared" si="796"/>
        <v>7319.05</v>
      </c>
      <c r="P916">
        <f t="shared" si="797"/>
        <v>5.79</v>
      </c>
      <c r="Q916">
        <f t="shared" si="829"/>
        <v>4820.6499999999996</v>
      </c>
      <c r="R916">
        <f t="shared" si="798"/>
        <v>2237.6999999999998</v>
      </c>
      <c r="S916">
        <f t="shared" si="799"/>
        <v>2492.61</v>
      </c>
      <c r="T916">
        <f t="shared" si="800"/>
        <v>0</v>
      </c>
      <c r="U916">
        <f t="shared" si="801"/>
        <v>7.22</v>
      </c>
      <c r="V916">
        <f t="shared" si="802"/>
        <v>0</v>
      </c>
      <c r="W916">
        <f t="shared" si="803"/>
        <v>0</v>
      </c>
      <c r="X916">
        <f t="shared" si="804"/>
        <v>1919.31</v>
      </c>
      <c r="Y916">
        <f t="shared" si="805"/>
        <v>1021.97</v>
      </c>
      <c r="AA916">
        <v>42938047</v>
      </c>
      <c r="AB916">
        <f t="shared" si="806"/>
        <v>1652.66</v>
      </c>
      <c r="AC916">
        <f t="shared" si="807"/>
        <v>2.31</v>
      </c>
      <c r="AD916">
        <f t="shared" si="830"/>
        <v>1392.52</v>
      </c>
      <c r="AE916">
        <f t="shared" si="831"/>
        <v>231.48</v>
      </c>
      <c r="AF916">
        <f t="shared" si="831"/>
        <v>257.83</v>
      </c>
      <c r="AG916">
        <f t="shared" si="808"/>
        <v>0</v>
      </c>
      <c r="AH916">
        <f t="shared" si="832"/>
        <v>19</v>
      </c>
      <c r="AI916">
        <f t="shared" si="832"/>
        <v>0</v>
      </c>
      <c r="AJ916">
        <f t="shared" si="809"/>
        <v>0</v>
      </c>
      <c r="AK916">
        <v>1652.66</v>
      </c>
      <c r="AL916">
        <v>2.31</v>
      </c>
      <c r="AM916">
        <v>1392.52</v>
      </c>
      <c r="AN916">
        <v>231.48</v>
      </c>
      <c r="AO916">
        <v>257.83</v>
      </c>
      <c r="AP916">
        <v>0</v>
      </c>
      <c r="AQ916">
        <v>19</v>
      </c>
      <c r="AR916">
        <v>0</v>
      </c>
      <c r="AS916">
        <v>0</v>
      </c>
      <c r="AT916">
        <v>77</v>
      </c>
      <c r="AU916">
        <v>41</v>
      </c>
      <c r="AV916">
        <v>1</v>
      </c>
      <c r="AW916">
        <v>1</v>
      </c>
      <c r="AZ916">
        <v>1</v>
      </c>
      <c r="BA916">
        <v>25.44</v>
      </c>
      <c r="BB916">
        <v>9.11</v>
      </c>
      <c r="BC916">
        <v>6.58</v>
      </c>
      <c r="BD916" t="s">
        <v>3</v>
      </c>
      <c r="BE916" t="s">
        <v>3</v>
      </c>
      <c r="BF916" t="s">
        <v>3</v>
      </c>
      <c r="BG916" t="s">
        <v>3</v>
      </c>
      <c r="BH916">
        <v>0</v>
      </c>
      <c r="BI916">
        <v>2</v>
      </c>
      <c r="BJ916" t="s">
        <v>993</v>
      </c>
      <c r="BM916">
        <v>341</v>
      </c>
      <c r="BN916">
        <v>0</v>
      </c>
      <c r="BO916" t="s">
        <v>990</v>
      </c>
      <c r="BP916">
        <v>1</v>
      </c>
      <c r="BQ916">
        <v>40</v>
      </c>
      <c r="BR916">
        <v>0</v>
      </c>
      <c r="BS916">
        <v>25.44</v>
      </c>
      <c r="BT916">
        <v>1</v>
      </c>
      <c r="BU916">
        <v>1</v>
      </c>
      <c r="BV916">
        <v>1</v>
      </c>
      <c r="BW916">
        <v>1</v>
      </c>
      <c r="BX916">
        <v>1</v>
      </c>
      <c r="BY916" t="s">
        <v>3</v>
      </c>
      <c r="BZ916">
        <v>77</v>
      </c>
      <c r="CA916">
        <v>41</v>
      </c>
      <c r="CB916" t="s">
        <v>3</v>
      </c>
      <c r="CE916">
        <v>30</v>
      </c>
      <c r="CF916">
        <v>0</v>
      </c>
      <c r="CG916">
        <v>0</v>
      </c>
      <c r="CM916">
        <v>0</v>
      </c>
      <c r="CN916" t="s">
        <v>3</v>
      </c>
      <c r="CO916">
        <v>0</v>
      </c>
      <c r="CP916">
        <f t="shared" si="810"/>
        <v>7319.0499999999993</v>
      </c>
      <c r="CQ916">
        <f t="shared" si="811"/>
        <v>15.2</v>
      </c>
      <c r="CR916">
        <f t="shared" si="833"/>
        <v>12685.86</v>
      </c>
      <c r="CS916">
        <f t="shared" si="812"/>
        <v>5888.85</v>
      </c>
      <c r="CT916">
        <f t="shared" si="813"/>
        <v>6559.2</v>
      </c>
      <c r="CU916">
        <f t="shared" si="814"/>
        <v>0</v>
      </c>
      <c r="CV916">
        <f t="shared" si="815"/>
        <v>19</v>
      </c>
      <c r="CW916">
        <f t="shared" si="816"/>
        <v>0</v>
      </c>
      <c r="CX916">
        <f t="shared" si="817"/>
        <v>0</v>
      </c>
      <c r="CY916">
        <f t="shared" si="818"/>
        <v>1919.3097000000002</v>
      </c>
      <c r="CZ916">
        <f t="shared" si="819"/>
        <v>1021.9701</v>
      </c>
      <c r="DC916" t="s">
        <v>3</v>
      </c>
      <c r="DD916" t="s">
        <v>3</v>
      </c>
      <c r="DE916" t="s">
        <v>3</v>
      </c>
      <c r="DF916" t="s">
        <v>3</v>
      </c>
      <c r="DG916" t="s">
        <v>3</v>
      </c>
      <c r="DH916" t="s">
        <v>3</v>
      </c>
      <c r="DI916" t="s">
        <v>3</v>
      </c>
      <c r="DJ916" t="s">
        <v>3</v>
      </c>
      <c r="DK916" t="s">
        <v>3</v>
      </c>
      <c r="DL916" t="s">
        <v>3</v>
      </c>
      <c r="DM916" t="s">
        <v>3</v>
      </c>
      <c r="DN916">
        <v>114</v>
      </c>
      <c r="DO916">
        <v>67</v>
      </c>
      <c r="DP916">
        <v>1</v>
      </c>
      <c r="DQ916">
        <v>1</v>
      </c>
      <c r="DU916">
        <v>1013</v>
      </c>
      <c r="DV916" t="s">
        <v>992</v>
      </c>
      <c r="DW916" t="s">
        <v>992</v>
      </c>
      <c r="DX916">
        <v>1</v>
      </c>
      <c r="DZ916" t="s">
        <v>3</v>
      </c>
      <c r="EA916" t="s">
        <v>3</v>
      </c>
      <c r="EB916" t="s">
        <v>3</v>
      </c>
      <c r="EC916" t="s">
        <v>3</v>
      </c>
      <c r="EE916">
        <v>43088419</v>
      </c>
      <c r="EF916">
        <v>40</v>
      </c>
      <c r="EG916" t="s">
        <v>553</v>
      </c>
      <c r="EH916">
        <v>0</v>
      </c>
      <c r="EI916" t="s">
        <v>3</v>
      </c>
      <c r="EJ916">
        <v>2</v>
      </c>
      <c r="EK916">
        <v>341</v>
      </c>
      <c r="EL916" t="s">
        <v>994</v>
      </c>
      <c r="EM916" t="s">
        <v>995</v>
      </c>
      <c r="EO916" t="s">
        <v>3</v>
      </c>
      <c r="EQ916">
        <v>0</v>
      </c>
      <c r="ER916">
        <v>1652.66</v>
      </c>
      <c r="ES916">
        <v>2.31</v>
      </c>
      <c r="ET916">
        <v>1392.52</v>
      </c>
      <c r="EU916">
        <v>231.48</v>
      </c>
      <c r="EV916">
        <v>257.83</v>
      </c>
      <c r="EW916">
        <v>19</v>
      </c>
      <c r="EX916">
        <v>0</v>
      </c>
      <c r="EY916">
        <v>0</v>
      </c>
      <c r="FQ916">
        <v>0</v>
      </c>
      <c r="FR916">
        <f t="shared" si="820"/>
        <v>0</v>
      </c>
      <c r="FS916">
        <v>0</v>
      </c>
      <c r="FX916">
        <v>114</v>
      </c>
      <c r="FY916">
        <v>67</v>
      </c>
      <c r="GA916" t="s">
        <v>3</v>
      </c>
      <c r="GD916">
        <v>0</v>
      </c>
      <c r="GF916">
        <v>1814405688</v>
      </c>
      <c r="GG916">
        <v>2</v>
      </c>
      <c r="GH916">
        <v>1</v>
      </c>
      <c r="GI916">
        <v>2</v>
      </c>
      <c r="GJ916">
        <v>0</v>
      </c>
      <c r="GK916">
        <f>ROUND(R916*(R12)/100,2)</f>
        <v>3513.19</v>
      </c>
      <c r="GL916">
        <f t="shared" si="821"/>
        <v>0</v>
      </c>
      <c r="GM916">
        <f t="shared" si="822"/>
        <v>13773.52</v>
      </c>
      <c r="GN916">
        <f t="shared" si="823"/>
        <v>0</v>
      </c>
      <c r="GO916">
        <f t="shared" si="824"/>
        <v>13773.52</v>
      </c>
      <c r="GP916">
        <f t="shared" si="825"/>
        <v>0</v>
      </c>
      <c r="GR916">
        <v>0</v>
      </c>
      <c r="GS916">
        <v>3</v>
      </c>
      <c r="GT916">
        <v>0</v>
      </c>
      <c r="GU916" t="s">
        <v>3</v>
      </c>
      <c r="GV916">
        <f t="shared" si="826"/>
        <v>0</v>
      </c>
      <c r="GW916">
        <v>1</v>
      </c>
      <c r="GX916">
        <f t="shared" si="827"/>
        <v>0</v>
      </c>
      <c r="HA916">
        <v>0</v>
      </c>
      <c r="HB916">
        <v>0</v>
      </c>
      <c r="HC916">
        <f t="shared" si="828"/>
        <v>0</v>
      </c>
      <c r="HE916" t="s">
        <v>3</v>
      </c>
      <c r="HF916" t="s">
        <v>3</v>
      </c>
      <c r="HM916" t="s">
        <v>3</v>
      </c>
      <c r="IK916">
        <v>0</v>
      </c>
    </row>
    <row r="917" spans="1:245" x14ac:dyDescent="0.2">
      <c r="A917">
        <v>17</v>
      </c>
      <c r="B917">
        <v>1</v>
      </c>
      <c r="E917" t="s">
        <v>996</v>
      </c>
      <c r="F917" t="s">
        <v>997</v>
      </c>
      <c r="G917" t="s">
        <v>998</v>
      </c>
      <c r="H917" t="s">
        <v>136</v>
      </c>
      <c r="I917">
        <v>250</v>
      </c>
      <c r="J917">
        <v>0</v>
      </c>
      <c r="K917">
        <v>250</v>
      </c>
      <c r="O917">
        <f t="shared" si="796"/>
        <v>300.13</v>
      </c>
      <c r="P917">
        <f t="shared" si="797"/>
        <v>300.13</v>
      </c>
      <c r="Q917">
        <f t="shared" si="829"/>
        <v>0</v>
      </c>
      <c r="R917">
        <f t="shared" si="798"/>
        <v>0</v>
      </c>
      <c r="S917">
        <f t="shared" si="799"/>
        <v>0</v>
      </c>
      <c r="T917">
        <f t="shared" si="800"/>
        <v>0</v>
      </c>
      <c r="U917">
        <f t="shared" si="801"/>
        <v>0</v>
      </c>
      <c r="V917">
        <f t="shared" si="802"/>
        <v>0</v>
      </c>
      <c r="W917">
        <f t="shared" si="803"/>
        <v>0</v>
      </c>
      <c r="X917">
        <f t="shared" si="804"/>
        <v>0</v>
      </c>
      <c r="Y917">
        <f t="shared" si="805"/>
        <v>0</v>
      </c>
      <c r="AA917">
        <v>42938047</v>
      </c>
      <c r="AB917">
        <f t="shared" si="806"/>
        <v>0.49</v>
      </c>
      <c r="AC917">
        <f t="shared" si="807"/>
        <v>0.49</v>
      </c>
      <c r="AD917">
        <f t="shared" si="830"/>
        <v>0</v>
      </c>
      <c r="AE917">
        <f t="shared" si="831"/>
        <v>0</v>
      </c>
      <c r="AF917">
        <f t="shared" si="831"/>
        <v>0</v>
      </c>
      <c r="AG917">
        <f t="shared" si="808"/>
        <v>0</v>
      </c>
      <c r="AH917">
        <f t="shared" si="832"/>
        <v>0</v>
      </c>
      <c r="AI917">
        <f t="shared" si="832"/>
        <v>0</v>
      </c>
      <c r="AJ917">
        <f t="shared" si="809"/>
        <v>0</v>
      </c>
      <c r="AK917">
        <v>0.49</v>
      </c>
      <c r="AL917">
        <v>0.49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1</v>
      </c>
      <c r="AW917">
        <v>1</v>
      </c>
      <c r="AZ917">
        <v>1</v>
      </c>
      <c r="BA917">
        <v>1</v>
      </c>
      <c r="BB917">
        <v>1</v>
      </c>
      <c r="BC917">
        <v>2.4500000000000002</v>
      </c>
      <c r="BD917" t="s">
        <v>3</v>
      </c>
      <c r="BE917" t="s">
        <v>3</v>
      </c>
      <c r="BF917" t="s">
        <v>3</v>
      </c>
      <c r="BG917" t="s">
        <v>3</v>
      </c>
      <c r="BH917">
        <v>3</v>
      </c>
      <c r="BI917">
        <v>1</v>
      </c>
      <c r="BJ917" t="s">
        <v>999</v>
      </c>
      <c r="BM917">
        <v>1617</v>
      </c>
      <c r="BN917">
        <v>0</v>
      </c>
      <c r="BO917" t="s">
        <v>997</v>
      </c>
      <c r="BP917">
        <v>1</v>
      </c>
      <c r="BQ917">
        <v>200</v>
      </c>
      <c r="BR917">
        <v>0</v>
      </c>
      <c r="BS917">
        <v>1</v>
      </c>
      <c r="BT917">
        <v>1</v>
      </c>
      <c r="BU917">
        <v>1</v>
      </c>
      <c r="BV917">
        <v>1</v>
      </c>
      <c r="BW917">
        <v>1</v>
      </c>
      <c r="BX917">
        <v>1</v>
      </c>
      <c r="BY917" t="s">
        <v>3</v>
      </c>
      <c r="BZ917">
        <v>0</v>
      </c>
      <c r="CA917">
        <v>0</v>
      </c>
      <c r="CB917" t="s">
        <v>3</v>
      </c>
      <c r="CE917">
        <v>30</v>
      </c>
      <c r="CF917">
        <v>0</v>
      </c>
      <c r="CG917">
        <v>0</v>
      </c>
      <c r="CM917">
        <v>0</v>
      </c>
      <c r="CN917" t="s">
        <v>3</v>
      </c>
      <c r="CO917">
        <v>0</v>
      </c>
      <c r="CP917">
        <f t="shared" si="810"/>
        <v>300.13</v>
      </c>
      <c r="CQ917">
        <f t="shared" si="811"/>
        <v>1.2</v>
      </c>
      <c r="CR917">
        <f t="shared" si="833"/>
        <v>0</v>
      </c>
      <c r="CS917">
        <f t="shared" si="812"/>
        <v>0</v>
      </c>
      <c r="CT917">
        <f t="shared" si="813"/>
        <v>0</v>
      </c>
      <c r="CU917">
        <f t="shared" si="814"/>
        <v>0</v>
      </c>
      <c r="CV917">
        <f t="shared" si="815"/>
        <v>0</v>
      </c>
      <c r="CW917">
        <f t="shared" si="816"/>
        <v>0</v>
      </c>
      <c r="CX917">
        <f t="shared" si="817"/>
        <v>0</v>
      </c>
      <c r="CY917">
        <f t="shared" si="818"/>
        <v>0</v>
      </c>
      <c r="CZ917">
        <f t="shared" si="819"/>
        <v>0</v>
      </c>
      <c r="DC917" t="s">
        <v>3</v>
      </c>
      <c r="DD917" t="s">
        <v>3</v>
      </c>
      <c r="DE917" t="s">
        <v>3</v>
      </c>
      <c r="DF917" t="s">
        <v>3</v>
      </c>
      <c r="DG917" t="s">
        <v>3</v>
      </c>
      <c r="DH917" t="s">
        <v>3</v>
      </c>
      <c r="DI917" t="s">
        <v>3</v>
      </c>
      <c r="DJ917" t="s">
        <v>3</v>
      </c>
      <c r="DK917" t="s">
        <v>3</v>
      </c>
      <c r="DL917" t="s">
        <v>3</v>
      </c>
      <c r="DM917" t="s">
        <v>3</v>
      </c>
      <c r="DN917">
        <v>0</v>
      </c>
      <c r="DO917">
        <v>0</v>
      </c>
      <c r="DP917">
        <v>1</v>
      </c>
      <c r="DQ917">
        <v>1</v>
      </c>
      <c r="DU917">
        <v>1003</v>
      </c>
      <c r="DV917" t="s">
        <v>136</v>
      </c>
      <c r="DW917" t="s">
        <v>136</v>
      </c>
      <c r="DX917">
        <v>1</v>
      </c>
      <c r="DZ917" t="s">
        <v>3</v>
      </c>
      <c r="EA917" t="s">
        <v>3</v>
      </c>
      <c r="EB917" t="s">
        <v>3</v>
      </c>
      <c r="EC917" t="s">
        <v>3</v>
      </c>
      <c r="EE917">
        <v>43089695</v>
      </c>
      <c r="EF917">
        <v>200</v>
      </c>
      <c r="EG917" t="s">
        <v>1000</v>
      </c>
      <c r="EH917">
        <v>0</v>
      </c>
      <c r="EI917" t="s">
        <v>3</v>
      </c>
      <c r="EJ917">
        <v>1</v>
      </c>
      <c r="EK917">
        <v>1617</v>
      </c>
      <c r="EL917" t="s">
        <v>1001</v>
      </c>
      <c r="EM917" t="s">
        <v>1002</v>
      </c>
      <c r="EO917" t="s">
        <v>3</v>
      </c>
      <c r="EQ917">
        <v>0</v>
      </c>
      <c r="ER917">
        <v>0.49</v>
      </c>
      <c r="ES917">
        <v>0.49</v>
      </c>
      <c r="ET917">
        <v>0</v>
      </c>
      <c r="EU917">
        <v>0</v>
      </c>
      <c r="EV917">
        <v>0</v>
      </c>
      <c r="EW917">
        <v>0</v>
      </c>
      <c r="EX917">
        <v>0</v>
      </c>
      <c r="EY917">
        <v>0</v>
      </c>
      <c r="FQ917">
        <v>0</v>
      </c>
      <c r="FR917">
        <f t="shared" si="820"/>
        <v>0</v>
      </c>
      <c r="FS917">
        <v>0</v>
      </c>
      <c r="FX917">
        <v>0</v>
      </c>
      <c r="FY917">
        <v>0</v>
      </c>
      <c r="GA917" t="s">
        <v>3</v>
      </c>
      <c r="GD917">
        <v>0</v>
      </c>
      <c r="GF917">
        <v>1047663974</v>
      </c>
      <c r="GG917">
        <v>2</v>
      </c>
      <c r="GH917">
        <v>1</v>
      </c>
      <c r="GI917">
        <v>2</v>
      </c>
      <c r="GJ917">
        <v>0</v>
      </c>
      <c r="GK917">
        <f>ROUND(R917*(R12)/100,2)</f>
        <v>0</v>
      </c>
      <c r="GL917">
        <f t="shared" si="821"/>
        <v>0</v>
      </c>
      <c r="GM917">
        <f t="shared" si="822"/>
        <v>300.13</v>
      </c>
      <c r="GN917">
        <f t="shared" si="823"/>
        <v>300.13</v>
      </c>
      <c r="GO917">
        <f t="shared" si="824"/>
        <v>0</v>
      </c>
      <c r="GP917">
        <f t="shared" si="825"/>
        <v>0</v>
      </c>
      <c r="GR917">
        <v>0</v>
      </c>
      <c r="GS917">
        <v>3</v>
      </c>
      <c r="GT917">
        <v>0</v>
      </c>
      <c r="GU917" t="s">
        <v>3</v>
      </c>
      <c r="GV917">
        <f t="shared" si="826"/>
        <v>0</v>
      </c>
      <c r="GW917">
        <v>1</v>
      </c>
      <c r="GX917">
        <f t="shared" si="827"/>
        <v>0</v>
      </c>
      <c r="HA917">
        <v>0</v>
      </c>
      <c r="HB917">
        <v>0</v>
      </c>
      <c r="HC917">
        <f t="shared" si="828"/>
        <v>0</v>
      </c>
      <c r="HE917" t="s">
        <v>3</v>
      </c>
      <c r="HF917" t="s">
        <v>3</v>
      </c>
      <c r="HM917" t="s">
        <v>3</v>
      </c>
      <c r="IK917">
        <v>0</v>
      </c>
    </row>
    <row r="918" spans="1:245" x14ac:dyDescent="0.2">
      <c r="A918">
        <v>17</v>
      </c>
      <c r="B918">
        <v>1</v>
      </c>
      <c r="C918">
        <f>ROW(SmtRes!A464)</f>
        <v>464</v>
      </c>
      <c r="D918">
        <f>ROW(EtalonRes!A457)</f>
        <v>457</v>
      </c>
      <c r="E918" t="s">
        <v>1003</v>
      </c>
      <c r="F918" t="s">
        <v>1004</v>
      </c>
      <c r="G918" t="s">
        <v>1005</v>
      </c>
      <c r="H918" t="s">
        <v>63</v>
      </c>
      <c r="I918">
        <f>ROUND(22.8/100,9)</f>
        <v>0.22800000000000001</v>
      </c>
      <c r="J918">
        <v>0</v>
      </c>
      <c r="K918">
        <f>ROUND(22.8/100,9)</f>
        <v>0.22800000000000001</v>
      </c>
      <c r="O918">
        <f t="shared" si="796"/>
        <v>266.85000000000002</v>
      </c>
      <c r="P918">
        <f t="shared" si="797"/>
        <v>0</v>
      </c>
      <c r="Q918">
        <f>(ROUND((ROUND(((((ET918*0.75)*1.25))*AV918*I918),2)*BB918),2)+ROUND((ROUND(((AE918-(((EU918*0.75)*1.25)))*AV918*I918),2)*BS918),2))</f>
        <v>266.85000000000002</v>
      </c>
      <c r="R918">
        <f t="shared" si="798"/>
        <v>75.05</v>
      </c>
      <c r="S918">
        <f t="shared" si="799"/>
        <v>0</v>
      </c>
      <c r="T918">
        <f t="shared" si="800"/>
        <v>0</v>
      </c>
      <c r="U918">
        <f t="shared" si="801"/>
        <v>0</v>
      </c>
      <c r="V918">
        <f t="shared" si="802"/>
        <v>0</v>
      </c>
      <c r="W918">
        <f t="shared" si="803"/>
        <v>0</v>
      </c>
      <c r="X918">
        <f t="shared" si="804"/>
        <v>0</v>
      </c>
      <c r="Y918">
        <f t="shared" si="805"/>
        <v>0</v>
      </c>
      <c r="AA918">
        <v>42938047</v>
      </c>
      <c r="AB918">
        <f t="shared" si="806"/>
        <v>136.86562499999999</v>
      </c>
      <c r="AC918">
        <f t="shared" si="807"/>
        <v>0</v>
      </c>
      <c r="AD918">
        <f>ROUND((((((ET918*0.75)*1.25))-(((EU918*0.75)*1.25)))+AE918),6)</f>
        <v>136.86562499999999</v>
      </c>
      <c r="AE918">
        <f>ROUND((((EU918*0.75)*1.25)),6)</f>
        <v>12.946875</v>
      </c>
      <c r="AF918">
        <f>ROUND(((EV918*1.15)),6)</f>
        <v>0</v>
      </c>
      <c r="AG918">
        <f t="shared" si="808"/>
        <v>0</v>
      </c>
      <c r="AH918">
        <f>((EW918*1.15))</f>
        <v>0</v>
      </c>
      <c r="AI918">
        <f>(((EX918*0.75)*1.25))</f>
        <v>0</v>
      </c>
      <c r="AJ918">
        <f t="shared" si="809"/>
        <v>0</v>
      </c>
      <c r="AK918">
        <v>145.99</v>
      </c>
      <c r="AL918">
        <v>0</v>
      </c>
      <c r="AM918">
        <v>145.99</v>
      </c>
      <c r="AN918">
        <v>13.81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92</v>
      </c>
      <c r="AU918">
        <v>50</v>
      </c>
      <c r="AV918">
        <v>1</v>
      </c>
      <c r="AW918">
        <v>1</v>
      </c>
      <c r="AZ918">
        <v>1</v>
      </c>
      <c r="BA918">
        <v>25.44</v>
      </c>
      <c r="BB918">
        <v>8.5500000000000007</v>
      </c>
      <c r="BC918">
        <v>1</v>
      </c>
      <c r="BD918" t="s">
        <v>3</v>
      </c>
      <c r="BE918" t="s">
        <v>3</v>
      </c>
      <c r="BF918" t="s">
        <v>3</v>
      </c>
      <c r="BG918" t="s">
        <v>3</v>
      </c>
      <c r="BH918">
        <v>0</v>
      </c>
      <c r="BI918">
        <v>1</v>
      </c>
      <c r="BJ918" t="s">
        <v>1006</v>
      </c>
      <c r="BM918">
        <v>5</v>
      </c>
      <c r="BN918">
        <v>0</v>
      </c>
      <c r="BO918" t="s">
        <v>1004</v>
      </c>
      <c r="BP918">
        <v>1</v>
      </c>
      <c r="BQ918">
        <v>30</v>
      </c>
      <c r="BR918">
        <v>0</v>
      </c>
      <c r="BS918">
        <v>25.44</v>
      </c>
      <c r="BT918">
        <v>1</v>
      </c>
      <c r="BU918">
        <v>1</v>
      </c>
      <c r="BV918">
        <v>1</v>
      </c>
      <c r="BW918">
        <v>1</v>
      </c>
      <c r="BX918">
        <v>1</v>
      </c>
      <c r="BY918" t="s">
        <v>3</v>
      </c>
      <c r="BZ918">
        <v>92</v>
      </c>
      <c r="CA918">
        <v>50</v>
      </c>
      <c r="CB918" t="s">
        <v>3</v>
      </c>
      <c r="CE918">
        <v>30</v>
      </c>
      <c r="CF918">
        <v>0</v>
      </c>
      <c r="CG918">
        <v>0</v>
      </c>
      <c r="CM918">
        <v>0</v>
      </c>
      <c r="CN918" t="s">
        <v>1584</v>
      </c>
      <c r="CO918">
        <v>0</v>
      </c>
      <c r="CP918">
        <f t="shared" si="810"/>
        <v>266.85000000000002</v>
      </c>
      <c r="CQ918">
        <f t="shared" si="811"/>
        <v>0</v>
      </c>
      <c r="CR918">
        <f>(ROUND((ROUND(((((ET918*0.75)*1.25))*AV918*1),2)*BB918),2)+ROUND((ROUND(((AE918-(((EU918*0.75)*1.25)))*AV918*1),2)*BS918),2))</f>
        <v>1170.24</v>
      </c>
      <c r="CS918">
        <f t="shared" si="812"/>
        <v>329.45</v>
      </c>
      <c r="CT918">
        <f t="shared" si="813"/>
        <v>0</v>
      </c>
      <c r="CU918">
        <f t="shared" si="814"/>
        <v>0</v>
      </c>
      <c r="CV918">
        <f t="shared" si="815"/>
        <v>0</v>
      </c>
      <c r="CW918">
        <f t="shared" si="816"/>
        <v>0</v>
      </c>
      <c r="CX918">
        <f t="shared" si="817"/>
        <v>0</v>
      </c>
      <c r="CY918">
        <f t="shared" si="818"/>
        <v>0</v>
      </c>
      <c r="CZ918">
        <f t="shared" si="819"/>
        <v>0</v>
      </c>
      <c r="DC918" t="s">
        <v>3</v>
      </c>
      <c r="DD918" t="s">
        <v>3</v>
      </c>
      <c r="DE918" t="s">
        <v>55</v>
      </c>
      <c r="DF918" t="s">
        <v>55</v>
      </c>
      <c r="DG918" t="s">
        <v>21</v>
      </c>
      <c r="DH918" t="s">
        <v>3</v>
      </c>
      <c r="DI918" t="s">
        <v>21</v>
      </c>
      <c r="DJ918" t="s">
        <v>55</v>
      </c>
      <c r="DK918" t="s">
        <v>3</v>
      </c>
      <c r="DL918" t="s">
        <v>3</v>
      </c>
      <c r="DM918" t="s">
        <v>3</v>
      </c>
      <c r="DN918">
        <v>98</v>
      </c>
      <c r="DO918">
        <v>77</v>
      </c>
      <c r="DP918">
        <v>1</v>
      </c>
      <c r="DQ918">
        <v>1</v>
      </c>
      <c r="DU918">
        <v>1013</v>
      </c>
      <c r="DV918" t="s">
        <v>63</v>
      </c>
      <c r="DW918" t="s">
        <v>63</v>
      </c>
      <c r="DX918">
        <v>1</v>
      </c>
      <c r="DZ918" t="s">
        <v>3</v>
      </c>
      <c r="EA918" t="s">
        <v>3</v>
      </c>
      <c r="EB918" t="s">
        <v>3</v>
      </c>
      <c r="EC918" t="s">
        <v>3</v>
      </c>
      <c r="EE918">
        <v>43090084</v>
      </c>
      <c r="EF918">
        <v>30</v>
      </c>
      <c r="EG918" t="s">
        <v>22</v>
      </c>
      <c r="EH918">
        <v>0</v>
      </c>
      <c r="EI918" t="s">
        <v>3</v>
      </c>
      <c r="EJ918">
        <v>1</v>
      </c>
      <c r="EK918">
        <v>5</v>
      </c>
      <c r="EL918" t="s">
        <v>1007</v>
      </c>
      <c r="EM918" t="s">
        <v>1008</v>
      </c>
      <c r="EO918" t="s">
        <v>59</v>
      </c>
      <c r="EQ918">
        <v>0</v>
      </c>
      <c r="ER918">
        <v>145.99</v>
      </c>
      <c r="ES918">
        <v>0</v>
      </c>
      <c r="ET918">
        <v>145.99</v>
      </c>
      <c r="EU918">
        <v>13.81</v>
      </c>
      <c r="EV918">
        <v>0</v>
      </c>
      <c r="EW918">
        <v>0</v>
      </c>
      <c r="EX918">
        <v>0</v>
      </c>
      <c r="EY918">
        <v>0</v>
      </c>
      <c r="FQ918">
        <v>0</v>
      </c>
      <c r="FR918">
        <f t="shared" si="820"/>
        <v>0</v>
      </c>
      <c r="FS918">
        <v>0</v>
      </c>
      <c r="FX918">
        <v>98</v>
      </c>
      <c r="FY918">
        <v>77</v>
      </c>
      <c r="GA918" t="s">
        <v>3</v>
      </c>
      <c r="GD918">
        <v>0</v>
      </c>
      <c r="GF918">
        <v>-1184557238</v>
      </c>
      <c r="GG918">
        <v>2</v>
      </c>
      <c r="GH918">
        <v>1</v>
      </c>
      <c r="GI918">
        <v>2</v>
      </c>
      <c r="GJ918">
        <v>0</v>
      </c>
      <c r="GK918">
        <f>ROUND(R918*(R12)/100,2)</f>
        <v>117.83</v>
      </c>
      <c r="GL918">
        <f t="shared" si="821"/>
        <v>0</v>
      </c>
      <c r="GM918">
        <f t="shared" si="822"/>
        <v>384.68</v>
      </c>
      <c r="GN918">
        <f t="shared" si="823"/>
        <v>384.68</v>
      </c>
      <c r="GO918">
        <f t="shared" si="824"/>
        <v>0</v>
      </c>
      <c r="GP918">
        <f t="shared" si="825"/>
        <v>0</v>
      </c>
      <c r="GR918">
        <v>0</v>
      </c>
      <c r="GS918">
        <v>3</v>
      </c>
      <c r="GT918">
        <v>0</v>
      </c>
      <c r="GU918" t="s">
        <v>3</v>
      </c>
      <c r="GV918">
        <f t="shared" si="826"/>
        <v>0</v>
      </c>
      <c r="GW918">
        <v>1</v>
      </c>
      <c r="GX918">
        <f t="shared" si="827"/>
        <v>0</v>
      </c>
      <c r="HA918">
        <v>0</v>
      </c>
      <c r="HB918">
        <v>0</v>
      </c>
      <c r="HC918">
        <f t="shared" si="828"/>
        <v>0</v>
      </c>
      <c r="HE918" t="s">
        <v>3</v>
      </c>
      <c r="HF918" t="s">
        <v>3</v>
      </c>
      <c r="HM918" t="s">
        <v>3</v>
      </c>
      <c r="IK918">
        <v>0</v>
      </c>
    </row>
    <row r="919" spans="1:245" x14ac:dyDescent="0.2">
      <c r="A919">
        <v>17</v>
      </c>
      <c r="B919">
        <v>1</v>
      </c>
      <c r="C919">
        <f>ROW(SmtRes!A465)</f>
        <v>465</v>
      </c>
      <c r="D919">
        <f>ROW(EtalonRes!A458)</f>
        <v>458</v>
      </c>
      <c r="E919" t="s">
        <v>1009</v>
      </c>
      <c r="F919" t="s">
        <v>1010</v>
      </c>
      <c r="G919" t="s">
        <v>1011</v>
      </c>
      <c r="H919" t="s">
        <v>63</v>
      </c>
      <c r="I919">
        <f>ROUND(22.8/100,9)</f>
        <v>0.22800000000000001</v>
      </c>
      <c r="J919">
        <v>0</v>
      </c>
      <c r="K919">
        <f>ROUND(22.8/100,9)</f>
        <v>0.22800000000000001</v>
      </c>
      <c r="O919">
        <f t="shared" si="796"/>
        <v>2259.84</v>
      </c>
      <c r="P919">
        <f t="shared" si="797"/>
        <v>0</v>
      </c>
      <c r="Q919">
        <f>(ROUND((ROUND((((ET919*1.25))*AV919*I919),2)*BB919),2)+ROUND((ROUND(((AE919-((EU919*1.25)))*AV919*I919),2)*BS919),2))</f>
        <v>0</v>
      </c>
      <c r="R919">
        <f t="shared" si="798"/>
        <v>0</v>
      </c>
      <c r="S919">
        <f t="shared" si="799"/>
        <v>2259.84</v>
      </c>
      <c r="T919">
        <f t="shared" si="800"/>
        <v>0</v>
      </c>
      <c r="U919">
        <f t="shared" si="801"/>
        <v>9.0458999999999996</v>
      </c>
      <c r="V919">
        <f t="shared" si="802"/>
        <v>0</v>
      </c>
      <c r="W919">
        <f t="shared" si="803"/>
        <v>0</v>
      </c>
      <c r="X919">
        <f t="shared" si="804"/>
        <v>1649.68</v>
      </c>
      <c r="Y919">
        <f t="shared" si="805"/>
        <v>926.53</v>
      </c>
      <c r="AA919">
        <v>42938047</v>
      </c>
      <c r="AB919">
        <f t="shared" si="806"/>
        <v>389.60849999999999</v>
      </c>
      <c r="AC919">
        <f t="shared" si="807"/>
        <v>0</v>
      </c>
      <c r="AD919">
        <f>ROUND(((((ET919*1.25))-((EU919*1.25)))+AE919),6)</f>
        <v>0</v>
      </c>
      <c r="AE919">
        <f>ROUND(((EU919*1.25)),6)</f>
        <v>0</v>
      </c>
      <c r="AF919">
        <f>ROUND((((EV919*0.25)*1.15)),6)</f>
        <v>389.60849999999999</v>
      </c>
      <c r="AG919">
        <f t="shared" si="808"/>
        <v>0</v>
      </c>
      <c r="AH919">
        <f>(((EW919*0.25)*1.15))</f>
        <v>39.674999999999997</v>
      </c>
      <c r="AI919">
        <f>((EX919*1.25))</f>
        <v>0</v>
      </c>
      <c r="AJ919">
        <f t="shared" si="809"/>
        <v>0</v>
      </c>
      <c r="AK919">
        <v>1355.16</v>
      </c>
      <c r="AL919">
        <v>0</v>
      </c>
      <c r="AM919">
        <v>0</v>
      </c>
      <c r="AN919">
        <v>0</v>
      </c>
      <c r="AO919">
        <v>1355.16</v>
      </c>
      <c r="AP919">
        <v>0</v>
      </c>
      <c r="AQ919">
        <v>138</v>
      </c>
      <c r="AR919">
        <v>0</v>
      </c>
      <c r="AS919">
        <v>0</v>
      </c>
      <c r="AT919">
        <v>73</v>
      </c>
      <c r="AU919">
        <v>41</v>
      </c>
      <c r="AV919">
        <v>1</v>
      </c>
      <c r="AW919">
        <v>1</v>
      </c>
      <c r="AZ919">
        <v>1</v>
      </c>
      <c r="BA919">
        <v>25.44</v>
      </c>
      <c r="BB919">
        <v>1</v>
      </c>
      <c r="BC919">
        <v>1</v>
      </c>
      <c r="BD919" t="s">
        <v>3</v>
      </c>
      <c r="BE919" t="s">
        <v>3</v>
      </c>
      <c r="BF919" t="s">
        <v>3</v>
      </c>
      <c r="BG919" t="s">
        <v>3</v>
      </c>
      <c r="BH919">
        <v>0</v>
      </c>
      <c r="BI919">
        <v>1</v>
      </c>
      <c r="BJ919" t="s">
        <v>1012</v>
      </c>
      <c r="BM919">
        <v>16</v>
      </c>
      <c r="BN919">
        <v>0</v>
      </c>
      <c r="BO919" t="s">
        <v>1010</v>
      </c>
      <c r="BP919">
        <v>1</v>
      </c>
      <c r="BQ919">
        <v>30</v>
      </c>
      <c r="BR919">
        <v>0</v>
      </c>
      <c r="BS919">
        <v>25.44</v>
      </c>
      <c r="BT919">
        <v>1</v>
      </c>
      <c r="BU919">
        <v>1</v>
      </c>
      <c r="BV919">
        <v>1</v>
      </c>
      <c r="BW919">
        <v>1</v>
      </c>
      <c r="BX919">
        <v>1</v>
      </c>
      <c r="BY919" t="s">
        <v>3</v>
      </c>
      <c r="BZ919">
        <v>73</v>
      </c>
      <c r="CA919">
        <v>41</v>
      </c>
      <c r="CB919" t="s">
        <v>3</v>
      </c>
      <c r="CE919">
        <v>30</v>
      </c>
      <c r="CF919">
        <v>0</v>
      </c>
      <c r="CG919">
        <v>0</v>
      </c>
      <c r="CM919">
        <v>0</v>
      </c>
      <c r="CN919" t="s">
        <v>1584</v>
      </c>
      <c r="CO919">
        <v>0</v>
      </c>
      <c r="CP919">
        <f t="shared" si="810"/>
        <v>2259.84</v>
      </c>
      <c r="CQ919">
        <f t="shared" si="811"/>
        <v>0</v>
      </c>
      <c r="CR919">
        <f>(ROUND((ROUND((((ET919*1.25))*AV919*1),2)*BB919),2)+ROUND((ROUND(((AE919-((EU919*1.25)))*AV919*1),2)*BS919),2))</f>
        <v>0</v>
      </c>
      <c r="CS919">
        <f t="shared" si="812"/>
        <v>0</v>
      </c>
      <c r="CT919">
        <f t="shared" si="813"/>
        <v>9911.68</v>
      </c>
      <c r="CU919">
        <f t="shared" si="814"/>
        <v>0</v>
      </c>
      <c r="CV919">
        <f t="shared" si="815"/>
        <v>39.674999999999997</v>
      </c>
      <c r="CW919">
        <f t="shared" si="816"/>
        <v>0</v>
      </c>
      <c r="CX919">
        <f t="shared" si="817"/>
        <v>0</v>
      </c>
      <c r="CY919">
        <f t="shared" si="818"/>
        <v>1649.6832000000002</v>
      </c>
      <c r="CZ919">
        <f t="shared" si="819"/>
        <v>926.53440000000001</v>
      </c>
      <c r="DC919" t="s">
        <v>3</v>
      </c>
      <c r="DD919" t="s">
        <v>3</v>
      </c>
      <c r="DE919" t="s">
        <v>20</v>
      </c>
      <c r="DF919" t="s">
        <v>20</v>
      </c>
      <c r="DG919" t="s">
        <v>65</v>
      </c>
      <c r="DH919" t="s">
        <v>3</v>
      </c>
      <c r="DI919" t="s">
        <v>65</v>
      </c>
      <c r="DJ919" t="s">
        <v>20</v>
      </c>
      <c r="DK919" t="s">
        <v>3</v>
      </c>
      <c r="DL919" t="s">
        <v>3</v>
      </c>
      <c r="DM919" t="s">
        <v>3</v>
      </c>
      <c r="DN919">
        <v>91</v>
      </c>
      <c r="DO919">
        <v>67</v>
      </c>
      <c r="DP919">
        <v>1</v>
      </c>
      <c r="DQ919">
        <v>1</v>
      </c>
      <c r="DU919">
        <v>1013</v>
      </c>
      <c r="DV919" t="s">
        <v>63</v>
      </c>
      <c r="DW919" t="s">
        <v>63</v>
      </c>
      <c r="DX919">
        <v>1</v>
      </c>
      <c r="DZ919" t="s">
        <v>3</v>
      </c>
      <c r="EA919" t="s">
        <v>3</v>
      </c>
      <c r="EB919" t="s">
        <v>3</v>
      </c>
      <c r="EC919" t="s">
        <v>3</v>
      </c>
      <c r="EE919">
        <v>43090095</v>
      </c>
      <c r="EF919">
        <v>30</v>
      </c>
      <c r="EG919" t="s">
        <v>22</v>
      </c>
      <c r="EH919">
        <v>0</v>
      </c>
      <c r="EI919" t="s">
        <v>3</v>
      </c>
      <c r="EJ919">
        <v>1</v>
      </c>
      <c r="EK919">
        <v>16</v>
      </c>
      <c r="EL919" t="s">
        <v>66</v>
      </c>
      <c r="EM919" t="s">
        <v>67</v>
      </c>
      <c r="EO919" t="s">
        <v>59</v>
      </c>
      <c r="EQ919">
        <v>0</v>
      </c>
      <c r="ER919">
        <v>1355.16</v>
      </c>
      <c r="ES919">
        <v>0</v>
      </c>
      <c r="ET919">
        <v>0</v>
      </c>
      <c r="EU919">
        <v>0</v>
      </c>
      <c r="EV919">
        <v>1355.16</v>
      </c>
      <c r="EW919">
        <v>138</v>
      </c>
      <c r="EX919">
        <v>0</v>
      </c>
      <c r="EY919">
        <v>0</v>
      </c>
      <c r="FQ919">
        <v>0</v>
      </c>
      <c r="FR919">
        <f t="shared" si="820"/>
        <v>0</v>
      </c>
      <c r="FS919">
        <v>0</v>
      </c>
      <c r="FX919">
        <v>91</v>
      </c>
      <c r="FY919">
        <v>67</v>
      </c>
      <c r="GA919" t="s">
        <v>3</v>
      </c>
      <c r="GD919">
        <v>0</v>
      </c>
      <c r="GF919">
        <v>721995572</v>
      </c>
      <c r="GG919">
        <v>2</v>
      </c>
      <c r="GH919">
        <v>1</v>
      </c>
      <c r="GI919">
        <v>2</v>
      </c>
      <c r="GJ919">
        <v>0</v>
      </c>
      <c r="GK919">
        <f>ROUND(R919*(R12)/100,2)</f>
        <v>0</v>
      </c>
      <c r="GL919">
        <f t="shared" si="821"/>
        <v>0</v>
      </c>
      <c r="GM919">
        <f t="shared" si="822"/>
        <v>4836.05</v>
      </c>
      <c r="GN919">
        <f t="shared" si="823"/>
        <v>4836.05</v>
      </c>
      <c r="GO919">
        <f t="shared" si="824"/>
        <v>0</v>
      </c>
      <c r="GP919">
        <f t="shared" si="825"/>
        <v>0</v>
      </c>
      <c r="GR919">
        <v>0</v>
      </c>
      <c r="GS919">
        <v>3</v>
      </c>
      <c r="GT919">
        <v>0</v>
      </c>
      <c r="GU919" t="s">
        <v>3</v>
      </c>
      <c r="GV919">
        <f t="shared" si="826"/>
        <v>0</v>
      </c>
      <c r="GW919">
        <v>1</v>
      </c>
      <c r="GX919">
        <f t="shared" si="827"/>
        <v>0</v>
      </c>
      <c r="HA919">
        <v>0</v>
      </c>
      <c r="HB919">
        <v>0</v>
      </c>
      <c r="HC919">
        <f t="shared" si="828"/>
        <v>0</v>
      </c>
      <c r="HE919" t="s">
        <v>3</v>
      </c>
      <c r="HF919" t="s">
        <v>3</v>
      </c>
      <c r="HM919" t="s">
        <v>3</v>
      </c>
      <c r="IK919">
        <v>0</v>
      </c>
    </row>
    <row r="920" spans="1:245" x14ac:dyDescent="0.2">
      <c r="A920">
        <v>17</v>
      </c>
      <c r="B920">
        <v>1</v>
      </c>
      <c r="C920">
        <f>ROW(SmtRes!A468)</f>
        <v>468</v>
      </c>
      <c r="D920">
        <f>ROW(EtalonRes!A461)</f>
        <v>461</v>
      </c>
      <c r="E920" t="s">
        <v>1013</v>
      </c>
      <c r="F920" t="s">
        <v>286</v>
      </c>
      <c r="G920" t="s">
        <v>287</v>
      </c>
      <c r="H920" t="s">
        <v>288</v>
      </c>
      <c r="I920">
        <f>ROUND(11.4/100,9)</f>
        <v>0.114</v>
      </c>
      <c r="J920">
        <v>0</v>
      </c>
      <c r="K920">
        <f>ROUND(11.4/100,9)</f>
        <v>0.114</v>
      </c>
      <c r="O920">
        <f t="shared" si="796"/>
        <v>1548.93</v>
      </c>
      <c r="P920">
        <f t="shared" si="797"/>
        <v>0</v>
      </c>
      <c r="Q920">
        <f>(ROUND((ROUND((((ET920*1.25))*AV920*I920),2)*BB920),2)+ROUND((ROUND(((AE920-((EU920*1.25)))*AV920*I920),2)*BS920),2))</f>
        <v>1146.21</v>
      </c>
      <c r="R920">
        <f t="shared" si="798"/>
        <v>706.72</v>
      </c>
      <c r="S920">
        <f t="shared" si="799"/>
        <v>402.72</v>
      </c>
      <c r="T920">
        <f t="shared" si="800"/>
        <v>0</v>
      </c>
      <c r="U920">
        <f t="shared" si="801"/>
        <v>1.41588</v>
      </c>
      <c r="V920">
        <f t="shared" si="802"/>
        <v>0</v>
      </c>
      <c r="W920">
        <f t="shared" si="803"/>
        <v>0</v>
      </c>
      <c r="X920">
        <f t="shared" si="804"/>
        <v>370.5</v>
      </c>
      <c r="Y920">
        <f t="shared" si="805"/>
        <v>201.36</v>
      </c>
      <c r="AA920">
        <v>42938047</v>
      </c>
      <c r="AB920">
        <f t="shared" si="806"/>
        <v>943.81349999999998</v>
      </c>
      <c r="AC920">
        <f t="shared" si="807"/>
        <v>0</v>
      </c>
      <c r="AD920">
        <f>ROUND(((((ET920*1.25))-((EU920*1.25)))+AE920),6)</f>
        <v>804.96249999999998</v>
      </c>
      <c r="AE920">
        <f>ROUND(((EU920*1.25)),6)</f>
        <v>243.72499999999999</v>
      </c>
      <c r="AF920">
        <f>ROUND(((EV920*1.15)),6)</f>
        <v>138.851</v>
      </c>
      <c r="AG920">
        <f t="shared" si="808"/>
        <v>0</v>
      </c>
      <c r="AH920">
        <f>((EW920*1.15))</f>
        <v>12.42</v>
      </c>
      <c r="AI920">
        <f>((EX920*1.25))</f>
        <v>0</v>
      </c>
      <c r="AJ920">
        <f t="shared" si="809"/>
        <v>0</v>
      </c>
      <c r="AK920">
        <v>764.71</v>
      </c>
      <c r="AL920">
        <v>0</v>
      </c>
      <c r="AM920">
        <v>643.97</v>
      </c>
      <c r="AN920">
        <v>194.98</v>
      </c>
      <c r="AO920">
        <v>120.74</v>
      </c>
      <c r="AP920">
        <v>0</v>
      </c>
      <c r="AQ920">
        <v>10.8</v>
      </c>
      <c r="AR920">
        <v>0</v>
      </c>
      <c r="AS920">
        <v>0</v>
      </c>
      <c r="AT920">
        <v>92</v>
      </c>
      <c r="AU920">
        <v>50</v>
      </c>
      <c r="AV920">
        <v>1</v>
      </c>
      <c r="AW920">
        <v>1</v>
      </c>
      <c r="AZ920">
        <v>1</v>
      </c>
      <c r="BA920">
        <v>25.44</v>
      </c>
      <c r="BB920">
        <v>12.49</v>
      </c>
      <c r="BC920">
        <v>1</v>
      </c>
      <c r="BD920" t="s">
        <v>3</v>
      </c>
      <c r="BE920" t="s">
        <v>3</v>
      </c>
      <c r="BF920" t="s">
        <v>3</v>
      </c>
      <c r="BG920" t="s">
        <v>3</v>
      </c>
      <c r="BH920">
        <v>0</v>
      </c>
      <c r="BI920">
        <v>1</v>
      </c>
      <c r="BJ920" t="s">
        <v>289</v>
      </c>
      <c r="BM920">
        <v>10</v>
      </c>
      <c r="BN920">
        <v>0</v>
      </c>
      <c r="BO920" t="s">
        <v>286</v>
      </c>
      <c r="BP920">
        <v>1</v>
      </c>
      <c r="BQ920">
        <v>30</v>
      </c>
      <c r="BR920">
        <v>0</v>
      </c>
      <c r="BS920">
        <v>25.44</v>
      </c>
      <c r="BT920">
        <v>1</v>
      </c>
      <c r="BU920">
        <v>1</v>
      </c>
      <c r="BV920">
        <v>1</v>
      </c>
      <c r="BW920">
        <v>1</v>
      </c>
      <c r="BX920">
        <v>1</v>
      </c>
      <c r="BY920" t="s">
        <v>3</v>
      </c>
      <c r="BZ920">
        <v>92</v>
      </c>
      <c r="CA920">
        <v>50</v>
      </c>
      <c r="CB920" t="s">
        <v>3</v>
      </c>
      <c r="CE920">
        <v>30</v>
      </c>
      <c r="CF920">
        <v>0</v>
      </c>
      <c r="CG920">
        <v>0</v>
      </c>
      <c r="CM920">
        <v>0</v>
      </c>
      <c r="CN920" t="s">
        <v>1584</v>
      </c>
      <c r="CO920">
        <v>0</v>
      </c>
      <c r="CP920">
        <f t="shared" si="810"/>
        <v>1548.93</v>
      </c>
      <c r="CQ920">
        <f t="shared" si="811"/>
        <v>0</v>
      </c>
      <c r="CR920">
        <f>(ROUND((ROUND((((ET920*1.25))*AV920*1),2)*BB920),2)+ROUND((ROUND(((AE920-((EU920*1.25)))*AV920*1),2)*BS920),2))</f>
        <v>10053.950000000001</v>
      </c>
      <c r="CS920">
        <f t="shared" si="812"/>
        <v>6200.49</v>
      </c>
      <c r="CT920">
        <f t="shared" si="813"/>
        <v>3532.34</v>
      </c>
      <c r="CU920">
        <f t="shared" si="814"/>
        <v>0</v>
      </c>
      <c r="CV920">
        <f t="shared" si="815"/>
        <v>12.42</v>
      </c>
      <c r="CW920">
        <f t="shared" si="816"/>
        <v>0</v>
      </c>
      <c r="CX920">
        <f t="shared" si="817"/>
        <v>0</v>
      </c>
      <c r="CY920">
        <f t="shared" si="818"/>
        <v>370.50240000000002</v>
      </c>
      <c r="CZ920">
        <f t="shared" si="819"/>
        <v>201.36</v>
      </c>
      <c r="DC920" t="s">
        <v>3</v>
      </c>
      <c r="DD920" t="s">
        <v>3</v>
      </c>
      <c r="DE920" t="s">
        <v>20</v>
      </c>
      <c r="DF920" t="s">
        <v>20</v>
      </c>
      <c r="DG920" t="s">
        <v>21</v>
      </c>
      <c r="DH920" t="s">
        <v>3</v>
      </c>
      <c r="DI920" t="s">
        <v>21</v>
      </c>
      <c r="DJ920" t="s">
        <v>20</v>
      </c>
      <c r="DK920" t="s">
        <v>3</v>
      </c>
      <c r="DL920" t="s">
        <v>3</v>
      </c>
      <c r="DM920" t="s">
        <v>3</v>
      </c>
      <c r="DN920">
        <v>98</v>
      </c>
      <c r="DO920">
        <v>77</v>
      </c>
      <c r="DP920">
        <v>1</v>
      </c>
      <c r="DQ920">
        <v>1</v>
      </c>
      <c r="DU920">
        <v>1013</v>
      </c>
      <c r="DV920" t="s">
        <v>288</v>
      </c>
      <c r="DW920" t="s">
        <v>288</v>
      </c>
      <c r="DX920">
        <v>1</v>
      </c>
      <c r="DZ920" t="s">
        <v>3</v>
      </c>
      <c r="EA920" t="s">
        <v>3</v>
      </c>
      <c r="EB920" t="s">
        <v>3</v>
      </c>
      <c r="EC920" t="s">
        <v>3</v>
      </c>
      <c r="EE920">
        <v>43090089</v>
      </c>
      <c r="EF920">
        <v>30</v>
      </c>
      <c r="EG920" t="s">
        <v>22</v>
      </c>
      <c r="EH920">
        <v>0</v>
      </c>
      <c r="EI920" t="s">
        <v>3</v>
      </c>
      <c r="EJ920">
        <v>1</v>
      </c>
      <c r="EK920">
        <v>10</v>
      </c>
      <c r="EL920" t="s">
        <v>290</v>
      </c>
      <c r="EM920" t="s">
        <v>291</v>
      </c>
      <c r="EO920" t="s">
        <v>59</v>
      </c>
      <c r="EQ920">
        <v>0</v>
      </c>
      <c r="ER920">
        <v>764.71</v>
      </c>
      <c r="ES920">
        <v>0</v>
      </c>
      <c r="ET920">
        <v>643.97</v>
      </c>
      <c r="EU920">
        <v>194.98</v>
      </c>
      <c r="EV920">
        <v>120.74</v>
      </c>
      <c r="EW920">
        <v>10.8</v>
      </c>
      <c r="EX920">
        <v>0</v>
      </c>
      <c r="EY920">
        <v>0</v>
      </c>
      <c r="FQ920">
        <v>0</v>
      </c>
      <c r="FR920">
        <f t="shared" si="820"/>
        <v>0</v>
      </c>
      <c r="FS920">
        <v>0</v>
      </c>
      <c r="FX920">
        <v>98</v>
      </c>
      <c r="FY920">
        <v>77</v>
      </c>
      <c r="GA920" t="s">
        <v>3</v>
      </c>
      <c r="GD920">
        <v>0</v>
      </c>
      <c r="GF920">
        <v>-1696570498</v>
      </c>
      <c r="GG920">
        <v>2</v>
      </c>
      <c r="GH920">
        <v>1</v>
      </c>
      <c r="GI920">
        <v>2</v>
      </c>
      <c r="GJ920">
        <v>0</v>
      </c>
      <c r="GK920">
        <f>ROUND(R920*(R12)/100,2)</f>
        <v>1109.55</v>
      </c>
      <c r="GL920">
        <f t="shared" si="821"/>
        <v>0</v>
      </c>
      <c r="GM920">
        <f t="shared" si="822"/>
        <v>3230.34</v>
      </c>
      <c r="GN920">
        <f t="shared" si="823"/>
        <v>3230.34</v>
      </c>
      <c r="GO920">
        <f t="shared" si="824"/>
        <v>0</v>
      </c>
      <c r="GP920">
        <f t="shared" si="825"/>
        <v>0</v>
      </c>
      <c r="GR920">
        <v>0</v>
      </c>
      <c r="GS920">
        <v>3</v>
      </c>
      <c r="GT920">
        <v>0</v>
      </c>
      <c r="GU920" t="s">
        <v>3</v>
      </c>
      <c r="GV920">
        <f t="shared" si="826"/>
        <v>0</v>
      </c>
      <c r="GW920">
        <v>1</v>
      </c>
      <c r="GX920">
        <f t="shared" si="827"/>
        <v>0</v>
      </c>
      <c r="HA920">
        <v>0</v>
      </c>
      <c r="HB920">
        <v>0</v>
      </c>
      <c r="HC920">
        <f t="shared" si="828"/>
        <v>0</v>
      </c>
      <c r="HE920" t="s">
        <v>3</v>
      </c>
      <c r="HF920" t="s">
        <v>3</v>
      </c>
      <c r="HM920" t="s">
        <v>3</v>
      </c>
      <c r="IK920">
        <v>0</v>
      </c>
    </row>
    <row r="921" spans="1:245" x14ac:dyDescent="0.2">
      <c r="A921">
        <v>17</v>
      </c>
      <c r="B921">
        <v>1</v>
      </c>
      <c r="C921">
        <f>ROW(SmtRes!A474)</f>
        <v>474</v>
      </c>
      <c r="D921">
        <f>ROW(EtalonRes!A467)</f>
        <v>467</v>
      </c>
      <c r="E921" t="s">
        <v>1014</v>
      </c>
      <c r="F921" t="s">
        <v>1015</v>
      </c>
      <c r="G921" t="s">
        <v>1016</v>
      </c>
      <c r="H921" t="s">
        <v>1017</v>
      </c>
      <c r="I921">
        <v>3</v>
      </c>
      <c r="J921">
        <v>0</v>
      </c>
      <c r="K921">
        <v>3</v>
      </c>
      <c r="O921">
        <f t="shared" si="796"/>
        <v>1485.75</v>
      </c>
      <c r="P921">
        <f t="shared" si="797"/>
        <v>16.350000000000001</v>
      </c>
      <c r="Q921">
        <f>(ROUND((ROUND((((ET921*1.25))*AV921*I921),2)*BB921),2)+ROUND((ROUND(((AE921-((EU921*1.25)))*AV921*I921),2)*BS921),2))</f>
        <v>692.72</v>
      </c>
      <c r="R921">
        <f t="shared" si="798"/>
        <v>386.43</v>
      </c>
      <c r="S921">
        <f t="shared" si="799"/>
        <v>776.68</v>
      </c>
      <c r="T921">
        <f t="shared" si="800"/>
        <v>0</v>
      </c>
      <c r="U921">
        <f t="shared" si="801"/>
        <v>2.9324999999999997</v>
      </c>
      <c r="V921">
        <f t="shared" si="802"/>
        <v>0</v>
      </c>
      <c r="W921">
        <f t="shared" si="803"/>
        <v>0</v>
      </c>
      <c r="X921">
        <f t="shared" si="804"/>
        <v>566.98</v>
      </c>
      <c r="Y921">
        <f t="shared" si="805"/>
        <v>318.44</v>
      </c>
      <c r="AA921">
        <v>42938047</v>
      </c>
      <c r="AB921">
        <f t="shared" si="806"/>
        <v>31.262499999999999</v>
      </c>
      <c r="AC921">
        <f t="shared" si="807"/>
        <v>1.06</v>
      </c>
      <c r="AD921">
        <f>ROUND(((((ET921*1.25))-((EU921*1.25)))+AE921),6)</f>
        <v>20.024999999999999</v>
      </c>
      <c r="AE921">
        <f>ROUND(((EU921*1.25)),6)</f>
        <v>5.0625</v>
      </c>
      <c r="AF921">
        <f>ROUND(((EV921*1.15)),6)</f>
        <v>10.1775</v>
      </c>
      <c r="AG921">
        <f t="shared" si="808"/>
        <v>0</v>
      </c>
      <c r="AH921">
        <f>((EW921*1.15))</f>
        <v>0.97749999999999992</v>
      </c>
      <c r="AI921">
        <f>((EX921*1.25))</f>
        <v>0</v>
      </c>
      <c r="AJ921">
        <f t="shared" si="809"/>
        <v>0</v>
      </c>
      <c r="AK921">
        <v>25.93</v>
      </c>
      <c r="AL921">
        <v>1.06</v>
      </c>
      <c r="AM921">
        <v>16.02</v>
      </c>
      <c r="AN921">
        <v>4.05</v>
      </c>
      <c r="AO921">
        <v>8.85</v>
      </c>
      <c r="AP921">
        <v>0</v>
      </c>
      <c r="AQ921">
        <v>0.85</v>
      </c>
      <c r="AR921">
        <v>0</v>
      </c>
      <c r="AS921">
        <v>0</v>
      </c>
      <c r="AT921">
        <v>73</v>
      </c>
      <c r="AU921">
        <v>41</v>
      </c>
      <c r="AV921">
        <v>1</v>
      </c>
      <c r="AW921">
        <v>1</v>
      </c>
      <c r="AZ921">
        <v>1</v>
      </c>
      <c r="BA921">
        <v>25.44</v>
      </c>
      <c r="BB921">
        <v>11.53</v>
      </c>
      <c r="BC921">
        <v>5.14</v>
      </c>
      <c r="BD921" t="s">
        <v>3</v>
      </c>
      <c r="BE921" t="s">
        <v>3</v>
      </c>
      <c r="BF921" t="s">
        <v>3</v>
      </c>
      <c r="BG921" t="s">
        <v>3</v>
      </c>
      <c r="BH921">
        <v>0</v>
      </c>
      <c r="BI921">
        <v>1</v>
      </c>
      <c r="BJ921" t="s">
        <v>1018</v>
      </c>
      <c r="BM921">
        <v>64</v>
      </c>
      <c r="BN921">
        <v>0</v>
      </c>
      <c r="BO921" t="s">
        <v>1015</v>
      </c>
      <c r="BP921">
        <v>1</v>
      </c>
      <c r="BQ921">
        <v>30</v>
      </c>
      <c r="BR921">
        <v>0</v>
      </c>
      <c r="BS921">
        <v>25.44</v>
      </c>
      <c r="BT921">
        <v>1</v>
      </c>
      <c r="BU921">
        <v>1</v>
      </c>
      <c r="BV921">
        <v>1</v>
      </c>
      <c r="BW921">
        <v>1</v>
      </c>
      <c r="BX921">
        <v>1</v>
      </c>
      <c r="BY921" t="s">
        <v>3</v>
      </c>
      <c r="BZ921">
        <v>73</v>
      </c>
      <c r="CA921">
        <v>41</v>
      </c>
      <c r="CB921" t="s">
        <v>3</v>
      </c>
      <c r="CE921">
        <v>30</v>
      </c>
      <c r="CF921">
        <v>0</v>
      </c>
      <c r="CG921">
        <v>0</v>
      </c>
      <c r="CM921">
        <v>0</v>
      </c>
      <c r="CN921" t="s">
        <v>1584</v>
      </c>
      <c r="CO921">
        <v>0</v>
      </c>
      <c r="CP921">
        <f t="shared" si="810"/>
        <v>1485.75</v>
      </c>
      <c r="CQ921">
        <f t="shared" si="811"/>
        <v>5.45</v>
      </c>
      <c r="CR921">
        <f>(ROUND((ROUND((((ET921*1.25))*AV921*1),2)*BB921),2)+ROUND((ROUND(((AE921-((EU921*1.25)))*AV921*1),2)*BS921),2))</f>
        <v>230.95</v>
      </c>
      <c r="CS921">
        <f t="shared" si="812"/>
        <v>128.72999999999999</v>
      </c>
      <c r="CT921">
        <f t="shared" si="813"/>
        <v>258.98</v>
      </c>
      <c r="CU921">
        <f t="shared" si="814"/>
        <v>0</v>
      </c>
      <c r="CV921">
        <f t="shared" si="815"/>
        <v>0.97749999999999992</v>
      </c>
      <c r="CW921">
        <f t="shared" si="816"/>
        <v>0</v>
      </c>
      <c r="CX921">
        <f t="shared" si="817"/>
        <v>0</v>
      </c>
      <c r="CY921">
        <f t="shared" si="818"/>
        <v>566.9763999999999</v>
      </c>
      <c r="CZ921">
        <f t="shared" si="819"/>
        <v>318.43879999999996</v>
      </c>
      <c r="DC921" t="s">
        <v>3</v>
      </c>
      <c r="DD921" t="s">
        <v>3</v>
      </c>
      <c r="DE921" t="s">
        <v>20</v>
      </c>
      <c r="DF921" t="s">
        <v>20</v>
      </c>
      <c r="DG921" t="s">
        <v>21</v>
      </c>
      <c r="DH921" t="s">
        <v>3</v>
      </c>
      <c r="DI921" t="s">
        <v>21</v>
      </c>
      <c r="DJ921" t="s">
        <v>20</v>
      </c>
      <c r="DK921" t="s">
        <v>3</v>
      </c>
      <c r="DL921" t="s">
        <v>3</v>
      </c>
      <c r="DM921" t="s">
        <v>3</v>
      </c>
      <c r="DN921">
        <v>91</v>
      </c>
      <c r="DO921">
        <v>70</v>
      </c>
      <c r="DP921">
        <v>1</v>
      </c>
      <c r="DQ921">
        <v>1</v>
      </c>
      <c r="DU921">
        <v>1013</v>
      </c>
      <c r="DV921" t="s">
        <v>1017</v>
      </c>
      <c r="DW921" t="s">
        <v>1017</v>
      </c>
      <c r="DX921">
        <v>1</v>
      </c>
      <c r="DZ921" t="s">
        <v>3</v>
      </c>
      <c r="EA921" t="s">
        <v>3</v>
      </c>
      <c r="EB921" t="s">
        <v>3</v>
      </c>
      <c r="EC921" t="s">
        <v>3</v>
      </c>
      <c r="EE921">
        <v>43088142</v>
      </c>
      <c r="EF921">
        <v>30</v>
      </c>
      <c r="EG921" t="s">
        <v>22</v>
      </c>
      <c r="EH921">
        <v>0</v>
      </c>
      <c r="EI921" t="s">
        <v>3</v>
      </c>
      <c r="EJ921">
        <v>1</v>
      </c>
      <c r="EK921">
        <v>64</v>
      </c>
      <c r="EL921" t="s">
        <v>1019</v>
      </c>
      <c r="EM921" t="s">
        <v>1020</v>
      </c>
      <c r="EO921" t="s">
        <v>59</v>
      </c>
      <c r="EQ921">
        <v>0</v>
      </c>
      <c r="ER921">
        <v>25.93</v>
      </c>
      <c r="ES921">
        <v>1.06</v>
      </c>
      <c r="ET921">
        <v>16.02</v>
      </c>
      <c r="EU921">
        <v>4.05</v>
      </c>
      <c r="EV921">
        <v>8.85</v>
      </c>
      <c r="EW921">
        <v>0.85</v>
      </c>
      <c r="EX921">
        <v>0</v>
      </c>
      <c r="EY921">
        <v>0</v>
      </c>
      <c r="FQ921">
        <v>0</v>
      </c>
      <c r="FR921">
        <f t="shared" si="820"/>
        <v>0</v>
      </c>
      <c r="FS921">
        <v>0</v>
      </c>
      <c r="FX921">
        <v>91</v>
      </c>
      <c r="FY921">
        <v>70</v>
      </c>
      <c r="GA921" t="s">
        <v>3</v>
      </c>
      <c r="GD921">
        <v>0</v>
      </c>
      <c r="GF921">
        <v>-329674900</v>
      </c>
      <c r="GG921">
        <v>2</v>
      </c>
      <c r="GH921">
        <v>1</v>
      </c>
      <c r="GI921">
        <v>2</v>
      </c>
      <c r="GJ921">
        <v>0</v>
      </c>
      <c r="GK921">
        <f>ROUND(R921*(R12)/100,2)</f>
        <v>606.70000000000005</v>
      </c>
      <c r="GL921">
        <f t="shared" si="821"/>
        <v>0</v>
      </c>
      <c r="GM921">
        <f t="shared" si="822"/>
        <v>2977.87</v>
      </c>
      <c r="GN921">
        <f t="shared" si="823"/>
        <v>2977.87</v>
      </c>
      <c r="GO921">
        <f t="shared" si="824"/>
        <v>0</v>
      </c>
      <c r="GP921">
        <f t="shared" si="825"/>
        <v>0</v>
      </c>
      <c r="GR921">
        <v>0</v>
      </c>
      <c r="GS921">
        <v>3</v>
      </c>
      <c r="GT921">
        <v>0</v>
      </c>
      <c r="GU921" t="s">
        <v>3</v>
      </c>
      <c r="GV921">
        <f t="shared" si="826"/>
        <v>0</v>
      </c>
      <c r="GW921">
        <v>1</v>
      </c>
      <c r="GX921">
        <f t="shared" si="827"/>
        <v>0</v>
      </c>
      <c r="HA921">
        <v>0</v>
      </c>
      <c r="HB921">
        <v>0</v>
      </c>
      <c r="HC921">
        <f t="shared" si="828"/>
        <v>0</v>
      </c>
      <c r="HE921" t="s">
        <v>3</v>
      </c>
      <c r="HF921" t="s">
        <v>3</v>
      </c>
      <c r="HM921" t="s">
        <v>3</v>
      </c>
      <c r="IK921">
        <v>0</v>
      </c>
    </row>
    <row r="922" spans="1:245" x14ac:dyDescent="0.2">
      <c r="A922">
        <v>18</v>
      </c>
      <c r="B922">
        <v>1</v>
      </c>
      <c r="C922">
        <v>474</v>
      </c>
      <c r="E922" t="s">
        <v>1021</v>
      </c>
      <c r="F922" t="s">
        <v>1022</v>
      </c>
      <c r="G922" t="s">
        <v>1023</v>
      </c>
      <c r="H922" t="s">
        <v>84</v>
      </c>
      <c r="I922">
        <f>I921*J922</f>
        <v>3.45</v>
      </c>
      <c r="J922">
        <v>1.1500000000000001</v>
      </c>
      <c r="K922">
        <v>1.1499999999999999</v>
      </c>
      <c r="O922">
        <f t="shared" si="796"/>
        <v>6703.01</v>
      </c>
      <c r="P922">
        <f t="shared" si="797"/>
        <v>6703.01</v>
      </c>
      <c r="Q922">
        <f>(ROUND((ROUND(((ET922)*AV922*I922),2)*BB922),2)+ROUND((ROUND(((AE922-(EU922))*AV922*I922),2)*BS922),2))</f>
        <v>0</v>
      </c>
      <c r="R922">
        <f t="shared" si="798"/>
        <v>0</v>
      </c>
      <c r="S922">
        <f t="shared" si="799"/>
        <v>0</v>
      </c>
      <c r="T922">
        <f t="shared" si="800"/>
        <v>0</v>
      </c>
      <c r="U922">
        <f t="shared" si="801"/>
        <v>0</v>
      </c>
      <c r="V922">
        <f t="shared" si="802"/>
        <v>0</v>
      </c>
      <c r="W922">
        <f t="shared" si="803"/>
        <v>0</v>
      </c>
      <c r="X922">
        <f t="shared" si="804"/>
        <v>0</v>
      </c>
      <c r="Y922">
        <f t="shared" si="805"/>
        <v>0</v>
      </c>
      <c r="AA922">
        <v>42938047</v>
      </c>
      <c r="AB922">
        <f t="shared" si="806"/>
        <v>196.85</v>
      </c>
      <c r="AC922">
        <f t="shared" si="807"/>
        <v>196.85</v>
      </c>
      <c r="AD922">
        <f>ROUND((((ET922)-(EU922))+AE922),6)</f>
        <v>0</v>
      </c>
      <c r="AE922">
        <f>ROUND((EU922),6)</f>
        <v>0</v>
      </c>
      <c r="AF922">
        <f>ROUND((EV922),6)</f>
        <v>0</v>
      </c>
      <c r="AG922">
        <f t="shared" si="808"/>
        <v>0</v>
      </c>
      <c r="AH922">
        <f>(EW922)</f>
        <v>0</v>
      </c>
      <c r="AI922">
        <f>(EX922)</f>
        <v>0</v>
      </c>
      <c r="AJ922">
        <f t="shared" si="809"/>
        <v>0</v>
      </c>
      <c r="AK922">
        <v>196.85</v>
      </c>
      <c r="AL922">
        <v>196.85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1</v>
      </c>
      <c r="AW922">
        <v>1</v>
      </c>
      <c r="AZ922">
        <v>1</v>
      </c>
      <c r="BA922">
        <v>1</v>
      </c>
      <c r="BB922">
        <v>1</v>
      </c>
      <c r="BC922">
        <v>9.8699999999999992</v>
      </c>
      <c r="BD922" t="s">
        <v>3</v>
      </c>
      <c r="BE922" t="s">
        <v>3</v>
      </c>
      <c r="BF922" t="s">
        <v>3</v>
      </c>
      <c r="BG922" t="s">
        <v>3</v>
      </c>
      <c r="BH922">
        <v>3</v>
      </c>
      <c r="BI922">
        <v>1</v>
      </c>
      <c r="BJ922" t="s">
        <v>1024</v>
      </c>
      <c r="BM922">
        <v>64</v>
      </c>
      <c r="BN922">
        <v>0</v>
      </c>
      <c r="BO922" t="s">
        <v>1022</v>
      </c>
      <c r="BP922">
        <v>1</v>
      </c>
      <c r="BQ922">
        <v>30</v>
      </c>
      <c r="BR922">
        <v>0</v>
      </c>
      <c r="BS922">
        <v>1</v>
      </c>
      <c r="BT922">
        <v>1</v>
      </c>
      <c r="BU922">
        <v>1</v>
      </c>
      <c r="BV922">
        <v>1</v>
      </c>
      <c r="BW922">
        <v>1</v>
      </c>
      <c r="BX922">
        <v>1</v>
      </c>
      <c r="BY922" t="s">
        <v>3</v>
      </c>
      <c r="BZ922">
        <v>0</v>
      </c>
      <c r="CA922">
        <v>0</v>
      </c>
      <c r="CB922" t="s">
        <v>3</v>
      </c>
      <c r="CE922">
        <v>30</v>
      </c>
      <c r="CF922">
        <v>0</v>
      </c>
      <c r="CG922">
        <v>0</v>
      </c>
      <c r="CM922">
        <v>0</v>
      </c>
      <c r="CN922" t="s">
        <v>3</v>
      </c>
      <c r="CO922">
        <v>0</v>
      </c>
      <c r="CP922">
        <f t="shared" si="810"/>
        <v>6703.01</v>
      </c>
      <c r="CQ922">
        <f t="shared" si="811"/>
        <v>1942.91</v>
      </c>
      <c r="CR922">
        <f>(ROUND((ROUND(((ET922)*AV922*1),2)*BB922),2)+ROUND((ROUND(((AE922-(EU922))*AV922*1),2)*BS922),2))</f>
        <v>0</v>
      </c>
      <c r="CS922">
        <f t="shared" si="812"/>
        <v>0</v>
      </c>
      <c r="CT922">
        <f t="shared" si="813"/>
        <v>0</v>
      </c>
      <c r="CU922">
        <f t="shared" si="814"/>
        <v>0</v>
      </c>
      <c r="CV922">
        <f t="shared" si="815"/>
        <v>0</v>
      </c>
      <c r="CW922">
        <f t="shared" si="816"/>
        <v>0</v>
      </c>
      <c r="CX922">
        <f t="shared" si="817"/>
        <v>0</v>
      </c>
      <c r="CY922">
        <f t="shared" si="818"/>
        <v>0</v>
      </c>
      <c r="CZ922">
        <f t="shared" si="819"/>
        <v>0</v>
      </c>
      <c r="DC922" t="s">
        <v>3</v>
      </c>
      <c r="DD922" t="s">
        <v>3</v>
      </c>
      <c r="DE922" t="s">
        <v>3</v>
      </c>
      <c r="DF922" t="s">
        <v>3</v>
      </c>
      <c r="DG922" t="s">
        <v>3</v>
      </c>
      <c r="DH922" t="s">
        <v>3</v>
      </c>
      <c r="DI922" t="s">
        <v>3</v>
      </c>
      <c r="DJ922" t="s">
        <v>3</v>
      </c>
      <c r="DK922" t="s">
        <v>3</v>
      </c>
      <c r="DL922" t="s">
        <v>3</v>
      </c>
      <c r="DM922" t="s">
        <v>3</v>
      </c>
      <c r="DN922">
        <v>91</v>
      </c>
      <c r="DO922">
        <v>70</v>
      </c>
      <c r="DP922">
        <v>1</v>
      </c>
      <c r="DQ922">
        <v>1</v>
      </c>
      <c r="DU922">
        <v>1007</v>
      </c>
      <c r="DV922" t="s">
        <v>84</v>
      </c>
      <c r="DW922" t="s">
        <v>84</v>
      </c>
      <c r="DX922">
        <v>1</v>
      </c>
      <c r="DZ922" t="s">
        <v>3</v>
      </c>
      <c r="EA922" t="s">
        <v>3</v>
      </c>
      <c r="EB922" t="s">
        <v>3</v>
      </c>
      <c r="EC922" t="s">
        <v>3</v>
      </c>
      <c r="EE922">
        <v>43088142</v>
      </c>
      <c r="EF922">
        <v>30</v>
      </c>
      <c r="EG922" t="s">
        <v>22</v>
      </c>
      <c r="EH922">
        <v>0</v>
      </c>
      <c r="EI922" t="s">
        <v>3</v>
      </c>
      <c r="EJ922">
        <v>1</v>
      </c>
      <c r="EK922">
        <v>64</v>
      </c>
      <c r="EL922" t="s">
        <v>1019</v>
      </c>
      <c r="EM922" t="s">
        <v>1020</v>
      </c>
      <c r="EO922" t="s">
        <v>3</v>
      </c>
      <c r="EQ922">
        <v>0</v>
      </c>
      <c r="ER922">
        <v>196.85</v>
      </c>
      <c r="ES922">
        <v>196.85</v>
      </c>
      <c r="ET922">
        <v>0</v>
      </c>
      <c r="EU922">
        <v>0</v>
      </c>
      <c r="EV922">
        <v>0</v>
      </c>
      <c r="EW922">
        <v>0</v>
      </c>
      <c r="EX922">
        <v>0</v>
      </c>
      <c r="FQ922">
        <v>0</v>
      </c>
      <c r="FR922">
        <f t="shared" si="820"/>
        <v>0</v>
      </c>
      <c r="FS922">
        <v>0</v>
      </c>
      <c r="FX922">
        <v>91</v>
      </c>
      <c r="FY922">
        <v>70</v>
      </c>
      <c r="GA922" t="s">
        <v>3</v>
      </c>
      <c r="GD922">
        <v>0</v>
      </c>
      <c r="GF922">
        <v>103091715</v>
      </c>
      <c r="GG922">
        <v>2</v>
      </c>
      <c r="GH922">
        <v>1</v>
      </c>
      <c r="GI922">
        <v>2</v>
      </c>
      <c r="GJ922">
        <v>0</v>
      </c>
      <c r="GK922">
        <f>ROUND(R922*(R12)/100,2)</f>
        <v>0</v>
      </c>
      <c r="GL922">
        <f t="shared" si="821"/>
        <v>0</v>
      </c>
      <c r="GM922">
        <f t="shared" si="822"/>
        <v>6703.01</v>
      </c>
      <c r="GN922">
        <f t="shared" si="823"/>
        <v>6703.01</v>
      </c>
      <c r="GO922">
        <f t="shared" si="824"/>
        <v>0</v>
      </c>
      <c r="GP922">
        <f t="shared" si="825"/>
        <v>0</v>
      </c>
      <c r="GR922">
        <v>0</v>
      </c>
      <c r="GS922">
        <v>3</v>
      </c>
      <c r="GT922">
        <v>0</v>
      </c>
      <c r="GU922" t="s">
        <v>3</v>
      </c>
      <c r="GV922">
        <f t="shared" si="826"/>
        <v>0</v>
      </c>
      <c r="GW922">
        <v>1</v>
      </c>
      <c r="GX922">
        <f t="shared" si="827"/>
        <v>0</v>
      </c>
      <c r="HA922">
        <v>0</v>
      </c>
      <c r="HB922">
        <v>0</v>
      </c>
      <c r="HC922">
        <f t="shared" si="828"/>
        <v>0</v>
      </c>
      <c r="HE922" t="s">
        <v>3</v>
      </c>
      <c r="HF922" t="s">
        <v>3</v>
      </c>
      <c r="HM922" t="s">
        <v>3</v>
      </c>
      <c r="IK922">
        <v>0</v>
      </c>
    </row>
    <row r="923" spans="1:245" x14ac:dyDescent="0.2">
      <c r="A923">
        <v>17</v>
      </c>
      <c r="B923">
        <v>1</v>
      </c>
      <c r="C923">
        <f>ROW(SmtRes!A478)</f>
        <v>478</v>
      </c>
      <c r="D923">
        <f>ROW(EtalonRes!A472)</f>
        <v>472</v>
      </c>
      <c r="E923" t="s">
        <v>1025</v>
      </c>
      <c r="F923" t="s">
        <v>1026</v>
      </c>
      <c r="G923" t="s">
        <v>1595</v>
      </c>
      <c r="H923" t="s">
        <v>162</v>
      </c>
      <c r="I923">
        <v>30</v>
      </c>
      <c r="J923">
        <v>0</v>
      </c>
      <c r="K923">
        <v>30</v>
      </c>
      <c r="O923">
        <f t="shared" si="796"/>
        <v>44526.17</v>
      </c>
      <c r="P923">
        <f t="shared" si="797"/>
        <v>0</v>
      </c>
      <c r="Q923">
        <f>(ROUND((ROUND((((ET923*1.25))*AV923*I923),2)*BB923),2)+ROUND((ROUND(((AE923-((EU923*1.25)))*AV923*I923),2)*BS923),2))</f>
        <v>29377.41</v>
      </c>
      <c r="R923">
        <f t="shared" si="798"/>
        <v>13785.43</v>
      </c>
      <c r="S923">
        <f t="shared" si="799"/>
        <v>15148.76</v>
      </c>
      <c r="T923">
        <f t="shared" si="800"/>
        <v>0</v>
      </c>
      <c r="U923">
        <f t="shared" si="801"/>
        <v>52.439999999999991</v>
      </c>
      <c r="V923">
        <f t="shared" si="802"/>
        <v>0</v>
      </c>
      <c r="W923">
        <f t="shared" si="803"/>
        <v>0</v>
      </c>
      <c r="X923">
        <f t="shared" si="804"/>
        <v>13936.86</v>
      </c>
      <c r="Y923">
        <f t="shared" si="805"/>
        <v>6210.99</v>
      </c>
      <c r="AA923">
        <v>42938047</v>
      </c>
      <c r="AB923">
        <f t="shared" si="806"/>
        <v>108.149</v>
      </c>
      <c r="AC923">
        <f t="shared" si="807"/>
        <v>0</v>
      </c>
      <c r="AD923">
        <f>ROUND(((((ET923*1.25))-((EU923*1.25)))+AE923),6)</f>
        <v>88.3</v>
      </c>
      <c r="AE923">
        <f>ROUND(((EU923*1.25)),6)</f>
        <v>18.0625</v>
      </c>
      <c r="AF923">
        <f>ROUND(((EV923*1.15)),6)</f>
        <v>19.849</v>
      </c>
      <c r="AG923">
        <f t="shared" si="808"/>
        <v>0</v>
      </c>
      <c r="AH923">
        <f>((EW923*1.15))</f>
        <v>1.7479999999999998</v>
      </c>
      <c r="AI923">
        <f>((EX923*1.25))</f>
        <v>0</v>
      </c>
      <c r="AJ923">
        <f t="shared" si="809"/>
        <v>0</v>
      </c>
      <c r="AK923">
        <v>87.9</v>
      </c>
      <c r="AL923">
        <v>0</v>
      </c>
      <c r="AM923">
        <v>70.64</v>
      </c>
      <c r="AN923">
        <v>14.45</v>
      </c>
      <c r="AO923">
        <v>17.260000000000002</v>
      </c>
      <c r="AP923">
        <v>0</v>
      </c>
      <c r="AQ923">
        <v>1.52</v>
      </c>
      <c r="AR923">
        <v>0</v>
      </c>
      <c r="AS923">
        <v>0</v>
      </c>
      <c r="AT923">
        <v>92</v>
      </c>
      <c r="AU923">
        <v>41</v>
      </c>
      <c r="AV923">
        <v>1</v>
      </c>
      <c r="AW923">
        <v>1</v>
      </c>
      <c r="AZ923">
        <v>1</v>
      </c>
      <c r="BA923">
        <v>25.44</v>
      </c>
      <c r="BB923">
        <v>11.09</v>
      </c>
      <c r="BC923">
        <v>1</v>
      </c>
      <c r="BD923" t="s">
        <v>3</v>
      </c>
      <c r="BE923" t="s">
        <v>3</v>
      </c>
      <c r="BF923" t="s">
        <v>3</v>
      </c>
      <c r="BG923" t="s">
        <v>3</v>
      </c>
      <c r="BH923">
        <v>0</v>
      </c>
      <c r="BI923">
        <v>1</v>
      </c>
      <c r="BJ923" t="s">
        <v>1027</v>
      </c>
      <c r="BM923">
        <v>2057</v>
      </c>
      <c r="BN923">
        <v>0</v>
      </c>
      <c r="BO923" t="s">
        <v>1026</v>
      </c>
      <c r="BP923">
        <v>1</v>
      </c>
      <c r="BQ923">
        <v>30</v>
      </c>
      <c r="BR923">
        <v>0</v>
      </c>
      <c r="BS923">
        <v>25.44</v>
      </c>
      <c r="BT923">
        <v>1</v>
      </c>
      <c r="BU923">
        <v>1</v>
      </c>
      <c r="BV923">
        <v>1</v>
      </c>
      <c r="BW923">
        <v>1</v>
      </c>
      <c r="BX923">
        <v>1</v>
      </c>
      <c r="BY923" t="s">
        <v>3</v>
      </c>
      <c r="BZ923">
        <v>92</v>
      </c>
      <c r="CA923">
        <v>41</v>
      </c>
      <c r="CB923" t="s">
        <v>3</v>
      </c>
      <c r="CE923">
        <v>30</v>
      </c>
      <c r="CF923">
        <v>0</v>
      </c>
      <c r="CG923">
        <v>0</v>
      </c>
      <c r="CM923">
        <v>0</v>
      </c>
      <c r="CN923" t="s">
        <v>1584</v>
      </c>
      <c r="CO923">
        <v>0</v>
      </c>
      <c r="CP923">
        <f t="shared" si="810"/>
        <v>44526.17</v>
      </c>
      <c r="CQ923">
        <f t="shared" si="811"/>
        <v>0</v>
      </c>
      <c r="CR923">
        <f>(ROUND((ROUND((((ET923*1.25))*AV923*1),2)*BB923),2)+ROUND((ROUND(((AE923-((EU923*1.25)))*AV923*1),2)*BS923),2))</f>
        <v>979.25</v>
      </c>
      <c r="CS923">
        <f t="shared" si="812"/>
        <v>459.45</v>
      </c>
      <c r="CT923">
        <f t="shared" si="813"/>
        <v>504.98</v>
      </c>
      <c r="CU923">
        <f t="shared" si="814"/>
        <v>0</v>
      </c>
      <c r="CV923">
        <f t="shared" si="815"/>
        <v>1.7479999999999998</v>
      </c>
      <c r="CW923">
        <f t="shared" si="816"/>
        <v>0</v>
      </c>
      <c r="CX923">
        <f t="shared" si="817"/>
        <v>0</v>
      </c>
      <c r="CY923">
        <f t="shared" si="818"/>
        <v>13936.859200000001</v>
      </c>
      <c r="CZ923">
        <f t="shared" si="819"/>
        <v>6210.9915999999994</v>
      </c>
      <c r="DC923" t="s">
        <v>3</v>
      </c>
      <c r="DD923" t="s">
        <v>3</v>
      </c>
      <c r="DE923" t="s">
        <v>20</v>
      </c>
      <c r="DF923" t="s">
        <v>20</v>
      </c>
      <c r="DG923" t="s">
        <v>21</v>
      </c>
      <c r="DH923" t="s">
        <v>3</v>
      </c>
      <c r="DI923" t="s">
        <v>21</v>
      </c>
      <c r="DJ923" t="s">
        <v>20</v>
      </c>
      <c r="DK923" t="s">
        <v>3</v>
      </c>
      <c r="DL923" t="s">
        <v>3</v>
      </c>
      <c r="DM923" t="s">
        <v>3</v>
      </c>
      <c r="DN923">
        <v>114</v>
      </c>
      <c r="DO923">
        <v>80</v>
      </c>
      <c r="DP923">
        <v>1</v>
      </c>
      <c r="DQ923">
        <v>1</v>
      </c>
      <c r="DU923">
        <v>1013</v>
      </c>
      <c r="DV923" t="s">
        <v>162</v>
      </c>
      <c r="DW923" t="s">
        <v>162</v>
      </c>
      <c r="DX923">
        <v>1</v>
      </c>
      <c r="DZ923" t="s">
        <v>3</v>
      </c>
      <c r="EA923" t="s">
        <v>3</v>
      </c>
      <c r="EB923" t="s">
        <v>3</v>
      </c>
      <c r="EC923" t="s">
        <v>3</v>
      </c>
      <c r="EE923">
        <v>43090167</v>
      </c>
      <c r="EF923">
        <v>30</v>
      </c>
      <c r="EG923" t="s">
        <v>22</v>
      </c>
      <c r="EH923">
        <v>0</v>
      </c>
      <c r="EI923" t="s">
        <v>3</v>
      </c>
      <c r="EJ923">
        <v>1</v>
      </c>
      <c r="EK923">
        <v>2057</v>
      </c>
      <c r="EL923" t="s">
        <v>1028</v>
      </c>
      <c r="EM923" t="s">
        <v>1029</v>
      </c>
      <c r="EO923" t="s">
        <v>59</v>
      </c>
      <c r="EQ923">
        <v>0</v>
      </c>
      <c r="ER923">
        <v>87.9</v>
      </c>
      <c r="ES923">
        <v>0</v>
      </c>
      <c r="ET923">
        <v>70.64</v>
      </c>
      <c r="EU923">
        <v>14.45</v>
      </c>
      <c r="EV923">
        <v>17.260000000000002</v>
      </c>
      <c r="EW923">
        <v>1.52</v>
      </c>
      <c r="EX923">
        <v>0</v>
      </c>
      <c r="EY923">
        <v>0</v>
      </c>
      <c r="FQ923">
        <v>0</v>
      </c>
      <c r="FR923">
        <f t="shared" si="820"/>
        <v>0</v>
      </c>
      <c r="FS923">
        <v>0</v>
      </c>
      <c r="FX923">
        <v>114</v>
      </c>
      <c r="FY923">
        <v>80</v>
      </c>
      <c r="GA923" t="s">
        <v>3</v>
      </c>
      <c r="GD923">
        <v>0</v>
      </c>
      <c r="GF923">
        <v>-2087315802</v>
      </c>
      <c r="GG923">
        <v>2</v>
      </c>
      <c r="GH923">
        <v>1</v>
      </c>
      <c r="GI923">
        <v>2</v>
      </c>
      <c r="GJ923">
        <v>0</v>
      </c>
      <c r="GK923">
        <f>ROUND(R923*(R12)/100,2)</f>
        <v>21643.13</v>
      </c>
      <c r="GL923">
        <f t="shared" si="821"/>
        <v>0</v>
      </c>
      <c r="GM923">
        <f t="shared" si="822"/>
        <v>86317.15</v>
      </c>
      <c r="GN923">
        <f t="shared" si="823"/>
        <v>86317.15</v>
      </c>
      <c r="GO923">
        <f t="shared" si="824"/>
        <v>0</v>
      </c>
      <c r="GP923">
        <f t="shared" si="825"/>
        <v>0</v>
      </c>
      <c r="GR923">
        <v>0</v>
      </c>
      <c r="GS923">
        <v>3</v>
      </c>
      <c r="GT923">
        <v>0</v>
      </c>
      <c r="GU923" t="s">
        <v>3</v>
      </c>
      <c r="GV923">
        <f t="shared" si="826"/>
        <v>0</v>
      </c>
      <c r="GW923">
        <v>1</v>
      </c>
      <c r="GX923">
        <f t="shared" si="827"/>
        <v>0</v>
      </c>
      <c r="HA923">
        <v>0</v>
      </c>
      <c r="HB923">
        <v>0</v>
      </c>
      <c r="HC923">
        <f t="shared" si="828"/>
        <v>0</v>
      </c>
      <c r="HE923" t="s">
        <v>3</v>
      </c>
      <c r="HF923" t="s">
        <v>3</v>
      </c>
      <c r="HM923" t="s">
        <v>3</v>
      </c>
      <c r="IK923">
        <v>0</v>
      </c>
    </row>
    <row r="924" spans="1:245" x14ac:dyDescent="0.2">
      <c r="A924">
        <v>18</v>
      </c>
      <c r="B924">
        <v>1</v>
      </c>
      <c r="C924">
        <v>477</v>
      </c>
      <c r="E924" t="s">
        <v>1030</v>
      </c>
      <c r="F924" t="s">
        <v>1031</v>
      </c>
      <c r="G924" t="s">
        <v>1032</v>
      </c>
      <c r="H924" t="s">
        <v>169</v>
      </c>
      <c r="I924">
        <f>I923*J924</f>
        <v>30</v>
      </c>
      <c r="J924">
        <v>1</v>
      </c>
      <c r="K924">
        <v>1</v>
      </c>
      <c r="O924">
        <f t="shared" si="796"/>
        <v>66310.52</v>
      </c>
      <c r="P924">
        <f t="shared" si="797"/>
        <v>66310.52</v>
      </c>
      <c r="Q924">
        <f t="shared" ref="Q924:Q934" si="834">(ROUND((ROUND(((ET924)*AV924*I924),2)*BB924),2)+ROUND((ROUND(((AE924-(EU924))*AV924*I924),2)*BS924),2))</f>
        <v>0</v>
      </c>
      <c r="R924">
        <f t="shared" si="798"/>
        <v>0</v>
      </c>
      <c r="S924">
        <f t="shared" si="799"/>
        <v>0</v>
      </c>
      <c r="T924">
        <f t="shared" si="800"/>
        <v>0</v>
      </c>
      <c r="U924">
        <f t="shared" si="801"/>
        <v>0</v>
      </c>
      <c r="V924">
        <f t="shared" si="802"/>
        <v>0</v>
      </c>
      <c r="W924">
        <f t="shared" si="803"/>
        <v>0</v>
      </c>
      <c r="X924">
        <f t="shared" si="804"/>
        <v>0</v>
      </c>
      <c r="Y924">
        <f t="shared" si="805"/>
        <v>0</v>
      </c>
      <c r="AA924">
        <v>42938047</v>
      </c>
      <c r="AB924">
        <f t="shared" si="806"/>
        <v>571.15</v>
      </c>
      <c r="AC924">
        <f t="shared" si="807"/>
        <v>571.15</v>
      </c>
      <c r="AD924">
        <f t="shared" ref="AD924:AD934" si="835">ROUND((((ET924)-(EU924))+AE924),6)</f>
        <v>0</v>
      </c>
      <c r="AE924">
        <f t="shared" ref="AE924:AF931" si="836">ROUND((EU924),6)</f>
        <v>0</v>
      </c>
      <c r="AF924">
        <f t="shared" si="836"/>
        <v>0</v>
      </c>
      <c r="AG924">
        <f t="shared" si="808"/>
        <v>0</v>
      </c>
      <c r="AH924">
        <f t="shared" ref="AH924:AI931" si="837">(EW924)</f>
        <v>0</v>
      </c>
      <c r="AI924">
        <f t="shared" si="837"/>
        <v>0</v>
      </c>
      <c r="AJ924">
        <f t="shared" si="809"/>
        <v>0</v>
      </c>
      <c r="AK924">
        <v>571.15</v>
      </c>
      <c r="AL924">
        <v>571.15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1</v>
      </c>
      <c r="AW924">
        <v>1</v>
      </c>
      <c r="AZ924">
        <v>1</v>
      </c>
      <c r="BA924">
        <v>1</v>
      </c>
      <c r="BB924">
        <v>1</v>
      </c>
      <c r="BC924">
        <v>3.87</v>
      </c>
      <c r="BD924" t="s">
        <v>3</v>
      </c>
      <c r="BE924" t="s">
        <v>3</v>
      </c>
      <c r="BF924" t="s">
        <v>3</v>
      </c>
      <c r="BG924" t="s">
        <v>3</v>
      </c>
      <c r="BH924">
        <v>3</v>
      </c>
      <c r="BI924">
        <v>1</v>
      </c>
      <c r="BJ924" t="s">
        <v>1033</v>
      </c>
      <c r="BM924">
        <v>2057</v>
      </c>
      <c r="BN924">
        <v>0</v>
      </c>
      <c r="BO924" t="s">
        <v>1031</v>
      </c>
      <c r="BP924">
        <v>1</v>
      </c>
      <c r="BQ924">
        <v>30</v>
      </c>
      <c r="BR924">
        <v>0</v>
      </c>
      <c r="BS924">
        <v>1</v>
      </c>
      <c r="BT924">
        <v>1</v>
      </c>
      <c r="BU924">
        <v>1</v>
      </c>
      <c r="BV924">
        <v>1</v>
      </c>
      <c r="BW924">
        <v>1</v>
      </c>
      <c r="BX924">
        <v>1</v>
      </c>
      <c r="BY924" t="s">
        <v>3</v>
      </c>
      <c r="BZ924">
        <v>0</v>
      </c>
      <c r="CA924">
        <v>0</v>
      </c>
      <c r="CB924" t="s">
        <v>3</v>
      </c>
      <c r="CE924">
        <v>30</v>
      </c>
      <c r="CF924">
        <v>0</v>
      </c>
      <c r="CG924">
        <v>0</v>
      </c>
      <c r="CM924">
        <v>0</v>
      </c>
      <c r="CN924" t="s">
        <v>3</v>
      </c>
      <c r="CO924">
        <v>0</v>
      </c>
      <c r="CP924">
        <f t="shared" si="810"/>
        <v>66310.52</v>
      </c>
      <c r="CQ924">
        <f t="shared" si="811"/>
        <v>2210.35</v>
      </c>
      <c r="CR924">
        <f t="shared" ref="CR924:CR934" si="838">(ROUND((ROUND(((ET924)*AV924*1),2)*BB924),2)+ROUND((ROUND(((AE924-(EU924))*AV924*1),2)*BS924),2))</f>
        <v>0</v>
      </c>
      <c r="CS924">
        <f t="shared" si="812"/>
        <v>0</v>
      </c>
      <c r="CT924">
        <f t="shared" si="813"/>
        <v>0</v>
      </c>
      <c r="CU924">
        <f t="shared" si="814"/>
        <v>0</v>
      </c>
      <c r="CV924">
        <f t="shared" si="815"/>
        <v>0</v>
      </c>
      <c r="CW924">
        <f t="shared" si="816"/>
        <v>0</v>
      </c>
      <c r="CX924">
        <f t="shared" si="817"/>
        <v>0</v>
      </c>
      <c r="CY924">
        <f t="shared" si="818"/>
        <v>0</v>
      </c>
      <c r="CZ924">
        <f t="shared" si="819"/>
        <v>0</v>
      </c>
      <c r="DC924" t="s">
        <v>3</v>
      </c>
      <c r="DD924" t="s">
        <v>3</v>
      </c>
      <c r="DE924" t="s">
        <v>3</v>
      </c>
      <c r="DF924" t="s">
        <v>3</v>
      </c>
      <c r="DG924" t="s">
        <v>3</v>
      </c>
      <c r="DH924" t="s">
        <v>3</v>
      </c>
      <c r="DI924" t="s">
        <v>3</v>
      </c>
      <c r="DJ924" t="s">
        <v>3</v>
      </c>
      <c r="DK924" t="s">
        <v>3</v>
      </c>
      <c r="DL924" t="s">
        <v>3</v>
      </c>
      <c r="DM924" t="s">
        <v>3</v>
      </c>
      <c r="DN924">
        <v>114</v>
      </c>
      <c r="DO924">
        <v>80</v>
      </c>
      <c r="DP924">
        <v>1</v>
      </c>
      <c r="DQ924">
        <v>1</v>
      </c>
      <c r="DU924">
        <v>1010</v>
      </c>
      <c r="DV924" t="s">
        <v>169</v>
      </c>
      <c r="DW924" t="s">
        <v>169</v>
      </c>
      <c r="DX924">
        <v>1</v>
      </c>
      <c r="DZ924" t="s">
        <v>3</v>
      </c>
      <c r="EA924" t="s">
        <v>3</v>
      </c>
      <c r="EB924" t="s">
        <v>3</v>
      </c>
      <c r="EC924" t="s">
        <v>3</v>
      </c>
      <c r="EE924">
        <v>43090167</v>
      </c>
      <c r="EF924">
        <v>30</v>
      </c>
      <c r="EG924" t="s">
        <v>22</v>
      </c>
      <c r="EH924">
        <v>0</v>
      </c>
      <c r="EI924" t="s">
        <v>3</v>
      </c>
      <c r="EJ924">
        <v>1</v>
      </c>
      <c r="EK924">
        <v>2057</v>
      </c>
      <c r="EL924" t="s">
        <v>1028</v>
      </c>
      <c r="EM924" t="s">
        <v>1029</v>
      </c>
      <c r="EO924" t="s">
        <v>3</v>
      </c>
      <c r="EQ924">
        <v>0</v>
      </c>
      <c r="ER924">
        <v>571.15</v>
      </c>
      <c r="ES924">
        <v>571.15</v>
      </c>
      <c r="ET924">
        <v>0</v>
      </c>
      <c r="EU924">
        <v>0</v>
      </c>
      <c r="EV924">
        <v>0</v>
      </c>
      <c r="EW924">
        <v>0</v>
      </c>
      <c r="EX924">
        <v>0</v>
      </c>
      <c r="FQ924">
        <v>0</v>
      </c>
      <c r="FR924">
        <f t="shared" si="820"/>
        <v>0</v>
      </c>
      <c r="FS924">
        <v>0</v>
      </c>
      <c r="FX924">
        <v>114</v>
      </c>
      <c r="FY924">
        <v>80</v>
      </c>
      <c r="GA924" t="s">
        <v>3</v>
      </c>
      <c r="GD924">
        <v>0</v>
      </c>
      <c r="GF924">
        <v>1143516239</v>
      </c>
      <c r="GG924">
        <v>2</v>
      </c>
      <c r="GH924">
        <v>1</v>
      </c>
      <c r="GI924">
        <v>2</v>
      </c>
      <c r="GJ924">
        <v>0</v>
      </c>
      <c r="GK924">
        <f>ROUND(R924*(R12)/100,2)</f>
        <v>0</v>
      </c>
      <c r="GL924">
        <f t="shared" si="821"/>
        <v>0</v>
      </c>
      <c r="GM924">
        <f t="shared" si="822"/>
        <v>66310.52</v>
      </c>
      <c r="GN924">
        <f t="shared" si="823"/>
        <v>66310.52</v>
      </c>
      <c r="GO924">
        <f t="shared" si="824"/>
        <v>0</v>
      </c>
      <c r="GP924">
        <f t="shared" si="825"/>
        <v>0</v>
      </c>
      <c r="GR924">
        <v>0</v>
      </c>
      <c r="GS924">
        <v>3</v>
      </c>
      <c r="GT924">
        <v>0</v>
      </c>
      <c r="GU924" t="s">
        <v>3</v>
      </c>
      <c r="GV924">
        <f t="shared" si="826"/>
        <v>0</v>
      </c>
      <c r="GW924">
        <v>1</v>
      </c>
      <c r="GX924">
        <f t="shared" si="827"/>
        <v>0</v>
      </c>
      <c r="HA924">
        <v>0</v>
      </c>
      <c r="HB924">
        <v>0</v>
      </c>
      <c r="HC924">
        <f t="shared" si="828"/>
        <v>0</v>
      </c>
      <c r="HE924" t="s">
        <v>3</v>
      </c>
      <c r="HF924" t="s">
        <v>3</v>
      </c>
      <c r="HM924" t="s">
        <v>3</v>
      </c>
      <c r="IK924">
        <v>0</v>
      </c>
    </row>
    <row r="925" spans="1:245" x14ac:dyDescent="0.2">
      <c r="A925">
        <v>18</v>
      </c>
      <c r="B925">
        <v>1</v>
      </c>
      <c r="C925">
        <v>478</v>
      </c>
      <c r="E925" t="s">
        <v>1034</v>
      </c>
      <c r="F925" t="s">
        <v>118</v>
      </c>
      <c r="G925" t="s">
        <v>1035</v>
      </c>
      <c r="H925" t="s">
        <v>169</v>
      </c>
      <c r="I925">
        <f>I923*J925</f>
        <v>30</v>
      </c>
      <c r="J925">
        <v>1</v>
      </c>
      <c r="K925">
        <v>30</v>
      </c>
      <c r="O925">
        <f t="shared" si="796"/>
        <v>284299.55</v>
      </c>
      <c r="P925">
        <f t="shared" si="797"/>
        <v>284299.55</v>
      </c>
      <c r="Q925">
        <f t="shared" si="834"/>
        <v>0</v>
      </c>
      <c r="R925">
        <f t="shared" si="798"/>
        <v>0</v>
      </c>
      <c r="S925">
        <f t="shared" si="799"/>
        <v>0</v>
      </c>
      <c r="T925">
        <f t="shared" si="800"/>
        <v>0</v>
      </c>
      <c r="U925">
        <f t="shared" si="801"/>
        <v>0</v>
      </c>
      <c r="V925">
        <f t="shared" si="802"/>
        <v>0</v>
      </c>
      <c r="W925">
        <f t="shared" si="803"/>
        <v>0</v>
      </c>
      <c r="X925">
        <f t="shared" si="804"/>
        <v>0</v>
      </c>
      <c r="Y925">
        <f t="shared" si="805"/>
        <v>0</v>
      </c>
      <c r="AA925">
        <v>42938047</v>
      </c>
      <c r="AB925">
        <f t="shared" si="806"/>
        <v>1494.74</v>
      </c>
      <c r="AC925">
        <f t="shared" si="807"/>
        <v>1494.74</v>
      </c>
      <c r="AD925">
        <f t="shared" si="835"/>
        <v>0</v>
      </c>
      <c r="AE925">
        <f t="shared" si="836"/>
        <v>0</v>
      </c>
      <c r="AF925">
        <f t="shared" si="836"/>
        <v>0</v>
      </c>
      <c r="AG925">
        <f t="shared" si="808"/>
        <v>0</v>
      </c>
      <c r="AH925">
        <f t="shared" si="837"/>
        <v>0</v>
      </c>
      <c r="AI925">
        <f t="shared" si="837"/>
        <v>0</v>
      </c>
      <c r="AJ925">
        <f t="shared" si="809"/>
        <v>0</v>
      </c>
      <c r="AK925">
        <v>1494.74</v>
      </c>
      <c r="AL925">
        <v>1494.74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1</v>
      </c>
      <c r="AW925">
        <v>1</v>
      </c>
      <c r="AZ925">
        <v>1</v>
      </c>
      <c r="BA925">
        <v>1</v>
      </c>
      <c r="BB925">
        <v>1</v>
      </c>
      <c r="BC925">
        <v>6.34</v>
      </c>
      <c r="BD925" t="s">
        <v>3</v>
      </c>
      <c r="BE925" t="s">
        <v>3</v>
      </c>
      <c r="BF925" t="s">
        <v>3</v>
      </c>
      <c r="BG925" t="s">
        <v>3</v>
      </c>
      <c r="BH925">
        <v>3</v>
      </c>
      <c r="BI925">
        <v>1</v>
      </c>
      <c r="BJ925" t="s">
        <v>3</v>
      </c>
      <c r="BM925">
        <v>400002</v>
      </c>
      <c r="BN925">
        <v>0</v>
      </c>
      <c r="BO925" t="s">
        <v>3</v>
      </c>
      <c r="BP925">
        <v>0</v>
      </c>
      <c r="BQ925">
        <v>202</v>
      </c>
      <c r="BR925">
        <v>0</v>
      </c>
      <c r="BS925">
        <v>1</v>
      </c>
      <c r="BT925">
        <v>1</v>
      </c>
      <c r="BU925">
        <v>1</v>
      </c>
      <c r="BV925">
        <v>1</v>
      </c>
      <c r="BW925">
        <v>1</v>
      </c>
      <c r="BX925">
        <v>1</v>
      </c>
      <c r="BY925" t="s">
        <v>3</v>
      </c>
      <c r="BZ925">
        <v>0</v>
      </c>
      <c r="CA925">
        <v>0</v>
      </c>
      <c r="CB925" t="s">
        <v>3</v>
      </c>
      <c r="CE925">
        <v>30</v>
      </c>
      <c r="CF925">
        <v>0</v>
      </c>
      <c r="CG925">
        <v>0</v>
      </c>
      <c r="CM925">
        <v>0</v>
      </c>
      <c r="CN925" t="s">
        <v>3</v>
      </c>
      <c r="CO925">
        <v>0</v>
      </c>
      <c r="CP925">
        <f t="shared" si="810"/>
        <v>284299.55</v>
      </c>
      <c r="CQ925">
        <f t="shared" si="811"/>
        <v>9476.65</v>
      </c>
      <c r="CR925">
        <f t="shared" si="838"/>
        <v>0</v>
      </c>
      <c r="CS925">
        <f t="shared" si="812"/>
        <v>0</v>
      </c>
      <c r="CT925">
        <f t="shared" si="813"/>
        <v>0</v>
      </c>
      <c r="CU925">
        <f t="shared" si="814"/>
        <v>0</v>
      </c>
      <c r="CV925">
        <f t="shared" si="815"/>
        <v>0</v>
      </c>
      <c r="CW925">
        <f t="shared" si="816"/>
        <v>0</v>
      </c>
      <c r="CX925">
        <f t="shared" si="817"/>
        <v>0</v>
      </c>
      <c r="CY925">
        <f t="shared" si="818"/>
        <v>0</v>
      </c>
      <c r="CZ925">
        <f t="shared" si="819"/>
        <v>0</v>
      </c>
      <c r="DC925" t="s">
        <v>3</v>
      </c>
      <c r="DD925" t="s">
        <v>3</v>
      </c>
      <c r="DE925" t="s">
        <v>3</v>
      </c>
      <c r="DF925" t="s">
        <v>3</v>
      </c>
      <c r="DG925" t="s">
        <v>3</v>
      </c>
      <c r="DH925" t="s">
        <v>3</v>
      </c>
      <c r="DI925" t="s">
        <v>3</v>
      </c>
      <c r="DJ925" t="s">
        <v>3</v>
      </c>
      <c r="DK925" t="s">
        <v>3</v>
      </c>
      <c r="DL925" t="s">
        <v>3</v>
      </c>
      <c r="DM925" t="s">
        <v>3</v>
      </c>
      <c r="DN925">
        <v>0</v>
      </c>
      <c r="DO925">
        <v>0</v>
      </c>
      <c r="DP925">
        <v>1</v>
      </c>
      <c r="DQ925">
        <v>1</v>
      </c>
      <c r="DU925">
        <v>1010</v>
      </c>
      <c r="DV925" t="s">
        <v>169</v>
      </c>
      <c r="DW925" t="s">
        <v>169</v>
      </c>
      <c r="DX925">
        <v>1</v>
      </c>
      <c r="DZ925" t="s">
        <v>3</v>
      </c>
      <c r="EA925" t="s">
        <v>3</v>
      </c>
      <c r="EB925" t="s">
        <v>3</v>
      </c>
      <c r="EC925" t="s">
        <v>3</v>
      </c>
      <c r="EE925">
        <v>43090149</v>
      </c>
      <c r="EF925">
        <v>202</v>
      </c>
      <c r="EG925" t="s">
        <v>346</v>
      </c>
      <c r="EH925">
        <v>0</v>
      </c>
      <c r="EI925" t="s">
        <v>3</v>
      </c>
      <c r="EJ925">
        <v>1</v>
      </c>
      <c r="EK925">
        <v>400002</v>
      </c>
      <c r="EL925" t="s">
        <v>347</v>
      </c>
      <c r="EM925" t="s">
        <v>346</v>
      </c>
      <c r="EO925" t="s">
        <v>3</v>
      </c>
      <c r="EQ925">
        <v>0</v>
      </c>
      <c r="ER925">
        <v>1494.74</v>
      </c>
      <c r="ES925">
        <v>1494.74</v>
      </c>
      <c r="ET925">
        <v>0</v>
      </c>
      <c r="EU925">
        <v>0</v>
      </c>
      <c r="EV925">
        <v>0</v>
      </c>
      <c r="EW925">
        <v>0</v>
      </c>
      <c r="EX925">
        <v>0</v>
      </c>
      <c r="EZ925">
        <v>5</v>
      </c>
      <c r="FC925">
        <v>1</v>
      </c>
      <c r="FD925">
        <v>18</v>
      </c>
      <c r="FF925">
        <v>11149</v>
      </c>
      <c r="FQ925">
        <v>0</v>
      </c>
      <c r="FR925">
        <f t="shared" si="820"/>
        <v>0</v>
      </c>
      <c r="FS925">
        <v>0</v>
      </c>
      <c r="FX925">
        <v>0</v>
      </c>
      <c r="FY925">
        <v>0</v>
      </c>
      <c r="GA925" t="s">
        <v>1036</v>
      </c>
      <c r="GD925">
        <v>0</v>
      </c>
      <c r="GF925">
        <v>1595376428</v>
      </c>
      <c r="GG925">
        <v>2</v>
      </c>
      <c r="GH925">
        <v>3</v>
      </c>
      <c r="GI925">
        <v>3</v>
      </c>
      <c r="GJ925">
        <v>0</v>
      </c>
      <c r="GK925">
        <f>ROUND(R925*(R12)/100,2)</f>
        <v>0</v>
      </c>
      <c r="GL925">
        <f t="shared" si="821"/>
        <v>0</v>
      </c>
      <c r="GM925">
        <f t="shared" si="822"/>
        <v>284299.55</v>
      </c>
      <c r="GN925">
        <f t="shared" si="823"/>
        <v>284299.55</v>
      </c>
      <c r="GO925">
        <f t="shared" si="824"/>
        <v>0</v>
      </c>
      <c r="GP925">
        <f t="shared" si="825"/>
        <v>0</v>
      </c>
      <c r="GR925">
        <v>1</v>
      </c>
      <c r="GS925">
        <v>1</v>
      </c>
      <c r="GT925">
        <v>0</v>
      </c>
      <c r="GU925" t="s">
        <v>3</v>
      </c>
      <c r="GV925">
        <f t="shared" si="826"/>
        <v>0</v>
      </c>
      <c r="GW925">
        <v>1</v>
      </c>
      <c r="GX925">
        <f t="shared" si="827"/>
        <v>0</v>
      </c>
      <c r="HA925">
        <v>0</v>
      </c>
      <c r="HB925">
        <v>0</v>
      </c>
      <c r="HC925">
        <f t="shared" si="828"/>
        <v>0</v>
      </c>
      <c r="HE925" t="s">
        <v>26</v>
      </c>
      <c r="HF925" t="s">
        <v>122</v>
      </c>
      <c r="HM925" t="s">
        <v>3</v>
      </c>
      <c r="IK925">
        <v>0</v>
      </c>
    </row>
    <row r="926" spans="1:245" x14ac:dyDescent="0.2">
      <c r="A926">
        <v>17</v>
      </c>
      <c r="B926">
        <v>1</v>
      </c>
      <c r="C926">
        <f>ROW(SmtRes!A484)</f>
        <v>484</v>
      </c>
      <c r="D926">
        <f>ROW(EtalonRes!A478)</f>
        <v>478</v>
      </c>
      <c r="E926" t="s">
        <v>1037</v>
      </c>
      <c r="F926" t="s">
        <v>1038</v>
      </c>
      <c r="G926" t="s">
        <v>1039</v>
      </c>
      <c r="H926" t="s">
        <v>1040</v>
      </c>
      <c r="I926">
        <f>ROUND(15/10,9)</f>
        <v>1.5</v>
      </c>
      <c r="J926">
        <v>0</v>
      </c>
      <c r="K926">
        <f>ROUND(15/10,9)</f>
        <v>1.5</v>
      </c>
      <c r="O926">
        <f t="shared" si="796"/>
        <v>3489.88</v>
      </c>
      <c r="P926">
        <f t="shared" si="797"/>
        <v>958.3</v>
      </c>
      <c r="Q926">
        <f t="shared" si="834"/>
        <v>22.43</v>
      </c>
      <c r="R926">
        <f t="shared" si="798"/>
        <v>11.19</v>
      </c>
      <c r="S926">
        <f t="shared" si="799"/>
        <v>2509.15</v>
      </c>
      <c r="T926">
        <f t="shared" si="800"/>
        <v>0</v>
      </c>
      <c r="U926">
        <f t="shared" si="801"/>
        <v>9.33</v>
      </c>
      <c r="V926">
        <f t="shared" si="802"/>
        <v>0</v>
      </c>
      <c r="W926">
        <f t="shared" si="803"/>
        <v>0</v>
      </c>
      <c r="X926">
        <f t="shared" si="804"/>
        <v>2258.2399999999998</v>
      </c>
      <c r="Y926">
        <f t="shared" si="805"/>
        <v>1028.75</v>
      </c>
      <c r="AA926">
        <v>42938047</v>
      </c>
      <c r="AB926">
        <f t="shared" si="806"/>
        <v>134.82</v>
      </c>
      <c r="AC926">
        <f t="shared" si="807"/>
        <v>67.53</v>
      </c>
      <c r="AD926">
        <f t="shared" si="835"/>
        <v>1.54</v>
      </c>
      <c r="AE926">
        <f t="shared" si="836"/>
        <v>0.28999999999999998</v>
      </c>
      <c r="AF926">
        <f t="shared" si="836"/>
        <v>65.75</v>
      </c>
      <c r="AG926">
        <f t="shared" si="808"/>
        <v>0</v>
      </c>
      <c r="AH926">
        <f t="shared" si="837"/>
        <v>6.22</v>
      </c>
      <c r="AI926">
        <f t="shared" si="837"/>
        <v>0</v>
      </c>
      <c r="AJ926">
        <f t="shared" si="809"/>
        <v>0</v>
      </c>
      <c r="AK926">
        <v>134.82</v>
      </c>
      <c r="AL926">
        <v>67.53</v>
      </c>
      <c r="AM926">
        <v>1.54</v>
      </c>
      <c r="AN926">
        <v>0.28999999999999998</v>
      </c>
      <c r="AO926">
        <v>65.75</v>
      </c>
      <c r="AP926">
        <v>0</v>
      </c>
      <c r="AQ926">
        <v>6.22</v>
      </c>
      <c r="AR926">
        <v>0</v>
      </c>
      <c r="AS926">
        <v>0</v>
      </c>
      <c r="AT926">
        <v>90</v>
      </c>
      <c r="AU926">
        <v>41</v>
      </c>
      <c r="AV926">
        <v>1</v>
      </c>
      <c r="AW926">
        <v>1</v>
      </c>
      <c r="AZ926">
        <v>1</v>
      </c>
      <c r="BA926">
        <v>25.44</v>
      </c>
      <c r="BB926">
        <v>9.7100000000000009</v>
      </c>
      <c r="BC926">
        <v>9.4600000000000009</v>
      </c>
      <c r="BD926" t="s">
        <v>3</v>
      </c>
      <c r="BE926" t="s">
        <v>3</v>
      </c>
      <c r="BF926" t="s">
        <v>3</v>
      </c>
      <c r="BG926" t="s">
        <v>3</v>
      </c>
      <c r="BH926">
        <v>0</v>
      </c>
      <c r="BI926">
        <v>1</v>
      </c>
      <c r="BJ926" t="s">
        <v>1041</v>
      </c>
      <c r="BM926">
        <v>1306</v>
      </c>
      <c r="BN926">
        <v>0</v>
      </c>
      <c r="BO926" t="s">
        <v>1038</v>
      </c>
      <c r="BP926">
        <v>1</v>
      </c>
      <c r="BQ926">
        <v>60</v>
      </c>
      <c r="BR926">
        <v>0</v>
      </c>
      <c r="BS926">
        <v>25.44</v>
      </c>
      <c r="BT926">
        <v>1</v>
      </c>
      <c r="BU926">
        <v>1</v>
      </c>
      <c r="BV926">
        <v>1</v>
      </c>
      <c r="BW926">
        <v>1</v>
      </c>
      <c r="BX926">
        <v>1</v>
      </c>
      <c r="BY926" t="s">
        <v>3</v>
      </c>
      <c r="BZ926">
        <v>90</v>
      </c>
      <c r="CA926">
        <v>41</v>
      </c>
      <c r="CB926" t="s">
        <v>3</v>
      </c>
      <c r="CE926">
        <v>30</v>
      </c>
      <c r="CF926">
        <v>0</v>
      </c>
      <c r="CG926">
        <v>0</v>
      </c>
      <c r="CM926">
        <v>0</v>
      </c>
      <c r="CN926" t="s">
        <v>3</v>
      </c>
      <c r="CO926">
        <v>0</v>
      </c>
      <c r="CP926">
        <f t="shared" si="810"/>
        <v>3489.88</v>
      </c>
      <c r="CQ926">
        <f t="shared" si="811"/>
        <v>638.83000000000004</v>
      </c>
      <c r="CR926">
        <f t="shared" si="838"/>
        <v>14.95</v>
      </c>
      <c r="CS926">
        <f t="shared" si="812"/>
        <v>7.38</v>
      </c>
      <c r="CT926">
        <f t="shared" si="813"/>
        <v>1672.68</v>
      </c>
      <c r="CU926">
        <f t="shared" si="814"/>
        <v>0</v>
      </c>
      <c r="CV926">
        <f t="shared" si="815"/>
        <v>6.22</v>
      </c>
      <c r="CW926">
        <f t="shared" si="816"/>
        <v>0</v>
      </c>
      <c r="CX926">
        <f t="shared" si="817"/>
        <v>0</v>
      </c>
      <c r="CY926">
        <f t="shared" si="818"/>
        <v>2258.2350000000001</v>
      </c>
      <c r="CZ926">
        <f t="shared" si="819"/>
        <v>1028.7515000000001</v>
      </c>
      <c r="DC926" t="s">
        <v>3</v>
      </c>
      <c r="DD926" t="s">
        <v>3</v>
      </c>
      <c r="DE926" t="s">
        <v>3</v>
      </c>
      <c r="DF926" t="s">
        <v>3</v>
      </c>
      <c r="DG926" t="s">
        <v>3</v>
      </c>
      <c r="DH926" t="s">
        <v>3</v>
      </c>
      <c r="DI926" t="s">
        <v>3</v>
      </c>
      <c r="DJ926" t="s">
        <v>3</v>
      </c>
      <c r="DK926" t="s">
        <v>3</v>
      </c>
      <c r="DL926" t="s">
        <v>3</v>
      </c>
      <c r="DM926" t="s">
        <v>3</v>
      </c>
      <c r="DN926">
        <v>156</v>
      </c>
      <c r="DO926">
        <v>84</v>
      </c>
      <c r="DP926">
        <v>1</v>
      </c>
      <c r="DQ926">
        <v>1</v>
      </c>
      <c r="DU926">
        <v>1010</v>
      </c>
      <c r="DV926" t="s">
        <v>1040</v>
      </c>
      <c r="DW926" t="s">
        <v>1040</v>
      </c>
      <c r="DX926">
        <v>10</v>
      </c>
      <c r="DZ926" t="s">
        <v>3</v>
      </c>
      <c r="EA926" t="s">
        <v>3</v>
      </c>
      <c r="EB926" t="s">
        <v>3</v>
      </c>
      <c r="EC926" t="s">
        <v>3</v>
      </c>
      <c r="EE926">
        <v>43089384</v>
      </c>
      <c r="EF926">
        <v>60</v>
      </c>
      <c r="EG926" t="s">
        <v>40</v>
      </c>
      <c r="EH926">
        <v>0</v>
      </c>
      <c r="EI926" t="s">
        <v>3</v>
      </c>
      <c r="EJ926">
        <v>1</v>
      </c>
      <c r="EK926">
        <v>1306</v>
      </c>
      <c r="EL926" t="s">
        <v>1042</v>
      </c>
      <c r="EM926" t="s">
        <v>1043</v>
      </c>
      <c r="EO926" t="s">
        <v>3</v>
      </c>
      <c r="EQ926">
        <v>0</v>
      </c>
      <c r="ER926">
        <v>134.82</v>
      </c>
      <c r="ES926">
        <v>67.53</v>
      </c>
      <c r="ET926">
        <v>1.54</v>
      </c>
      <c r="EU926">
        <v>0.28999999999999998</v>
      </c>
      <c r="EV926">
        <v>65.75</v>
      </c>
      <c r="EW926">
        <v>6.22</v>
      </c>
      <c r="EX926">
        <v>0</v>
      </c>
      <c r="EY926">
        <v>0</v>
      </c>
      <c r="FQ926">
        <v>0</v>
      </c>
      <c r="FR926">
        <f t="shared" si="820"/>
        <v>0</v>
      </c>
      <c r="FS926">
        <v>0</v>
      </c>
      <c r="FX926">
        <v>156</v>
      </c>
      <c r="FY926">
        <v>84</v>
      </c>
      <c r="GA926" t="s">
        <v>3</v>
      </c>
      <c r="GD926">
        <v>0</v>
      </c>
      <c r="GF926">
        <v>-1403154731</v>
      </c>
      <c r="GG926">
        <v>2</v>
      </c>
      <c r="GH926">
        <v>1</v>
      </c>
      <c r="GI926">
        <v>2</v>
      </c>
      <c r="GJ926">
        <v>0</v>
      </c>
      <c r="GK926">
        <f>ROUND(R926*(R12)/100,2)</f>
        <v>17.57</v>
      </c>
      <c r="GL926">
        <f t="shared" si="821"/>
        <v>0</v>
      </c>
      <c r="GM926">
        <f t="shared" si="822"/>
        <v>6794.44</v>
      </c>
      <c r="GN926">
        <f t="shared" si="823"/>
        <v>6794.44</v>
      </c>
      <c r="GO926">
        <f t="shared" si="824"/>
        <v>0</v>
      </c>
      <c r="GP926">
        <f t="shared" si="825"/>
        <v>0</v>
      </c>
      <c r="GR926">
        <v>0</v>
      </c>
      <c r="GS926">
        <v>3</v>
      </c>
      <c r="GT926">
        <v>0</v>
      </c>
      <c r="GU926" t="s">
        <v>3</v>
      </c>
      <c r="GV926">
        <f t="shared" si="826"/>
        <v>0</v>
      </c>
      <c r="GW926">
        <v>1</v>
      </c>
      <c r="GX926">
        <f t="shared" si="827"/>
        <v>0</v>
      </c>
      <c r="HA926">
        <v>0</v>
      </c>
      <c r="HB926">
        <v>0</v>
      </c>
      <c r="HC926">
        <f t="shared" si="828"/>
        <v>0</v>
      </c>
      <c r="HE926" t="s">
        <v>3</v>
      </c>
      <c r="HF926" t="s">
        <v>3</v>
      </c>
      <c r="HM926" t="s">
        <v>3</v>
      </c>
      <c r="IK926">
        <v>0</v>
      </c>
    </row>
    <row r="927" spans="1:245" x14ac:dyDescent="0.2">
      <c r="A927">
        <v>18</v>
      </c>
      <c r="B927">
        <v>1</v>
      </c>
      <c r="C927">
        <v>484</v>
      </c>
      <c r="E927" t="s">
        <v>1044</v>
      </c>
      <c r="F927" t="s">
        <v>118</v>
      </c>
      <c r="G927" t="s">
        <v>1045</v>
      </c>
      <c r="H927" t="s">
        <v>169</v>
      </c>
      <c r="I927">
        <f>I926*J927</f>
        <v>15</v>
      </c>
      <c r="J927">
        <v>10</v>
      </c>
      <c r="K927">
        <v>10</v>
      </c>
      <c r="O927">
        <f t="shared" si="796"/>
        <v>103274.8</v>
      </c>
      <c r="P927">
        <f t="shared" si="797"/>
        <v>103274.8</v>
      </c>
      <c r="Q927">
        <f t="shared" si="834"/>
        <v>0</v>
      </c>
      <c r="R927">
        <f t="shared" si="798"/>
        <v>0</v>
      </c>
      <c r="S927">
        <f t="shared" si="799"/>
        <v>0</v>
      </c>
      <c r="T927">
        <f t="shared" si="800"/>
        <v>0</v>
      </c>
      <c r="U927">
        <f t="shared" si="801"/>
        <v>0</v>
      </c>
      <c r="V927">
        <f t="shared" si="802"/>
        <v>0</v>
      </c>
      <c r="W927">
        <f t="shared" si="803"/>
        <v>0</v>
      </c>
      <c r="X927">
        <f t="shared" si="804"/>
        <v>0</v>
      </c>
      <c r="Y927">
        <f t="shared" si="805"/>
        <v>0</v>
      </c>
      <c r="AA927">
        <v>42938047</v>
      </c>
      <c r="AB927">
        <f t="shared" si="806"/>
        <v>1085.96</v>
      </c>
      <c r="AC927">
        <f t="shared" si="807"/>
        <v>1085.96</v>
      </c>
      <c r="AD927">
        <f t="shared" si="835"/>
        <v>0</v>
      </c>
      <c r="AE927">
        <f t="shared" si="836"/>
        <v>0</v>
      </c>
      <c r="AF927">
        <f t="shared" si="836"/>
        <v>0</v>
      </c>
      <c r="AG927">
        <f t="shared" si="808"/>
        <v>0</v>
      </c>
      <c r="AH927">
        <f t="shared" si="837"/>
        <v>0</v>
      </c>
      <c r="AI927">
        <f t="shared" si="837"/>
        <v>0</v>
      </c>
      <c r="AJ927">
        <f t="shared" si="809"/>
        <v>0</v>
      </c>
      <c r="AK927">
        <v>1085.96</v>
      </c>
      <c r="AL927">
        <v>1085.96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1</v>
      </c>
      <c r="AW927">
        <v>1</v>
      </c>
      <c r="AZ927">
        <v>1</v>
      </c>
      <c r="BA927">
        <v>1</v>
      </c>
      <c r="BB927">
        <v>1</v>
      </c>
      <c r="BC927">
        <v>6.34</v>
      </c>
      <c r="BD927" t="s">
        <v>3</v>
      </c>
      <c r="BE927" t="s">
        <v>3</v>
      </c>
      <c r="BF927" t="s">
        <v>3</v>
      </c>
      <c r="BG927" t="s">
        <v>3</v>
      </c>
      <c r="BH927">
        <v>3</v>
      </c>
      <c r="BI927">
        <v>1</v>
      </c>
      <c r="BJ927" t="s">
        <v>3</v>
      </c>
      <c r="BM927">
        <v>1306</v>
      </c>
      <c r="BN927">
        <v>0</v>
      </c>
      <c r="BO927" t="s">
        <v>3</v>
      </c>
      <c r="BP927">
        <v>0</v>
      </c>
      <c r="BQ927">
        <v>60</v>
      </c>
      <c r="BR927">
        <v>0</v>
      </c>
      <c r="BS927">
        <v>1</v>
      </c>
      <c r="BT927">
        <v>1</v>
      </c>
      <c r="BU927">
        <v>1</v>
      </c>
      <c r="BV927">
        <v>1</v>
      </c>
      <c r="BW927">
        <v>1</v>
      </c>
      <c r="BX927">
        <v>1</v>
      </c>
      <c r="BY927" t="s">
        <v>3</v>
      </c>
      <c r="BZ927">
        <v>0</v>
      </c>
      <c r="CA927">
        <v>0</v>
      </c>
      <c r="CB927" t="s">
        <v>3</v>
      </c>
      <c r="CE927">
        <v>30</v>
      </c>
      <c r="CF927">
        <v>0</v>
      </c>
      <c r="CG927">
        <v>0</v>
      </c>
      <c r="CM927">
        <v>0</v>
      </c>
      <c r="CN927" t="s">
        <v>3</v>
      </c>
      <c r="CO927">
        <v>0</v>
      </c>
      <c r="CP927">
        <f t="shared" si="810"/>
        <v>103274.8</v>
      </c>
      <c r="CQ927">
        <f t="shared" si="811"/>
        <v>6884.99</v>
      </c>
      <c r="CR927">
        <f t="shared" si="838"/>
        <v>0</v>
      </c>
      <c r="CS927">
        <f t="shared" si="812"/>
        <v>0</v>
      </c>
      <c r="CT927">
        <f t="shared" si="813"/>
        <v>0</v>
      </c>
      <c r="CU927">
        <f t="shared" si="814"/>
        <v>0</v>
      </c>
      <c r="CV927">
        <f t="shared" si="815"/>
        <v>0</v>
      </c>
      <c r="CW927">
        <f t="shared" si="816"/>
        <v>0</v>
      </c>
      <c r="CX927">
        <f t="shared" si="817"/>
        <v>0</v>
      </c>
      <c r="CY927">
        <f t="shared" si="818"/>
        <v>0</v>
      </c>
      <c r="CZ927">
        <f t="shared" si="819"/>
        <v>0</v>
      </c>
      <c r="DC927" t="s">
        <v>3</v>
      </c>
      <c r="DD927" t="s">
        <v>3</v>
      </c>
      <c r="DE927" t="s">
        <v>3</v>
      </c>
      <c r="DF927" t="s">
        <v>3</v>
      </c>
      <c r="DG927" t="s">
        <v>3</v>
      </c>
      <c r="DH927" t="s">
        <v>3</v>
      </c>
      <c r="DI927" t="s">
        <v>3</v>
      </c>
      <c r="DJ927" t="s">
        <v>3</v>
      </c>
      <c r="DK927" t="s">
        <v>3</v>
      </c>
      <c r="DL927" t="s">
        <v>3</v>
      </c>
      <c r="DM927" t="s">
        <v>3</v>
      </c>
      <c r="DN927">
        <v>156</v>
      </c>
      <c r="DO927">
        <v>84</v>
      </c>
      <c r="DP927">
        <v>1</v>
      </c>
      <c r="DQ927">
        <v>1</v>
      </c>
      <c r="DU927">
        <v>1010</v>
      </c>
      <c r="DV927" t="s">
        <v>169</v>
      </c>
      <c r="DW927" t="s">
        <v>169</v>
      </c>
      <c r="DX927">
        <v>1</v>
      </c>
      <c r="DZ927" t="s">
        <v>3</v>
      </c>
      <c r="EA927" t="s">
        <v>3</v>
      </c>
      <c r="EB927" t="s">
        <v>3</v>
      </c>
      <c r="EC927" t="s">
        <v>3</v>
      </c>
      <c r="EE927">
        <v>43089384</v>
      </c>
      <c r="EF927">
        <v>60</v>
      </c>
      <c r="EG927" t="s">
        <v>40</v>
      </c>
      <c r="EH927">
        <v>0</v>
      </c>
      <c r="EI927" t="s">
        <v>3</v>
      </c>
      <c r="EJ927">
        <v>1</v>
      </c>
      <c r="EK927">
        <v>1306</v>
      </c>
      <c r="EL927" t="s">
        <v>1042</v>
      </c>
      <c r="EM927" t="s">
        <v>1043</v>
      </c>
      <c r="EO927" t="s">
        <v>3</v>
      </c>
      <c r="EQ927">
        <v>0</v>
      </c>
      <c r="ER927">
        <v>1085.96</v>
      </c>
      <c r="ES927">
        <v>1085.96</v>
      </c>
      <c r="ET927">
        <v>0</v>
      </c>
      <c r="EU927">
        <v>0</v>
      </c>
      <c r="EV927">
        <v>0</v>
      </c>
      <c r="EW927">
        <v>0</v>
      </c>
      <c r="EX927">
        <v>0</v>
      </c>
      <c r="EZ927">
        <v>5</v>
      </c>
      <c r="FC927">
        <v>1</v>
      </c>
      <c r="FD927">
        <v>18</v>
      </c>
      <c r="FF927">
        <v>8100</v>
      </c>
      <c r="FQ927">
        <v>0</v>
      </c>
      <c r="FR927">
        <f t="shared" si="820"/>
        <v>0</v>
      </c>
      <c r="FS927">
        <v>0</v>
      </c>
      <c r="FX927">
        <v>156</v>
      </c>
      <c r="FY927">
        <v>84</v>
      </c>
      <c r="GA927" t="s">
        <v>1046</v>
      </c>
      <c r="GD927">
        <v>0</v>
      </c>
      <c r="GF927">
        <v>-2112882143</v>
      </c>
      <c r="GG927">
        <v>2</v>
      </c>
      <c r="GH927">
        <v>3</v>
      </c>
      <c r="GI927">
        <v>3</v>
      </c>
      <c r="GJ927">
        <v>0</v>
      </c>
      <c r="GK927">
        <f>ROUND(R927*(R12)/100,2)</f>
        <v>0</v>
      </c>
      <c r="GL927">
        <f t="shared" si="821"/>
        <v>0</v>
      </c>
      <c r="GM927">
        <f t="shared" si="822"/>
        <v>103274.8</v>
      </c>
      <c r="GN927">
        <f t="shared" si="823"/>
        <v>103274.8</v>
      </c>
      <c r="GO927">
        <f t="shared" si="824"/>
        <v>0</v>
      </c>
      <c r="GP927">
        <f t="shared" si="825"/>
        <v>0</v>
      </c>
      <c r="GR927">
        <v>1</v>
      </c>
      <c r="GS927">
        <v>1</v>
      </c>
      <c r="GT927">
        <v>0</v>
      </c>
      <c r="GU927" t="s">
        <v>3</v>
      </c>
      <c r="GV927">
        <f t="shared" si="826"/>
        <v>0</v>
      </c>
      <c r="GW927">
        <v>1</v>
      </c>
      <c r="GX927">
        <f t="shared" si="827"/>
        <v>0</v>
      </c>
      <c r="HA927">
        <v>0</v>
      </c>
      <c r="HB927">
        <v>0</v>
      </c>
      <c r="HC927">
        <f t="shared" si="828"/>
        <v>0</v>
      </c>
      <c r="HE927" t="s">
        <v>26</v>
      </c>
      <c r="HF927" t="s">
        <v>122</v>
      </c>
      <c r="HM927" t="s">
        <v>3</v>
      </c>
      <c r="IK927">
        <v>0</v>
      </c>
    </row>
    <row r="928" spans="1:245" x14ac:dyDescent="0.2">
      <c r="A928">
        <v>17</v>
      </c>
      <c r="B928">
        <v>1</v>
      </c>
      <c r="C928">
        <f>ROW(SmtRes!A485)</f>
        <v>485</v>
      </c>
      <c r="D928">
        <f>ROW(EtalonRes!A479)</f>
        <v>479</v>
      </c>
      <c r="E928" t="s">
        <v>1047</v>
      </c>
      <c r="F928" t="s">
        <v>1048</v>
      </c>
      <c r="G928" t="s">
        <v>1049</v>
      </c>
      <c r="H928" t="s">
        <v>1050</v>
      </c>
      <c r="I928">
        <f>ROUND(30/100,9)</f>
        <v>0.3</v>
      </c>
      <c r="J928">
        <v>0</v>
      </c>
      <c r="K928">
        <f>ROUND(30/100,9)</f>
        <v>0.3</v>
      </c>
      <c r="O928">
        <f t="shared" si="796"/>
        <v>1122.3699999999999</v>
      </c>
      <c r="P928">
        <f t="shared" si="797"/>
        <v>2.5</v>
      </c>
      <c r="Q928">
        <f t="shared" si="834"/>
        <v>0</v>
      </c>
      <c r="R928">
        <f t="shared" si="798"/>
        <v>0</v>
      </c>
      <c r="S928">
        <f t="shared" si="799"/>
        <v>1119.8699999999999</v>
      </c>
      <c r="T928">
        <f t="shared" si="800"/>
        <v>0</v>
      </c>
      <c r="U928">
        <f t="shared" si="801"/>
        <v>3.57</v>
      </c>
      <c r="V928">
        <f t="shared" si="802"/>
        <v>0</v>
      </c>
      <c r="W928">
        <f t="shared" si="803"/>
        <v>0</v>
      </c>
      <c r="X928">
        <f t="shared" si="804"/>
        <v>862.3</v>
      </c>
      <c r="Y928">
        <f t="shared" si="805"/>
        <v>459.15</v>
      </c>
      <c r="AA928">
        <v>42938047</v>
      </c>
      <c r="AB928">
        <f t="shared" si="806"/>
        <v>147.99</v>
      </c>
      <c r="AC928">
        <f t="shared" si="807"/>
        <v>1.26</v>
      </c>
      <c r="AD928">
        <f t="shared" si="835"/>
        <v>0</v>
      </c>
      <c r="AE928">
        <f t="shared" si="836"/>
        <v>0</v>
      </c>
      <c r="AF928">
        <f t="shared" si="836"/>
        <v>146.72999999999999</v>
      </c>
      <c r="AG928">
        <f t="shared" si="808"/>
        <v>0</v>
      </c>
      <c r="AH928">
        <f t="shared" si="837"/>
        <v>11.9</v>
      </c>
      <c r="AI928">
        <f t="shared" si="837"/>
        <v>0</v>
      </c>
      <c r="AJ928">
        <f t="shared" si="809"/>
        <v>0</v>
      </c>
      <c r="AK928">
        <v>147.99</v>
      </c>
      <c r="AL928">
        <v>1.26</v>
      </c>
      <c r="AM928">
        <v>0</v>
      </c>
      <c r="AN928">
        <v>0</v>
      </c>
      <c r="AO928">
        <v>146.72999999999999</v>
      </c>
      <c r="AP928">
        <v>0</v>
      </c>
      <c r="AQ928">
        <v>11.9</v>
      </c>
      <c r="AR928">
        <v>0</v>
      </c>
      <c r="AS928">
        <v>0</v>
      </c>
      <c r="AT928">
        <v>77</v>
      </c>
      <c r="AU928">
        <v>41</v>
      </c>
      <c r="AV928">
        <v>1</v>
      </c>
      <c r="AW928">
        <v>1</v>
      </c>
      <c r="AZ928">
        <v>1</v>
      </c>
      <c r="BA928">
        <v>25.44</v>
      </c>
      <c r="BB928">
        <v>1</v>
      </c>
      <c r="BC928">
        <v>6.58</v>
      </c>
      <c r="BD928" t="s">
        <v>3</v>
      </c>
      <c r="BE928" t="s">
        <v>3</v>
      </c>
      <c r="BF928" t="s">
        <v>3</v>
      </c>
      <c r="BG928" t="s">
        <v>3</v>
      </c>
      <c r="BH928">
        <v>0</v>
      </c>
      <c r="BI928">
        <v>2</v>
      </c>
      <c r="BJ928" t="s">
        <v>1051</v>
      </c>
      <c r="BM928">
        <v>318</v>
      </c>
      <c r="BN928">
        <v>0</v>
      </c>
      <c r="BO928" t="s">
        <v>1048</v>
      </c>
      <c r="BP928">
        <v>1</v>
      </c>
      <c r="BQ928">
        <v>40</v>
      </c>
      <c r="BR928">
        <v>0</v>
      </c>
      <c r="BS928">
        <v>25.44</v>
      </c>
      <c r="BT928">
        <v>1</v>
      </c>
      <c r="BU928">
        <v>1</v>
      </c>
      <c r="BV928">
        <v>1</v>
      </c>
      <c r="BW928">
        <v>1</v>
      </c>
      <c r="BX928">
        <v>1</v>
      </c>
      <c r="BY928" t="s">
        <v>3</v>
      </c>
      <c r="BZ928">
        <v>77</v>
      </c>
      <c r="CA928">
        <v>41</v>
      </c>
      <c r="CB928" t="s">
        <v>3</v>
      </c>
      <c r="CE928">
        <v>30</v>
      </c>
      <c r="CF928">
        <v>0</v>
      </c>
      <c r="CG928">
        <v>0</v>
      </c>
      <c r="CM928">
        <v>0</v>
      </c>
      <c r="CN928" t="s">
        <v>3</v>
      </c>
      <c r="CO928">
        <v>0</v>
      </c>
      <c r="CP928">
        <f t="shared" si="810"/>
        <v>1122.3699999999999</v>
      </c>
      <c r="CQ928">
        <f t="shared" si="811"/>
        <v>8.2899999999999991</v>
      </c>
      <c r="CR928">
        <f t="shared" si="838"/>
        <v>0</v>
      </c>
      <c r="CS928">
        <f t="shared" si="812"/>
        <v>0</v>
      </c>
      <c r="CT928">
        <f t="shared" si="813"/>
        <v>3732.81</v>
      </c>
      <c r="CU928">
        <f t="shared" si="814"/>
        <v>0</v>
      </c>
      <c r="CV928">
        <f t="shared" si="815"/>
        <v>11.9</v>
      </c>
      <c r="CW928">
        <f t="shared" si="816"/>
        <v>0</v>
      </c>
      <c r="CX928">
        <f t="shared" si="817"/>
        <v>0</v>
      </c>
      <c r="CY928">
        <f t="shared" si="818"/>
        <v>862.29989999999998</v>
      </c>
      <c r="CZ928">
        <f t="shared" si="819"/>
        <v>459.14669999999995</v>
      </c>
      <c r="DC928" t="s">
        <v>3</v>
      </c>
      <c r="DD928" t="s">
        <v>3</v>
      </c>
      <c r="DE928" t="s">
        <v>3</v>
      </c>
      <c r="DF928" t="s">
        <v>3</v>
      </c>
      <c r="DG928" t="s">
        <v>3</v>
      </c>
      <c r="DH928" t="s">
        <v>3</v>
      </c>
      <c r="DI928" t="s">
        <v>3</v>
      </c>
      <c r="DJ928" t="s">
        <v>3</v>
      </c>
      <c r="DK928" t="s">
        <v>3</v>
      </c>
      <c r="DL928" t="s">
        <v>3</v>
      </c>
      <c r="DM928" t="s">
        <v>3</v>
      </c>
      <c r="DN928">
        <v>114</v>
      </c>
      <c r="DO928">
        <v>67</v>
      </c>
      <c r="DP928">
        <v>1</v>
      </c>
      <c r="DQ928">
        <v>1</v>
      </c>
      <c r="DU928">
        <v>1010</v>
      </c>
      <c r="DV928" t="s">
        <v>1050</v>
      </c>
      <c r="DW928" t="s">
        <v>1050</v>
      </c>
      <c r="DX928">
        <v>100</v>
      </c>
      <c r="DZ928" t="s">
        <v>3</v>
      </c>
      <c r="EA928" t="s">
        <v>3</v>
      </c>
      <c r="EB928" t="s">
        <v>3</v>
      </c>
      <c r="EC928" t="s">
        <v>3</v>
      </c>
      <c r="EE928">
        <v>43088396</v>
      </c>
      <c r="EF928">
        <v>40</v>
      </c>
      <c r="EG928" t="s">
        <v>553</v>
      </c>
      <c r="EH928">
        <v>0</v>
      </c>
      <c r="EI928" t="s">
        <v>3</v>
      </c>
      <c r="EJ928">
        <v>2</v>
      </c>
      <c r="EK928">
        <v>318</v>
      </c>
      <c r="EL928" t="s">
        <v>979</v>
      </c>
      <c r="EM928" t="s">
        <v>980</v>
      </c>
      <c r="EO928" t="s">
        <v>3</v>
      </c>
      <c r="EQ928">
        <v>0</v>
      </c>
      <c r="ER928">
        <v>147.99</v>
      </c>
      <c r="ES928">
        <v>1.26</v>
      </c>
      <c r="ET928">
        <v>0</v>
      </c>
      <c r="EU928">
        <v>0</v>
      </c>
      <c r="EV928">
        <v>146.72999999999999</v>
      </c>
      <c r="EW928">
        <v>11.9</v>
      </c>
      <c r="EX928">
        <v>0</v>
      </c>
      <c r="EY928">
        <v>0</v>
      </c>
      <c r="FQ928">
        <v>0</v>
      </c>
      <c r="FR928">
        <f t="shared" si="820"/>
        <v>0</v>
      </c>
      <c r="FS928">
        <v>0</v>
      </c>
      <c r="FX928">
        <v>114</v>
      </c>
      <c r="FY928">
        <v>67</v>
      </c>
      <c r="GA928" t="s">
        <v>3</v>
      </c>
      <c r="GD928">
        <v>0</v>
      </c>
      <c r="GF928">
        <v>476920981</v>
      </c>
      <c r="GG928">
        <v>2</v>
      </c>
      <c r="GH928">
        <v>1</v>
      </c>
      <c r="GI928">
        <v>2</v>
      </c>
      <c r="GJ928">
        <v>0</v>
      </c>
      <c r="GK928">
        <f>ROUND(R928*(R12)/100,2)</f>
        <v>0</v>
      </c>
      <c r="GL928">
        <f t="shared" si="821"/>
        <v>0</v>
      </c>
      <c r="GM928">
        <f t="shared" si="822"/>
        <v>2443.8200000000002</v>
      </c>
      <c r="GN928">
        <f t="shared" si="823"/>
        <v>0</v>
      </c>
      <c r="GO928">
        <f t="shared" si="824"/>
        <v>2443.8200000000002</v>
      </c>
      <c r="GP928">
        <f t="shared" si="825"/>
        <v>0</v>
      </c>
      <c r="GR928">
        <v>0</v>
      </c>
      <c r="GS928">
        <v>3</v>
      </c>
      <c r="GT928">
        <v>0</v>
      </c>
      <c r="GU928" t="s">
        <v>3</v>
      </c>
      <c r="GV928">
        <f t="shared" si="826"/>
        <v>0</v>
      </c>
      <c r="GW928">
        <v>1</v>
      </c>
      <c r="GX928">
        <f t="shared" si="827"/>
        <v>0</v>
      </c>
      <c r="HA928">
        <v>0</v>
      </c>
      <c r="HB928">
        <v>0</v>
      </c>
      <c r="HC928">
        <f t="shared" si="828"/>
        <v>0</v>
      </c>
      <c r="HE928" t="s">
        <v>3</v>
      </c>
      <c r="HF928" t="s">
        <v>3</v>
      </c>
      <c r="HM928" t="s">
        <v>3</v>
      </c>
      <c r="IK928">
        <v>0</v>
      </c>
    </row>
    <row r="929" spans="1:245" x14ac:dyDescent="0.2">
      <c r="A929">
        <v>17</v>
      </c>
      <c r="B929">
        <v>1</v>
      </c>
      <c r="E929" t="s">
        <v>1052</v>
      </c>
      <c r="F929" t="s">
        <v>1053</v>
      </c>
      <c r="G929" t="s">
        <v>1054</v>
      </c>
      <c r="H929" t="s">
        <v>169</v>
      </c>
      <c r="I929">
        <v>30</v>
      </c>
      <c r="J929">
        <v>0</v>
      </c>
      <c r="K929">
        <v>30</v>
      </c>
      <c r="O929">
        <f t="shared" si="796"/>
        <v>1502.93</v>
      </c>
      <c r="P929">
        <f t="shared" si="797"/>
        <v>1502.93</v>
      </c>
      <c r="Q929">
        <f t="shared" si="834"/>
        <v>0</v>
      </c>
      <c r="R929">
        <f t="shared" si="798"/>
        <v>0</v>
      </c>
      <c r="S929">
        <f t="shared" si="799"/>
        <v>0</v>
      </c>
      <c r="T929">
        <f t="shared" si="800"/>
        <v>0</v>
      </c>
      <c r="U929">
        <f t="shared" si="801"/>
        <v>0</v>
      </c>
      <c r="V929">
        <f t="shared" si="802"/>
        <v>0</v>
      </c>
      <c r="W929">
        <f t="shared" si="803"/>
        <v>0</v>
      </c>
      <c r="X929">
        <f t="shared" si="804"/>
        <v>0</v>
      </c>
      <c r="Y929">
        <f t="shared" si="805"/>
        <v>0</v>
      </c>
      <c r="AA929">
        <v>42938047</v>
      </c>
      <c r="AB929">
        <f t="shared" si="806"/>
        <v>29.82</v>
      </c>
      <c r="AC929">
        <f t="shared" si="807"/>
        <v>29.82</v>
      </c>
      <c r="AD929">
        <f t="shared" si="835"/>
        <v>0</v>
      </c>
      <c r="AE929">
        <f t="shared" si="836"/>
        <v>0</v>
      </c>
      <c r="AF929">
        <f t="shared" si="836"/>
        <v>0</v>
      </c>
      <c r="AG929">
        <f t="shared" si="808"/>
        <v>0</v>
      </c>
      <c r="AH929">
        <f t="shared" si="837"/>
        <v>0</v>
      </c>
      <c r="AI929">
        <f t="shared" si="837"/>
        <v>0</v>
      </c>
      <c r="AJ929">
        <f t="shared" si="809"/>
        <v>0</v>
      </c>
      <c r="AK929">
        <v>29.82</v>
      </c>
      <c r="AL929">
        <v>29.82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1</v>
      </c>
      <c r="AW929">
        <v>1</v>
      </c>
      <c r="AZ929">
        <v>1</v>
      </c>
      <c r="BA929">
        <v>1</v>
      </c>
      <c r="BB929">
        <v>1</v>
      </c>
      <c r="BC929">
        <v>1.68</v>
      </c>
      <c r="BD929" t="s">
        <v>3</v>
      </c>
      <c r="BE929" t="s">
        <v>3</v>
      </c>
      <c r="BF929" t="s">
        <v>3</v>
      </c>
      <c r="BG929" t="s">
        <v>3</v>
      </c>
      <c r="BH929">
        <v>3</v>
      </c>
      <c r="BI929">
        <v>2</v>
      </c>
      <c r="BJ929" t="s">
        <v>1055</v>
      </c>
      <c r="BM929">
        <v>1618</v>
      </c>
      <c r="BN929">
        <v>0</v>
      </c>
      <c r="BO929" t="s">
        <v>1053</v>
      </c>
      <c r="BP929">
        <v>1</v>
      </c>
      <c r="BQ929">
        <v>201</v>
      </c>
      <c r="BR929">
        <v>0</v>
      </c>
      <c r="BS929">
        <v>1</v>
      </c>
      <c r="BT929">
        <v>1</v>
      </c>
      <c r="BU929">
        <v>1</v>
      </c>
      <c r="BV929">
        <v>1</v>
      </c>
      <c r="BW929">
        <v>1</v>
      </c>
      <c r="BX929">
        <v>1</v>
      </c>
      <c r="BY929" t="s">
        <v>3</v>
      </c>
      <c r="BZ929">
        <v>0</v>
      </c>
      <c r="CA929">
        <v>0</v>
      </c>
      <c r="CB929" t="s">
        <v>3</v>
      </c>
      <c r="CE929">
        <v>30</v>
      </c>
      <c r="CF929">
        <v>0</v>
      </c>
      <c r="CG929">
        <v>0</v>
      </c>
      <c r="CM929">
        <v>0</v>
      </c>
      <c r="CN929" t="s">
        <v>3</v>
      </c>
      <c r="CO929">
        <v>0</v>
      </c>
      <c r="CP929">
        <f t="shared" si="810"/>
        <v>1502.93</v>
      </c>
      <c r="CQ929">
        <f t="shared" si="811"/>
        <v>50.1</v>
      </c>
      <c r="CR929">
        <f t="shared" si="838"/>
        <v>0</v>
      </c>
      <c r="CS929">
        <f t="shared" si="812"/>
        <v>0</v>
      </c>
      <c r="CT929">
        <f t="shared" si="813"/>
        <v>0</v>
      </c>
      <c r="CU929">
        <f t="shared" si="814"/>
        <v>0</v>
      </c>
      <c r="CV929">
        <f t="shared" si="815"/>
        <v>0</v>
      </c>
      <c r="CW929">
        <f t="shared" si="816"/>
        <v>0</v>
      </c>
      <c r="CX929">
        <f t="shared" si="817"/>
        <v>0</v>
      </c>
      <c r="CY929">
        <f t="shared" si="818"/>
        <v>0</v>
      </c>
      <c r="CZ929">
        <f t="shared" si="819"/>
        <v>0</v>
      </c>
      <c r="DC929" t="s">
        <v>3</v>
      </c>
      <c r="DD929" t="s">
        <v>3</v>
      </c>
      <c r="DE929" t="s">
        <v>3</v>
      </c>
      <c r="DF929" t="s">
        <v>3</v>
      </c>
      <c r="DG929" t="s">
        <v>3</v>
      </c>
      <c r="DH929" t="s">
        <v>3</v>
      </c>
      <c r="DI929" t="s">
        <v>3</v>
      </c>
      <c r="DJ929" t="s">
        <v>3</v>
      </c>
      <c r="DK929" t="s">
        <v>3</v>
      </c>
      <c r="DL929" t="s">
        <v>3</v>
      </c>
      <c r="DM929" t="s">
        <v>3</v>
      </c>
      <c r="DN929">
        <v>0</v>
      </c>
      <c r="DO929">
        <v>0</v>
      </c>
      <c r="DP929">
        <v>1</v>
      </c>
      <c r="DQ929">
        <v>1</v>
      </c>
      <c r="DU929">
        <v>1010</v>
      </c>
      <c r="DV929" t="s">
        <v>169</v>
      </c>
      <c r="DW929" t="s">
        <v>169</v>
      </c>
      <c r="DX929">
        <v>1</v>
      </c>
      <c r="DZ929" t="s">
        <v>3</v>
      </c>
      <c r="EA929" t="s">
        <v>3</v>
      </c>
      <c r="EB929" t="s">
        <v>3</v>
      </c>
      <c r="EC929" t="s">
        <v>3</v>
      </c>
      <c r="EE929">
        <v>43089696</v>
      </c>
      <c r="EF929">
        <v>201</v>
      </c>
      <c r="EG929" t="s">
        <v>812</v>
      </c>
      <c r="EH929">
        <v>0</v>
      </c>
      <c r="EI929" t="s">
        <v>3</v>
      </c>
      <c r="EJ929">
        <v>2</v>
      </c>
      <c r="EK929">
        <v>1618</v>
      </c>
      <c r="EL929" t="s">
        <v>813</v>
      </c>
      <c r="EM929" t="s">
        <v>814</v>
      </c>
      <c r="EO929" t="s">
        <v>3</v>
      </c>
      <c r="EQ929">
        <v>0</v>
      </c>
      <c r="ER929">
        <v>29.82</v>
      </c>
      <c r="ES929">
        <v>29.82</v>
      </c>
      <c r="ET929">
        <v>0</v>
      </c>
      <c r="EU929">
        <v>0</v>
      </c>
      <c r="EV929">
        <v>0</v>
      </c>
      <c r="EW929">
        <v>0</v>
      </c>
      <c r="EX929">
        <v>0</v>
      </c>
      <c r="EY929">
        <v>0</v>
      </c>
      <c r="FQ929">
        <v>0</v>
      </c>
      <c r="FR929">
        <f t="shared" si="820"/>
        <v>0</v>
      </c>
      <c r="FS929">
        <v>0</v>
      </c>
      <c r="FX929">
        <v>0</v>
      </c>
      <c r="FY929">
        <v>0</v>
      </c>
      <c r="GA929" t="s">
        <v>3</v>
      </c>
      <c r="GD929">
        <v>0</v>
      </c>
      <c r="GF929">
        <v>733481119</v>
      </c>
      <c r="GG929">
        <v>2</v>
      </c>
      <c r="GH929">
        <v>1</v>
      </c>
      <c r="GI929">
        <v>2</v>
      </c>
      <c r="GJ929">
        <v>0</v>
      </c>
      <c r="GK929">
        <f>ROUND(R929*(R12)/100,2)</f>
        <v>0</v>
      </c>
      <c r="GL929">
        <f t="shared" si="821"/>
        <v>0</v>
      </c>
      <c r="GM929">
        <f t="shared" si="822"/>
        <v>1502.93</v>
      </c>
      <c r="GN929">
        <f t="shared" si="823"/>
        <v>0</v>
      </c>
      <c r="GO929">
        <f t="shared" si="824"/>
        <v>1502.93</v>
      </c>
      <c r="GP929">
        <f t="shared" si="825"/>
        <v>0</v>
      </c>
      <c r="GR929">
        <v>0</v>
      </c>
      <c r="GS929">
        <v>3</v>
      </c>
      <c r="GT929">
        <v>0</v>
      </c>
      <c r="GU929" t="s">
        <v>3</v>
      </c>
      <c r="GV929">
        <f t="shared" si="826"/>
        <v>0</v>
      </c>
      <c r="GW929">
        <v>1</v>
      </c>
      <c r="GX929">
        <f t="shared" si="827"/>
        <v>0</v>
      </c>
      <c r="HA929">
        <v>0</v>
      </c>
      <c r="HB929">
        <v>0</v>
      </c>
      <c r="HC929">
        <f t="shared" si="828"/>
        <v>0</v>
      </c>
      <c r="HE929" t="s">
        <v>3</v>
      </c>
      <c r="HF929" t="s">
        <v>3</v>
      </c>
      <c r="HM929" t="s">
        <v>3</v>
      </c>
      <c r="IK929">
        <v>0</v>
      </c>
    </row>
    <row r="930" spans="1:245" x14ac:dyDescent="0.2">
      <c r="A930">
        <v>17</v>
      </c>
      <c r="B930">
        <v>1</v>
      </c>
      <c r="C930">
        <f>ROW(SmtRes!A486)</f>
        <v>486</v>
      </c>
      <c r="D930">
        <f>ROW(EtalonRes!A480)</f>
        <v>480</v>
      </c>
      <c r="E930" t="s">
        <v>1056</v>
      </c>
      <c r="F930" t="s">
        <v>1057</v>
      </c>
      <c r="G930" t="s">
        <v>1058</v>
      </c>
      <c r="H930" t="s">
        <v>162</v>
      </c>
      <c r="I930">
        <v>1</v>
      </c>
      <c r="J930">
        <v>0</v>
      </c>
      <c r="K930">
        <v>1</v>
      </c>
      <c r="O930">
        <f t="shared" si="796"/>
        <v>1533.81</v>
      </c>
      <c r="P930">
        <f t="shared" si="797"/>
        <v>520.48</v>
      </c>
      <c r="Q930">
        <f t="shared" si="834"/>
        <v>332.05</v>
      </c>
      <c r="R930">
        <f t="shared" si="798"/>
        <v>113.46</v>
      </c>
      <c r="S930">
        <f t="shared" si="799"/>
        <v>681.28</v>
      </c>
      <c r="T930">
        <f t="shared" si="800"/>
        <v>0</v>
      </c>
      <c r="U930">
        <f t="shared" si="801"/>
        <v>2.06</v>
      </c>
      <c r="V930">
        <f t="shared" si="802"/>
        <v>0</v>
      </c>
      <c r="W930">
        <f t="shared" si="803"/>
        <v>0</v>
      </c>
      <c r="X930">
        <f t="shared" si="804"/>
        <v>524.59</v>
      </c>
      <c r="Y930">
        <f t="shared" si="805"/>
        <v>279.32</v>
      </c>
      <c r="AA930">
        <v>42938047</v>
      </c>
      <c r="AB930">
        <f t="shared" si="806"/>
        <v>147.69999999999999</v>
      </c>
      <c r="AC930">
        <f t="shared" si="807"/>
        <v>79.099999999999994</v>
      </c>
      <c r="AD930">
        <f t="shared" si="835"/>
        <v>41.82</v>
      </c>
      <c r="AE930">
        <f t="shared" si="836"/>
        <v>4.46</v>
      </c>
      <c r="AF930">
        <f t="shared" si="836"/>
        <v>26.78</v>
      </c>
      <c r="AG930">
        <f t="shared" si="808"/>
        <v>0</v>
      </c>
      <c r="AH930">
        <f t="shared" si="837"/>
        <v>2.06</v>
      </c>
      <c r="AI930">
        <f t="shared" si="837"/>
        <v>0</v>
      </c>
      <c r="AJ930">
        <f t="shared" si="809"/>
        <v>0</v>
      </c>
      <c r="AK930">
        <v>147.69999999999999</v>
      </c>
      <c r="AL930">
        <v>79.099999999999994</v>
      </c>
      <c r="AM930">
        <v>41.82</v>
      </c>
      <c r="AN930">
        <v>4.46</v>
      </c>
      <c r="AO930">
        <v>26.78</v>
      </c>
      <c r="AP930">
        <v>0</v>
      </c>
      <c r="AQ930">
        <v>2.06</v>
      </c>
      <c r="AR930">
        <v>0</v>
      </c>
      <c r="AS930">
        <v>0</v>
      </c>
      <c r="AT930">
        <v>77</v>
      </c>
      <c r="AU930">
        <v>41</v>
      </c>
      <c r="AV930">
        <v>1</v>
      </c>
      <c r="AW930">
        <v>1</v>
      </c>
      <c r="AZ930">
        <v>1</v>
      </c>
      <c r="BA930">
        <v>25.44</v>
      </c>
      <c r="BB930">
        <v>7.94</v>
      </c>
      <c r="BC930">
        <v>6.58</v>
      </c>
      <c r="BD930" t="s">
        <v>3</v>
      </c>
      <c r="BE930" t="s">
        <v>3</v>
      </c>
      <c r="BF930" t="s">
        <v>3</v>
      </c>
      <c r="BG930" t="s">
        <v>3</v>
      </c>
      <c r="BH930">
        <v>0</v>
      </c>
      <c r="BI930">
        <v>2</v>
      </c>
      <c r="BJ930" t="s">
        <v>1059</v>
      </c>
      <c r="BM930">
        <v>333</v>
      </c>
      <c r="BN930">
        <v>0</v>
      </c>
      <c r="BO930" t="s">
        <v>1057</v>
      </c>
      <c r="BP930">
        <v>1</v>
      </c>
      <c r="BQ930">
        <v>40</v>
      </c>
      <c r="BR930">
        <v>0</v>
      </c>
      <c r="BS930">
        <v>25.44</v>
      </c>
      <c r="BT930">
        <v>1</v>
      </c>
      <c r="BU930">
        <v>1</v>
      </c>
      <c r="BV930">
        <v>1</v>
      </c>
      <c r="BW930">
        <v>1</v>
      </c>
      <c r="BX930">
        <v>1</v>
      </c>
      <c r="BY930" t="s">
        <v>3</v>
      </c>
      <c r="BZ930">
        <v>77</v>
      </c>
      <c r="CA930">
        <v>41</v>
      </c>
      <c r="CB930" t="s">
        <v>3</v>
      </c>
      <c r="CE930">
        <v>30</v>
      </c>
      <c r="CF930">
        <v>0</v>
      </c>
      <c r="CG930">
        <v>0</v>
      </c>
      <c r="CM930">
        <v>0</v>
      </c>
      <c r="CN930" t="s">
        <v>3</v>
      </c>
      <c r="CO930">
        <v>0</v>
      </c>
      <c r="CP930">
        <f t="shared" si="810"/>
        <v>1533.81</v>
      </c>
      <c r="CQ930">
        <f t="shared" si="811"/>
        <v>520.48</v>
      </c>
      <c r="CR930">
        <f t="shared" si="838"/>
        <v>332.05</v>
      </c>
      <c r="CS930">
        <f t="shared" si="812"/>
        <v>113.46</v>
      </c>
      <c r="CT930">
        <f t="shared" si="813"/>
        <v>681.28</v>
      </c>
      <c r="CU930">
        <f t="shared" si="814"/>
        <v>0</v>
      </c>
      <c r="CV930">
        <f t="shared" si="815"/>
        <v>2.06</v>
      </c>
      <c r="CW930">
        <f t="shared" si="816"/>
        <v>0</v>
      </c>
      <c r="CX930">
        <f t="shared" si="817"/>
        <v>0</v>
      </c>
      <c r="CY930">
        <f t="shared" si="818"/>
        <v>524.5856</v>
      </c>
      <c r="CZ930">
        <f t="shared" si="819"/>
        <v>279.32479999999998</v>
      </c>
      <c r="DC930" t="s">
        <v>3</v>
      </c>
      <c r="DD930" t="s">
        <v>3</v>
      </c>
      <c r="DE930" t="s">
        <v>3</v>
      </c>
      <c r="DF930" t="s">
        <v>3</v>
      </c>
      <c r="DG930" t="s">
        <v>3</v>
      </c>
      <c r="DH930" t="s">
        <v>3</v>
      </c>
      <c r="DI930" t="s">
        <v>3</v>
      </c>
      <c r="DJ930" t="s">
        <v>3</v>
      </c>
      <c r="DK930" t="s">
        <v>3</v>
      </c>
      <c r="DL930" t="s">
        <v>3</v>
      </c>
      <c r="DM930" t="s">
        <v>3</v>
      </c>
      <c r="DN930">
        <v>114</v>
      </c>
      <c r="DO930">
        <v>67</v>
      </c>
      <c r="DP930">
        <v>1</v>
      </c>
      <c r="DQ930">
        <v>1</v>
      </c>
      <c r="DU930">
        <v>1013</v>
      </c>
      <c r="DV930" t="s">
        <v>162</v>
      </c>
      <c r="DW930" t="s">
        <v>162</v>
      </c>
      <c r="DX930">
        <v>1</v>
      </c>
      <c r="DZ930" t="s">
        <v>3</v>
      </c>
      <c r="EA930" t="s">
        <v>3</v>
      </c>
      <c r="EB930" t="s">
        <v>3</v>
      </c>
      <c r="EC930" t="s">
        <v>3</v>
      </c>
      <c r="EE930">
        <v>43088411</v>
      </c>
      <c r="EF930">
        <v>40</v>
      </c>
      <c r="EG930" t="s">
        <v>553</v>
      </c>
      <c r="EH930">
        <v>0</v>
      </c>
      <c r="EI930" t="s">
        <v>3</v>
      </c>
      <c r="EJ930">
        <v>2</v>
      </c>
      <c r="EK930">
        <v>333</v>
      </c>
      <c r="EL930" t="s">
        <v>554</v>
      </c>
      <c r="EM930" t="s">
        <v>555</v>
      </c>
      <c r="EO930" t="s">
        <v>3</v>
      </c>
      <c r="EQ930">
        <v>0</v>
      </c>
      <c r="ER930">
        <v>147.69999999999999</v>
      </c>
      <c r="ES930">
        <v>79.099999999999994</v>
      </c>
      <c r="ET930">
        <v>41.82</v>
      </c>
      <c r="EU930">
        <v>4.46</v>
      </c>
      <c r="EV930">
        <v>26.78</v>
      </c>
      <c r="EW930">
        <v>2.06</v>
      </c>
      <c r="EX930">
        <v>0</v>
      </c>
      <c r="EY930">
        <v>0</v>
      </c>
      <c r="FQ930">
        <v>0</v>
      </c>
      <c r="FR930">
        <f t="shared" si="820"/>
        <v>0</v>
      </c>
      <c r="FS930">
        <v>0</v>
      </c>
      <c r="FX930">
        <v>114</v>
      </c>
      <c r="FY930">
        <v>67</v>
      </c>
      <c r="GA930" t="s">
        <v>3</v>
      </c>
      <c r="GD930">
        <v>0</v>
      </c>
      <c r="GF930">
        <v>-994560317</v>
      </c>
      <c r="GG930">
        <v>2</v>
      </c>
      <c r="GH930">
        <v>1</v>
      </c>
      <c r="GI930">
        <v>2</v>
      </c>
      <c r="GJ930">
        <v>0</v>
      </c>
      <c r="GK930">
        <f>ROUND(R930*(R12)/100,2)</f>
        <v>178.13</v>
      </c>
      <c r="GL930">
        <f t="shared" si="821"/>
        <v>0</v>
      </c>
      <c r="GM930">
        <f t="shared" si="822"/>
        <v>2515.85</v>
      </c>
      <c r="GN930">
        <f t="shared" si="823"/>
        <v>0</v>
      </c>
      <c r="GO930">
        <f t="shared" si="824"/>
        <v>2515.85</v>
      </c>
      <c r="GP930">
        <f t="shared" si="825"/>
        <v>0</v>
      </c>
      <c r="GR930">
        <v>0</v>
      </c>
      <c r="GS930">
        <v>3</v>
      </c>
      <c r="GT930">
        <v>0</v>
      </c>
      <c r="GU930" t="s">
        <v>3</v>
      </c>
      <c r="GV930">
        <f t="shared" si="826"/>
        <v>0</v>
      </c>
      <c r="GW930">
        <v>1</v>
      </c>
      <c r="GX930">
        <f t="shared" si="827"/>
        <v>0</v>
      </c>
      <c r="HA930">
        <v>0</v>
      </c>
      <c r="HB930">
        <v>0</v>
      </c>
      <c r="HC930">
        <f t="shared" si="828"/>
        <v>0</v>
      </c>
      <c r="HE930" t="s">
        <v>3</v>
      </c>
      <c r="HF930" t="s">
        <v>3</v>
      </c>
      <c r="HM930" t="s">
        <v>3</v>
      </c>
      <c r="IK930">
        <v>0</v>
      </c>
    </row>
    <row r="931" spans="1:245" x14ac:dyDescent="0.2">
      <c r="A931">
        <v>17</v>
      </c>
      <c r="B931">
        <v>1</v>
      </c>
      <c r="E931" t="s">
        <v>1060</v>
      </c>
      <c r="F931" t="s">
        <v>1061</v>
      </c>
      <c r="G931" t="s">
        <v>1596</v>
      </c>
      <c r="H931" t="s">
        <v>1062</v>
      </c>
      <c r="I931">
        <v>1</v>
      </c>
      <c r="J931">
        <v>0</v>
      </c>
      <c r="K931">
        <v>1</v>
      </c>
      <c r="O931">
        <f t="shared" si="796"/>
        <v>170267.15</v>
      </c>
      <c r="P931">
        <f t="shared" si="797"/>
        <v>170267.15</v>
      </c>
      <c r="Q931">
        <f t="shared" si="834"/>
        <v>0</v>
      </c>
      <c r="R931">
        <f t="shared" si="798"/>
        <v>0</v>
      </c>
      <c r="S931">
        <f t="shared" si="799"/>
        <v>0</v>
      </c>
      <c r="T931">
        <f t="shared" si="800"/>
        <v>0</v>
      </c>
      <c r="U931">
        <f t="shared" si="801"/>
        <v>0</v>
      </c>
      <c r="V931">
        <f t="shared" si="802"/>
        <v>0</v>
      </c>
      <c r="W931">
        <f t="shared" si="803"/>
        <v>0</v>
      </c>
      <c r="X931">
        <f t="shared" si="804"/>
        <v>0</v>
      </c>
      <c r="Y931">
        <f t="shared" si="805"/>
        <v>0</v>
      </c>
      <c r="AA931">
        <v>42938047</v>
      </c>
      <c r="AB931">
        <f t="shared" si="806"/>
        <v>42888.45</v>
      </c>
      <c r="AC931">
        <f t="shared" si="807"/>
        <v>42888.45</v>
      </c>
      <c r="AD931">
        <f t="shared" si="835"/>
        <v>0</v>
      </c>
      <c r="AE931">
        <f t="shared" si="836"/>
        <v>0</v>
      </c>
      <c r="AF931">
        <f t="shared" si="836"/>
        <v>0</v>
      </c>
      <c r="AG931">
        <f t="shared" si="808"/>
        <v>0</v>
      </c>
      <c r="AH931">
        <f t="shared" si="837"/>
        <v>0</v>
      </c>
      <c r="AI931">
        <f t="shared" si="837"/>
        <v>0</v>
      </c>
      <c r="AJ931">
        <f t="shared" si="809"/>
        <v>0</v>
      </c>
      <c r="AK931">
        <v>42888.45</v>
      </c>
      <c r="AL931">
        <v>42888.45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1</v>
      </c>
      <c r="AW931">
        <v>1</v>
      </c>
      <c r="AZ931">
        <v>1</v>
      </c>
      <c r="BA931">
        <v>1</v>
      </c>
      <c r="BB931">
        <v>1</v>
      </c>
      <c r="BC931">
        <v>3.97</v>
      </c>
      <c r="BD931" t="s">
        <v>3</v>
      </c>
      <c r="BE931" t="s">
        <v>3</v>
      </c>
      <c r="BF931" t="s">
        <v>3</v>
      </c>
      <c r="BG931" t="s">
        <v>3</v>
      </c>
      <c r="BH931">
        <v>3</v>
      </c>
      <c r="BI931">
        <v>3</v>
      </c>
      <c r="BJ931" t="s">
        <v>1063</v>
      </c>
      <c r="BM931">
        <v>746</v>
      </c>
      <c r="BN931">
        <v>0</v>
      </c>
      <c r="BO931" t="s">
        <v>3</v>
      </c>
      <c r="BP931">
        <v>0</v>
      </c>
      <c r="BQ931">
        <v>130</v>
      </c>
      <c r="BR931">
        <v>0</v>
      </c>
      <c r="BS931">
        <v>1</v>
      </c>
      <c r="BT931">
        <v>1</v>
      </c>
      <c r="BU931">
        <v>1</v>
      </c>
      <c r="BV931">
        <v>1</v>
      </c>
      <c r="BW931">
        <v>1</v>
      </c>
      <c r="BX931">
        <v>1</v>
      </c>
      <c r="BY931" t="s">
        <v>3</v>
      </c>
      <c r="BZ931">
        <v>0</v>
      </c>
      <c r="CA931">
        <v>0</v>
      </c>
      <c r="CB931" t="s">
        <v>3</v>
      </c>
      <c r="CE931">
        <v>30</v>
      </c>
      <c r="CF931">
        <v>0</v>
      </c>
      <c r="CG931">
        <v>0</v>
      </c>
      <c r="CM931">
        <v>0</v>
      </c>
      <c r="CN931" t="s">
        <v>3</v>
      </c>
      <c r="CO931">
        <v>0</v>
      </c>
      <c r="CP931">
        <f t="shared" si="810"/>
        <v>170267.15</v>
      </c>
      <c r="CQ931">
        <f t="shared" si="811"/>
        <v>170267.15</v>
      </c>
      <c r="CR931">
        <f t="shared" si="838"/>
        <v>0</v>
      </c>
      <c r="CS931">
        <f t="shared" si="812"/>
        <v>0</v>
      </c>
      <c r="CT931">
        <f t="shared" si="813"/>
        <v>0</v>
      </c>
      <c r="CU931">
        <f t="shared" si="814"/>
        <v>0</v>
      </c>
      <c r="CV931">
        <f t="shared" si="815"/>
        <v>0</v>
      </c>
      <c r="CW931">
        <f t="shared" si="816"/>
        <v>0</v>
      </c>
      <c r="CX931">
        <f t="shared" si="817"/>
        <v>0</v>
      </c>
      <c r="CY931">
        <f t="shared" si="818"/>
        <v>0</v>
      </c>
      <c r="CZ931">
        <f t="shared" si="819"/>
        <v>0</v>
      </c>
      <c r="DC931" t="s">
        <v>3</v>
      </c>
      <c r="DD931" t="s">
        <v>3</v>
      </c>
      <c r="DE931" t="s">
        <v>3</v>
      </c>
      <c r="DF931" t="s">
        <v>3</v>
      </c>
      <c r="DG931" t="s">
        <v>3</v>
      </c>
      <c r="DH931" t="s">
        <v>3</v>
      </c>
      <c r="DI931" t="s">
        <v>3</v>
      </c>
      <c r="DJ931" t="s">
        <v>3</v>
      </c>
      <c r="DK931" t="s">
        <v>3</v>
      </c>
      <c r="DL931" t="s">
        <v>3</v>
      </c>
      <c r="DM931" t="s">
        <v>3</v>
      </c>
      <c r="DN931">
        <v>0</v>
      </c>
      <c r="DO931">
        <v>0</v>
      </c>
      <c r="DP931">
        <v>1</v>
      </c>
      <c r="DQ931">
        <v>1</v>
      </c>
      <c r="DU931">
        <v>1013</v>
      </c>
      <c r="DV931" t="s">
        <v>1062</v>
      </c>
      <c r="DW931" t="s">
        <v>1062</v>
      </c>
      <c r="DX931">
        <v>1</v>
      </c>
      <c r="DZ931" t="s">
        <v>3</v>
      </c>
      <c r="EA931" t="s">
        <v>3</v>
      </c>
      <c r="EB931" t="s">
        <v>3</v>
      </c>
      <c r="EC931" t="s">
        <v>3</v>
      </c>
      <c r="EE931">
        <v>43088824</v>
      </c>
      <c r="EF931">
        <v>130</v>
      </c>
      <c r="EG931" t="s">
        <v>1064</v>
      </c>
      <c r="EH931">
        <v>0</v>
      </c>
      <c r="EI931" t="s">
        <v>3</v>
      </c>
      <c r="EJ931">
        <v>3</v>
      </c>
      <c r="EK931">
        <v>746</v>
      </c>
      <c r="EL931" t="s">
        <v>1065</v>
      </c>
      <c r="EM931" t="s">
        <v>1066</v>
      </c>
      <c r="EO931" t="s">
        <v>3</v>
      </c>
      <c r="EQ931">
        <v>0</v>
      </c>
      <c r="ER931">
        <v>42888.45</v>
      </c>
      <c r="ES931">
        <v>42888.45</v>
      </c>
      <c r="ET931">
        <v>0</v>
      </c>
      <c r="EU931">
        <v>0</v>
      </c>
      <c r="EV931">
        <v>0</v>
      </c>
      <c r="EW931">
        <v>0</v>
      </c>
      <c r="EX931">
        <v>0</v>
      </c>
      <c r="EY931">
        <v>0</v>
      </c>
      <c r="FQ931">
        <v>0</v>
      </c>
      <c r="FR931">
        <f t="shared" si="820"/>
        <v>170267.15</v>
      </c>
      <c r="FS931">
        <v>0</v>
      </c>
      <c r="FX931">
        <v>0</v>
      </c>
      <c r="FY931">
        <v>0</v>
      </c>
      <c r="GA931" t="s">
        <v>3</v>
      </c>
      <c r="GD931">
        <v>0</v>
      </c>
      <c r="GF931">
        <v>-530990625</v>
      </c>
      <c r="GG931">
        <v>2</v>
      </c>
      <c r="GH931">
        <v>1</v>
      </c>
      <c r="GI931">
        <v>3</v>
      </c>
      <c r="GJ931">
        <v>0</v>
      </c>
      <c r="GK931">
        <f>ROUND(R931*(R12)/100,2)</f>
        <v>0</v>
      </c>
      <c r="GL931">
        <f t="shared" si="821"/>
        <v>0</v>
      </c>
      <c r="GM931">
        <f t="shared" si="822"/>
        <v>170267.15</v>
      </c>
      <c r="GN931">
        <f t="shared" si="823"/>
        <v>0</v>
      </c>
      <c r="GO931">
        <f t="shared" si="824"/>
        <v>0</v>
      </c>
      <c r="GP931">
        <f t="shared" si="825"/>
        <v>0</v>
      </c>
      <c r="GR931">
        <v>0</v>
      </c>
      <c r="GS931">
        <v>3</v>
      </c>
      <c r="GT931">
        <v>0</v>
      </c>
      <c r="GU931" t="s">
        <v>3</v>
      </c>
      <c r="GV931">
        <f t="shared" si="826"/>
        <v>0</v>
      </c>
      <c r="GW931">
        <v>1</v>
      </c>
      <c r="GX931">
        <f t="shared" si="827"/>
        <v>0</v>
      </c>
      <c r="HA931">
        <v>0</v>
      </c>
      <c r="HB931">
        <v>0</v>
      </c>
      <c r="HC931">
        <f t="shared" si="828"/>
        <v>0</v>
      </c>
      <c r="HE931" t="s">
        <v>3</v>
      </c>
      <c r="HF931" t="s">
        <v>3</v>
      </c>
      <c r="HM931" t="s">
        <v>3</v>
      </c>
      <c r="IK931">
        <v>0</v>
      </c>
    </row>
    <row r="932" spans="1:245" x14ac:dyDescent="0.2">
      <c r="A932">
        <v>17</v>
      </c>
      <c r="B932">
        <v>1</v>
      </c>
      <c r="C932">
        <f>ROW(SmtRes!A487)</f>
        <v>487</v>
      </c>
      <c r="D932">
        <f>ROW(EtalonRes!A481)</f>
        <v>481</v>
      </c>
      <c r="E932" t="s">
        <v>1067</v>
      </c>
      <c r="F932" t="s">
        <v>1068</v>
      </c>
      <c r="G932" t="s">
        <v>1069</v>
      </c>
      <c r="H932" t="s">
        <v>1070</v>
      </c>
      <c r="I932">
        <v>1</v>
      </c>
      <c r="J932">
        <v>0</v>
      </c>
      <c r="K932">
        <v>1</v>
      </c>
      <c r="O932">
        <f t="shared" si="796"/>
        <v>22114.99</v>
      </c>
      <c r="P932">
        <f t="shared" si="797"/>
        <v>0</v>
      </c>
      <c r="Q932">
        <f t="shared" si="834"/>
        <v>0</v>
      </c>
      <c r="R932">
        <f t="shared" si="798"/>
        <v>0</v>
      </c>
      <c r="S932">
        <f t="shared" si="799"/>
        <v>22114.99</v>
      </c>
      <c r="T932">
        <f t="shared" si="800"/>
        <v>0</v>
      </c>
      <c r="U932">
        <f t="shared" si="801"/>
        <v>44.800000000000004</v>
      </c>
      <c r="V932">
        <f t="shared" si="802"/>
        <v>0</v>
      </c>
      <c r="W932">
        <f t="shared" si="803"/>
        <v>0</v>
      </c>
      <c r="X932">
        <f t="shared" si="804"/>
        <v>15038.19</v>
      </c>
      <c r="Y932">
        <f t="shared" si="805"/>
        <v>9067.15</v>
      </c>
      <c r="AA932">
        <v>42938047</v>
      </c>
      <c r="AB932">
        <f t="shared" si="806"/>
        <v>869.29600000000005</v>
      </c>
      <c r="AC932">
        <f t="shared" si="807"/>
        <v>0</v>
      </c>
      <c r="AD932">
        <f t="shared" si="835"/>
        <v>0</v>
      </c>
      <c r="AE932">
        <f>ROUND((EU932),6)</f>
        <v>0</v>
      </c>
      <c r="AF932">
        <f>ROUND(((EV932*0.8)),6)</f>
        <v>869.29600000000005</v>
      </c>
      <c r="AG932">
        <f t="shared" si="808"/>
        <v>0</v>
      </c>
      <c r="AH932">
        <f>((EW932*0.8))</f>
        <v>44.800000000000004</v>
      </c>
      <c r="AI932">
        <f>(EX932)</f>
        <v>0</v>
      </c>
      <c r="AJ932">
        <f t="shared" si="809"/>
        <v>0</v>
      </c>
      <c r="AK932">
        <v>1086.6199999999999</v>
      </c>
      <c r="AL932">
        <v>0</v>
      </c>
      <c r="AM932">
        <v>0</v>
      </c>
      <c r="AN932">
        <v>0</v>
      </c>
      <c r="AO932">
        <v>1086.6199999999999</v>
      </c>
      <c r="AP932">
        <v>0</v>
      </c>
      <c r="AQ932">
        <v>56</v>
      </c>
      <c r="AR932">
        <v>0</v>
      </c>
      <c r="AS932">
        <v>0</v>
      </c>
      <c r="AT932">
        <v>68</v>
      </c>
      <c r="AU932">
        <v>41</v>
      </c>
      <c r="AV932">
        <v>1</v>
      </c>
      <c r="AW932">
        <v>1</v>
      </c>
      <c r="AZ932">
        <v>1</v>
      </c>
      <c r="BA932">
        <v>25.44</v>
      </c>
      <c r="BB932">
        <v>1</v>
      </c>
      <c r="BC932">
        <v>1</v>
      </c>
      <c r="BD932" t="s">
        <v>3</v>
      </c>
      <c r="BE932" t="s">
        <v>3</v>
      </c>
      <c r="BF932" t="s">
        <v>3</v>
      </c>
      <c r="BG932" t="s">
        <v>3</v>
      </c>
      <c r="BH932">
        <v>0</v>
      </c>
      <c r="BI932">
        <v>4</v>
      </c>
      <c r="BJ932" t="s">
        <v>1071</v>
      </c>
      <c r="BM932">
        <v>382</v>
      </c>
      <c r="BN932">
        <v>0</v>
      </c>
      <c r="BO932" t="s">
        <v>3</v>
      </c>
      <c r="BP932">
        <v>0</v>
      </c>
      <c r="BQ932">
        <v>50</v>
      </c>
      <c r="BR932">
        <v>0</v>
      </c>
      <c r="BS932">
        <v>1</v>
      </c>
      <c r="BT932">
        <v>1</v>
      </c>
      <c r="BU932">
        <v>1</v>
      </c>
      <c r="BV932">
        <v>1</v>
      </c>
      <c r="BW932">
        <v>1</v>
      </c>
      <c r="BX932">
        <v>1</v>
      </c>
      <c r="BY932" t="s">
        <v>3</v>
      </c>
      <c r="BZ932">
        <v>68</v>
      </c>
      <c r="CA932">
        <v>41</v>
      </c>
      <c r="CB932" t="s">
        <v>3</v>
      </c>
      <c r="CE932">
        <v>30</v>
      </c>
      <c r="CF932">
        <v>0</v>
      </c>
      <c r="CG932">
        <v>0</v>
      </c>
      <c r="CM932">
        <v>0</v>
      </c>
      <c r="CN932" t="s">
        <v>3</v>
      </c>
      <c r="CO932">
        <v>0</v>
      </c>
      <c r="CP932">
        <f t="shared" si="810"/>
        <v>22114.99</v>
      </c>
      <c r="CQ932">
        <f t="shared" si="811"/>
        <v>0</v>
      </c>
      <c r="CR932">
        <f t="shared" si="838"/>
        <v>0</v>
      </c>
      <c r="CS932">
        <f t="shared" si="812"/>
        <v>0</v>
      </c>
      <c r="CT932">
        <f t="shared" si="813"/>
        <v>22114.99</v>
      </c>
      <c r="CU932">
        <f t="shared" si="814"/>
        <v>0</v>
      </c>
      <c r="CV932">
        <f t="shared" si="815"/>
        <v>44.800000000000004</v>
      </c>
      <c r="CW932">
        <f t="shared" si="816"/>
        <v>0</v>
      </c>
      <c r="CX932">
        <f t="shared" si="817"/>
        <v>0</v>
      </c>
      <c r="CY932">
        <f t="shared" si="818"/>
        <v>15038.193200000002</v>
      </c>
      <c r="CZ932">
        <f t="shared" si="819"/>
        <v>9067.1458999999995</v>
      </c>
      <c r="DC932" t="s">
        <v>3</v>
      </c>
      <c r="DD932" t="s">
        <v>3</v>
      </c>
      <c r="DE932" t="s">
        <v>3</v>
      </c>
      <c r="DF932" t="s">
        <v>3</v>
      </c>
      <c r="DG932" t="s">
        <v>31</v>
      </c>
      <c r="DH932" t="s">
        <v>3</v>
      </c>
      <c r="DI932" t="s">
        <v>31</v>
      </c>
      <c r="DJ932" t="s">
        <v>3</v>
      </c>
      <c r="DK932" t="s">
        <v>3</v>
      </c>
      <c r="DL932" t="s">
        <v>3</v>
      </c>
      <c r="DM932" t="s">
        <v>3</v>
      </c>
      <c r="DN932">
        <v>75</v>
      </c>
      <c r="DO932">
        <v>70</v>
      </c>
      <c r="DP932">
        <v>1</v>
      </c>
      <c r="DQ932">
        <v>1</v>
      </c>
      <c r="DU932">
        <v>1013</v>
      </c>
      <c r="DV932" t="s">
        <v>1070</v>
      </c>
      <c r="DW932" t="s">
        <v>1070</v>
      </c>
      <c r="DX932">
        <v>1</v>
      </c>
      <c r="DZ932" t="s">
        <v>3</v>
      </c>
      <c r="EA932" t="s">
        <v>3</v>
      </c>
      <c r="EB932" t="s">
        <v>3</v>
      </c>
      <c r="EC932" t="s">
        <v>3</v>
      </c>
      <c r="EE932">
        <v>43088460</v>
      </c>
      <c r="EF932">
        <v>50</v>
      </c>
      <c r="EG932" t="s">
        <v>1072</v>
      </c>
      <c r="EH932">
        <v>0</v>
      </c>
      <c r="EI932" t="s">
        <v>3</v>
      </c>
      <c r="EJ932">
        <v>4</v>
      </c>
      <c r="EK932">
        <v>382</v>
      </c>
      <c r="EL932" t="s">
        <v>1073</v>
      </c>
      <c r="EM932" t="s">
        <v>1074</v>
      </c>
      <c r="EO932" t="s">
        <v>3</v>
      </c>
      <c r="EQ932">
        <v>0</v>
      </c>
      <c r="ER932">
        <v>1086.6199999999999</v>
      </c>
      <c r="ES932">
        <v>0</v>
      </c>
      <c r="ET932">
        <v>0</v>
      </c>
      <c r="EU932">
        <v>0</v>
      </c>
      <c r="EV932">
        <v>1086.6199999999999</v>
      </c>
      <c r="EW932">
        <v>56</v>
      </c>
      <c r="EX932">
        <v>0</v>
      </c>
      <c r="EY932">
        <v>0</v>
      </c>
      <c r="FQ932">
        <v>0</v>
      </c>
      <c r="FR932">
        <f t="shared" si="820"/>
        <v>0</v>
      </c>
      <c r="FS932">
        <v>0</v>
      </c>
      <c r="FX932">
        <v>75</v>
      </c>
      <c r="FY932">
        <v>70</v>
      </c>
      <c r="GA932" t="s">
        <v>3</v>
      </c>
      <c r="GD932">
        <v>0</v>
      </c>
      <c r="GF932">
        <v>-1711702085</v>
      </c>
      <c r="GG932">
        <v>2</v>
      </c>
      <c r="GH932">
        <v>1</v>
      </c>
      <c r="GI932">
        <v>2</v>
      </c>
      <c r="GJ932">
        <v>0</v>
      </c>
      <c r="GK932">
        <f>ROUND(R932*(R12)/100,2)</f>
        <v>0</v>
      </c>
      <c r="GL932">
        <f t="shared" si="821"/>
        <v>0</v>
      </c>
      <c r="GM932">
        <f t="shared" si="822"/>
        <v>46220.33</v>
      </c>
      <c r="GN932">
        <f t="shared" si="823"/>
        <v>0</v>
      </c>
      <c r="GO932">
        <f t="shared" si="824"/>
        <v>0</v>
      </c>
      <c r="GP932">
        <f t="shared" si="825"/>
        <v>46220.33</v>
      </c>
      <c r="GR932">
        <v>0</v>
      </c>
      <c r="GS932">
        <v>3</v>
      </c>
      <c r="GT932">
        <v>0</v>
      </c>
      <c r="GU932" t="s">
        <v>3</v>
      </c>
      <c r="GV932">
        <f t="shared" si="826"/>
        <v>0</v>
      </c>
      <c r="GW932">
        <v>1</v>
      </c>
      <c r="GX932">
        <f t="shared" si="827"/>
        <v>0</v>
      </c>
      <c r="HA932">
        <v>0</v>
      </c>
      <c r="HB932">
        <v>0</v>
      </c>
      <c r="HC932">
        <f t="shared" si="828"/>
        <v>0</v>
      </c>
      <c r="HE932" t="s">
        <v>3</v>
      </c>
      <c r="HF932" t="s">
        <v>3</v>
      </c>
      <c r="HM932" t="s">
        <v>3</v>
      </c>
      <c r="IK932">
        <v>0</v>
      </c>
    </row>
    <row r="933" spans="1:245" x14ac:dyDescent="0.2">
      <c r="A933">
        <v>17</v>
      </c>
      <c r="B933">
        <v>1</v>
      </c>
      <c r="C933">
        <f>ROW(SmtRes!A488)</f>
        <v>488</v>
      </c>
      <c r="D933">
        <f>ROW(EtalonRes!A482)</f>
        <v>482</v>
      </c>
      <c r="E933" t="s">
        <v>1075</v>
      </c>
      <c r="F933" t="s">
        <v>204</v>
      </c>
      <c r="G933" t="s">
        <v>1076</v>
      </c>
      <c r="H933" t="s">
        <v>104</v>
      </c>
      <c r="I933">
        <v>51.3</v>
      </c>
      <c r="J933">
        <v>0</v>
      </c>
      <c r="K933">
        <v>51.3</v>
      </c>
      <c r="O933">
        <f t="shared" si="796"/>
        <v>28813.16</v>
      </c>
      <c r="P933">
        <f t="shared" si="797"/>
        <v>0</v>
      </c>
      <c r="Q933">
        <f t="shared" si="834"/>
        <v>28813.16</v>
      </c>
      <c r="R933">
        <f t="shared" si="798"/>
        <v>0</v>
      </c>
      <c r="S933">
        <f t="shared" si="799"/>
        <v>0</v>
      </c>
      <c r="T933">
        <f t="shared" si="800"/>
        <v>0</v>
      </c>
      <c r="U933">
        <f t="shared" si="801"/>
        <v>0</v>
      </c>
      <c r="V933">
        <f t="shared" si="802"/>
        <v>0</v>
      </c>
      <c r="W933">
        <f t="shared" si="803"/>
        <v>0</v>
      </c>
      <c r="X933">
        <f t="shared" si="804"/>
        <v>0</v>
      </c>
      <c r="Y933">
        <f t="shared" si="805"/>
        <v>0</v>
      </c>
      <c r="AA933">
        <v>42938047</v>
      </c>
      <c r="AB933">
        <f t="shared" si="806"/>
        <v>46</v>
      </c>
      <c r="AC933">
        <f t="shared" si="807"/>
        <v>0</v>
      </c>
      <c r="AD933">
        <f t="shared" si="835"/>
        <v>46</v>
      </c>
      <c r="AE933">
        <f>ROUND((EU933),6)</f>
        <v>0</v>
      </c>
      <c r="AF933">
        <f>ROUND((EV933),6)</f>
        <v>0</v>
      </c>
      <c r="AG933">
        <f t="shared" si="808"/>
        <v>0</v>
      </c>
      <c r="AH933">
        <f>(EW933)</f>
        <v>0</v>
      </c>
      <c r="AI933">
        <f>(EX933)</f>
        <v>0</v>
      </c>
      <c r="AJ933">
        <f t="shared" si="809"/>
        <v>0</v>
      </c>
      <c r="AK933">
        <v>46</v>
      </c>
      <c r="AL933">
        <v>0</v>
      </c>
      <c r="AM933">
        <v>46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93</v>
      </c>
      <c r="AU933">
        <v>64</v>
      </c>
      <c r="AV933">
        <v>1</v>
      </c>
      <c r="AW933">
        <v>1</v>
      </c>
      <c r="AZ933">
        <v>1</v>
      </c>
      <c r="BA933">
        <v>1</v>
      </c>
      <c r="BB933">
        <v>12.21</v>
      </c>
      <c r="BC933">
        <v>1</v>
      </c>
      <c r="BD933" t="s">
        <v>3</v>
      </c>
      <c r="BE933" t="s">
        <v>3</v>
      </c>
      <c r="BF933" t="s">
        <v>3</v>
      </c>
      <c r="BG933" t="s">
        <v>3</v>
      </c>
      <c r="BH933">
        <v>0</v>
      </c>
      <c r="BI933">
        <v>4</v>
      </c>
      <c r="BJ933" t="s">
        <v>206</v>
      </c>
      <c r="BM933">
        <v>1111</v>
      </c>
      <c r="BN933">
        <v>0</v>
      </c>
      <c r="BO933" t="s">
        <v>204</v>
      </c>
      <c r="BP933">
        <v>1</v>
      </c>
      <c r="BQ933">
        <v>150</v>
      </c>
      <c r="BR933">
        <v>0</v>
      </c>
      <c r="BS933">
        <v>1</v>
      </c>
      <c r="BT933">
        <v>1</v>
      </c>
      <c r="BU933">
        <v>1</v>
      </c>
      <c r="BV933">
        <v>1</v>
      </c>
      <c r="BW933">
        <v>1</v>
      </c>
      <c r="BX933">
        <v>1</v>
      </c>
      <c r="BY933" t="s">
        <v>3</v>
      </c>
      <c r="BZ933">
        <v>93</v>
      </c>
      <c r="CA933">
        <v>64</v>
      </c>
      <c r="CB933" t="s">
        <v>3</v>
      </c>
      <c r="CE933">
        <v>30</v>
      </c>
      <c r="CF933">
        <v>0</v>
      </c>
      <c r="CG933">
        <v>0</v>
      </c>
      <c r="CM933">
        <v>0</v>
      </c>
      <c r="CN933" t="s">
        <v>3</v>
      </c>
      <c r="CO933">
        <v>0</v>
      </c>
      <c r="CP933">
        <f t="shared" si="810"/>
        <v>28813.16</v>
      </c>
      <c r="CQ933">
        <f t="shared" si="811"/>
        <v>0</v>
      </c>
      <c r="CR933">
        <f t="shared" si="838"/>
        <v>561.66</v>
      </c>
      <c r="CS933">
        <f t="shared" si="812"/>
        <v>0</v>
      </c>
      <c r="CT933">
        <f t="shared" si="813"/>
        <v>0</v>
      </c>
      <c r="CU933">
        <f t="shared" si="814"/>
        <v>0</v>
      </c>
      <c r="CV933">
        <f t="shared" si="815"/>
        <v>0</v>
      </c>
      <c r="CW933">
        <f t="shared" si="816"/>
        <v>0</v>
      </c>
      <c r="CX933">
        <f t="shared" si="817"/>
        <v>0</v>
      </c>
      <c r="CY933">
        <f t="shared" si="818"/>
        <v>0</v>
      </c>
      <c r="CZ933">
        <f t="shared" si="819"/>
        <v>0</v>
      </c>
      <c r="DC933" t="s">
        <v>3</v>
      </c>
      <c r="DD933" t="s">
        <v>3</v>
      </c>
      <c r="DE933" t="s">
        <v>3</v>
      </c>
      <c r="DF933" t="s">
        <v>3</v>
      </c>
      <c r="DG933" t="s">
        <v>3</v>
      </c>
      <c r="DH933" t="s">
        <v>3</v>
      </c>
      <c r="DI933" t="s">
        <v>3</v>
      </c>
      <c r="DJ933" t="s">
        <v>3</v>
      </c>
      <c r="DK933" t="s">
        <v>3</v>
      </c>
      <c r="DL933" t="s">
        <v>3</v>
      </c>
      <c r="DM933" t="s">
        <v>3</v>
      </c>
      <c r="DN933">
        <v>0</v>
      </c>
      <c r="DO933">
        <v>0</v>
      </c>
      <c r="DP933">
        <v>1</v>
      </c>
      <c r="DQ933">
        <v>1</v>
      </c>
      <c r="DU933">
        <v>1009</v>
      </c>
      <c r="DV933" t="s">
        <v>104</v>
      </c>
      <c r="DW933" t="s">
        <v>104</v>
      </c>
      <c r="DX933">
        <v>1000</v>
      </c>
      <c r="DZ933" t="s">
        <v>3</v>
      </c>
      <c r="EA933" t="s">
        <v>3</v>
      </c>
      <c r="EB933" t="s">
        <v>3</v>
      </c>
      <c r="EC933" t="s">
        <v>3</v>
      </c>
      <c r="EE933">
        <v>43089189</v>
      </c>
      <c r="EF933">
        <v>150</v>
      </c>
      <c r="EG933" t="s">
        <v>190</v>
      </c>
      <c r="EH933">
        <v>0</v>
      </c>
      <c r="EI933" t="s">
        <v>3</v>
      </c>
      <c r="EJ933">
        <v>4</v>
      </c>
      <c r="EK933">
        <v>1111</v>
      </c>
      <c r="EL933" t="s">
        <v>207</v>
      </c>
      <c r="EM933" t="s">
        <v>208</v>
      </c>
      <c r="EO933" t="s">
        <v>3</v>
      </c>
      <c r="EQ933">
        <v>0</v>
      </c>
      <c r="ER933">
        <v>46</v>
      </c>
      <c r="ES933">
        <v>0</v>
      </c>
      <c r="ET933">
        <v>46</v>
      </c>
      <c r="EU933">
        <v>0</v>
      </c>
      <c r="EV933">
        <v>0</v>
      </c>
      <c r="EW933">
        <v>0</v>
      </c>
      <c r="EX933">
        <v>0</v>
      </c>
      <c r="EY933">
        <v>0</v>
      </c>
      <c r="FQ933">
        <v>0</v>
      </c>
      <c r="FR933">
        <f t="shared" si="820"/>
        <v>0</v>
      </c>
      <c r="FS933">
        <v>0</v>
      </c>
      <c r="FX933">
        <v>0</v>
      </c>
      <c r="FY933">
        <v>0</v>
      </c>
      <c r="GA933" t="s">
        <v>3</v>
      </c>
      <c r="GD933">
        <v>0</v>
      </c>
      <c r="GF933">
        <v>1542842857</v>
      </c>
      <c r="GG933">
        <v>2</v>
      </c>
      <c r="GH933">
        <v>1</v>
      </c>
      <c r="GI933">
        <v>2</v>
      </c>
      <c r="GJ933">
        <v>0</v>
      </c>
      <c r="GK933">
        <f>ROUND(R933*(R12)/100,2)</f>
        <v>0</v>
      </c>
      <c r="GL933">
        <f t="shared" si="821"/>
        <v>0</v>
      </c>
      <c r="GM933">
        <f t="shared" si="822"/>
        <v>28813.16</v>
      </c>
      <c r="GN933">
        <f t="shared" si="823"/>
        <v>0</v>
      </c>
      <c r="GO933">
        <f t="shared" si="824"/>
        <v>0</v>
      </c>
      <c r="GP933">
        <f t="shared" si="825"/>
        <v>28813.16</v>
      </c>
      <c r="GR933">
        <v>0</v>
      </c>
      <c r="GS933">
        <v>3</v>
      </c>
      <c r="GT933">
        <v>0</v>
      </c>
      <c r="GU933" t="s">
        <v>3</v>
      </c>
      <c r="GV933">
        <f t="shared" si="826"/>
        <v>0</v>
      </c>
      <c r="GW933">
        <v>1</v>
      </c>
      <c r="GX933">
        <f t="shared" si="827"/>
        <v>0</v>
      </c>
      <c r="HA933">
        <v>0</v>
      </c>
      <c r="HB933">
        <v>0</v>
      </c>
      <c r="HC933">
        <f t="shared" si="828"/>
        <v>0</v>
      </c>
      <c r="HE933" t="s">
        <v>3</v>
      </c>
      <c r="HF933" t="s">
        <v>3</v>
      </c>
      <c r="HM933" t="s">
        <v>3</v>
      </c>
      <c r="IK933">
        <v>0</v>
      </c>
    </row>
    <row r="934" spans="1:245" x14ac:dyDescent="0.2">
      <c r="A934">
        <v>17</v>
      </c>
      <c r="B934">
        <v>1</v>
      </c>
      <c r="C934">
        <f>ROW(SmtRes!A489)</f>
        <v>489</v>
      </c>
      <c r="D934">
        <f>ROW(EtalonRes!A483)</f>
        <v>483</v>
      </c>
      <c r="E934" t="s">
        <v>1077</v>
      </c>
      <c r="F934" t="s">
        <v>210</v>
      </c>
      <c r="G934" t="s">
        <v>211</v>
      </c>
      <c r="H934" t="s">
        <v>182</v>
      </c>
      <c r="I934">
        <v>51.3</v>
      </c>
      <c r="J934">
        <v>0</v>
      </c>
      <c r="K934">
        <v>51.3</v>
      </c>
      <c r="O934">
        <f t="shared" si="796"/>
        <v>4935.7700000000004</v>
      </c>
      <c r="P934">
        <f t="shared" si="797"/>
        <v>0</v>
      </c>
      <c r="Q934">
        <f t="shared" si="834"/>
        <v>4935.7700000000004</v>
      </c>
      <c r="R934">
        <f t="shared" si="798"/>
        <v>0</v>
      </c>
      <c r="S934">
        <f t="shared" si="799"/>
        <v>0</v>
      </c>
      <c r="T934">
        <f t="shared" si="800"/>
        <v>0</v>
      </c>
      <c r="U934">
        <f t="shared" si="801"/>
        <v>0</v>
      </c>
      <c r="V934">
        <f t="shared" si="802"/>
        <v>0</v>
      </c>
      <c r="W934">
        <f t="shared" si="803"/>
        <v>0</v>
      </c>
      <c r="X934">
        <f t="shared" si="804"/>
        <v>0</v>
      </c>
      <c r="Y934">
        <f t="shared" si="805"/>
        <v>0</v>
      </c>
      <c r="AA934">
        <v>42938047</v>
      </c>
      <c r="AB934">
        <f t="shared" si="806"/>
        <v>12.61</v>
      </c>
      <c r="AC934">
        <f t="shared" si="807"/>
        <v>0</v>
      </c>
      <c r="AD934">
        <f t="shared" si="835"/>
        <v>12.61</v>
      </c>
      <c r="AE934">
        <f>ROUND((EU934),6)</f>
        <v>0</v>
      </c>
      <c r="AF934">
        <f>ROUND((EV934),6)</f>
        <v>0</v>
      </c>
      <c r="AG934">
        <f t="shared" si="808"/>
        <v>0</v>
      </c>
      <c r="AH934">
        <f>(EW934)</f>
        <v>0</v>
      </c>
      <c r="AI934">
        <f>(EX934)</f>
        <v>0</v>
      </c>
      <c r="AJ934">
        <f t="shared" si="809"/>
        <v>0</v>
      </c>
      <c r="AK934">
        <v>12.61</v>
      </c>
      <c r="AL934">
        <v>0</v>
      </c>
      <c r="AM934">
        <v>12.61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93</v>
      </c>
      <c r="AU934">
        <v>64</v>
      </c>
      <c r="AV934">
        <v>1</v>
      </c>
      <c r="AW934">
        <v>1</v>
      </c>
      <c r="AZ934">
        <v>1</v>
      </c>
      <c r="BA934">
        <v>1</v>
      </c>
      <c r="BB934">
        <v>7.63</v>
      </c>
      <c r="BC934">
        <v>1</v>
      </c>
      <c r="BD934" t="s">
        <v>3</v>
      </c>
      <c r="BE934" t="s">
        <v>3</v>
      </c>
      <c r="BF934" t="s">
        <v>3</v>
      </c>
      <c r="BG934" t="s">
        <v>3</v>
      </c>
      <c r="BH934">
        <v>0</v>
      </c>
      <c r="BI934">
        <v>4</v>
      </c>
      <c r="BJ934" t="s">
        <v>212</v>
      </c>
      <c r="BM934">
        <v>1113</v>
      </c>
      <c r="BN934">
        <v>0</v>
      </c>
      <c r="BO934" t="s">
        <v>210</v>
      </c>
      <c r="BP934">
        <v>1</v>
      </c>
      <c r="BQ934">
        <v>150</v>
      </c>
      <c r="BR934">
        <v>0</v>
      </c>
      <c r="BS934">
        <v>1</v>
      </c>
      <c r="BT934">
        <v>1</v>
      </c>
      <c r="BU934">
        <v>1</v>
      </c>
      <c r="BV934">
        <v>1</v>
      </c>
      <c r="BW934">
        <v>1</v>
      </c>
      <c r="BX934">
        <v>1</v>
      </c>
      <c r="BY934" t="s">
        <v>3</v>
      </c>
      <c r="BZ934">
        <v>93</v>
      </c>
      <c r="CA934">
        <v>64</v>
      </c>
      <c r="CB934" t="s">
        <v>3</v>
      </c>
      <c r="CE934">
        <v>30</v>
      </c>
      <c r="CF934">
        <v>0</v>
      </c>
      <c r="CG934">
        <v>0</v>
      </c>
      <c r="CM934">
        <v>0</v>
      </c>
      <c r="CN934" t="s">
        <v>3</v>
      </c>
      <c r="CO934">
        <v>0</v>
      </c>
      <c r="CP934">
        <f t="shared" si="810"/>
        <v>4935.7700000000004</v>
      </c>
      <c r="CQ934">
        <f t="shared" si="811"/>
        <v>0</v>
      </c>
      <c r="CR934">
        <f t="shared" si="838"/>
        <v>96.21</v>
      </c>
      <c r="CS934">
        <f t="shared" si="812"/>
        <v>0</v>
      </c>
      <c r="CT934">
        <f t="shared" si="813"/>
        <v>0</v>
      </c>
      <c r="CU934">
        <f t="shared" si="814"/>
        <v>0</v>
      </c>
      <c r="CV934">
        <f t="shared" si="815"/>
        <v>0</v>
      </c>
      <c r="CW934">
        <f t="shared" si="816"/>
        <v>0</v>
      </c>
      <c r="CX934">
        <f t="shared" si="817"/>
        <v>0</v>
      </c>
      <c r="CY934">
        <f t="shared" si="818"/>
        <v>0</v>
      </c>
      <c r="CZ934">
        <f t="shared" si="819"/>
        <v>0</v>
      </c>
      <c r="DC934" t="s">
        <v>3</v>
      </c>
      <c r="DD934" t="s">
        <v>3</v>
      </c>
      <c r="DE934" t="s">
        <v>3</v>
      </c>
      <c r="DF934" t="s">
        <v>3</v>
      </c>
      <c r="DG934" t="s">
        <v>3</v>
      </c>
      <c r="DH934" t="s">
        <v>3</v>
      </c>
      <c r="DI934" t="s">
        <v>3</v>
      </c>
      <c r="DJ934" t="s">
        <v>3</v>
      </c>
      <c r="DK934" t="s">
        <v>3</v>
      </c>
      <c r="DL934" t="s">
        <v>3</v>
      </c>
      <c r="DM934" t="s">
        <v>3</v>
      </c>
      <c r="DN934">
        <v>0</v>
      </c>
      <c r="DO934">
        <v>0</v>
      </c>
      <c r="DP934">
        <v>1</v>
      </c>
      <c r="DQ934">
        <v>1</v>
      </c>
      <c r="DU934">
        <v>1013</v>
      </c>
      <c r="DV934" t="s">
        <v>182</v>
      </c>
      <c r="DW934" t="s">
        <v>182</v>
      </c>
      <c r="DX934">
        <v>1</v>
      </c>
      <c r="DZ934" t="s">
        <v>3</v>
      </c>
      <c r="EA934" t="s">
        <v>3</v>
      </c>
      <c r="EB934" t="s">
        <v>3</v>
      </c>
      <c r="EC934" t="s">
        <v>3</v>
      </c>
      <c r="EE934">
        <v>43089191</v>
      </c>
      <c r="EF934">
        <v>150</v>
      </c>
      <c r="EG934" t="s">
        <v>190</v>
      </c>
      <c r="EH934">
        <v>0</v>
      </c>
      <c r="EI934" t="s">
        <v>3</v>
      </c>
      <c r="EJ934">
        <v>4</v>
      </c>
      <c r="EK934">
        <v>1113</v>
      </c>
      <c r="EL934" t="s">
        <v>191</v>
      </c>
      <c r="EM934" t="s">
        <v>192</v>
      </c>
      <c r="EO934" t="s">
        <v>3</v>
      </c>
      <c r="EQ934">
        <v>0</v>
      </c>
      <c r="ER934">
        <v>12.61</v>
      </c>
      <c r="ES934">
        <v>0</v>
      </c>
      <c r="ET934">
        <v>12.61</v>
      </c>
      <c r="EU934">
        <v>0</v>
      </c>
      <c r="EV934">
        <v>0</v>
      </c>
      <c r="EW934">
        <v>0</v>
      </c>
      <c r="EX934">
        <v>0</v>
      </c>
      <c r="EY934">
        <v>0</v>
      </c>
      <c r="FQ934">
        <v>0</v>
      </c>
      <c r="FR934">
        <f t="shared" si="820"/>
        <v>0</v>
      </c>
      <c r="FS934">
        <v>0</v>
      </c>
      <c r="FX934">
        <v>0</v>
      </c>
      <c r="FY934">
        <v>0</v>
      </c>
      <c r="GA934" t="s">
        <v>3</v>
      </c>
      <c r="GD934">
        <v>0</v>
      </c>
      <c r="GF934">
        <v>-1630031867</v>
      </c>
      <c r="GG934">
        <v>2</v>
      </c>
      <c r="GH934">
        <v>1</v>
      </c>
      <c r="GI934">
        <v>2</v>
      </c>
      <c r="GJ934">
        <v>0</v>
      </c>
      <c r="GK934">
        <f>ROUND(R934*(R12)/100,2)</f>
        <v>0</v>
      </c>
      <c r="GL934">
        <f t="shared" si="821"/>
        <v>0</v>
      </c>
      <c r="GM934">
        <f t="shared" si="822"/>
        <v>4935.7700000000004</v>
      </c>
      <c r="GN934">
        <f t="shared" si="823"/>
        <v>0</v>
      </c>
      <c r="GO934">
        <f t="shared" si="824"/>
        <v>0</v>
      </c>
      <c r="GP934">
        <f t="shared" si="825"/>
        <v>4935.7700000000004</v>
      </c>
      <c r="GR934">
        <v>0</v>
      </c>
      <c r="GS934">
        <v>3</v>
      </c>
      <c r="GT934">
        <v>0</v>
      </c>
      <c r="GU934" t="s">
        <v>3</v>
      </c>
      <c r="GV934">
        <f t="shared" si="826"/>
        <v>0</v>
      </c>
      <c r="GW934">
        <v>1</v>
      </c>
      <c r="GX934">
        <f t="shared" si="827"/>
        <v>0</v>
      </c>
      <c r="HA934">
        <v>0</v>
      </c>
      <c r="HB934">
        <v>0</v>
      </c>
      <c r="HC934">
        <f t="shared" si="828"/>
        <v>0</v>
      </c>
      <c r="HE934" t="s">
        <v>3</v>
      </c>
      <c r="HF934" t="s">
        <v>3</v>
      </c>
      <c r="HM934" t="s">
        <v>3</v>
      </c>
      <c r="IK934">
        <v>0</v>
      </c>
    </row>
    <row r="936" spans="1:245" x14ac:dyDescent="0.2">
      <c r="A936" s="2">
        <v>51</v>
      </c>
      <c r="B936" s="2">
        <f>B902</f>
        <v>1</v>
      </c>
      <c r="C936" s="2">
        <f>A902</f>
        <v>4</v>
      </c>
      <c r="D936" s="2">
        <f>ROW(A902)</f>
        <v>902</v>
      </c>
      <c r="E936" s="2"/>
      <c r="F936" s="2" t="str">
        <f>IF(F902&lt;&gt;"",F902,"")</f>
        <v>Новый раздел</v>
      </c>
      <c r="G936" s="2" t="str">
        <f>IF(G902&lt;&gt;"",G902,"")</f>
        <v>Установка  ландшафтных светильников</v>
      </c>
      <c r="H936" s="2">
        <v>0</v>
      </c>
      <c r="I936" s="2"/>
      <c r="J936" s="2"/>
      <c r="K936" s="2"/>
      <c r="L936" s="2"/>
      <c r="M936" s="2"/>
      <c r="N936" s="2"/>
      <c r="O936" s="2">
        <f t="shared" ref="O936:T936" si="839">ROUND(AB936,2)</f>
        <v>1042253.99</v>
      </c>
      <c r="P936" s="2">
        <f t="shared" si="839"/>
        <v>870531.46</v>
      </c>
      <c r="Q936" s="2">
        <f t="shared" si="839"/>
        <v>75341.8</v>
      </c>
      <c r="R936" s="2">
        <f t="shared" si="839"/>
        <v>19340.75</v>
      </c>
      <c r="S936" s="2">
        <f t="shared" si="839"/>
        <v>96380.73</v>
      </c>
      <c r="T936" s="2">
        <f t="shared" si="839"/>
        <v>0</v>
      </c>
      <c r="U936" s="2">
        <f>AH936</f>
        <v>303.88545875</v>
      </c>
      <c r="V936" s="2">
        <f>AI936</f>
        <v>0</v>
      </c>
      <c r="W936" s="2">
        <f>ROUND(AJ936,2)</f>
        <v>0</v>
      </c>
      <c r="X936" s="2">
        <f>ROUND(AK936,2)</f>
        <v>78448.259999999995</v>
      </c>
      <c r="Y936" s="2">
        <f>ROUND(AL936,2)</f>
        <v>39566.26</v>
      </c>
      <c r="Z936" s="2"/>
      <c r="AA936" s="2"/>
      <c r="AB936" s="2">
        <f>ROUND(SUMIF(AA906:AA934,"=42938047",O906:O934),2)</f>
        <v>1042253.99</v>
      </c>
      <c r="AC936" s="2">
        <f>ROUND(SUMIF(AA906:AA934,"=42938047",P906:P934),2)</f>
        <v>870531.46</v>
      </c>
      <c r="AD936" s="2">
        <f>ROUND(SUMIF(AA906:AA934,"=42938047",Q906:Q934),2)</f>
        <v>75341.8</v>
      </c>
      <c r="AE936" s="2">
        <f>ROUND(SUMIF(AA906:AA934,"=42938047",R906:R934),2)</f>
        <v>19340.75</v>
      </c>
      <c r="AF936" s="2">
        <f>ROUND(SUMIF(AA906:AA934,"=42938047",S906:S934),2)</f>
        <v>96380.73</v>
      </c>
      <c r="AG936" s="2">
        <f>ROUND(SUMIF(AA906:AA934,"=42938047",T906:T934),2)</f>
        <v>0</v>
      </c>
      <c r="AH936" s="2">
        <f>SUMIF(AA906:AA934,"=42938047",U906:U934)</f>
        <v>303.88545875</v>
      </c>
      <c r="AI936" s="2">
        <f>SUMIF(AA906:AA934,"=42938047",V906:V934)</f>
        <v>0</v>
      </c>
      <c r="AJ936" s="2">
        <f>ROUND(SUMIF(AA906:AA934,"=42938047",W906:W934),2)</f>
        <v>0</v>
      </c>
      <c r="AK936" s="2">
        <f>ROUND(SUMIF(AA906:AA934,"=42938047",X906:X934),2)</f>
        <v>78448.259999999995</v>
      </c>
      <c r="AL936" s="2">
        <f>ROUND(SUMIF(AA906:AA934,"=42938047",Y906:Y934),2)</f>
        <v>39566.26</v>
      </c>
      <c r="AM936" s="2"/>
      <c r="AN936" s="2"/>
      <c r="AO936" s="2">
        <f t="shared" ref="AO936:BD936" si="840">ROUND(BX936,2)</f>
        <v>0</v>
      </c>
      <c r="AP936" s="2">
        <f t="shared" si="840"/>
        <v>170267.15</v>
      </c>
      <c r="AQ936" s="2">
        <f t="shared" si="840"/>
        <v>0</v>
      </c>
      <c r="AR936" s="2">
        <f t="shared" si="840"/>
        <v>1190633.5</v>
      </c>
      <c r="AS936" s="2">
        <f t="shared" si="840"/>
        <v>812277.44</v>
      </c>
      <c r="AT936" s="2">
        <f t="shared" si="840"/>
        <v>128119.65</v>
      </c>
      <c r="AU936" s="2">
        <f t="shared" si="840"/>
        <v>79969.259999999995</v>
      </c>
      <c r="AV936" s="2">
        <f t="shared" si="840"/>
        <v>870531.46</v>
      </c>
      <c r="AW936" s="2">
        <f t="shared" si="840"/>
        <v>700264.31</v>
      </c>
      <c r="AX936" s="2">
        <f t="shared" si="840"/>
        <v>0</v>
      </c>
      <c r="AY936" s="2">
        <f t="shared" si="840"/>
        <v>700264.31</v>
      </c>
      <c r="AZ936" s="2">
        <f t="shared" si="840"/>
        <v>170267.15</v>
      </c>
      <c r="BA936" s="2">
        <f t="shared" si="840"/>
        <v>0</v>
      </c>
      <c r="BB936" s="2">
        <f t="shared" si="840"/>
        <v>0</v>
      </c>
      <c r="BC936" s="2">
        <f t="shared" si="840"/>
        <v>0</v>
      </c>
      <c r="BD936" s="2">
        <f t="shared" si="840"/>
        <v>0</v>
      </c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>
        <f>ROUND(SUMIF(AA906:AA934,"=42938047",FQ906:FQ934),2)</f>
        <v>0</v>
      </c>
      <c r="BY936" s="2">
        <f>ROUND(SUMIF(AA906:AA934,"=42938047",FR906:FR934),2)</f>
        <v>170267.15</v>
      </c>
      <c r="BZ936" s="2">
        <f>ROUND(SUMIF(AA906:AA934,"=42938047",GL906:GL934),2)</f>
        <v>0</v>
      </c>
      <c r="CA936" s="2">
        <f>ROUND(SUMIF(AA906:AA934,"=42938047",GM906:GM934),2)</f>
        <v>1190633.5</v>
      </c>
      <c r="CB936" s="2">
        <f>ROUND(SUMIF(AA906:AA934,"=42938047",GN906:GN934),2)</f>
        <v>812277.44</v>
      </c>
      <c r="CC936" s="2">
        <f>ROUND(SUMIF(AA906:AA934,"=42938047",GO906:GO934),2)</f>
        <v>128119.65</v>
      </c>
      <c r="CD936" s="2">
        <f>ROUND(SUMIF(AA906:AA934,"=42938047",GP906:GP934),2)</f>
        <v>79969.259999999995</v>
      </c>
      <c r="CE936" s="2">
        <f>AC936-BX936</f>
        <v>870531.46</v>
      </c>
      <c r="CF936" s="2">
        <f>AC936-BY936</f>
        <v>700264.30999999994</v>
      </c>
      <c r="CG936" s="2">
        <f>BX936-BZ936</f>
        <v>0</v>
      </c>
      <c r="CH936" s="2">
        <f>AC936-BX936-BY936+BZ936</f>
        <v>700264.30999999994</v>
      </c>
      <c r="CI936" s="2">
        <f>BY936-BZ936</f>
        <v>170267.15</v>
      </c>
      <c r="CJ936" s="2">
        <f>ROUND(SUMIF(AA906:AA934,"=42938047",GX906:GX934),2)</f>
        <v>0</v>
      </c>
      <c r="CK936" s="2">
        <f>ROUND(SUMIF(AA906:AA934,"=42938047",GY906:GY934),2)</f>
        <v>0</v>
      </c>
      <c r="CL936" s="2">
        <f>ROUND(SUMIF(AA906:AA934,"=42938047",GZ906:GZ934),2)</f>
        <v>0</v>
      </c>
      <c r="CM936" s="2">
        <f>ROUND(SUMIF(AA906:AA934,"=42938047",HD906:HD934),2)</f>
        <v>0</v>
      </c>
      <c r="CN936" s="2"/>
      <c r="CO936" s="2"/>
      <c r="CP936" s="2"/>
      <c r="CQ936" s="2"/>
      <c r="CR936" s="2"/>
      <c r="CS936" s="2"/>
      <c r="CT936" s="2"/>
      <c r="CU936" s="2"/>
      <c r="CV936" s="2"/>
      <c r="CW936" s="2"/>
      <c r="CX936" s="2"/>
      <c r="CY936" s="2"/>
      <c r="CZ936" s="2"/>
      <c r="DA936" s="2"/>
      <c r="DB936" s="2"/>
      <c r="DC936" s="2"/>
      <c r="DD936" s="2"/>
      <c r="DE936" s="2"/>
      <c r="DF936" s="2"/>
      <c r="DG936" s="3"/>
      <c r="DH936" s="3"/>
      <c r="DI936" s="3"/>
      <c r="DJ936" s="3"/>
      <c r="DK936" s="3"/>
      <c r="DL936" s="3"/>
      <c r="DM936" s="3"/>
      <c r="DN936" s="3"/>
      <c r="DO936" s="3"/>
      <c r="DP936" s="3"/>
      <c r="DQ936" s="3"/>
      <c r="DR936" s="3"/>
      <c r="DS936" s="3"/>
      <c r="DT936" s="3"/>
      <c r="DU936" s="3"/>
      <c r="DV936" s="3"/>
      <c r="DW936" s="3"/>
      <c r="DX936" s="3"/>
      <c r="DY936" s="3"/>
      <c r="DZ936" s="3"/>
      <c r="EA936" s="3"/>
      <c r="EB936" s="3"/>
      <c r="EC936" s="3"/>
      <c r="ED936" s="3"/>
      <c r="EE936" s="3"/>
      <c r="EF936" s="3"/>
      <c r="EG936" s="3"/>
      <c r="EH936" s="3"/>
      <c r="EI936" s="3"/>
      <c r="EJ936" s="3"/>
      <c r="EK936" s="3"/>
      <c r="EL936" s="3"/>
      <c r="EM936" s="3"/>
      <c r="EN936" s="3"/>
      <c r="EO936" s="3"/>
      <c r="EP936" s="3"/>
      <c r="EQ936" s="3"/>
      <c r="ER936" s="3"/>
      <c r="ES936" s="3"/>
      <c r="ET936" s="3"/>
      <c r="EU936" s="3"/>
      <c r="EV936" s="3"/>
      <c r="EW936" s="3"/>
      <c r="EX936" s="3"/>
      <c r="EY936" s="3"/>
      <c r="EZ936" s="3"/>
      <c r="FA936" s="3"/>
      <c r="FB936" s="3"/>
      <c r="FC936" s="3"/>
      <c r="FD936" s="3"/>
      <c r="FE936" s="3"/>
      <c r="FF936" s="3"/>
      <c r="FG936" s="3"/>
      <c r="FH936" s="3"/>
      <c r="FI936" s="3"/>
      <c r="FJ936" s="3"/>
      <c r="FK936" s="3"/>
      <c r="FL936" s="3"/>
      <c r="FM936" s="3"/>
      <c r="FN936" s="3"/>
      <c r="FO936" s="3"/>
      <c r="FP936" s="3"/>
      <c r="FQ936" s="3"/>
      <c r="FR936" s="3"/>
      <c r="FS936" s="3"/>
      <c r="FT936" s="3"/>
      <c r="FU936" s="3"/>
      <c r="FV936" s="3"/>
      <c r="FW936" s="3"/>
      <c r="FX936" s="3"/>
      <c r="FY936" s="3"/>
      <c r="FZ936" s="3"/>
      <c r="GA936" s="3"/>
      <c r="GB936" s="3"/>
      <c r="GC936" s="3"/>
      <c r="GD936" s="3"/>
      <c r="GE936" s="3"/>
      <c r="GF936" s="3"/>
      <c r="GG936" s="3"/>
      <c r="GH936" s="3"/>
      <c r="GI936" s="3"/>
      <c r="GJ936" s="3"/>
      <c r="GK936" s="3"/>
      <c r="GL936" s="3"/>
      <c r="GM936" s="3"/>
      <c r="GN936" s="3"/>
      <c r="GO936" s="3"/>
      <c r="GP936" s="3"/>
      <c r="GQ936" s="3"/>
      <c r="GR936" s="3"/>
      <c r="GS936" s="3"/>
      <c r="GT936" s="3"/>
      <c r="GU936" s="3"/>
      <c r="GV936" s="3"/>
      <c r="GW936" s="3"/>
      <c r="GX936" s="3">
        <v>0</v>
      </c>
    </row>
    <row r="938" spans="1:245" x14ac:dyDescent="0.2">
      <c r="A938" s="4">
        <v>50</v>
      </c>
      <c r="B938" s="4">
        <v>0</v>
      </c>
      <c r="C938" s="4">
        <v>0</v>
      </c>
      <c r="D938" s="4">
        <v>1</v>
      </c>
      <c r="E938" s="4">
        <v>201</v>
      </c>
      <c r="F938" s="4">
        <f>ROUND(Source!O936,O938)</f>
        <v>1042253.99</v>
      </c>
      <c r="G938" s="4" t="s">
        <v>213</v>
      </c>
      <c r="H938" s="4" t="s">
        <v>214</v>
      </c>
      <c r="I938" s="4"/>
      <c r="J938" s="4"/>
      <c r="K938" s="4">
        <v>201</v>
      </c>
      <c r="L938" s="4">
        <v>1</v>
      </c>
      <c r="M938" s="4">
        <v>3</v>
      </c>
      <c r="N938" s="4" t="s">
        <v>3</v>
      </c>
      <c r="O938" s="4">
        <v>2</v>
      </c>
      <c r="P938" s="4"/>
      <c r="Q938" s="4"/>
      <c r="R938" s="4"/>
      <c r="S938" s="4"/>
      <c r="T938" s="4"/>
      <c r="U938" s="4"/>
      <c r="V938" s="4"/>
      <c r="W938" s="4"/>
    </row>
    <row r="939" spans="1:245" x14ac:dyDescent="0.2">
      <c r="A939" s="4">
        <v>50</v>
      </c>
      <c r="B939" s="4">
        <v>0</v>
      </c>
      <c r="C939" s="4">
        <v>0</v>
      </c>
      <c r="D939" s="4">
        <v>1</v>
      </c>
      <c r="E939" s="4">
        <v>202</v>
      </c>
      <c r="F939" s="4">
        <f>ROUND(Source!P936,O939)</f>
        <v>870531.46</v>
      </c>
      <c r="G939" s="4" t="s">
        <v>215</v>
      </c>
      <c r="H939" s="4" t="s">
        <v>216</v>
      </c>
      <c r="I939" s="4"/>
      <c r="J939" s="4"/>
      <c r="K939" s="4">
        <v>202</v>
      </c>
      <c r="L939" s="4">
        <v>2</v>
      </c>
      <c r="M939" s="4">
        <v>3</v>
      </c>
      <c r="N939" s="4" t="s">
        <v>3</v>
      </c>
      <c r="O939" s="4">
        <v>2</v>
      </c>
      <c r="P939" s="4"/>
      <c r="Q939" s="4"/>
      <c r="R939" s="4"/>
      <c r="S939" s="4"/>
      <c r="T939" s="4"/>
      <c r="U939" s="4"/>
      <c r="V939" s="4"/>
      <c r="W939" s="4"/>
    </row>
    <row r="940" spans="1:245" x14ac:dyDescent="0.2">
      <c r="A940" s="4">
        <v>50</v>
      </c>
      <c r="B940" s="4">
        <v>0</v>
      </c>
      <c r="C940" s="4">
        <v>0</v>
      </c>
      <c r="D940" s="4">
        <v>1</v>
      </c>
      <c r="E940" s="4">
        <v>222</v>
      </c>
      <c r="F940" s="4">
        <f>ROUND(Source!AO936,O940)</f>
        <v>0</v>
      </c>
      <c r="G940" s="4" t="s">
        <v>217</v>
      </c>
      <c r="H940" s="4" t="s">
        <v>218</v>
      </c>
      <c r="I940" s="4"/>
      <c r="J940" s="4"/>
      <c r="K940" s="4">
        <v>222</v>
      </c>
      <c r="L940" s="4">
        <v>3</v>
      </c>
      <c r="M940" s="4">
        <v>3</v>
      </c>
      <c r="N940" s="4" t="s">
        <v>3</v>
      </c>
      <c r="O940" s="4">
        <v>2</v>
      </c>
      <c r="P940" s="4"/>
      <c r="Q940" s="4"/>
      <c r="R940" s="4"/>
      <c r="S940" s="4"/>
      <c r="T940" s="4"/>
      <c r="U940" s="4"/>
      <c r="V940" s="4"/>
      <c r="W940" s="4"/>
    </row>
    <row r="941" spans="1:245" x14ac:dyDescent="0.2">
      <c r="A941" s="4">
        <v>50</v>
      </c>
      <c r="B941" s="4">
        <v>0</v>
      </c>
      <c r="C941" s="4">
        <v>0</v>
      </c>
      <c r="D941" s="4">
        <v>1</v>
      </c>
      <c r="E941" s="4">
        <v>225</v>
      </c>
      <c r="F941" s="4">
        <f>ROUND(Source!AV936,O941)</f>
        <v>870531.46</v>
      </c>
      <c r="G941" s="4" t="s">
        <v>219</v>
      </c>
      <c r="H941" s="4" t="s">
        <v>220</v>
      </c>
      <c r="I941" s="4"/>
      <c r="J941" s="4"/>
      <c r="K941" s="4">
        <v>225</v>
      </c>
      <c r="L941" s="4">
        <v>4</v>
      </c>
      <c r="M941" s="4">
        <v>3</v>
      </c>
      <c r="N941" s="4" t="s">
        <v>3</v>
      </c>
      <c r="O941" s="4">
        <v>2</v>
      </c>
      <c r="P941" s="4"/>
      <c r="Q941" s="4"/>
      <c r="R941" s="4"/>
      <c r="S941" s="4"/>
      <c r="T941" s="4"/>
      <c r="U941" s="4"/>
      <c r="V941" s="4"/>
      <c r="W941" s="4"/>
    </row>
    <row r="942" spans="1:245" x14ac:dyDescent="0.2">
      <c r="A942" s="4">
        <v>50</v>
      </c>
      <c r="B942" s="4">
        <v>0</v>
      </c>
      <c r="C942" s="4">
        <v>0</v>
      </c>
      <c r="D942" s="4">
        <v>1</v>
      </c>
      <c r="E942" s="4">
        <v>226</v>
      </c>
      <c r="F942" s="4">
        <f>ROUND(Source!AW936,O942)</f>
        <v>700264.31</v>
      </c>
      <c r="G942" s="4" t="s">
        <v>221</v>
      </c>
      <c r="H942" s="4" t="s">
        <v>222</v>
      </c>
      <c r="I942" s="4"/>
      <c r="J942" s="4"/>
      <c r="K942" s="4">
        <v>226</v>
      </c>
      <c r="L942" s="4">
        <v>5</v>
      </c>
      <c r="M942" s="4">
        <v>3</v>
      </c>
      <c r="N942" s="4" t="s">
        <v>3</v>
      </c>
      <c r="O942" s="4">
        <v>2</v>
      </c>
      <c r="P942" s="4"/>
      <c r="Q942" s="4"/>
      <c r="R942" s="4"/>
      <c r="S942" s="4"/>
      <c r="T942" s="4"/>
      <c r="U942" s="4"/>
      <c r="V942" s="4"/>
      <c r="W942" s="4"/>
    </row>
    <row r="943" spans="1:245" x14ac:dyDescent="0.2">
      <c r="A943" s="4">
        <v>50</v>
      </c>
      <c r="B943" s="4">
        <v>0</v>
      </c>
      <c r="C943" s="4">
        <v>0</v>
      </c>
      <c r="D943" s="4">
        <v>1</v>
      </c>
      <c r="E943" s="4">
        <v>227</v>
      </c>
      <c r="F943" s="4">
        <f>ROUND(Source!AX936,O943)</f>
        <v>0</v>
      </c>
      <c r="G943" s="4" t="s">
        <v>223</v>
      </c>
      <c r="H943" s="4" t="s">
        <v>224</v>
      </c>
      <c r="I943" s="4"/>
      <c r="J943" s="4"/>
      <c r="K943" s="4">
        <v>227</v>
      </c>
      <c r="L943" s="4">
        <v>6</v>
      </c>
      <c r="M943" s="4">
        <v>3</v>
      </c>
      <c r="N943" s="4" t="s">
        <v>3</v>
      </c>
      <c r="O943" s="4">
        <v>2</v>
      </c>
      <c r="P943" s="4"/>
      <c r="Q943" s="4"/>
      <c r="R943" s="4"/>
      <c r="S943" s="4"/>
      <c r="T943" s="4"/>
      <c r="U943" s="4"/>
      <c r="V943" s="4"/>
      <c r="W943" s="4"/>
    </row>
    <row r="944" spans="1:245" x14ac:dyDescent="0.2">
      <c r="A944" s="4">
        <v>50</v>
      </c>
      <c r="B944" s="4">
        <v>0</v>
      </c>
      <c r="C944" s="4">
        <v>0</v>
      </c>
      <c r="D944" s="4">
        <v>1</v>
      </c>
      <c r="E944" s="4">
        <v>228</v>
      </c>
      <c r="F944" s="4">
        <f>ROUND(Source!AY936,O944)</f>
        <v>700264.31</v>
      </c>
      <c r="G944" s="4" t="s">
        <v>225</v>
      </c>
      <c r="H944" s="4" t="s">
        <v>226</v>
      </c>
      <c r="I944" s="4"/>
      <c r="J944" s="4"/>
      <c r="K944" s="4">
        <v>228</v>
      </c>
      <c r="L944" s="4">
        <v>7</v>
      </c>
      <c r="M944" s="4">
        <v>3</v>
      </c>
      <c r="N944" s="4" t="s">
        <v>3</v>
      </c>
      <c r="O944" s="4">
        <v>2</v>
      </c>
      <c r="P944" s="4"/>
      <c r="Q944" s="4"/>
      <c r="R944" s="4"/>
      <c r="S944" s="4"/>
      <c r="T944" s="4"/>
      <c r="U944" s="4"/>
      <c r="V944" s="4"/>
      <c r="W944" s="4"/>
    </row>
    <row r="945" spans="1:23" x14ac:dyDescent="0.2">
      <c r="A945" s="4">
        <v>50</v>
      </c>
      <c r="B945" s="4">
        <v>0</v>
      </c>
      <c r="C945" s="4">
        <v>0</v>
      </c>
      <c r="D945" s="4">
        <v>1</v>
      </c>
      <c r="E945" s="4">
        <v>216</v>
      </c>
      <c r="F945" s="4">
        <f>ROUND(Source!AP936,O945)</f>
        <v>170267.15</v>
      </c>
      <c r="G945" s="4" t="s">
        <v>227</v>
      </c>
      <c r="H945" s="4" t="s">
        <v>228</v>
      </c>
      <c r="I945" s="4"/>
      <c r="J945" s="4"/>
      <c r="K945" s="4">
        <v>216</v>
      </c>
      <c r="L945" s="4">
        <v>8</v>
      </c>
      <c r="M945" s="4">
        <v>3</v>
      </c>
      <c r="N945" s="4" t="s">
        <v>3</v>
      </c>
      <c r="O945" s="4">
        <v>2</v>
      </c>
      <c r="P945" s="4"/>
      <c r="Q945" s="4"/>
      <c r="R945" s="4"/>
      <c r="S945" s="4"/>
      <c r="T945" s="4"/>
      <c r="U945" s="4"/>
      <c r="V945" s="4"/>
      <c r="W945" s="4"/>
    </row>
    <row r="946" spans="1:23" x14ac:dyDescent="0.2">
      <c r="A946" s="4">
        <v>50</v>
      </c>
      <c r="B946" s="4">
        <v>0</v>
      </c>
      <c r="C946" s="4">
        <v>0</v>
      </c>
      <c r="D946" s="4">
        <v>1</v>
      </c>
      <c r="E946" s="4">
        <v>223</v>
      </c>
      <c r="F946" s="4">
        <f>ROUND(Source!AQ936,O946)</f>
        <v>0</v>
      </c>
      <c r="G946" s="4" t="s">
        <v>229</v>
      </c>
      <c r="H946" s="4" t="s">
        <v>230</v>
      </c>
      <c r="I946" s="4"/>
      <c r="J946" s="4"/>
      <c r="K946" s="4">
        <v>223</v>
      </c>
      <c r="L946" s="4">
        <v>9</v>
      </c>
      <c r="M946" s="4">
        <v>3</v>
      </c>
      <c r="N946" s="4" t="s">
        <v>3</v>
      </c>
      <c r="O946" s="4">
        <v>2</v>
      </c>
      <c r="P946" s="4"/>
      <c r="Q946" s="4"/>
      <c r="R946" s="4"/>
      <c r="S946" s="4"/>
      <c r="T946" s="4"/>
      <c r="U946" s="4"/>
      <c r="V946" s="4"/>
      <c r="W946" s="4"/>
    </row>
    <row r="947" spans="1:23" x14ac:dyDescent="0.2">
      <c r="A947" s="4">
        <v>50</v>
      </c>
      <c r="B947" s="4">
        <v>0</v>
      </c>
      <c r="C947" s="4">
        <v>0</v>
      </c>
      <c r="D947" s="4">
        <v>1</v>
      </c>
      <c r="E947" s="4">
        <v>229</v>
      </c>
      <c r="F947" s="4">
        <f>ROUND(Source!AZ936,O947)</f>
        <v>170267.15</v>
      </c>
      <c r="G947" s="4" t="s">
        <v>231</v>
      </c>
      <c r="H947" s="4" t="s">
        <v>232</v>
      </c>
      <c r="I947" s="4"/>
      <c r="J947" s="4"/>
      <c r="K947" s="4">
        <v>229</v>
      </c>
      <c r="L947" s="4">
        <v>10</v>
      </c>
      <c r="M947" s="4">
        <v>3</v>
      </c>
      <c r="N947" s="4" t="s">
        <v>3</v>
      </c>
      <c r="O947" s="4">
        <v>2</v>
      </c>
      <c r="P947" s="4"/>
      <c r="Q947" s="4"/>
      <c r="R947" s="4"/>
      <c r="S947" s="4"/>
      <c r="T947" s="4"/>
      <c r="U947" s="4"/>
      <c r="V947" s="4"/>
      <c r="W947" s="4"/>
    </row>
    <row r="948" spans="1:23" x14ac:dyDescent="0.2">
      <c r="A948" s="4">
        <v>50</v>
      </c>
      <c r="B948" s="4">
        <v>0</v>
      </c>
      <c r="C948" s="4">
        <v>0</v>
      </c>
      <c r="D948" s="4">
        <v>1</v>
      </c>
      <c r="E948" s="4">
        <v>203</v>
      </c>
      <c r="F948" s="4">
        <f>ROUND(Source!Q936,O948)</f>
        <v>75341.8</v>
      </c>
      <c r="G948" s="4" t="s">
        <v>233</v>
      </c>
      <c r="H948" s="4" t="s">
        <v>234</v>
      </c>
      <c r="I948" s="4"/>
      <c r="J948" s="4"/>
      <c r="K948" s="4">
        <v>203</v>
      </c>
      <c r="L948" s="4">
        <v>11</v>
      </c>
      <c r="M948" s="4">
        <v>3</v>
      </c>
      <c r="N948" s="4" t="s">
        <v>3</v>
      </c>
      <c r="O948" s="4">
        <v>2</v>
      </c>
      <c r="P948" s="4"/>
      <c r="Q948" s="4"/>
      <c r="R948" s="4"/>
      <c r="S948" s="4"/>
      <c r="T948" s="4"/>
      <c r="U948" s="4"/>
      <c r="V948" s="4"/>
      <c r="W948" s="4"/>
    </row>
    <row r="949" spans="1:23" x14ac:dyDescent="0.2">
      <c r="A949" s="4">
        <v>50</v>
      </c>
      <c r="B949" s="4">
        <v>0</v>
      </c>
      <c r="C949" s="4">
        <v>0</v>
      </c>
      <c r="D949" s="4">
        <v>1</v>
      </c>
      <c r="E949" s="4">
        <v>231</v>
      </c>
      <c r="F949" s="4">
        <f>ROUND(Source!BB936,O949)</f>
        <v>0</v>
      </c>
      <c r="G949" s="4" t="s">
        <v>235</v>
      </c>
      <c r="H949" s="4" t="s">
        <v>236</v>
      </c>
      <c r="I949" s="4"/>
      <c r="J949" s="4"/>
      <c r="K949" s="4">
        <v>231</v>
      </c>
      <c r="L949" s="4">
        <v>12</v>
      </c>
      <c r="M949" s="4">
        <v>3</v>
      </c>
      <c r="N949" s="4" t="s">
        <v>3</v>
      </c>
      <c r="O949" s="4">
        <v>2</v>
      </c>
      <c r="P949" s="4"/>
      <c r="Q949" s="4"/>
      <c r="R949" s="4"/>
      <c r="S949" s="4"/>
      <c r="T949" s="4"/>
      <c r="U949" s="4"/>
      <c r="V949" s="4"/>
      <c r="W949" s="4"/>
    </row>
    <row r="950" spans="1:23" x14ac:dyDescent="0.2">
      <c r="A950" s="4">
        <v>50</v>
      </c>
      <c r="B950" s="4">
        <v>0</v>
      </c>
      <c r="C950" s="4">
        <v>0</v>
      </c>
      <c r="D950" s="4">
        <v>1</v>
      </c>
      <c r="E950" s="4">
        <v>204</v>
      </c>
      <c r="F950" s="4">
        <f>ROUND(Source!R936,O950)</f>
        <v>19340.75</v>
      </c>
      <c r="G950" s="4" t="s">
        <v>237</v>
      </c>
      <c r="H950" s="4" t="s">
        <v>238</v>
      </c>
      <c r="I950" s="4"/>
      <c r="J950" s="4"/>
      <c r="K950" s="4">
        <v>204</v>
      </c>
      <c r="L950" s="4">
        <v>13</v>
      </c>
      <c r="M950" s="4">
        <v>3</v>
      </c>
      <c r="N950" s="4" t="s">
        <v>3</v>
      </c>
      <c r="O950" s="4">
        <v>2</v>
      </c>
      <c r="P950" s="4"/>
      <c r="Q950" s="4"/>
      <c r="R950" s="4"/>
      <c r="S950" s="4"/>
      <c r="T950" s="4"/>
      <c r="U950" s="4"/>
      <c r="V950" s="4"/>
      <c r="W950" s="4"/>
    </row>
    <row r="951" spans="1:23" x14ac:dyDescent="0.2">
      <c r="A951" s="4">
        <v>50</v>
      </c>
      <c r="B951" s="4">
        <v>0</v>
      </c>
      <c r="C951" s="4">
        <v>0</v>
      </c>
      <c r="D951" s="4">
        <v>1</v>
      </c>
      <c r="E951" s="4">
        <v>205</v>
      </c>
      <c r="F951" s="4">
        <f>ROUND(Source!S936,O951)</f>
        <v>96380.73</v>
      </c>
      <c r="G951" s="4" t="s">
        <v>239</v>
      </c>
      <c r="H951" s="4" t="s">
        <v>240</v>
      </c>
      <c r="I951" s="4"/>
      <c r="J951" s="4"/>
      <c r="K951" s="4">
        <v>205</v>
      </c>
      <c r="L951" s="4">
        <v>14</v>
      </c>
      <c r="M951" s="4">
        <v>3</v>
      </c>
      <c r="N951" s="4" t="s">
        <v>3</v>
      </c>
      <c r="O951" s="4">
        <v>2</v>
      </c>
      <c r="P951" s="4"/>
      <c r="Q951" s="4"/>
      <c r="R951" s="4"/>
      <c r="S951" s="4"/>
      <c r="T951" s="4"/>
      <c r="U951" s="4"/>
      <c r="V951" s="4"/>
      <c r="W951" s="4"/>
    </row>
    <row r="952" spans="1:23" x14ac:dyDescent="0.2">
      <c r="A952" s="4">
        <v>50</v>
      </c>
      <c r="B952" s="4">
        <v>0</v>
      </c>
      <c r="C952" s="4">
        <v>0</v>
      </c>
      <c r="D952" s="4">
        <v>1</v>
      </c>
      <c r="E952" s="4">
        <v>232</v>
      </c>
      <c r="F952" s="4">
        <f>ROUND(Source!BC936,O952)</f>
        <v>0</v>
      </c>
      <c r="G952" s="4" t="s">
        <v>241</v>
      </c>
      <c r="H952" s="4" t="s">
        <v>242</v>
      </c>
      <c r="I952" s="4"/>
      <c r="J952" s="4"/>
      <c r="K952" s="4">
        <v>232</v>
      </c>
      <c r="L952" s="4">
        <v>15</v>
      </c>
      <c r="M952" s="4">
        <v>3</v>
      </c>
      <c r="N952" s="4" t="s">
        <v>3</v>
      </c>
      <c r="O952" s="4">
        <v>2</v>
      </c>
      <c r="P952" s="4"/>
      <c r="Q952" s="4"/>
      <c r="R952" s="4"/>
      <c r="S952" s="4"/>
      <c r="T952" s="4"/>
      <c r="U952" s="4"/>
      <c r="V952" s="4"/>
      <c r="W952" s="4"/>
    </row>
    <row r="953" spans="1:23" x14ac:dyDescent="0.2">
      <c r="A953" s="4">
        <v>50</v>
      </c>
      <c r="B953" s="4">
        <v>0</v>
      </c>
      <c r="C953" s="4">
        <v>0</v>
      </c>
      <c r="D953" s="4">
        <v>1</v>
      </c>
      <c r="E953" s="4">
        <v>214</v>
      </c>
      <c r="F953" s="4">
        <f>ROUND(Source!AS936,O953)</f>
        <v>812277.44</v>
      </c>
      <c r="G953" s="4" t="s">
        <v>243</v>
      </c>
      <c r="H953" s="4" t="s">
        <v>244</v>
      </c>
      <c r="I953" s="4"/>
      <c r="J953" s="4"/>
      <c r="K953" s="4">
        <v>214</v>
      </c>
      <c r="L953" s="4">
        <v>16</v>
      </c>
      <c r="M953" s="4">
        <v>3</v>
      </c>
      <c r="N953" s="4" t="s">
        <v>3</v>
      </c>
      <c r="O953" s="4">
        <v>2</v>
      </c>
      <c r="P953" s="4"/>
      <c r="Q953" s="4"/>
      <c r="R953" s="4"/>
      <c r="S953" s="4"/>
      <c r="T953" s="4"/>
      <c r="U953" s="4"/>
      <c r="V953" s="4"/>
      <c r="W953" s="4"/>
    </row>
    <row r="954" spans="1:23" x14ac:dyDescent="0.2">
      <c r="A954" s="4">
        <v>50</v>
      </c>
      <c r="B954" s="4">
        <v>0</v>
      </c>
      <c r="C954" s="4">
        <v>0</v>
      </c>
      <c r="D954" s="4">
        <v>1</v>
      </c>
      <c r="E954" s="4">
        <v>215</v>
      </c>
      <c r="F954" s="4">
        <f>ROUND(Source!AT936,O954)</f>
        <v>128119.65</v>
      </c>
      <c r="G954" s="4" t="s">
        <v>245</v>
      </c>
      <c r="H954" s="4" t="s">
        <v>246</v>
      </c>
      <c r="I954" s="4"/>
      <c r="J954" s="4"/>
      <c r="K954" s="4">
        <v>215</v>
      </c>
      <c r="L954" s="4">
        <v>17</v>
      </c>
      <c r="M954" s="4">
        <v>3</v>
      </c>
      <c r="N954" s="4" t="s">
        <v>3</v>
      </c>
      <c r="O954" s="4">
        <v>2</v>
      </c>
      <c r="P954" s="4"/>
      <c r="Q954" s="4"/>
      <c r="R954" s="4"/>
      <c r="S954" s="4"/>
      <c r="T954" s="4"/>
      <c r="U954" s="4"/>
      <c r="V954" s="4"/>
      <c r="W954" s="4"/>
    </row>
    <row r="955" spans="1:23" x14ac:dyDescent="0.2">
      <c r="A955" s="4">
        <v>50</v>
      </c>
      <c r="B955" s="4">
        <v>0</v>
      </c>
      <c r="C955" s="4">
        <v>0</v>
      </c>
      <c r="D955" s="4">
        <v>1</v>
      </c>
      <c r="E955" s="4">
        <v>217</v>
      </c>
      <c r="F955" s="4">
        <f>ROUND(Source!AU936,O955)</f>
        <v>79969.259999999995</v>
      </c>
      <c r="G955" s="4" t="s">
        <v>247</v>
      </c>
      <c r="H955" s="4" t="s">
        <v>248</v>
      </c>
      <c r="I955" s="4"/>
      <c r="J955" s="4"/>
      <c r="K955" s="4">
        <v>217</v>
      </c>
      <c r="L955" s="4">
        <v>18</v>
      </c>
      <c r="M955" s="4">
        <v>3</v>
      </c>
      <c r="N955" s="4" t="s">
        <v>3</v>
      </c>
      <c r="O955" s="4">
        <v>2</v>
      </c>
      <c r="P955" s="4"/>
      <c r="Q955" s="4"/>
      <c r="R955" s="4"/>
      <c r="S955" s="4"/>
      <c r="T955" s="4"/>
      <c r="U955" s="4"/>
      <c r="V955" s="4"/>
      <c r="W955" s="4"/>
    </row>
    <row r="956" spans="1:23" x14ac:dyDescent="0.2">
      <c r="A956" s="4">
        <v>50</v>
      </c>
      <c r="B956" s="4">
        <v>0</v>
      </c>
      <c r="C956" s="4">
        <v>0</v>
      </c>
      <c r="D956" s="4">
        <v>1</v>
      </c>
      <c r="E956" s="4">
        <v>230</v>
      </c>
      <c r="F956" s="4">
        <f>ROUND(Source!BA936,O956)</f>
        <v>0</v>
      </c>
      <c r="G956" s="4" t="s">
        <v>249</v>
      </c>
      <c r="H956" s="4" t="s">
        <v>250</v>
      </c>
      <c r="I956" s="4"/>
      <c r="J956" s="4"/>
      <c r="K956" s="4">
        <v>230</v>
      </c>
      <c r="L956" s="4">
        <v>19</v>
      </c>
      <c r="M956" s="4">
        <v>3</v>
      </c>
      <c r="N956" s="4" t="s">
        <v>3</v>
      </c>
      <c r="O956" s="4">
        <v>2</v>
      </c>
      <c r="P956" s="4"/>
      <c r="Q956" s="4"/>
      <c r="R956" s="4"/>
      <c r="S956" s="4"/>
      <c r="T956" s="4"/>
      <c r="U956" s="4"/>
      <c r="V956" s="4"/>
      <c r="W956" s="4"/>
    </row>
    <row r="957" spans="1:23" x14ac:dyDescent="0.2">
      <c r="A957" s="4">
        <v>50</v>
      </c>
      <c r="B957" s="4">
        <v>0</v>
      </c>
      <c r="C957" s="4">
        <v>0</v>
      </c>
      <c r="D957" s="4">
        <v>1</v>
      </c>
      <c r="E957" s="4">
        <v>206</v>
      </c>
      <c r="F957" s="4">
        <f>ROUND(Source!T936,O957)</f>
        <v>0</v>
      </c>
      <c r="G957" s="4" t="s">
        <v>251</v>
      </c>
      <c r="H957" s="4" t="s">
        <v>252</v>
      </c>
      <c r="I957" s="4"/>
      <c r="J957" s="4"/>
      <c r="K957" s="4">
        <v>206</v>
      </c>
      <c r="L957" s="4">
        <v>20</v>
      </c>
      <c r="M957" s="4">
        <v>3</v>
      </c>
      <c r="N957" s="4" t="s">
        <v>3</v>
      </c>
      <c r="O957" s="4">
        <v>2</v>
      </c>
      <c r="P957" s="4"/>
      <c r="Q957" s="4"/>
      <c r="R957" s="4"/>
      <c r="S957" s="4"/>
      <c r="T957" s="4"/>
      <c r="U957" s="4"/>
      <c r="V957" s="4"/>
      <c r="W957" s="4"/>
    </row>
    <row r="958" spans="1:23" x14ac:dyDescent="0.2">
      <c r="A958" s="4">
        <v>50</v>
      </c>
      <c r="B958" s="4">
        <v>0</v>
      </c>
      <c r="C958" s="4">
        <v>0</v>
      </c>
      <c r="D958" s="4">
        <v>1</v>
      </c>
      <c r="E958" s="4">
        <v>207</v>
      </c>
      <c r="F958" s="4">
        <f>Source!U936</f>
        <v>303.88545875</v>
      </c>
      <c r="G958" s="4" t="s">
        <v>253</v>
      </c>
      <c r="H958" s="4" t="s">
        <v>254</v>
      </c>
      <c r="I958" s="4"/>
      <c r="J958" s="4"/>
      <c r="K958" s="4">
        <v>207</v>
      </c>
      <c r="L958" s="4">
        <v>21</v>
      </c>
      <c r="M958" s="4">
        <v>3</v>
      </c>
      <c r="N958" s="4" t="s">
        <v>3</v>
      </c>
      <c r="O958" s="4">
        <v>-1</v>
      </c>
      <c r="P958" s="4"/>
      <c r="Q958" s="4"/>
      <c r="R958" s="4"/>
      <c r="S958" s="4"/>
      <c r="T958" s="4"/>
      <c r="U958" s="4"/>
      <c r="V958" s="4"/>
      <c r="W958" s="4"/>
    </row>
    <row r="959" spans="1:23" x14ac:dyDescent="0.2">
      <c r="A959" s="4">
        <v>50</v>
      </c>
      <c r="B959" s="4">
        <v>0</v>
      </c>
      <c r="C959" s="4">
        <v>0</v>
      </c>
      <c r="D959" s="4">
        <v>1</v>
      </c>
      <c r="E959" s="4">
        <v>208</v>
      </c>
      <c r="F959" s="4">
        <f>Source!V936</f>
        <v>0</v>
      </c>
      <c r="G959" s="4" t="s">
        <v>255</v>
      </c>
      <c r="H959" s="4" t="s">
        <v>256</v>
      </c>
      <c r="I959" s="4"/>
      <c r="J959" s="4"/>
      <c r="K959" s="4">
        <v>208</v>
      </c>
      <c r="L959" s="4">
        <v>22</v>
      </c>
      <c r="M959" s="4">
        <v>3</v>
      </c>
      <c r="N959" s="4" t="s">
        <v>3</v>
      </c>
      <c r="O959" s="4">
        <v>-1</v>
      </c>
      <c r="P959" s="4"/>
      <c r="Q959" s="4"/>
      <c r="R959" s="4"/>
      <c r="S959" s="4"/>
      <c r="T959" s="4"/>
      <c r="U959" s="4"/>
      <c r="V959" s="4"/>
      <c r="W959" s="4"/>
    </row>
    <row r="960" spans="1:23" x14ac:dyDescent="0.2">
      <c r="A960" s="4">
        <v>50</v>
      </c>
      <c r="B960" s="4">
        <v>0</v>
      </c>
      <c r="C960" s="4">
        <v>0</v>
      </c>
      <c r="D960" s="4">
        <v>1</v>
      </c>
      <c r="E960" s="4">
        <v>209</v>
      </c>
      <c r="F960" s="4">
        <f>ROUND(Source!W936,O960)</f>
        <v>0</v>
      </c>
      <c r="G960" s="4" t="s">
        <v>257</v>
      </c>
      <c r="H960" s="4" t="s">
        <v>258</v>
      </c>
      <c r="I960" s="4"/>
      <c r="J960" s="4"/>
      <c r="K960" s="4">
        <v>209</v>
      </c>
      <c r="L960" s="4">
        <v>23</v>
      </c>
      <c r="M960" s="4">
        <v>3</v>
      </c>
      <c r="N960" s="4" t="s">
        <v>3</v>
      </c>
      <c r="O960" s="4">
        <v>2</v>
      </c>
      <c r="P960" s="4"/>
      <c r="Q960" s="4"/>
      <c r="R960" s="4"/>
      <c r="S960" s="4"/>
      <c r="T960" s="4"/>
      <c r="U960" s="4"/>
      <c r="V960" s="4"/>
      <c r="W960" s="4"/>
    </row>
    <row r="961" spans="1:245" x14ac:dyDescent="0.2">
      <c r="A961" s="4">
        <v>50</v>
      </c>
      <c r="B961" s="4">
        <v>0</v>
      </c>
      <c r="C961" s="4">
        <v>0</v>
      </c>
      <c r="D961" s="4">
        <v>1</v>
      </c>
      <c r="E961" s="4">
        <v>233</v>
      </c>
      <c r="F961" s="4">
        <f>ROUND(Source!BD936,O961)</f>
        <v>0</v>
      </c>
      <c r="G961" s="4" t="s">
        <v>259</v>
      </c>
      <c r="H961" s="4" t="s">
        <v>260</v>
      </c>
      <c r="I961" s="4"/>
      <c r="J961" s="4"/>
      <c r="K961" s="4">
        <v>233</v>
      </c>
      <c r="L961" s="4">
        <v>24</v>
      </c>
      <c r="M961" s="4">
        <v>3</v>
      </c>
      <c r="N961" s="4" t="s">
        <v>3</v>
      </c>
      <c r="O961" s="4">
        <v>2</v>
      </c>
      <c r="P961" s="4"/>
      <c r="Q961" s="4"/>
      <c r="R961" s="4"/>
      <c r="S961" s="4"/>
      <c r="T961" s="4"/>
      <c r="U961" s="4"/>
      <c r="V961" s="4"/>
      <c r="W961" s="4"/>
    </row>
    <row r="962" spans="1:245" x14ac:dyDescent="0.2">
      <c r="A962" s="4">
        <v>50</v>
      </c>
      <c r="B962" s="4">
        <v>0</v>
      </c>
      <c r="C962" s="4">
        <v>0</v>
      </c>
      <c r="D962" s="4">
        <v>1</v>
      </c>
      <c r="E962" s="4">
        <v>210</v>
      </c>
      <c r="F962" s="4">
        <f>ROUND(Source!X936,O962)</f>
        <v>78448.259999999995</v>
      </c>
      <c r="G962" s="4" t="s">
        <v>261</v>
      </c>
      <c r="H962" s="4" t="s">
        <v>262</v>
      </c>
      <c r="I962" s="4"/>
      <c r="J962" s="4"/>
      <c r="K962" s="4">
        <v>210</v>
      </c>
      <c r="L962" s="4">
        <v>25</v>
      </c>
      <c r="M962" s="4">
        <v>3</v>
      </c>
      <c r="N962" s="4" t="s">
        <v>3</v>
      </c>
      <c r="O962" s="4">
        <v>2</v>
      </c>
      <c r="P962" s="4"/>
      <c r="Q962" s="4"/>
      <c r="R962" s="4"/>
      <c r="S962" s="4"/>
      <c r="T962" s="4"/>
      <c r="U962" s="4"/>
      <c r="V962" s="4"/>
      <c r="W962" s="4"/>
    </row>
    <row r="963" spans="1:245" x14ac:dyDescent="0.2">
      <c r="A963" s="4">
        <v>50</v>
      </c>
      <c r="B963" s="4">
        <v>0</v>
      </c>
      <c r="C963" s="4">
        <v>0</v>
      </c>
      <c r="D963" s="4">
        <v>1</v>
      </c>
      <c r="E963" s="4">
        <v>211</v>
      </c>
      <c r="F963" s="4">
        <f>ROUND(Source!Y936,O963)</f>
        <v>39566.26</v>
      </c>
      <c r="G963" s="4" t="s">
        <v>263</v>
      </c>
      <c r="H963" s="4" t="s">
        <v>264</v>
      </c>
      <c r="I963" s="4"/>
      <c r="J963" s="4"/>
      <c r="K963" s="4">
        <v>211</v>
      </c>
      <c r="L963" s="4">
        <v>26</v>
      </c>
      <c r="M963" s="4">
        <v>3</v>
      </c>
      <c r="N963" s="4" t="s">
        <v>3</v>
      </c>
      <c r="O963" s="4">
        <v>2</v>
      </c>
      <c r="P963" s="4"/>
      <c r="Q963" s="4"/>
      <c r="R963" s="4"/>
      <c r="S963" s="4"/>
      <c r="T963" s="4"/>
      <c r="U963" s="4"/>
      <c r="V963" s="4"/>
      <c r="W963" s="4"/>
    </row>
    <row r="964" spans="1:245" x14ac:dyDescent="0.2">
      <c r="A964" s="4">
        <v>50</v>
      </c>
      <c r="B964" s="4">
        <v>0</v>
      </c>
      <c r="C964" s="4">
        <v>0</v>
      </c>
      <c r="D964" s="4">
        <v>1</v>
      </c>
      <c r="E964" s="4">
        <v>224</v>
      </c>
      <c r="F964" s="4">
        <f>ROUND(Source!AR936,O964)</f>
        <v>1190633.5</v>
      </c>
      <c r="G964" s="4" t="s">
        <v>265</v>
      </c>
      <c r="H964" s="4" t="s">
        <v>266</v>
      </c>
      <c r="I964" s="4"/>
      <c r="J964" s="4"/>
      <c r="K964" s="4">
        <v>224</v>
      </c>
      <c r="L964" s="4">
        <v>27</v>
      </c>
      <c r="M964" s="4">
        <v>3</v>
      </c>
      <c r="N964" s="4" t="s">
        <v>3</v>
      </c>
      <c r="O964" s="4">
        <v>2</v>
      </c>
      <c r="P964" s="4"/>
      <c r="Q964" s="4"/>
      <c r="R964" s="4"/>
      <c r="S964" s="4"/>
      <c r="T964" s="4"/>
      <c r="U964" s="4"/>
      <c r="V964" s="4"/>
      <c r="W964" s="4"/>
    </row>
    <row r="966" spans="1:245" x14ac:dyDescent="0.2">
      <c r="A966" s="1">
        <v>4</v>
      </c>
      <c r="B966" s="1">
        <v>1</v>
      </c>
      <c r="C966" s="1"/>
      <c r="D966" s="1">
        <f>ROW(A975)</f>
        <v>975</v>
      </c>
      <c r="E966" s="1"/>
      <c r="F966" s="1" t="s">
        <v>13</v>
      </c>
      <c r="G966" s="1" t="s">
        <v>1078</v>
      </c>
      <c r="H966" s="1" t="s">
        <v>3</v>
      </c>
      <c r="I966" s="1">
        <v>0</v>
      </c>
      <c r="J966" s="1"/>
      <c r="K966" s="1">
        <v>-1</v>
      </c>
      <c r="L966" s="1"/>
      <c r="M966" s="1" t="s">
        <v>3</v>
      </c>
      <c r="N966" s="1"/>
      <c r="O966" s="1"/>
      <c r="P966" s="1"/>
      <c r="Q966" s="1"/>
      <c r="R966" s="1"/>
      <c r="S966" s="1">
        <v>0</v>
      </c>
      <c r="T966" s="1"/>
      <c r="U966" s="1" t="s">
        <v>3</v>
      </c>
      <c r="V966" s="1">
        <v>0</v>
      </c>
      <c r="W966" s="1"/>
      <c r="X966" s="1"/>
      <c r="Y966" s="1"/>
      <c r="Z966" s="1"/>
      <c r="AA966" s="1"/>
      <c r="AB966" s="1" t="s">
        <v>3</v>
      </c>
      <c r="AC966" s="1" t="s">
        <v>3</v>
      </c>
      <c r="AD966" s="1" t="s">
        <v>3</v>
      </c>
      <c r="AE966" s="1" t="s">
        <v>3</v>
      </c>
      <c r="AF966" s="1" t="s">
        <v>3</v>
      </c>
      <c r="AG966" s="1" t="s">
        <v>3</v>
      </c>
      <c r="AH966" s="1"/>
      <c r="AI966" s="1"/>
      <c r="AJ966" s="1"/>
      <c r="AK966" s="1"/>
      <c r="AL966" s="1"/>
      <c r="AM966" s="1"/>
      <c r="AN966" s="1"/>
      <c r="AO966" s="1"/>
      <c r="AP966" s="1" t="s">
        <v>3</v>
      </c>
      <c r="AQ966" s="1" t="s">
        <v>3</v>
      </c>
      <c r="AR966" s="1" t="s">
        <v>3</v>
      </c>
      <c r="AS966" s="1"/>
      <c r="AT966" s="1"/>
      <c r="AU966" s="1"/>
      <c r="AV966" s="1"/>
      <c r="AW966" s="1"/>
      <c r="AX966" s="1"/>
      <c r="AY966" s="1"/>
      <c r="AZ966" s="1" t="s">
        <v>3</v>
      </c>
      <c r="BA966" s="1"/>
      <c r="BB966" s="1" t="s">
        <v>3</v>
      </c>
      <c r="BC966" s="1" t="s">
        <v>3</v>
      </c>
      <c r="BD966" s="1" t="s">
        <v>3</v>
      </c>
      <c r="BE966" s="1" t="s">
        <v>3</v>
      </c>
      <c r="BF966" s="1" t="s">
        <v>3</v>
      </c>
      <c r="BG966" s="1" t="s">
        <v>3</v>
      </c>
      <c r="BH966" s="1" t="s">
        <v>3</v>
      </c>
      <c r="BI966" s="1" t="s">
        <v>3</v>
      </c>
      <c r="BJ966" s="1" t="s">
        <v>3</v>
      </c>
      <c r="BK966" s="1" t="s">
        <v>3</v>
      </c>
      <c r="BL966" s="1" t="s">
        <v>3</v>
      </c>
      <c r="BM966" s="1" t="s">
        <v>3</v>
      </c>
      <c r="BN966" s="1" t="s">
        <v>3</v>
      </c>
      <c r="BO966" s="1" t="s">
        <v>3</v>
      </c>
      <c r="BP966" s="1" t="s">
        <v>3</v>
      </c>
      <c r="BQ966" s="1"/>
      <c r="BR966" s="1"/>
      <c r="BS966" s="1"/>
      <c r="BT966" s="1"/>
      <c r="BU966" s="1"/>
      <c r="BV966" s="1"/>
      <c r="BW966" s="1"/>
      <c r="BX966" s="1">
        <v>0</v>
      </c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>
        <v>0</v>
      </c>
    </row>
    <row r="968" spans="1:245" x14ac:dyDescent="0.2">
      <c r="A968" s="2">
        <v>52</v>
      </c>
      <c r="B968" s="2">
        <f t="shared" ref="B968:G968" si="841">B975</f>
        <v>1</v>
      </c>
      <c r="C968" s="2">
        <f t="shared" si="841"/>
        <v>4</v>
      </c>
      <c r="D968" s="2">
        <f t="shared" si="841"/>
        <v>966</v>
      </c>
      <c r="E968" s="2">
        <f t="shared" si="841"/>
        <v>0</v>
      </c>
      <c r="F968" s="2" t="str">
        <f t="shared" si="841"/>
        <v>Новый раздел</v>
      </c>
      <c r="G968" s="2" t="str">
        <f t="shared" si="841"/>
        <v>Установка тематических топиартых фигур (входная группа)</v>
      </c>
      <c r="H968" s="2"/>
      <c r="I968" s="2"/>
      <c r="J968" s="2"/>
      <c r="K968" s="2"/>
      <c r="L968" s="2"/>
      <c r="M968" s="2"/>
      <c r="N968" s="2"/>
      <c r="O968" s="2">
        <f t="shared" ref="O968:AT968" si="842">O975</f>
        <v>612244.25</v>
      </c>
      <c r="P968" s="2">
        <f t="shared" si="842"/>
        <v>559969.36</v>
      </c>
      <c r="Q968" s="2">
        <f t="shared" si="842"/>
        <v>19896.64</v>
      </c>
      <c r="R968" s="2">
        <f t="shared" si="842"/>
        <v>5555.08</v>
      </c>
      <c r="S968" s="2">
        <f t="shared" si="842"/>
        <v>32378.25</v>
      </c>
      <c r="T968" s="2">
        <f t="shared" si="842"/>
        <v>0</v>
      </c>
      <c r="U968" s="2">
        <f t="shared" si="842"/>
        <v>95.518999999999991</v>
      </c>
      <c r="V968" s="2">
        <f t="shared" si="842"/>
        <v>0</v>
      </c>
      <c r="W968" s="2">
        <f t="shared" si="842"/>
        <v>0</v>
      </c>
      <c r="X968" s="2">
        <f t="shared" si="842"/>
        <v>23291.46</v>
      </c>
      <c r="Y968" s="2">
        <f t="shared" si="842"/>
        <v>13275.08</v>
      </c>
      <c r="Z968" s="2">
        <f t="shared" si="842"/>
        <v>0</v>
      </c>
      <c r="AA968" s="2">
        <f t="shared" si="842"/>
        <v>0</v>
      </c>
      <c r="AB968" s="2">
        <f t="shared" si="842"/>
        <v>612244.25</v>
      </c>
      <c r="AC968" s="2">
        <f t="shared" si="842"/>
        <v>559969.36</v>
      </c>
      <c r="AD968" s="2">
        <f t="shared" si="842"/>
        <v>19896.64</v>
      </c>
      <c r="AE968" s="2">
        <f t="shared" si="842"/>
        <v>5555.08</v>
      </c>
      <c r="AF968" s="2">
        <f t="shared" si="842"/>
        <v>32378.25</v>
      </c>
      <c r="AG968" s="2">
        <f t="shared" si="842"/>
        <v>0</v>
      </c>
      <c r="AH968" s="2">
        <f t="shared" si="842"/>
        <v>95.518999999999991</v>
      </c>
      <c r="AI968" s="2">
        <f t="shared" si="842"/>
        <v>0</v>
      </c>
      <c r="AJ968" s="2">
        <f t="shared" si="842"/>
        <v>0</v>
      </c>
      <c r="AK968" s="2">
        <f t="shared" si="842"/>
        <v>23291.46</v>
      </c>
      <c r="AL968" s="2">
        <f t="shared" si="842"/>
        <v>13275.08</v>
      </c>
      <c r="AM968" s="2">
        <f t="shared" si="842"/>
        <v>0</v>
      </c>
      <c r="AN968" s="2">
        <f t="shared" si="842"/>
        <v>0</v>
      </c>
      <c r="AO968" s="2">
        <f t="shared" si="842"/>
        <v>0</v>
      </c>
      <c r="AP968" s="2">
        <f t="shared" si="842"/>
        <v>0</v>
      </c>
      <c r="AQ968" s="2">
        <f t="shared" si="842"/>
        <v>0</v>
      </c>
      <c r="AR968" s="2">
        <f t="shared" si="842"/>
        <v>657532.27</v>
      </c>
      <c r="AS968" s="2">
        <f t="shared" si="842"/>
        <v>657532.27</v>
      </c>
      <c r="AT968" s="2">
        <f t="shared" si="842"/>
        <v>0</v>
      </c>
      <c r="AU968" s="2">
        <f t="shared" ref="AU968:BZ968" si="843">AU975</f>
        <v>0</v>
      </c>
      <c r="AV968" s="2">
        <f t="shared" si="843"/>
        <v>559969.36</v>
      </c>
      <c r="AW968" s="2">
        <f t="shared" si="843"/>
        <v>559969.36</v>
      </c>
      <c r="AX968" s="2">
        <f t="shared" si="843"/>
        <v>0</v>
      </c>
      <c r="AY968" s="2">
        <f t="shared" si="843"/>
        <v>559969.36</v>
      </c>
      <c r="AZ968" s="2">
        <f t="shared" si="843"/>
        <v>0</v>
      </c>
      <c r="BA968" s="2">
        <f t="shared" si="843"/>
        <v>0</v>
      </c>
      <c r="BB968" s="2">
        <f t="shared" si="843"/>
        <v>0</v>
      </c>
      <c r="BC968" s="2">
        <f t="shared" si="843"/>
        <v>0</v>
      </c>
      <c r="BD968" s="2">
        <f t="shared" si="843"/>
        <v>0</v>
      </c>
      <c r="BE968" s="2">
        <f t="shared" si="843"/>
        <v>0</v>
      </c>
      <c r="BF968" s="2">
        <f t="shared" si="843"/>
        <v>0</v>
      </c>
      <c r="BG968" s="2">
        <f t="shared" si="843"/>
        <v>0</v>
      </c>
      <c r="BH968" s="2">
        <f t="shared" si="843"/>
        <v>0</v>
      </c>
      <c r="BI968" s="2">
        <f t="shared" si="843"/>
        <v>0</v>
      </c>
      <c r="BJ968" s="2">
        <f t="shared" si="843"/>
        <v>0</v>
      </c>
      <c r="BK968" s="2">
        <f t="shared" si="843"/>
        <v>0</v>
      </c>
      <c r="BL968" s="2">
        <f t="shared" si="843"/>
        <v>0</v>
      </c>
      <c r="BM968" s="2">
        <f t="shared" si="843"/>
        <v>0</v>
      </c>
      <c r="BN968" s="2">
        <f t="shared" si="843"/>
        <v>0</v>
      </c>
      <c r="BO968" s="2">
        <f t="shared" si="843"/>
        <v>0</v>
      </c>
      <c r="BP968" s="2">
        <f t="shared" si="843"/>
        <v>0</v>
      </c>
      <c r="BQ968" s="2">
        <f t="shared" si="843"/>
        <v>0</v>
      </c>
      <c r="BR968" s="2">
        <f t="shared" si="843"/>
        <v>0</v>
      </c>
      <c r="BS968" s="2">
        <f t="shared" si="843"/>
        <v>0</v>
      </c>
      <c r="BT968" s="2">
        <f t="shared" si="843"/>
        <v>0</v>
      </c>
      <c r="BU968" s="2">
        <f t="shared" si="843"/>
        <v>0</v>
      </c>
      <c r="BV968" s="2">
        <f t="shared" si="843"/>
        <v>0</v>
      </c>
      <c r="BW968" s="2">
        <f t="shared" si="843"/>
        <v>0</v>
      </c>
      <c r="BX968" s="2">
        <f t="shared" si="843"/>
        <v>0</v>
      </c>
      <c r="BY968" s="2">
        <f t="shared" si="843"/>
        <v>0</v>
      </c>
      <c r="BZ968" s="2">
        <f t="shared" si="843"/>
        <v>0</v>
      </c>
      <c r="CA968" s="2">
        <f t="shared" ref="CA968:DF968" si="844">CA975</f>
        <v>657532.27</v>
      </c>
      <c r="CB968" s="2">
        <f t="shared" si="844"/>
        <v>657532.27</v>
      </c>
      <c r="CC968" s="2">
        <f t="shared" si="844"/>
        <v>0</v>
      </c>
      <c r="CD968" s="2">
        <f t="shared" si="844"/>
        <v>0</v>
      </c>
      <c r="CE968" s="2">
        <f t="shared" si="844"/>
        <v>559969.36</v>
      </c>
      <c r="CF968" s="2">
        <f t="shared" si="844"/>
        <v>559969.36</v>
      </c>
      <c r="CG968" s="2">
        <f t="shared" si="844"/>
        <v>0</v>
      </c>
      <c r="CH968" s="2">
        <f t="shared" si="844"/>
        <v>559969.36</v>
      </c>
      <c r="CI968" s="2">
        <f t="shared" si="844"/>
        <v>0</v>
      </c>
      <c r="CJ968" s="2">
        <f t="shared" si="844"/>
        <v>0</v>
      </c>
      <c r="CK968" s="2">
        <f t="shared" si="844"/>
        <v>0</v>
      </c>
      <c r="CL968" s="2">
        <f t="shared" si="844"/>
        <v>0</v>
      </c>
      <c r="CM968" s="2">
        <f t="shared" si="844"/>
        <v>0</v>
      </c>
      <c r="CN968" s="2">
        <f t="shared" si="844"/>
        <v>0</v>
      </c>
      <c r="CO968" s="2">
        <f t="shared" si="844"/>
        <v>0</v>
      </c>
      <c r="CP968" s="2">
        <f t="shared" si="844"/>
        <v>0</v>
      </c>
      <c r="CQ968" s="2">
        <f t="shared" si="844"/>
        <v>0</v>
      </c>
      <c r="CR968" s="2">
        <f t="shared" si="844"/>
        <v>0</v>
      </c>
      <c r="CS968" s="2">
        <f t="shared" si="844"/>
        <v>0</v>
      </c>
      <c r="CT968" s="2">
        <f t="shared" si="844"/>
        <v>0</v>
      </c>
      <c r="CU968" s="2">
        <f t="shared" si="844"/>
        <v>0</v>
      </c>
      <c r="CV968" s="2">
        <f t="shared" si="844"/>
        <v>0</v>
      </c>
      <c r="CW968" s="2">
        <f t="shared" si="844"/>
        <v>0</v>
      </c>
      <c r="CX968" s="2">
        <f t="shared" si="844"/>
        <v>0</v>
      </c>
      <c r="CY968" s="2">
        <f t="shared" si="844"/>
        <v>0</v>
      </c>
      <c r="CZ968" s="2">
        <f t="shared" si="844"/>
        <v>0</v>
      </c>
      <c r="DA968" s="2">
        <f t="shared" si="844"/>
        <v>0</v>
      </c>
      <c r="DB968" s="2">
        <f t="shared" si="844"/>
        <v>0</v>
      </c>
      <c r="DC968" s="2">
        <f t="shared" si="844"/>
        <v>0</v>
      </c>
      <c r="DD968" s="2">
        <f t="shared" si="844"/>
        <v>0</v>
      </c>
      <c r="DE968" s="2">
        <f t="shared" si="844"/>
        <v>0</v>
      </c>
      <c r="DF968" s="2">
        <f t="shared" si="844"/>
        <v>0</v>
      </c>
      <c r="DG968" s="3">
        <f t="shared" ref="DG968:EL968" si="845">DG975</f>
        <v>0</v>
      </c>
      <c r="DH968" s="3">
        <f t="shared" si="845"/>
        <v>0</v>
      </c>
      <c r="DI968" s="3">
        <f t="shared" si="845"/>
        <v>0</v>
      </c>
      <c r="DJ968" s="3">
        <f t="shared" si="845"/>
        <v>0</v>
      </c>
      <c r="DK968" s="3">
        <f t="shared" si="845"/>
        <v>0</v>
      </c>
      <c r="DL968" s="3">
        <f t="shared" si="845"/>
        <v>0</v>
      </c>
      <c r="DM968" s="3">
        <f t="shared" si="845"/>
        <v>0</v>
      </c>
      <c r="DN968" s="3">
        <f t="shared" si="845"/>
        <v>0</v>
      </c>
      <c r="DO968" s="3">
        <f t="shared" si="845"/>
        <v>0</v>
      </c>
      <c r="DP968" s="3">
        <f t="shared" si="845"/>
        <v>0</v>
      </c>
      <c r="DQ968" s="3">
        <f t="shared" si="845"/>
        <v>0</v>
      </c>
      <c r="DR968" s="3">
        <f t="shared" si="845"/>
        <v>0</v>
      </c>
      <c r="DS968" s="3">
        <f t="shared" si="845"/>
        <v>0</v>
      </c>
      <c r="DT968" s="3">
        <f t="shared" si="845"/>
        <v>0</v>
      </c>
      <c r="DU968" s="3">
        <f t="shared" si="845"/>
        <v>0</v>
      </c>
      <c r="DV968" s="3">
        <f t="shared" si="845"/>
        <v>0</v>
      </c>
      <c r="DW968" s="3">
        <f t="shared" si="845"/>
        <v>0</v>
      </c>
      <c r="DX968" s="3">
        <f t="shared" si="845"/>
        <v>0</v>
      </c>
      <c r="DY968" s="3">
        <f t="shared" si="845"/>
        <v>0</v>
      </c>
      <c r="DZ968" s="3">
        <f t="shared" si="845"/>
        <v>0</v>
      </c>
      <c r="EA968" s="3">
        <f t="shared" si="845"/>
        <v>0</v>
      </c>
      <c r="EB968" s="3">
        <f t="shared" si="845"/>
        <v>0</v>
      </c>
      <c r="EC968" s="3">
        <f t="shared" si="845"/>
        <v>0</v>
      </c>
      <c r="ED968" s="3">
        <f t="shared" si="845"/>
        <v>0</v>
      </c>
      <c r="EE968" s="3">
        <f t="shared" si="845"/>
        <v>0</v>
      </c>
      <c r="EF968" s="3">
        <f t="shared" si="845"/>
        <v>0</v>
      </c>
      <c r="EG968" s="3">
        <f t="shared" si="845"/>
        <v>0</v>
      </c>
      <c r="EH968" s="3">
        <f t="shared" si="845"/>
        <v>0</v>
      </c>
      <c r="EI968" s="3">
        <f t="shared" si="845"/>
        <v>0</v>
      </c>
      <c r="EJ968" s="3">
        <f t="shared" si="845"/>
        <v>0</v>
      </c>
      <c r="EK968" s="3">
        <f t="shared" si="845"/>
        <v>0</v>
      </c>
      <c r="EL968" s="3">
        <f t="shared" si="845"/>
        <v>0</v>
      </c>
      <c r="EM968" s="3">
        <f t="shared" ref="EM968:FR968" si="846">EM975</f>
        <v>0</v>
      </c>
      <c r="EN968" s="3">
        <f t="shared" si="846"/>
        <v>0</v>
      </c>
      <c r="EO968" s="3">
        <f t="shared" si="846"/>
        <v>0</v>
      </c>
      <c r="EP968" s="3">
        <f t="shared" si="846"/>
        <v>0</v>
      </c>
      <c r="EQ968" s="3">
        <f t="shared" si="846"/>
        <v>0</v>
      </c>
      <c r="ER968" s="3">
        <f t="shared" si="846"/>
        <v>0</v>
      </c>
      <c r="ES968" s="3">
        <f t="shared" si="846"/>
        <v>0</v>
      </c>
      <c r="ET968" s="3">
        <f t="shared" si="846"/>
        <v>0</v>
      </c>
      <c r="EU968" s="3">
        <f t="shared" si="846"/>
        <v>0</v>
      </c>
      <c r="EV968" s="3">
        <f t="shared" si="846"/>
        <v>0</v>
      </c>
      <c r="EW968" s="3">
        <f t="shared" si="846"/>
        <v>0</v>
      </c>
      <c r="EX968" s="3">
        <f t="shared" si="846"/>
        <v>0</v>
      </c>
      <c r="EY968" s="3">
        <f t="shared" si="846"/>
        <v>0</v>
      </c>
      <c r="EZ968" s="3">
        <f t="shared" si="846"/>
        <v>0</v>
      </c>
      <c r="FA968" s="3">
        <f t="shared" si="846"/>
        <v>0</v>
      </c>
      <c r="FB968" s="3">
        <f t="shared" si="846"/>
        <v>0</v>
      </c>
      <c r="FC968" s="3">
        <f t="shared" si="846"/>
        <v>0</v>
      </c>
      <c r="FD968" s="3">
        <f t="shared" si="846"/>
        <v>0</v>
      </c>
      <c r="FE968" s="3">
        <f t="shared" si="846"/>
        <v>0</v>
      </c>
      <c r="FF968" s="3">
        <f t="shared" si="846"/>
        <v>0</v>
      </c>
      <c r="FG968" s="3">
        <f t="shared" si="846"/>
        <v>0</v>
      </c>
      <c r="FH968" s="3">
        <f t="shared" si="846"/>
        <v>0</v>
      </c>
      <c r="FI968" s="3">
        <f t="shared" si="846"/>
        <v>0</v>
      </c>
      <c r="FJ968" s="3">
        <f t="shared" si="846"/>
        <v>0</v>
      </c>
      <c r="FK968" s="3">
        <f t="shared" si="846"/>
        <v>0</v>
      </c>
      <c r="FL968" s="3">
        <f t="shared" si="846"/>
        <v>0</v>
      </c>
      <c r="FM968" s="3">
        <f t="shared" si="846"/>
        <v>0</v>
      </c>
      <c r="FN968" s="3">
        <f t="shared" si="846"/>
        <v>0</v>
      </c>
      <c r="FO968" s="3">
        <f t="shared" si="846"/>
        <v>0</v>
      </c>
      <c r="FP968" s="3">
        <f t="shared" si="846"/>
        <v>0</v>
      </c>
      <c r="FQ968" s="3">
        <f t="shared" si="846"/>
        <v>0</v>
      </c>
      <c r="FR968" s="3">
        <f t="shared" si="846"/>
        <v>0</v>
      </c>
      <c r="FS968" s="3">
        <f t="shared" ref="FS968:GX968" si="847">FS975</f>
        <v>0</v>
      </c>
      <c r="FT968" s="3">
        <f t="shared" si="847"/>
        <v>0</v>
      </c>
      <c r="FU968" s="3">
        <f t="shared" si="847"/>
        <v>0</v>
      </c>
      <c r="FV968" s="3">
        <f t="shared" si="847"/>
        <v>0</v>
      </c>
      <c r="FW968" s="3">
        <f t="shared" si="847"/>
        <v>0</v>
      </c>
      <c r="FX968" s="3">
        <f t="shared" si="847"/>
        <v>0</v>
      </c>
      <c r="FY968" s="3">
        <f t="shared" si="847"/>
        <v>0</v>
      </c>
      <c r="FZ968" s="3">
        <f t="shared" si="847"/>
        <v>0</v>
      </c>
      <c r="GA968" s="3">
        <f t="shared" si="847"/>
        <v>0</v>
      </c>
      <c r="GB968" s="3">
        <f t="shared" si="847"/>
        <v>0</v>
      </c>
      <c r="GC968" s="3">
        <f t="shared" si="847"/>
        <v>0</v>
      </c>
      <c r="GD968" s="3">
        <f t="shared" si="847"/>
        <v>0</v>
      </c>
      <c r="GE968" s="3">
        <f t="shared" si="847"/>
        <v>0</v>
      </c>
      <c r="GF968" s="3">
        <f t="shared" si="847"/>
        <v>0</v>
      </c>
      <c r="GG968" s="3">
        <f t="shared" si="847"/>
        <v>0</v>
      </c>
      <c r="GH968" s="3">
        <f t="shared" si="847"/>
        <v>0</v>
      </c>
      <c r="GI968" s="3">
        <f t="shared" si="847"/>
        <v>0</v>
      </c>
      <c r="GJ968" s="3">
        <f t="shared" si="847"/>
        <v>0</v>
      </c>
      <c r="GK968" s="3">
        <f t="shared" si="847"/>
        <v>0</v>
      </c>
      <c r="GL968" s="3">
        <f t="shared" si="847"/>
        <v>0</v>
      </c>
      <c r="GM968" s="3">
        <f t="shared" si="847"/>
        <v>0</v>
      </c>
      <c r="GN968" s="3">
        <f t="shared" si="847"/>
        <v>0</v>
      </c>
      <c r="GO968" s="3">
        <f t="shared" si="847"/>
        <v>0</v>
      </c>
      <c r="GP968" s="3">
        <f t="shared" si="847"/>
        <v>0</v>
      </c>
      <c r="GQ968" s="3">
        <f t="shared" si="847"/>
        <v>0</v>
      </c>
      <c r="GR968" s="3">
        <f t="shared" si="847"/>
        <v>0</v>
      </c>
      <c r="GS968" s="3">
        <f t="shared" si="847"/>
        <v>0</v>
      </c>
      <c r="GT968" s="3">
        <f t="shared" si="847"/>
        <v>0</v>
      </c>
      <c r="GU968" s="3">
        <f t="shared" si="847"/>
        <v>0</v>
      </c>
      <c r="GV968" s="3">
        <f t="shared" si="847"/>
        <v>0</v>
      </c>
      <c r="GW968" s="3">
        <f t="shared" si="847"/>
        <v>0</v>
      </c>
      <c r="GX968" s="3">
        <f t="shared" si="847"/>
        <v>0</v>
      </c>
    </row>
    <row r="970" spans="1:245" x14ac:dyDescent="0.2">
      <c r="A970">
        <v>17</v>
      </c>
      <c r="B970">
        <v>1</v>
      </c>
      <c r="C970">
        <f>ROW(SmtRes!A493)</f>
        <v>493</v>
      </c>
      <c r="D970">
        <f>ROW(EtalonRes!A487)</f>
        <v>487</v>
      </c>
      <c r="E970" t="s">
        <v>1079</v>
      </c>
      <c r="F970" t="s">
        <v>1080</v>
      </c>
      <c r="G970" t="s">
        <v>1081</v>
      </c>
      <c r="H970" t="s">
        <v>182</v>
      </c>
      <c r="I970">
        <v>0.1</v>
      </c>
      <c r="J970">
        <v>0</v>
      </c>
      <c r="K970">
        <v>0.1</v>
      </c>
      <c r="O970">
        <f>ROUND(CP970,2)</f>
        <v>6939.65</v>
      </c>
      <c r="P970">
        <f>ROUND((ROUND((AC970*AW970*I970),2)*BC970),2)</f>
        <v>0</v>
      </c>
      <c r="Q970">
        <f>(ROUND((ROUND((((ET970*1.25))*AV970*I970),2)*BB970),2)+ROUND((ROUND(((AE970-((EU970*1.25)))*AV970*I970),2)*BS970),2))</f>
        <v>46.43</v>
      </c>
      <c r="R970">
        <f>ROUND((ROUND((AE970*AV970*I970),2)*BS970),2)</f>
        <v>16.79</v>
      </c>
      <c r="S970">
        <f>ROUND((ROUND((AF970*AV970*I970),2)*BA970),2)</f>
        <v>6893.22</v>
      </c>
      <c r="T970">
        <f>ROUND(CU970*I970,2)</f>
        <v>0</v>
      </c>
      <c r="U970">
        <f>CV970*I970</f>
        <v>22.77</v>
      </c>
      <c r="V970">
        <f>CW970*I970</f>
        <v>0</v>
      </c>
      <c r="W970">
        <f>ROUND(CX970*I970,2)</f>
        <v>0</v>
      </c>
      <c r="X970">
        <f t="shared" ref="X970:Y973" si="848">ROUND(CY970,2)</f>
        <v>4687.3900000000003</v>
      </c>
      <c r="Y970">
        <f t="shared" si="848"/>
        <v>2826.22</v>
      </c>
      <c r="AA970">
        <v>42938047</v>
      </c>
      <c r="AB970">
        <f>ROUND((AC970+AD970+AF970),6)</f>
        <v>2761.28</v>
      </c>
      <c r="AC970">
        <f>ROUND((ES970),6)</f>
        <v>0</v>
      </c>
      <c r="AD970">
        <f>ROUND(((((ET970*1.25))-((EU970*1.25)))+AE970),6)</f>
        <v>51.65</v>
      </c>
      <c r="AE970">
        <f>ROUND(((EU970*1.25)),6)</f>
        <v>6.5875000000000004</v>
      </c>
      <c r="AF970">
        <f>ROUND(((EV970*1.15)),6)</f>
        <v>2709.63</v>
      </c>
      <c r="AG970">
        <f>ROUND((AP970),6)</f>
        <v>0</v>
      </c>
      <c r="AH970">
        <f>((EW970*1.15))</f>
        <v>227.7</v>
      </c>
      <c r="AI970">
        <f>((EX970*1.25))</f>
        <v>0</v>
      </c>
      <c r="AJ970">
        <f>(AS970)</f>
        <v>0</v>
      </c>
      <c r="AK970">
        <v>2397.52</v>
      </c>
      <c r="AL970">
        <v>0</v>
      </c>
      <c r="AM970">
        <v>41.32</v>
      </c>
      <c r="AN970">
        <v>5.27</v>
      </c>
      <c r="AO970">
        <v>2356.1999999999998</v>
      </c>
      <c r="AP970">
        <v>0</v>
      </c>
      <c r="AQ970">
        <v>198</v>
      </c>
      <c r="AR970">
        <v>0</v>
      </c>
      <c r="AS970">
        <v>0</v>
      </c>
      <c r="AT970">
        <v>68</v>
      </c>
      <c r="AU970">
        <v>41</v>
      </c>
      <c r="AV970">
        <v>1</v>
      </c>
      <c r="AW970">
        <v>1</v>
      </c>
      <c r="AZ970">
        <v>1</v>
      </c>
      <c r="BA970">
        <v>25.44</v>
      </c>
      <c r="BB970">
        <v>8.98</v>
      </c>
      <c r="BC970">
        <v>1</v>
      </c>
      <c r="BD970" t="s">
        <v>3</v>
      </c>
      <c r="BE970" t="s">
        <v>3</v>
      </c>
      <c r="BF970" t="s">
        <v>3</v>
      </c>
      <c r="BG970" t="s">
        <v>3</v>
      </c>
      <c r="BH970">
        <v>0</v>
      </c>
      <c r="BI970">
        <v>1</v>
      </c>
      <c r="BJ970" t="s">
        <v>1082</v>
      </c>
      <c r="BM970">
        <v>47</v>
      </c>
      <c r="BN970">
        <v>0</v>
      </c>
      <c r="BO970" t="s">
        <v>1080</v>
      </c>
      <c r="BP970">
        <v>1</v>
      </c>
      <c r="BQ970">
        <v>30</v>
      </c>
      <c r="BR970">
        <v>0</v>
      </c>
      <c r="BS970">
        <v>25.44</v>
      </c>
      <c r="BT970">
        <v>1</v>
      </c>
      <c r="BU970">
        <v>1</v>
      </c>
      <c r="BV970">
        <v>1</v>
      </c>
      <c r="BW970">
        <v>1</v>
      </c>
      <c r="BX970">
        <v>1</v>
      </c>
      <c r="BY970" t="s">
        <v>3</v>
      </c>
      <c r="BZ970">
        <v>68</v>
      </c>
      <c r="CA970">
        <v>41</v>
      </c>
      <c r="CB970" t="s">
        <v>3</v>
      </c>
      <c r="CE970">
        <v>30</v>
      </c>
      <c r="CF970">
        <v>0</v>
      </c>
      <c r="CG970">
        <v>0</v>
      </c>
      <c r="CM970">
        <v>0</v>
      </c>
      <c r="CN970" t="s">
        <v>1584</v>
      </c>
      <c r="CO970">
        <v>0</v>
      </c>
      <c r="CP970">
        <f>(P970+Q970+S970)</f>
        <v>6939.6500000000005</v>
      </c>
      <c r="CQ970">
        <f>ROUND((ROUND((AC970*AW970*1),2)*BC970),2)</f>
        <v>0</v>
      </c>
      <c r="CR970">
        <f>(ROUND((ROUND((((ET970*1.25))*AV970*1),2)*BB970),2)+ROUND((ROUND(((AE970-((EU970*1.25)))*AV970*1),2)*BS970),2))</f>
        <v>463.82</v>
      </c>
      <c r="CS970">
        <f>ROUND((ROUND((AE970*AV970*1),2)*BS970),2)</f>
        <v>167.65</v>
      </c>
      <c r="CT970">
        <f>ROUND((ROUND((AF970*AV970*1),2)*BA970),2)</f>
        <v>68932.990000000005</v>
      </c>
      <c r="CU970">
        <f>AG970</f>
        <v>0</v>
      </c>
      <c r="CV970">
        <f>(AH970*AV970)</f>
        <v>227.7</v>
      </c>
      <c r="CW970">
        <f t="shared" ref="CW970:CX973" si="849">AI970</f>
        <v>0</v>
      </c>
      <c r="CX970">
        <f t="shared" si="849"/>
        <v>0</v>
      </c>
      <c r="CY970">
        <f>S970*(BZ970/100)</f>
        <v>4687.3896000000004</v>
      </c>
      <c r="CZ970">
        <f>S970*(CA970/100)</f>
        <v>2826.2201999999997</v>
      </c>
      <c r="DC970" t="s">
        <v>3</v>
      </c>
      <c r="DD970" t="s">
        <v>3</v>
      </c>
      <c r="DE970" t="s">
        <v>20</v>
      </c>
      <c r="DF970" t="s">
        <v>20</v>
      </c>
      <c r="DG970" t="s">
        <v>21</v>
      </c>
      <c r="DH970" t="s">
        <v>3</v>
      </c>
      <c r="DI970" t="s">
        <v>21</v>
      </c>
      <c r="DJ970" t="s">
        <v>20</v>
      </c>
      <c r="DK970" t="s">
        <v>3</v>
      </c>
      <c r="DL970" t="s">
        <v>3</v>
      </c>
      <c r="DM970" t="s">
        <v>3</v>
      </c>
      <c r="DN970">
        <v>85</v>
      </c>
      <c r="DO970">
        <v>70</v>
      </c>
      <c r="DP970">
        <v>1</v>
      </c>
      <c r="DQ970">
        <v>1</v>
      </c>
      <c r="DU970">
        <v>1013</v>
      </c>
      <c r="DV970" t="s">
        <v>182</v>
      </c>
      <c r="DW970" t="s">
        <v>182</v>
      </c>
      <c r="DX970">
        <v>1</v>
      </c>
      <c r="DZ970" t="s">
        <v>3</v>
      </c>
      <c r="EA970" t="s">
        <v>3</v>
      </c>
      <c r="EB970" t="s">
        <v>3</v>
      </c>
      <c r="EC970" t="s">
        <v>3</v>
      </c>
      <c r="EE970">
        <v>43088125</v>
      </c>
      <c r="EF970">
        <v>30</v>
      </c>
      <c r="EG970" t="s">
        <v>22</v>
      </c>
      <c r="EH970">
        <v>0</v>
      </c>
      <c r="EI970" t="s">
        <v>3</v>
      </c>
      <c r="EJ970">
        <v>1</v>
      </c>
      <c r="EK970">
        <v>47</v>
      </c>
      <c r="EL970" t="s">
        <v>99</v>
      </c>
      <c r="EM970" t="s">
        <v>100</v>
      </c>
      <c r="EO970" t="s">
        <v>59</v>
      </c>
      <c r="EQ970">
        <v>0</v>
      </c>
      <c r="ER970">
        <v>2397.52</v>
      </c>
      <c r="ES970">
        <v>0</v>
      </c>
      <c r="ET970">
        <v>41.32</v>
      </c>
      <c r="EU970">
        <v>5.27</v>
      </c>
      <c r="EV970">
        <v>2356.1999999999998</v>
      </c>
      <c r="EW970">
        <v>198</v>
      </c>
      <c r="EX970">
        <v>0</v>
      </c>
      <c r="EY970">
        <v>0</v>
      </c>
      <c r="FQ970">
        <v>0</v>
      </c>
      <c r="FR970">
        <f>ROUND(IF(AND(BH970=3,BI970=3),P970,0),2)</f>
        <v>0</v>
      </c>
      <c r="FS970">
        <v>0</v>
      </c>
      <c r="FX970">
        <v>85</v>
      </c>
      <c r="FY970">
        <v>70</v>
      </c>
      <c r="GA970" t="s">
        <v>3</v>
      </c>
      <c r="GD970">
        <v>0</v>
      </c>
      <c r="GF970">
        <v>-1404862086</v>
      </c>
      <c r="GG970">
        <v>2</v>
      </c>
      <c r="GH970">
        <v>1</v>
      </c>
      <c r="GI970">
        <v>2</v>
      </c>
      <c r="GJ970">
        <v>0</v>
      </c>
      <c r="GK970">
        <f>ROUND(R970*(R12)/100,2)</f>
        <v>26.36</v>
      </c>
      <c r="GL970">
        <f>ROUND(IF(AND(BH970=3,BI970=3,FS970&lt;&gt;0),P970,0),2)</f>
        <v>0</v>
      </c>
      <c r="GM970">
        <f>ROUND(O970+X970+Y970+GK970,2)+GX970</f>
        <v>14479.62</v>
      </c>
      <c r="GN970">
        <f>IF(OR(BI970=0,BI970=1),ROUND(O970+X970+Y970+GK970,2),0)</f>
        <v>14479.62</v>
      </c>
      <c r="GO970">
        <f>IF(BI970=2,ROUND(O970+X970+Y970+GK970,2),0)</f>
        <v>0</v>
      </c>
      <c r="GP970">
        <f>IF(BI970=4,ROUND(O970+X970+Y970+GK970,2)+GX970,0)</f>
        <v>0</v>
      </c>
      <c r="GR970">
        <v>0</v>
      </c>
      <c r="GS970">
        <v>3</v>
      </c>
      <c r="GT970">
        <v>0</v>
      </c>
      <c r="GU970" t="s">
        <v>3</v>
      </c>
      <c r="GV970">
        <f>ROUND((GT970),6)</f>
        <v>0</v>
      </c>
      <c r="GW970">
        <v>1</v>
      </c>
      <c r="GX970">
        <f>ROUND(HC970*I970,2)</f>
        <v>0</v>
      </c>
      <c r="HA970">
        <v>0</v>
      </c>
      <c r="HB970">
        <v>0</v>
      </c>
      <c r="HC970">
        <f>GV970*GW970</f>
        <v>0</v>
      </c>
      <c r="HE970" t="s">
        <v>3</v>
      </c>
      <c r="HF970" t="s">
        <v>3</v>
      </c>
      <c r="HM970" t="s">
        <v>3</v>
      </c>
      <c r="IK970">
        <v>0</v>
      </c>
    </row>
    <row r="971" spans="1:245" x14ac:dyDescent="0.2">
      <c r="A971">
        <v>18</v>
      </c>
      <c r="B971">
        <v>1</v>
      </c>
      <c r="C971">
        <v>493</v>
      </c>
      <c r="E971" t="s">
        <v>1083</v>
      </c>
      <c r="F971" t="s">
        <v>1084</v>
      </c>
      <c r="G971" t="s">
        <v>1085</v>
      </c>
      <c r="H971" t="s">
        <v>104</v>
      </c>
      <c r="I971">
        <f>I970*J971</f>
        <v>0.1</v>
      </c>
      <c r="J971">
        <v>1</v>
      </c>
      <c r="K971">
        <v>1</v>
      </c>
      <c r="O971">
        <f>ROUND(CP971,2)</f>
        <v>3892.78</v>
      </c>
      <c r="P971">
        <f>ROUND((ROUND((AC971*AW971*I971),2)*BC971),2)</f>
        <v>3892.78</v>
      </c>
      <c r="Q971">
        <f>(ROUND((ROUND(((ET971)*AV971*I971),2)*BB971),2)+ROUND((ROUND(((AE971-(EU971))*AV971*I971),2)*BS971),2))</f>
        <v>0</v>
      </c>
      <c r="R971">
        <f>ROUND((ROUND((AE971*AV971*I971),2)*BS971),2)</f>
        <v>0</v>
      </c>
      <c r="S971">
        <f>ROUND((ROUND((AF971*AV971*I971),2)*BA971),2)</f>
        <v>0</v>
      </c>
      <c r="T971">
        <f>ROUND(CU971*I971,2)</f>
        <v>0</v>
      </c>
      <c r="U971">
        <f>CV971*I971</f>
        <v>0</v>
      </c>
      <c r="V971">
        <f>CW971*I971</f>
        <v>0</v>
      </c>
      <c r="W971">
        <f>ROUND(CX971*I971,2)</f>
        <v>0</v>
      </c>
      <c r="X971">
        <f t="shared" si="848"/>
        <v>0</v>
      </c>
      <c r="Y971">
        <f t="shared" si="848"/>
        <v>0</v>
      </c>
      <c r="AA971">
        <v>42938047</v>
      </c>
      <c r="AB971">
        <f>ROUND((AC971+AD971+AF971),6)</f>
        <v>4673.1499999999996</v>
      </c>
      <c r="AC971">
        <f>ROUND((ES971),6)</f>
        <v>4673.1499999999996</v>
      </c>
      <c r="AD971">
        <f>ROUND((((ET971)-(EU971))+AE971),6)</f>
        <v>0</v>
      </c>
      <c r="AE971">
        <f>ROUND((EU971),6)</f>
        <v>0</v>
      </c>
      <c r="AF971">
        <f>ROUND((EV971),6)</f>
        <v>0</v>
      </c>
      <c r="AG971">
        <f>ROUND((AP971),6)</f>
        <v>0</v>
      </c>
      <c r="AH971">
        <f>(EW971)</f>
        <v>0</v>
      </c>
      <c r="AI971">
        <f>(EX971)</f>
        <v>0</v>
      </c>
      <c r="AJ971">
        <f>(AS971)</f>
        <v>0</v>
      </c>
      <c r="AK971">
        <v>4673.1499999999996</v>
      </c>
      <c r="AL971">
        <v>4673.1499999999996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1</v>
      </c>
      <c r="AW971">
        <v>1</v>
      </c>
      <c r="AZ971">
        <v>1</v>
      </c>
      <c r="BA971">
        <v>1</v>
      </c>
      <c r="BB971">
        <v>1</v>
      </c>
      <c r="BC971">
        <v>8.33</v>
      </c>
      <c r="BD971" t="s">
        <v>3</v>
      </c>
      <c r="BE971" t="s">
        <v>3</v>
      </c>
      <c r="BF971" t="s">
        <v>3</v>
      </c>
      <c r="BG971" t="s">
        <v>3</v>
      </c>
      <c r="BH971">
        <v>3</v>
      </c>
      <c r="BI971">
        <v>1</v>
      </c>
      <c r="BJ971" t="s">
        <v>1086</v>
      </c>
      <c r="BM971">
        <v>47</v>
      </c>
      <c r="BN971">
        <v>0</v>
      </c>
      <c r="BO971" t="s">
        <v>1084</v>
      </c>
      <c r="BP971">
        <v>1</v>
      </c>
      <c r="BQ971">
        <v>30</v>
      </c>
      <c r="BR971">
        <v>0</v>
      </c>
      <c r="BS971">
        <v>1</v>
      </c>
      <c r="BT971">
        <v>1</v>
      </c>
      <c r="BU971">
        <v>1</v>
      </c>
      <c r="BV971">
        <v>1</v>
      </c>
      <c r="BW971">
        <v>1</v>
      </c>
      <c r="BX971">
        <v>1</v>
      </c>
      <c r="BY971" t="s">
        <v>3</v>
      </c>
      <c r="BZ971">
        <v>0</v>
      </c>
      <c r="CA971">
        <v>0</v>
      </c>
      <c r="CB971" t="s">
        <v>3</v>
      </c>
      <c r="CE971">
        <v>30</v>
      </c>
      <c r="CF971">
        <v>0</v>
      </c>
      <c r="CG971">
        <v>0</v>
      </c>
      <c r="CM971">
        <v>0</v>
      </c>
      <c r="CN971" t="s">
        <v>3</v>
      </c>
      <c r="CO971">
        <v>0</v>
      </c>
      <c r="CP971">
        <f>(P971+Q971+S971)</f>
        <v>3892.78</v>
      </c>
      <c r="CQ971">
        <f>ROUND((ROUND((AC971*AW971*1),2)*BC971),2)</f>
        <v>38927.339999999997</v>
      </c>
      <c r="CR971">
        <f>(ROUND((ROUND(((ET971)*AV971*1),2)*BB971),2)+ROUND((ROUND(((AE971-(EU971))*AV971*1),2)*BS971),2))</f>
        <v>0</v>
      </c>
      <c r="CS971">
        <f>ROUND((ROUND((AE971*AV971*1),2)*BS971),2)</f>
        <v>0</v>
      </c>
      <c r="CT971">
        <f>ROUND((ROUND((AF971*AV971*1),2)*BA971),2)</f>
        <v>0</v>
      </c>
      <c r="CU971">
        <f>AG971</f>
        <v>0</v>
      </c>
      <c r="CV971">
        <f>(AH971*AV971)</f>
        <v>0</v>
      </c>
      <c r="CW971">
        <f t="shared" si="849"/>
        <v>0</v>
      </c>
      <c r="CX971">
        <f t="shared" si="849"/>
        <v>0</v>
      </c>
      <c r="CY971">
        <f>S971*(BZ971/100)</f>
        <v>0</v>
      </c>
      <c r="CZ971">
        <f>S971*(CA971/100)</f>
        <v>0</v>
      </c>
      <c r="DC971" t="s">
        <v>3</v>
      </c>
      <c r="DD971" t="s">
        <v>3</v>
      </c>
      <c r="DE971" t="s">
        <v>3</v>
      </c>
      <c r="DF971" t="s">
        <v>3</v>
      </c>
      <c r="DG971" t="s">
        <v>3</v>
      </c>
      <c r="DH971" t="s">
        <v>3</v>
      </c>
      <c r="DI971" t="s">
        <v>3</v>
      </c>
      <c r="DJ971" t="s">
        <v>3</v>
      </c>
      <c r="DK971" t="s">
        <v>3</v>
      </c>
      <c r="DL971" t="s">
        <v>3</v>
      </c>
      <c r="DM971" t="s">
        <v>3</v>
      </c>
      <c r="DN971">
        <v>85</v>
      </c>
      <c r="DO971">
        <v>70</v>
      </c>
      <c r="DP971">
        <v>1</v>
      </c>
      <c r="DQ971">
        <v>1</v>
      </c>
      <c r="DU971">
        <v>1009</v>
      </c>
      <c r="DV971" t="s">
        <v>104</v>
      </c>
      <c r="DW971" t="s">
        <v>104</v>
      </c>
      <c r="DX971">
        <v>1000</v>
      </c>
      <c r="DZ971" t="s">
        <v>3</v>
      </c>
      <c r="EA971" t="s">
        <v>3</v>
      </c>
      <c r="EB971" t="s">
        <v>3</v>
      </c>
      <c r="EC971" t="s">
        <v>3</v>
      </c>
      <c r="EE971">
        <v>43088125</v>
      </c>
      <c r="EF971">
        <v>30</v>
      </c>
      <c r="EG971" t="s">
        <v>22</v>
      </c>
      <c r="EH971">
        <v>0</v>
      </c>
      <c r="EI971" t="s">
        <v>3</v>
      </c>
      <c r="EJ971">
        <v>1</v>
      </c>
      <c r="EK971">
        <v>47</v>
      </c>
      <c r="EL971" t="s">
        <v>99</v>
      </c>
      <c r="EM971" t="s">
        <v>100</v>
      </c>
      <c r="EO971" t="s">
        <v>3</v>
      </c>
      <c r="EQ971">
        <v>0</v>
      </c>
      <c r="ER971">
        <v>4673.1499999999996</v>
      </c>
      <c r="ES971">
        <v>4673.1499999999996</v>
      </c>
      <c r="ET971">
        <v>0</v>
      </c>
      <c r="EU971">
        <v>0</v>
      </c>
      <c r="EV971">
        <v>0</v>
      </c>
      <c r="EW971">
        <v>0</v>
      </c>
      <c r="EX971">
        <v>0</v>
      </c>
      <c r="FQ971">
        <v>0</v>
      </c>
      <c r="FR971">
        <f>ROUND(IF(AND(BH971=3,BI971=3),P971,0),2)</f>
        <v>0</v>
      </c>
      <c r="FS971">
        <v>0</v>
      </c>
      <c r="FX971">
        <v>85</v>
      </c>
      <c r="FY971">
        <v>70</v>
      </c>
      <c r="GA971" t="s">
        <v>3</v>
      </c>
      <c r="GD971">
        <v>0</v>
      </c>
      <c r="GF971">
        <v>-1659206081</v>
      </c>
      <c r="GG971">
        <v>2</v>
      </c>
      <c r="GH971">
        <v>1</v>
      </c>
      <c r="GI971">
        <v>2</v>
      </c>
      <c r="GJ971">
        <v>0</v>
      </c>
      <c r="GK971">
        <f>ROUND(R971*(R12)/100,2)</f>
        <v>0</v>
      </c>
      <c r="GL971">
        <f>ROUND(IF(AND(BH971=3,BI971=3,FS971&lt;&gt;0),P971,0),2)</f>
        <v>0</v>
      </c>
      <c r="GM971">
        <f>ROUND(O971+X971+Y971+GK971,2)+GX971</f>
        <v>3892.78</v>
      </c>
      <c r="GN971">
        <f>IF(OR(BI971=0,BI971=1),ROUND(O971+X971+Y971+GK971,2),0)</f>
        <v>3892.78</v>
      </c>
      <c r="GO971">
        <f>IF(BI971=2,ROUND(O971+X971+Y971+GK971,2),0)</f>
        <v>0</v>
      </c>
      <c r="GP971">
        <f>IF(BI971=4,ROUND(O971+X971+Y971+GK971,2)+GX971,0)</f>
        <v>0</v>
      </c>
      <c r="GR971">
        <v>0</v>
      </c>
      <c r="GS971">
        <v>3</v>
      </c>
      <c r="GT971">
        <v>0</v>
      </c>
      <c r="GU971" t="s">
        <v>3</v>
      </c>
      <c r="GV971">
        <f>ROUND((GT971),6)</f>
        <v>0</v>
      </c>
      <c r="GW971">
        <v>1</v>
      </c>
      <c r="GX971">
        <f>ROUND(HC971*I971,2)</f>
        <v>0</v>
      </c>
      <c r="HA971">
        <v>0</v>
      </c>
      <c r="HB971">
        <v>0</v>
      </c>
      <c r="HC971">
        <f>GV971*GW971</f>
        <v>0</v>
      </c>
      <c r="HE971" t="s">
        <v>3</v>
      </c>
      <c r="HF971" t="s">
        <v>3</v>
      </c>
      <c r="HM971" t="s">
        <v>3</v>
      </c>
      <c r="IK971">
        <v>0</v>
      </c>
    </row>
    <row r="972" spans="1:245" x14ac:dyDescent="0.2">
      <c r="A972">
        <v>17</v>
      </c>
      <c r="B972">
        <v>1</v>
      </c>
      <c r="C972">
        <f>ROW(SmtRes!A501)</f>
        <v>501</v>
      </c>
      <c r="D972">
        <f>ROW(EtalonRes!A495)</f>
        <v>495</v>
      </c>
      <c r="E972" t="s">
        <v>1087</v>
      </c>
      <c r="F972" t="s">
        <v>1088</v>
      </c>
      <c r="G972" t="s">
        <v>1089</v>
      </c>
      <c r="H972" t="s">
        <v>162</v>
      </c>
      <c r="I972">
        <v>2</v>
      </c>
      <c r="J972">
        <v>0</v>
      </c>
      <c r="K972">
        <v>2</v>
      </c>
      <c r="O972">
        <f>ROUND(CP972,2)</f>
        <v>49247.27</v>
      </c>
      <c r="P972">
        <f>ROUND((ROUND((AC972*AW972*I972),2)*BC972),2)</f>
        <v>3912.03</v>
      </c>
      <c r="Q972">
        <f>(ROUND((ROUND((((ET972*1.25))*AV972*I972),2)*BB972),2)+ROUND((ROUND(((AE972-((EU972*1.25)))*AV972*I972),2)*BS972),2))</f>
        <v>19850.21</v>
      </c>
      <c r="R972">
        <f>ROUND((ROUND((AE972*AV972*I972),2)*BS972),2)</f>
        <v>5538.29</v>
      </c>
      <c r="S972">
        <f>ROUND((ROUND((AF972*AV972*I972),2)*BA972),2)</f>
        <v>25485.03</v>
      </c>
      <c r="T972">
        <f>ROUND(CU972*I972,2)</f>
        <v>0</v>
      </c>
      <c r="U972">
        <f>CV972*I972</f>
        <v>72.748999999999995</v>
      </c>
      <c r="V972">
        <f>CW972*I972</f>
        <v>0</v>
      </c>
      <c r="W972">
        <f>ROUND(CX972*I972,2)</f>
        <v>0</v>
      </c>
      <c r="X972">
        <f t="shared" si="848"/>
        <v>18604.07</v>
      </c>
      <c r="Y972">
        <f t="shared" si="848"/>
        <v>10448.86</v>
      </c>
      <c r="AA972">
        <v>42938047</v>
      </c>
      <c r="AB972">
        <f>ROUND((AC972+AD972+AF972),6)</f>
        <v>1909.73</v>
      </c>
      <c r="AC972">
        <f>ROUND((ES972),6)</f>
        <v>246.66</v>
      </c>
      <c r="AD972">
        <f>ROUND(((((ET972*1.25))-((EU972*1.25)))+AE972),6)</f>
        <v>1162.1875</v>
      </c>
      <c r="AE972">
        <f>ROUND(((EU972*1.25)),6)</f>
        <v>108.85</v>
      </c>
      <c r="AF972">
        <f>ROUND(((EV972*1.15)),6)</f>
        <v>500.88249999999999</v>
      </c>
      <c r="AG972">
        <f>ROUND((AP972),6)</f>
        <v>0</v>
      </c>
      <c r="AH972">
        <f>((EW972*1.15))</f>
        <v>36.374499999999998</v>
      </c>
      <c r="AI972">
        <f>((EX972*1.25))</f>
        <v>0</v>
      </c>
      <c r="AJ972">
        <f>(AS972)</f>
        <v>0</v>
      </c>
      <c r="AK972">
        <v>1611.96</v>
      </c>
      <c r="AL972">
        <v>246.66</v>
      </c>
      <c r="AM972">
        <v>929.75</v>
      </c>
      <c r="AN972">
        <v>87.08</v>
      </c>
      <c r="AO972">
        <v>435.55</v>
      </c>
      <c r="AP972">
        <v>0</v>
      </c>
      <c r="AQ972">
        <v>31.63</v>
      </c>
      <c r="AR972">
        <v>0</v>
      </c>
      <c r="AS972">
        <v>0</v>
      </c>
      <c r="AT972">
        <v>73</v>
      </c>
      <c r="AU972">
        <v>41</v>
      </c>
      <c r="AV972">
        <v>1</v>
      </c>
      <c r="AW972">
        <v>1</v>
      </c>
      <c r="AZ972">
        <v>1</v>
      </c>
      <c r="BA972">
        <v>25.44</v>
      </c>
      <c r="BB972">
        <v>8.5399999999999991</v>
      </c>
      <c r="BC972">
        <v>7.93</v>
      </c>
      <c r="BD972" t="s">
        <v>3</v>
      </c>
      <c r="BE972" t="s">
        <v>3</v>
      </c>
      <c r="BF972" t="s">
        <v>3</v>
      </c>
      <c r="BG972" t="s">
        <v>3</v>
      </c>
      <c r="BH972">
        <v>0</v>
      </c>
      <c r="BI972">
        <v>1</v>
      </c>
      <c r="BJ972" t="s">
        <v>1090</v>
      </c>
      <c r="BM972">
        <v>301</v>
      </c>
      <c r="BN972">
        <v>0</v>
      </c>
      <c r="BO972" t="s">
        <v>1088</v>
      </c>
      <c r="BP972">
        <v>1</v>
      </c>
      <c r="BQ972">
        <v>30</v>
      </c>
      <c r="BR972">
        <v>0</v>
      </c>
      <c r="BS972">
        <v>25.44</v>
      </c>
      <c r="BT972">
        <v>1</v>
      </c>
      <c r="BU972">
        <v>1</v>
      </c>
      <c r="BV972">
        <v>1</v>
      </c>
      <c r="BW972">
        <v>1</v>
      </c>
      <c r="BX972">
        <v>1</v>
      </c>
      <c r="BY972" t="s">
        <v>3</v>
      </c>
      <c r="BZ972">
        <v>73</v>
      </c>
      <c r="CA972">
        <v>41</v>
      </c>
      <c r="CB972" t="s">
        <v>3</v>
      </c>
      <c r="CE972">
        <v>30</v>
      </c>
      <c r="CF972">
        <v>0</v>
      </c>
      <c r="CG972">
        <v>0</v>
      </c>
      <c r="CM972">
        <v>0</v>
      </c>
      <c r="CN972" t="s">
        <v>1584</v>
      </c>
      <c r="CO972">
        <v>0</v>
      </c>
      <c r="CP972">
        <f>(P972+Q972+S972)</f>
        <v>49247.27</v>
      </c>
      <c r="CQ972">
        <f>ROUND((ROUND((AC972*AW972*1),2)*BC972),2)</f>
        <v>1956.01</v>
      </c>
      <c r="CR972">
        <f>(ROUND((ROUND((((ET972*1.25))*AV972*1),2)*BB972),2)+ROUND((ROUND(((AE972-((EU972*1.25)))*AV972*1),2)*BS972),2))</f>
        <v>9925.1</v>
      </c>
      <c r="CS972">
        <f>ROUND((ROUND((AE972*AV972*1),2)*BS972),2)</f>
        <v>2769.14</v>
      </c>
      <c r="CT972">
        <f>ROUND((ROUND((AF972*AV972*1),2)*BA972),2)</f>
        <v>12742.39</v>
      </c>
      <c r="CU972">
        <f>AG972</f>
        <v>0</v>
      </c>
      <c r="CV972">
        <f>(AH972*AV972)</f>
        <v>36.374499999999998</v>
      </c>
      <c r="CW972">
        <f t="shared" si="849"/>
        <v>0</v>
      </c>
      <c r="CX972">
        <f t="shared" si="849"/>
        <v>0</v>
      </c>
      <c r="CY972">
        <f>S972*(BZ972/100)</f>
        <v>18604.071899999999</v>
      </c>
      <c r="CZ972">
        <f>S972*(CA972/100)</f>
        <v>10448.862299999999</v>
      </c>
      <c r="DC972" t="s">
        <v>3</v>
      </c>
      <c r="DD972" t="s">
        <v>3</v>
      </c>
      <c r="DE972" t="s">
        <v>20</v>
      </c>
      <c r="DF972" t="s">
        <v>20</v>
      </c>
      <c r="DG972" t="s">
        <v>21</v>
      </c>
      <c r="DH972" t="s">
        <v>3</v>
      </c>
      <c r="DI972" t="s">
        <v>21</v>
      </c>
      <c r="DJ972" t="s">
        <v>20</v>
      </c>
      <c r="DK972" t="s">
        <v>3</v>
      </c>
      <c r="DL972" t="s">
        <v>3</v>
      </c>
      <c r="DM972" t="s">
        <v>3</v>
      </c>
      <c r="DN972">
        <v>91</v>
      </c>
      <c r="DO972">
        <v>70</v>
      </c>
      <c r="DP972">
        <v>1</v>
      </c>
      <c r="DQ972">
        <v>1</v>
      </c>
      <c r="DU972">
        <v>1013</v>
      </c>
      <c r="DV972" t="s">
        <v>162</v>
      </c>
      <c r="DW972" t="s">
        <v>162</v>
      </c>
      <c r="DX972">
        <v>1</v>
      </c>
      <c r="DZ972" t="s">
        <v>3</v>
      </c>
      <c r="EA972" t="s">
        <v>3</v>
      </c>
      <c r="EB972" t="s">
        <v>3</v>
      </c>
      <c r="EC972" t="s">
        <v>3</v>
      </c>
      <c r="EE972">
        <v>43088379</v>
      </c>
      <c r="EF972">
        <v>30</v>
      </c>
      <c r="EG972" t="s">
        <v>22</v>
      </c>
      <c r="EH972">
        <v>0</v>
      </c>
      <c r="EI972" t="s">
        <v>3</v>
      </c>
      <c r="EJ972">
        <v>1</v>
      </c>
      <c r="EK972">
        <v>301</v>
      </c>
      <c r="EL972" t="s">
        <v>1091</v>
      </c>
      <c r="EM972" t="s">
        <v>1092</v>
      </c>
      <c r="EO972" t="s">
        <v>59</v>
      </c>
      <c r="EQ972">
        <v>0</v>
      </c>
      <c r="ER972">
        <v>1611.96</v>
      </c>
      <c r="ES972">
        <v>246.66</v>
      </c>
      <c r="ET972">
        <v>929.75</v>
      </c>
      <c r="EU972">
        <v>87.08</v>
      </c>
      <c r="EV972">
        <v>435.55</v>
      </c>
      <c r="EW972">
        <v>31.63</v>
      </c>
      <c r="EX972">
        <v>0</v>
      </c>
      <c r="EY972">
        <v>0</v>
      </c>
      <c r="FQ972">
        <v>0</v>
      </c>
      <c r="FR972">
        <f>ROUND(IF(AND(BH972=3,BI972=3),P972,0),2)</f>
        <v>0</v>
      </c>
      <c r="FS972">
        <v>0</v>
      </c>
      <c r="FX972">
        <v>91</v>
      </c>
      <c r="FY972">
        <v>70</v>
      </c>
      <c r="GA972" t="s">
        <v>3</v>
      </c>
      <c r="GD972">
        <v>0</v>
      </c>
      <c r="GF972">
        <v>-527488055</v>
      </c>
      <c r="GG972">
        <v>2</v>
      </c>
      <c r="GH972">
        <v>1</v>
      </c>
      <c r="GI972">
        <v>2</v>
      </c>
      <c r="GJ972">
        <v>0</v>
      </c>
      <c r="GK972">
        <f>ROUND(R972*(R12)/100,2)</f>
        <v>8695.1200000000008</v>
      </c>
      <c r="GL972">
        <f>ROUND(IF(AND(BH972=3,BI972=3,FS972&lt;&gt;0),P972,0),2)</f>
        <v>0</v>
      </c>
      <c r="GM972">
        <f>ROUND(O972+X972+Y972+GK972,2)+GX972</f>
        <v>86995.32</v>
      </c>
      <c r="GN972">
        <f>IF(OR(BI972=0,BI972=1),ROUND(O972+X972+Y972+GK972,2),0)</f>
        <v>86995.32</v>
      </c>
      <c r="GO972">
        <f>IF(BI972=2,ROUND(O972+X972+Y972+GK972,2),0)</f>
        <v>0</v>
      </c>
      <c r="GP972">
        <f>IF(BI972=4,ROUND(O972+X972+Y972+GK972,2)+GX972,0)</f>
        <v>0</v>
      </c>
      <c r="GR972">
        <v>0</v>
      </c>
      <c r="GS972">
        <v>3</v>
      </c>
      <c r="GT972">
        <v>0</v>
      </c>
      <c r="GU972" t="s">
        <v>3</v>
      </c>
      <c r="GV972">
        <f>ROUND((GT972),6)</f>
        <v>0</v>
      </c>
      <c r="GW972">
        <v>1</v>
      </c>
      <c r="GX972">
        <f>ROUND(HC972*I972,2)</f>
        <v>0</v>
      </c>
      <c r="HA972">
        <v>0</v>
      </c>
      <c r="HB972">
        <v>0</v>
      </c>
      <c r="HC972">
        <f>GV972*GW972</f>
        <v>0</v>
      </c>
      <c r="HE972" t="s">
        <v>3</v>
      </c>
      <c r="HF972" t="s">
        <v>3</v>
      </c>
      <c r="HM972" t="s">
        <v>3</v>
      </c>
      <c r="IK972">
        <v>0</v>
      </c>
    </row>
    <row r="973" spans="1:245" x14ac:dyDescent="0.2">
      <c r="A973">
        <v>18</v>
      </c>
      <c r="B973">
        <v>1</v>
      </c>
      <c r="C973">
        <v>501</v>
      </c>
      <c r="E973" t="s">
        <v>1093</v>
      </c>
      <c r="F973" t="s">
        <v>118</v>
      </c>
      <c r="G973" t="s">
        <v>1094</v>
      </c>
      <c r="H973" t="s">
        <v>169</v>
      </c>
      <c r="I973">
        <f>I972*J973</f>
        <v>2</v>
      </c>
      <c r="J973">
        <v>1</v>
      </c>
      <c r="K973">
        <v>1</v>
      </c>
      <c r="O973">
        <f>ROUND(CP973,2)</f>
        <v>552164.55000000005</v>
      </c>
      <c r="P973">
        <f>ROUND((ROUND((AC973*AW973*I973),2)*BC973),2)</f>
        <v>552164.55000000005</v>
      </c>
      <c r="Q973">
        <f>(ROUND((ROUND(((ET973)*AV973*I973),2)*BB973),2)+ROUND((ROUND(((AE973-(EU973))*AV973*I973),2)*BS973),2))</f>
        <v>0</v>
      </c>
      <c r="R973">
        <f>ROUND((ROUND((AE973*AV973*I973),2)*BS973),2)</f>
        <v>0</v>
      </c>
      <c r="S973">
        <f>ROUND((ROUND((AF973*AV973*I973),2)*BA973),2)</f>
        <v>0</v>
      </c>
      <c r="T973">
        <f>ROUND(CU973*I973,2)</f>
        <v>0</v>
      </c>
      <c r="U973">
        <f>CV973*I973</f>
        <v>0</v>
      </c>
      <c r="V973">
        <f>CW973*I973</f>
        <v>0</v>
      </c>
      <c r="W973">
        <f>ROUND(CX973*I973,2)</f>
        <v>0</v>
      </c>
      <c r="X973">
        <f t="shared" si="848"/>
        <v>0</v>
      </c>
      <c r="Y973">
        <f t="shared" si="848"/>
        <v>0</v>
      </c>
      <c r="AA973">
        <v>42938047</v>
      </c>
      <c r="AB973">
        <f>ROUND((AC973+AD973+AF973),6)</f>
        <v>43546.1</v>
      </c>
      <c r="AC973">
        <f>ROUND((ES973),6)</f>
        <v>43546.1</v>
      </c>
      <c r="AD973">
        <f>ROUND((((ET973)-(EU973))+AE973),6)</f>
        <v>0</v>
      </c>
      <c r="AE973">
        <f>ROUND((EU973),6)</f>
        <v>0</v>
      </c>
      <c r="AF973">
        <f>ROUND((EV973),6)</f>
        <v>0</v>
      </c>
      <c r="AG973">
        <f>ROUND((AP973),6)</f>
        <v>0</v>
      </c>
      <c r="AH973">
        <f>(EW973)</f>
        <v>0</v>
      </c>
      <c r="AI973">
        <f>(EX973)</f>
        <v>0</v>
      </c>
      <c r="AJ973">
        <f>(AS973)</f>
        <v>0</v>
      </c>
      <c r="AK973">
        <v>43546.1</v>
      </c>
      <c r="AL973">
        <v>43546.1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1</v>
      </c>
      <c r="AW973">
        <v>1</v>
      </c>
      <c r="AZ973">
        <v>1</v>
      </c>
      <c r="BA973">
        <v>1</v>
      </c>
      <c r="BB973">
        <v>1</v>
      </c>
      <c r="BC973">
        <v>6.34</v>
      </c>
      <c r="BD973" t="s">
        <v>3</v>
      </c>
      <c r="BE973" t="s">
        <v>3</v>
      </c>
      <c r="BF973" t="s">
        <v>3</v>
      </c>
      <c r="BG973" t="s">
        <v>3</v>
      </c>
      <c r="BH973">
        <v>3</v>
      </c>
      <c r="BI973">
        <v>1</v>
      </c>
      <c r="BJ973" t="s">
        <v>3</v>
      </c>
      <c r="BM973">
        <v>301</v>
      </c>
      <c r="BN973">
        <v>0</v>
      </c>
      <c r="BO973" t="s">
        <v>3</v>
      </c>
      <c r="BP973">
        <v>0</v>
      </c>
      <c r="BQ973">
        <v>30</v>
      </c>
      <c r="BR973">
        <v>0</v>
      </c>
      <c r="BS973">
        <v>1</v>
      </c>
      <c r="BT973">
        <v>1</v>
      </c>
      <c r="BU973">
        <v>1</v>
      </c>
      <c r="BV973">
        <v>1</v>
      </c>
      <c r="BW973">
        <v>1</v>
      </c>
      <c r="BX973">
        <v>1</v>
      </c>
      <c r="BY973" t="s">
        <v>3</v>
      </c>
      <c r="BZ973">
        <v>0</v>
      </c>
      <c r="CA973">
        <v>0</v>
      </c>
      <c r="CB973" t="s">
        <v>3</v>
      </c>
      <c r="CE973">
        <v>30</v>
      </c>
      <c r="CF973">
        <v>0</v>
      </c>
      <c r="CG973">
        <v>0</v>
      </c>
      <c r="CM973">
        <v>0</v>
      </c>
      <c r="CN973" t="s">
        <v>3</v>
      </c>
      <c r="CO973">
        <v>0</v>
      </c>
      <c r="CP973">
        <f>(P973+Q973+S973)</f>
        <v>552164.55000000005</v>
      </c>
      <c r="CQ973">
        <f>ROUND((ROUND((AC973*AW973*1),2)*BC973),2)</f>
        <v>276082.27</v>
      </c>
      <c r="CR973">
        <f>(ROUND((ROUND(((ET973)*AV973*1),2)*BB973),2)+ROUND((ROUND(((AE973-(EU973))*AV973*1),2)*BS973),2))</f>
        <v>0</v>
      </c>
      <c r="CS973">
        <f>ROUND((ROUND((AE973*AV973*1),2)*BS973),2)</f>
        <v>0</v>
      </c>
      <c r="CT973">
        <f>ROUND((ROUND((AF973*AV973*1),2)*BA973),2)</f>
        <v>0</v>
      </c>
      <c r="CU973">
        <f>AG973</f>
        <v>0</v>
      </c>
      <c r="CV973">
        <f>(AH973*AV973)</f>
        <v>0</v>
      </c>
      <c r="CW973">
        <f t="shared" si="849"/>
        <v>0</v>
      </c>
      <c r="CX973">
        <f t="shared" si="849"/>
        <v>0</v>
      </c>
      <c r="CY973">
        <f>S973*(BZ973/100)</f>
        <v>0</v>
      </c>
      <c r="CZ973">
        <f>S973*(CA973/100)</f>
        <v>0</v>
      </c>
      <c r="DC973" t="s">
        <v>3</v>
      </c>
      <c r="DD973" t="s">
        <v>3</v>
      </c>
      <c r="DE973" t="s">
        <v>3</v>
      </c>
      <c r="DF973" t="s">
        <v>3</v>
      </c>
      <c r="DG973" t="s">
        <v>3</v>
      </c>
      <c r="DH973" t="s">
        <v>3</v>
      </c>
      <c r="DI973" t="s">
        <v>3</v>
      </c>
      <c r="DJ973" t="s">
        <v>3</v>
      </c>
      <c r="DK973" t="s">
        <v>3</v>
      </c>
      <c r="DL973" t="s">
        <v>3</v>
      </c>
      <c r="DM973" t="s">
        <v>3</v>
      </c>
      <c r="DN973">
        <v>91</v>
      </c>
      <c r="DO973">
        <v>70</v>
      </c>
      <c r="DP973">
        <v>1</v>
      </c>
      <c r="DQ973">
        <v>1</v>
      </c>
      <c r="DU973">
        <v>1010</v>
      </c>
      <c r="DV973" t="s">
        <v>169</v>
      </c>
      <c r="DW973" t="s">
        <v>169</v>
      </c>
      <c r="DX973">
        <v>1</v>
      </c>
      <c r="DZ973" t="s">
        <v>3</v>
      </c>
      <c r="EA973" t="s">
        <v>3</v>
      </c>
      <c r="EB973" t="s">
        <v>3</v>
      </c>
      <c r="EC973" t="s">
        <v>3</v>
      </c>
      <c r="EE973">
        <v>43088379</v>
      </c>
      <c r="EF973">
        <v>30</v>
      </c>
      <c r="EG973" t="s">
        <v>22</v>
      </c>
      <c r="EH973">
        <v>0</v>
      </c>
      <c r="EI973" t="s">
        <v>3</v>
      </c>
      <c r="EJ973">
        <v>1</v>
      </c>
      <c r="EK973">
        <v>301</v>
      </c>
      <c r="EL973" t="s">
        <v>1091</v>
      </c>
      <c r="EM973" t="s">
        <v>1092</v>
      </c>
      <c r="EO973" t="s">
        <v>3</v>
      </c>
      <c r="EQ973">
        <v>0</v>
      </c>
      <c r="ER973">
        <v>43546.1</v>
      </c>
      <c r="ES973">
        <v>43546.1</v>
      </c>
      <c r="ET973">
        <v>0</v>
      </c>
      <c r="EU973">
        <v>0</v>
      </c>
      <c r="EV973">
        <v>0</v>
      </c>
      <c r="EW973">
        <v>0</v>
      </c>
      <c r="EX973">
        <v>0</v>
      </c>
      <c r="EZ973">
        <v>5</v>
      </c>
      <c r="FC973">
        <v>1</v>
      </c>
      <c r="FD973">
        <v>18</v>
      </c>
      <c r="FF973">
        <v>324802.59999999998</v>
      </c>
      <c r="FQ973">
        <v>0</v>
      </c>
      <c r="FR973">
        <f>ROUND(IF(AND(BH973=3,BI973=3),P973,0),2)</f>
        <v>0</v>
      </c>
      <c r="FS973">
        <v>0</v>
      </c>
      <c r="FX973">
        <v>91</v>
      </c>
      <c r="FY973">
        <v>70</v>
      </c>
      <c r="GA973" t="s">
        <v>1095</v>
      </c>
      <c r="GD973">
        <v>0</v>
      </c>
      <c r="GF973">
        <v>1040618238</v>
      </c>
      <c r="GG973">
        <v>2</v>
      </c>
      <c r="GH973">
        <v>3</v>
      </c>
      <c r="GI973">
        <v>3</v>
      </c>
      <c r="GJ973">
        <v>0</v>
      </c>
      <c r="GK973">
        <f>ROUND(R973*(R12)/100,2)</f>
        <v>0</v>
      </c>
      <c r="GL973">
        <f>ROUND(IF(AND(BH973=3,BI973=3,FS973&lt;&gt;0),P973,0),2)</f>
        <v>0</v>
      </c>
      <c r="GM973">
        <f>ROUND(O973+X973+Y973+GK973,2)+GX973</f>
        <v>552164.55000000005</v>
      </c>
      <c r="GN973">
        <f>IF(OR(BI973=0,BI973=1),ROUND(O973+X973+Y973+GK973,2),0)</f>
        <v>552164.55000000005</v>
      </c>
      <c r="GO973">
        <f>IF(BI973=2,ROUND(O973+X973+Y973+GK973,2),0)</f>
        <v>0</v>
      </c>
      <c r="GP973">
        <f>IF(BI973=4,ROUND(O973+X973+Y973+GK973,2)+GX973,0)</f>
        <v>0</v>
      </c>
      <c r="GR973">
        <v>1</v>
      </c>
      <c r="GS973">
        <v>1</v>
      </c>
      <c r="GT973">
        <v>0</v>
      </c>
      <c r="GU973" t="s">
        <v>3</v>
      </c>
      <c r="GV973">
        <f>ROUND((GT973),6)</f>
        <v>0</v>
      </c>
      <c r="GW973">
        <v>1</v>
      </c>
      <c r="GX973">
        <f>ROUND(HC973*I973,2)</f>
        <v>0</v>
      </c>
      <c r="HA973">
        <v>0</v>
      </c>
      <c r="HB973">
        <v>0</v>
      </c>
      <c r="HC973">
        <f>GV973*GW973</f>
        <v>0</v>
      </c>
      <c r="HE973" t="s">
        <v>26</v>
      </c>
      <c r="HF973" t="s">
        <v>122</v>
      </c>
      <c r="HM973" t="s">
        <v>3</v>
      </c>
      <c r="IK973">
        <v>0</v>
      </c>
    </row>
    <row r="975" spans="1:245" x14ac:dyDescent="0.2">
      <c r="A975" s="2">
        <v>51</v>
      </c>
      <c r="B975" s="2">
        <f>B966</f>
        <v>1</v>
      </c>
      <c r="C975" s="2">
        <f>A966</f>
        <v>4</v>
      </c>
      <c r="D975" s="2">
        <f>ROW(A966)</f>
        <v>966</v>
      </c>
      <c r="E975" s="2"/>
      <c r="F975" s="2" t="str">
        <f>IF(F966&lt;&gt;"",F966,"")</f>
        <v>Новый раздел</v>
      </c>
      <c r="G975" s="2" t="str">
        <f>IF(G966&lt;&gt;"",G966,"")</f>
        <v>Установка тематических топиартых фигур (входная группа)</v>
      </c>
      <c r="H975" s="2">
        <v>0</v>
      </c>
      <c r="I975" s="2"/>
      <c r="J975" s="2"/>
      <c r="K975" s="2"/>
      <c r="L975" s="2"/>
      <c r="M975" s="2"/>
      <c r="N975" s="2"/>
      <c r="O975" s="2">
        <f t="shared" ref="O975:T975" si="850">ROUND(AB975,2)</f>
        <v>612244.25</v>
      </c>
      <c r="P975" s="2">
        <f t="shared" si="850"/>
        <v>559969.36</v>
      </c>
      <c r="Q975" s="2">
        <f t="shared" si="850"/>
        <v>19896.64</v>
      </c>
      <c r="R975" s="2">
        <f t="shared" si="850"/>
        <v>5555.08</v>
      </c>
      <c r="S975" s="2">
        <f t="shared" si="850"/>
        <v>32378.25</v>
      </c>
      <c r="T975" s="2">
        <f t="shared" si="850"/>
        <v>0</v>
      </c>
      <c r="U975" s="2">
        <f>AH975</f>
        <v>95.518999999999991</v>
      </c>
      <c r="V975" s="2">
        <f>AI975</f>
        <v>0</v>
      </c>
      <c r="W975" s="2">
        <f>ROUND(AJ975,2)</f>
        <v>0</v>
      </c>
      <c r="X975" s="2">
        <f>ROUND(AK975,2)</f>
        <v>23291.46</v>
      </c>
      <c r="Y975" s="2">
        <f>ROUND(AL975,2)</f>
        <v>13275.08</v>
      </c>
      <c r="Z975" s="2"/>
      <c r="AA975" s="2"/>
      <c r="AB975" s="2">
        <f>ROUND(SUMIF(AA970:AA973,"=42938047",O970:O973),2)</f>
        <v>612244.25</v>
      </c>
      <c r="AC975" s="2">
        <f>ROUND(SUMIF(AA970:AA973,"=42938047",P970:P973),2)</f>
        <v>559969.36</v>
      </c>
      <c r="AD975" s="2">
        <f>ROUND(SUMIF(AA970:AA973,"=42938047",Q970:Q973),2)</f>
        <v>19896.64</v>
      </c>
      <c r="AE975" s="2">
        <f>ROUND(SUMIF(AA970:AA973,"=42938047",R970:R973),2)</f>
        <v>5555.08</v>
      </c>
      <c r="AF975" s="2">
        <f>ROUND(SUMIF(AA970:AA973,"=42938047",S970:S973),2)</f>
        <v>32378.25</v>
      </c>
      <c r="AG975" s="2">
        <f>ROUND(SUMIF(AA970:AA973,"=42938047",T970:T973),2)</f>
        <v>0</v>
      </c>
      <c r="AH975" s="2">
        <f>SUMIF(AA970:AA973,"=42938047",U970:U973)</f>
        <v>95.518999999999991</v>
      </c>
      <c r="AI975" s="2">
        <f>SUMIF(AA970:AA973,"=42938047",V970:V973)</f>
        <v>0</v>
      </c>
      <c r="AJ975" s="2">
        <f>ROUND(SUMIF(AA970:AA973,"=42938047",W970:W973),2)</f>
        <v>0</v>
      </c>
      <c r="AK975" s="2">
        <f>ROUND(SUMIF(AA970:AA973,"=42938047",X970:X973),2)</f>
        <v>23291.46</v>
      </c>
      <c r="AL975" s="2">
        <f>ROUND(SUMIF(AA970:AA973,"=42938047",Y970:Y973),2)</f>
        <v>13275.08</v>
      </c>
      <c r="AM975" s="2"/>
      <c r="AN975" s="2"/>
      <c r="AO975" s="2">
        <f t="shared" ref="AO975:BD975" si="851">ROUND(BX975,2)</f>
        <v>0</v>
      </c>
      <c r="AP975" s="2">
        <f t="shared" si="851"/>
        <v>0</v>
      </c>
      <c r="AQ975" s="2">
        <f t="shared" si="851"/>
        <v>0</v>
      </c>
      <c r="AR975" s="2">
        <f t="shared" si="851"/>
        <v>657532.27</v>
      </c>
      <c r="AS975" s="2">
        <f t="shared" si="851"/>
        <v>657532.27</v>
      </c>
      <c r="AT975" s="2">
        <f t="shared" si="851"/>
        <v>0</v>
      </c>
      <c r="AU975" s="2">
        <f t="shared" si="851"/>
        <v>0</v>
      </c>
      <c r="AV975" s="2">
        <f t="shared" si="851"/>
        <v>559969.36</v>
      </c>
      <c r="AW975" s="2">
        <f t="shared" si="851"/>
        <v>559969.36</v>
      </c>
      <c r="AX975" s="2">
        <f t="shared" si="851"/>
        <v>0</v>
      </c>
      <c r="AY975" s="2">
        <f t="shared" si="851"/>
        <v>559969.36</v>
      </c>
      <c r="AZ975" s="2">
        <f t="shared" si="851"/>
        <v>0</v>
      </c>
      <c r="BA975" s="2">
        <f t="shared" si="851"/>
        <v>0</v>
      </c>
      <c r="BB975" s="2">
        <f t="shared" si="851"/>
        <v>0</v>
      </c>
      <c r="BC975" s="2">
        <f t="shared" si="851"/>
        <v>0</v>
      </c>
      <c r="BD975" s="2">
        <f t="shared" si="851"/>
        <v>0</v>
      </c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  <c r="BW975" s="2"/>
      <c r="BX975" s="2">
        <f>ROUND(SUMIF(AA970:AA973,"=42938047",FQ970:FQ973),2)</f>
        <v>0</v>
      </c>
      <c r="BY975" s="2">
        <f>ROUND(SUMIF(AA970:AA973,"=42938047",FR970:FR973),2)</f>
        <v>0</v>
      </c>
      <c r="BZ975" s="2">
        <f>ROUND(SUMIF(AA970:AA973,"=42938047",GL970:GL973),2)</f>
        <v>0</v>
      </c>
      <c r="CA975" s="2">
        <f>ROUND(SUMIF(AA970:AA973,"=42938047",GM970:GM973),2)</f>
        <v>657532.27</v>
      </c>
      <c r="CB975" s="2">
        <f>ROUND(SUMIF(AA970:AA973,"=42938047",GN970:GN973),2)</f>
        <v>657532.27</v>
      </c>
      <c r="CC975" s="2">
        <f>ROUND(SUMIF(AA970:AA973,"=42938047",GO970:GO973),2)</f>
        <v>0</v>
      </c>
      <c r="CD975" s="2">
        <f>ROUND(SUMIF(AA970:AA973,"=42938047",GP970:GP973),2)</f>
        <v>0</v>
      </c>
      <c r="CE975" s="2">
        <f>AC975-BX975</f>
        <v>559969.36</v>
      </c>
      <c r="CF975" s="2">
        <f>AC975-BY975</f>
        <v>559969.36</v>
      </c>
      <c r="CG975" s="2">
        <f>BX975-BZ975</f>
        <v>0</v>
      </c>
      <c r="CH975" s="2">
        <f>AC975-BX975-BY975+BZ975</f>
        <v>559969.36</v>
      </c>
      <c r="CI975" s="2">
        <f>BY975-BZ975</f>
        <v>0</v>
      </c>
      <c r="CJ975" s="2">
        <f>ROUND(SUMIF(AA970:AA973,"=42938047",GX970:GX973),2)</f>
        <v>0</v>
      </c>
      <c r="CK975" s="2">
        <f>ROUND(SUMIF(AA970:AA973,"=42938047",GY970:GY973),2)</f>
        <v>0</v>
      </c>
      <c r="CL975" s="2">
        <f>ROUND(SUMIF(AA970:AA973,"=42938047",GZ970:GZ973),2)</f>
        <v>0</v>
      </c>
      <c r="CM975" s="2">
        <f>ROUND(SUMIF(AA970:AA973,"=42938047",HD970:HD973),2)</f>
        <v>0</v>
      </c>
      <c r="CN975" s="2"/>
      <c r="CO975" s="2"/>
      <c r="CP975" s="2"/>
      <c r="CQ975" s="2"/>
      <c r="CR975" s="2"/>
      <c r="CS975" s="2"/>
      <c r="CT975" s="2"/>
      <c r="CU975" s="2"/>
      <c r="CV975" s="2"/>
      <c r="CW975" s="2"/>
      <c r="CX975" s="2"/>
      <c r="CY975" s="2"/>
      <c r="CZ975" s="2"/>
      <c r="DA975" s="2"/>
      <c r="DB975" s="2"/>
      <c r="DC975" s="2"/>
      <c r="DD975" s="2"/>
      <c r="DE975" s="2"/>
      <c r="DF975" s="2"/>
      <c r="DG975" s="3"/>
      <c r="DH975" s="3"/>
      <c r="DI975" s="3"/>
      <c r="DJ975" s="3"/>
      <c r="DK975" s="3"/>
      <c r="DL975" s="3"/>
      <c r="DM975" s="3"/>
      <c r="DN975" s="3"/>
      <c r="DO975" s="3"/>
      <c r="DP975" s="3"/>
      <c r="DQ975" s="3"/>
      <c r="DR975" s="3"/>
      <c r="DS975" s="3"/>
      <c r="DT975" s="3"/>
      <c r="DU975" s="3"/>
      <c r="DV975" s="3"/>
      <c r="DW975" s="3"/>
      <c r="DX975" s="3"/>
      <c r="DY975" s="3"/>
      <c r="DZ975" s="3"/>
      <c r="EA975" s="3"/>
      <c r="EB975" s="3"/>
      <c r="EC975" s="3"/>
      <c r="ED975" s="3"/>
      <c r="EE975" s="3"/>
      <c r="EF975" s="3"/>
      <c r="EG975" s="3"/>
      <c r="EH975" s="3"/>
      <c r="EI975" s="3"/>
      <c r="EJ975" s="3"/>
      <c r="EK975" s="3"/>
      <c r="EL975" s="3"/>
      <c r="EM975" s="3"/>
      <c r="EN975" s="3"/>
      <c r="EO975" s="3"/>
      <c r="EP975" s="3"/>
      <c r="EQ975" s="3"/>
      <c r="ER975" s="3"/>
      <c r="ES975" s="3"/>
      <c r="ET975" s="3"/>
      <c r="EU975" s="3"/>
      <c r="EV975" s="3"/>
      <c r="EW975" s="3"/>
      <c r="EX975" s="3"/>
      <c r="EY975" s="3"/>
      <c r="EZ975" s="3"/>
      <c r="FA975" s="3"/>
      <c r="FB975" s="3"/>
      <c r="FC975" s="3"/>
      <c r="FD975" s="3"/>
      <c r="FE975" s="3"/>
      <c r="FF975" s="3"/>
      <c r="FG975" s="3"/>
      <c r="FH975" s="3"/>
      <c r="FI975" s="3"/>
      <c r="FJ975" s="3"/>
      <c r="FK975" s="3"/>
      <c r="FL975" s="3"/>
      <c r="FM975" s="3"/>
      <c r="FN975" s="3"/>
      <c r="FO975" s="3"/>
      <c r="FP975" s="3"/>
      <c r="FQ975" s="3"/>
      <c r="FR975" s="3"/>
      <c r="FS975" s="3"/>
      <c r="FT975" s="3"/>
      <c r="FU975" s="3"/>
      <c r="FV975" s="3"/>
      <c r="FW975" s="3"/>
      <c r="FX975" s="3"/>
      <c r="FY975" s="3"/>
      <c r="FZ975" s="3"/>
      <c r="GA975" s="3"/>
      <c r="GB975" s="3"/>
      <c r="GC975" s="3"/>
      <c r="GD975" s="3"/>
      <c r="GE975" s="3"/>
      <c r="GF975" s="3"/>
      <c r="GG975" s="3"/>
      <c r="GH975" s="3"/>
      <c r="GI975" s="3"/>
      <c r="GJ975" s="3"/>
      <c r="GK975" s="3"/>
      <c r="GL975" s="3"/>
      <c r="GM975" s="3"/>
      <c r="GN975" s="3"/>
      <c r="GO975" s="3"/>
      <c r="GP975" s="3"/>
      <c r="GQ975" s="3"/>
      <c r="GR975" s="3"/>
      <c r="GS975" s="3"/>
      <c r="GT975" s="3"/>
      <c r="GU975" s="3"/>
      <c r="GV975" s="3"/>
      <c r="GW975" s="3"/>
      <c r="GX975" s="3">
        <v>0</v>
      </c>
    </row>
    <row r="977" spans="1:23" x14ac:dyDescent="0.2">
      <c r="A977" s="4">
        <v>50</v>
      </c>
      <c r="B977" s="4">
        <v>0</v>
      </c>
      <c r="C977" s="4">
        <v>0</v>
      </c>
      <c r="D977" s="4">
        <v>1</v>
      </c>
      <c r="E977" s="4">
        <v>201</v>
      </c>
      <c r="F977" s="4">
        <f>ROUND(Source!O975,O977)</f>
        <v>612244.25</v>
      </c>
      <c r="G977" s="4" t="s">
        <v>213</v>
      </c>
      <c r="H977" s="4" t="s">
        <v>214</v>
      </c>
      <c r="I977" s="4"/>
      <c r="J977" s="4"/>
      <c r="K977" s="4">
        <v>201</v>
      </c>
      <c r="L977" s="4">
        <v>1</v>
      </c>
      <c r="M977" s="4">
        <v>3</v>
      </c>
      <c r="N977" s="4" t="s">
        <v>3</v>
      </c>
      <c r="O977" s="4">
        <v>2</v>
      </c>
      <c r="P977" s="4"/>
      <c r="Q977" s="4"/>
      <c r="R977" s="4"/>
      <c r="S977" s="4"/>
      <c r="T977" s="4"/>
      <c r="U977" s="4"/>
      <c r="V977" s="4"/>
      <c r="W977" s="4"/>
    </row>
    <row r="978" spans="1:23" x14ac:dyDescent="0.2">
      <c r="A978" s="4">
        <v>50</v>
      </c>
      <c r="B978" s="4">
        <v>0</v>
      </c>
      <c r="C978" s="4">
        <v>0</v>
      </c>
      <c r="D978" s="4">
        <v>1</v>
      </c>
      <c r="E978" s="4">
        <v>202</v>
      </c>
      <c r="F978" s="4">
        <f>ROUND(Source!P975,O978)</f>
        <v>559969.36</v>
      </c>
      <c r="G978" s="4" t="s">
        <v>215</v>
      </c>
      <c r="H978" s="4" t="s">
        <v>216</v>
      </c>
      <c r="I978" s="4"/>
      <c r="J978" s="4"/>
      <c r="K978" s="4">
        <v>202</v>
      </c>
      <c r="L978" s="4">
        <v>2</v>
      </c>
      <c r="M978" s="4">
        <v>3</v>
      </c>
      <c r="N978" s="4" t="s">
        <v>3</v>
      </c>
      <c r="O978" s="4">
        <v>2</v>
      </c>
      <c r="P978" s="4"/>
      <c r="Q978" s="4"/>
      <c r="R978" s="4"/>
      <c r="S978" s="4"/>
      <c r="T978" s="4"/>
      <c r="U978" s="4"/>
      <c r="V978" s="4"/>
      <c r="W978" s="4"/>
    </row>
    <row r="979" spans="1:23" x14ac:dyDescent="0.2">
      <c r="A979" s="4">
        <v>50</v>
      </c>
      <c r="B979" s="4">
        <v>0</v>
      </c>
      <c r="C979" s="4">
        <v>0</v>
      </c>
      <c r="D979" s="4">
        <v>1</v>
      </c>
      <c r="E979" s="4">
        <v>222</v>
      </c>
      <c r="F979" s="4">
        <f>ROUND(Source!AO975,O979)</f>
        <v>0</v>
      </c>
      <c r="G979" s="4" t="s">
        <v>217</v>
      </c>
      <c r="H979" s="4" t="s">
        <v>218</v>
      </c>
      <c r="I979" s="4"/>
      <c r="J979" s="4"/>
      <c r="K979" s="4">
        <v>222</v>
      </c>
      <c r="L979" s="4">
        <v>3</v>
      </c>
      <c r="M979" s="4">
        <v>3</v>
      </c>
      <c r="N979" s="4" t="s">
        <v>3</v>
      </c>
      <c r="O979" s="4">
        <v>2</v>
      </c>
      <c r="P979" s="4"/>
      <c r="Q979" s="4"/>
      <c r="R979" s="4"/>
      <c r="S979" s="4"/>
      <c r="T979" s="4"/>
      <c r="U979" s="4"/>
      <c r="V979" s="4"/>
      <c r="W979" s="4"/>
    </row>
    <row r="980" spans="1:23" x14ac:dyDescent="0.2">
      <c r="A980" s="4">
        <v>50</v>
      </c>
      <c r="B980" s="4">
        <v>0</v>
      </c>
      <c r="C980" s="4">
        <v>0</v>
      </c>
      <c r="D980" s="4">
        <v>1</v>
      </c>
      <c r="E980" s="4">
        <v>225</v>
      </c>
      <c r="F980" s="4">
        <f>ROUND(Source!AV975,O980)</f>
        <v>559969.36</v>
      </c>
      <c r="G980" s="4" t="s">
        <v>219</v>
      </c>
      <c r="H980" s="4" t="s">
        <v>220</v>
      </c>
      <c r="I980" s="4"/>
      <c r="J980" s="4"/>
      <c r="K980" s="4">
        <v>225</v>
      </c>
      <c r="L980" s="4">
        <v>4</v>
      </c>
      <c r="M980" s="4">
        <v>3</v>
      </c>
      <c r="N980" s="4" t="s">
        <v>3</v>
      </c>
      <c r="O980" s="4">
        <v>2</v>
      </c>
      <c r="P980" s="4"/>
      <c r="Q980" s="4"/>
      <c r="R980" s="4"/>
      <c r="S980" s="4"/>
      <c r="T980" s="4"/>
      <c r="U980" s="4"/>
      <c r="V980" s="4"/>
      <c r="W980" s="4"/>
    </row>
    <row r="981" spans="1:23" x14ac:dyDescent="0.2">
      <c r="A981" s="4">
        <v>50</v>
      </c>
      <c r="B981" s="4">
        <v>0</v>
      </c>
      <c r="C981" s="4">
        <v>0</v>
      </c>
      <c r="D981" s="4">
        <v>1</v>
      </c>
      <c r="E981" s="4">
        <v>226</v>
      </c>
      <c r="F981" s="4">
        <f>ROUND(Source!AW975,O981)</f>
        <v>559969.36</v>
      </c>
      <c r="G981" s="4" t="s">
        <v>221</v>
      </c>
      <c r="H981" s="4" t="s">
        <v>222</v>
      </c>
      <c r="I981" s="4"/>
      <c r="J981" s="4"/>
      <c r="K981" s="4">
        <v>226</v>
      </c>
      <c r="L981" s="4">
        <v>5</v>
      </c>
      <c r="M981" s="4">
        <v>3</v>
      </c>
      <c r="N981" s="4" t="s">
        <v>3</v>
      </c>
      <c r="O981" s="4">
        <v>2</v>
      </c>
      <c r="P981" s="4"/>
      <c r="Q981" s="4"/>
      <c r="R981" s="4"/>
      <c r="S981" s="4"/>
      <c r="T981" s="4"/>
      <c r="U981" s="4"/>
      <c r="V981" s="4"/>
      <c r="W981" s="4"/>
    </row>
    <row r="982" spans="1:23" x14ac:dyDescent="0.2">
      <c r="A982" s="4">
        <v>50</v>
      </c>
      <c r="B982" s="4">
        <v>0</v>
      </c>
      <c r="C982" s="4">
        <v>0</v>
      </c>
      <c r="D982" s="4">
        <v>1</v>
      </c>
      <c r="E982" s="4">
        <v>227</v>
      </c>
      <c r="F982" s="4">
        <f>ROUND(Source!AX975,O982)</f>
        <v>0</v>
      </c>
      <c r="G982" s="4" t="s">
        <v>223</v>
      </c>
      <c r="H982" s="4" t="s">
        <v>224</v>
      </c>
      <c r="I982" s="4"/>
      <c r="J982" s="4"/>
      <c r="K982" s="4">
        <v>227</v>
      </c>
      <c r="L982" s="4">
        <v>6</v>
      </c>
      <c r="M982" s="4">
        <v>3</v>
      </c>
      <c r="N982" s="4" t="s">
        <v>3</v>
      </c>
      <c r="O982" s="4">
        <v>2</v>
      </c>
      <c r="P982" s="4"/>
      <c r="Q982" s="4"/>
      <c r="R982" s="4"/>
      <c r="S982" s="4"/>
      <c r="T982" s="4"/>
      <c r="U982" s="4"/>
      <c r="V982" s="4"/>
      <c r="W982" s="4"/>
    </row>
    <row r="983" spans="1:23" x14ac:dyDescent="0.2">
      <c r="A983" s="4">
        <v>50</v>
      </c>
      <c r="B983" s="4">
        <v>0</v>
      </c>
      <c r="C983" s="4">
        <v>0</v>
      </c>
      <c r="D983" s="4">
        <v>1</v>
      </c>
      <c r="E983" s="4">
        <v>228</v>
      </c>
      <c r="F983" s="4">
        <f>ROUND(Source!AY975,O983)</f>
        <v>559969.36</v>
      </c>
      <c r="G983" s="4" t="s">
        <v>225</v>
      </c>
      <c r="H983" s="4" t="s">
        <v>226</v>
      </c>
      <c r="I983" s="4"/>
      <c r="J983" s="4"/>
      <c r="K983" s="4">
        <v>228</v>
      </c>
      <c r="L983" s="4">
        <v>7</v>
      </c>
      <c r="M983" s="4">
        <v>3</v>
      </c>
      <c r="N983" s="4" t="s">
        <v>3</v>
      </c>
      <c r="O983" s="4">
        <v>2</v>
      </c>
      <c r="P983" s="4"/>
      <c r="Q983" s="4"/>
      <c r="R983" s="4"/>
      <c r="S983" s="4"/>
      <c r="T983" s="4"/>
      <c r="U983" s="4"/>
      <c r="V983" s="4"/>
      <c r="W983" s="4"/>
    </row>
    <row r="984" spans="1:23" x14ac:dyDescent="0.2">
      <c r="A984" s="4">
        <v>50</v>
      </c>
      <c r="B984" s="4">
        <v>0</v>
      </c>
      <c r="C984" s="4">
        <v>0</v>
      </c>
      <c r="D984" s="4">
        <v>1</v>
      </c>
      <c r="E984" s="4">
        <v>216</v>
      </c>
      <c r="F984" s="4">
        <f>ROUND(Source!AP975,O984)</f>
        <v>0</v>
      </c>
      <c r="G984" s="4" t="s">
        <v>227</v>
      </c>
      <c r="H984" s="4" t="s">
        <v>228</v>
      </c>
      <c r="I984" s="4"/>
      <c r="J984" s="4"/>
      <c r="K984" s="4">
        <v>216</v>
      </c>
      <c r="L984" s="4">
        <v>8</v>
      </c>
      <c r="M984" s="4">
        <v>3</v>
      </c>
      <c r="N984" s="4" t="s">
        <v>3</v>
      </c>
      <c r="O984" s="4">
        <v>2</v>
      </c>
      <c r="P984" s="4"/>
      <c r="Q984" s="4"/>
      <c r="R984" s="4"/>
      <c r="S984" s="4"/>
      <c r="T984" s="4"/>
      <c r="U984" s="4"/>
      <c r="V984" s="4"/>
      <c r="W984" s="4"/>
    </row>
    <row r="985" spans="1:23" x14ac:dyDescent="0.2">
      <c r="A985" s="4">
        <v>50</v>
      </c>
      <c r="B985" s="4">
        <v>0</v>
      </c>
      <c r="C985" s="4">
        <v>0</v>
      </c>
      <c r="D985" s="4">
        <v>1</v>
      </c>
      <c r="E985" s="4">
        <v>223</v>
      </c>
      <c r="F985" s="4">
        <f>ROUND(Source!AQ975,O985)</f>
        <v>0</v>
      </c>
      <c r="G985" s="4" t="s">
        <v>229</v>
      </c>
      <c r="H985" s="4" t="s">
        <v>230</v>
      </c>
      <c r="I985" s="4"/>
      <c r="J985" s="4"/>
      <c r="K985" s="4">
        <v>223</v>
      </c>
      <c r="L985" s="4">
        <v>9</v>
      </c>
      <c r="M985" s="4">
        <v>3</v>
      </c>
      <c r="N985" s="4" t="s">
        <v>3</v>
      </c>
      <c r="O985" s="4">
        <v>2</v>
      </c>
      <c r="P985" s="4"/>
      <c r="Q985" s="4"/>
      <c r="R985" s="4"/>
      <c r="S985" s="4"/>
      <c r="T985" s="4"/>
      <c r="U985" s="4"/>
      <c r="V985" s="4"/>
      <c r="W985" s="4"/>
    </row>
    <row r="986" spans="1:23" x14ac:dyDescent="0.2">
      <c r="A986" s="4">
        <v>50</v>
      </c>
      <c r="B986" s="4">
        <v>0</v>
      </c>
      <c r="C986" s="4">
        <v>0</v>
      </c>
      <c r="D986" s="4">
        <v>1</v>
      </c>
      <c r="E986" s="4">
        <v>229</v>
      </c>
      <c r="F986" s="4">
        <f>ROUND(Source!AZ975,O986)</f>
        <v>0</v>
      </c>
      <c r="G986" s="4" t="s">
        <v>231</v>
      </c>
      <c r="H986" s="4" t="s">
        <v>232</v>
      </c>
      <c r="I986" s="4"/>
      <c r="J986" s="4"/>
      <c r="K986" s="4">
        <v>229</v>
      </c>
      <c r="L986" s="4">
        <v>10</v>
      </c>
      <c r="M986" s="4">
        <v>3</v>
      </c>
      <c r="N986" s="4" t="s">
        <v>3</v>
      </c>
      <c r="O986" s="4">
        <v>2</v>
      </c>
      <c r="P986" s="4"/>
      <c r="Q986" s="4"/>
      <c r="R986" s="4"/>
      <c r="S986" s="4"/>
      <c r="T986" s="4"/>
      <c r="U986" s="4"/>
      <c r="V986" s="4"/>
      <c r="W986" s="4"/>
    </row>
    <row r="987" spans="1:23" x14ac:dyDescent="0.2">
      <c r="A987" s="4">
        <v>50</v>
      </c>
      <c r="B987" s="4">
        <v>0</v>
      </c>
      <c r="C987" s="4">
        <v>0</v>
      </c>
      <c r="D987" s="4">
        <v>1</v>
      </c>
      <c r="E987" s="4">
        <v>203</v>
      </c>
      <c r="F987" s="4">
        <f>ROUND(Source!Q975,O987)</f>
        <v>19896.64</v>
      </c>
      <c r="G987" s="4" t="s">
        <v>233</v>
      </c>
      <c r="H987" s="4" t="s">
        <v>234</v>
      </c>
      <c r="I987" s="4"/>
      <c r="J987" s="4"/>
      <c r="K987" s="4">
        <v>203</v>
      </c>
      <c r="L987" s="4">
        <v>11</v>
      </c>
      <c r="M987" s="4">
        <v>3</v>
      </c>
      <c r="N987" s="4" t="s">
        <v>3</v>
      </c>
      <c r="O987" s="4">
        <v>2</v>
      </c>
      <c r="P987" s="4"/>
      <c r="Q987" s="4"/>
      <c r="R987" s="4"/>
      <c r="S987" s="4"/>
      <c r="T987" s="4"/>
      <c r="U987" s="4"/>
      <c r="V987" s="4"/>
      <c r="W987" s="4"/>
    </row>
    <row r="988" spans="1:23" x14ac:dyDescent="0.2">
      <c r="A988" s="4">
        <v>50</v>
      </c>
      <c r="B988" s="4">
        <v>0</v>
      </c>
      <c r="C988" s="4">
        <v>0</v>
      </c>
      <c r="D988" s="4">
        <v>1</v>
      </c>
      <c r="E988" s="4">
        <v>231</v>
      </c>
      <c r="F988" s="4">
        <f>ROUND(Source!BB975,O988)</f>
        <v>0</v>
      </c>
      <c r="G988" s="4" t="s">
        <v>235</v>
      </c>
      <c r="H988" s="4" t="s">
        <v>236</v>
      </c>
      <c r="I988" s="4"/>
      <c r="J988" s="4"/>
      <c r="K988" s="4">
        <v>231</v>
      </c>
      <c r="L988" s="4">
        <v>12</v>
      </c>
      <c r="M988" s="4">
        <v>3</v>
      </c>
      <c r="N988" s="4" t="s">
        <v>3</v>
      </c>
      <c r="O988" s="4">
        <v>2</v>
      </c>
      <c r="P988" s="4"/>
      <c r="Q988" s="4"/>
      <c r="R988" s="4"/>
      <c r="S988" s="4"/>
      <c r="T988" s="4"/>
      <c r="U988" s="4"/>
      <c r="V988" s="4"/>
      <c r="W988" s="4"/>
    </row>
    <row r="989" spans="1:23" x14ac:dyDescent="0.2">
      <c r="A989" s="4">
        <v>50</v>
      </c>
      <c r="B989" s="4">
        <v>0</v>
      </c>
      <c r="C989" s="4">
        <v>0</v>
      </c>
      <c r="D989" s="4">
        <v>1</v>
      </c>
      <c r="E989" s="4">
        <v>204</v>
      </c>
      <c r="F989" s="4">
        <f>ROUND(Source!R975,O989)</f>
        <v>5555.08</v>
      </c>
      <c r="G989" s="4" t="s">
        <v>237</v>
      </c>
      <c r="H989" s="4" t="s">
        <v>238</v>
      </c>
      <c r="I989" s="4"/>
      <c r="J989" s="4"/>
      <c r="K989" s="4">
        <v>204</v>
      </c>
      <c r="L989" s="4">
        <v>13</v>
      </c>
      <c r="M989" s="4">
        <v>3</v>
      </c>
      <c r="N989" s="4" t="s">
        <v>3</v>
      </c>
      <c r="O989" s="4">
        <v>2</v>
      </c>
      <c r="P989" s="4"/>
      <c r="Q989" s="4"/>
      <c r="R989" s="4"/>
      <c r="S989" s="4"/>
      <c r="T989" s="4"/>
      <c r="U989" s="4"/>
      <c r="V989" s="4"/>
      <c r="W989" s="4"/>
    </row>
    <row r="990" spans="1:23" x14ac:dyDescent="0.2">
      <c r="A990" s="4">
        <v>50</v>
      </c>
      <c r="B990" s="4">
        <v>0</v>
      </c>
      <c r="C990" s="4">
        <v>0</v>
      </c>
      <c r="D990" s="4">
        <v>1</v>
      </c>
      <c r="E990" s="4">
        <v>205</v>
      </c>
      <c r="F990" s="4">
        <f>ROUND(Source!S975,O990)</f>
        <v>32378.25</v>
      </c>
      <c r="G990" s="4" t="s">
        <v>239</v>
      </c>
      <c r="H990" s="4" t="s">
        <v>240</v>
      </c>
      <c r="I990" s="4"/>
      <c r="J990" s="4"/>
      <c r="K990" s="4">
        <v>205</v>
      </c>
      <c r="L990" s="4">
        <v>14</v>
      </c>
      <c r="M990" s="4">
        <v>3</v>
      </c>
      <c r="N990" s="4" t="s">
        <v>3</v>
      </c>
      <c r="O990" s="4">
        <v>2</v>
      </c>
      <c r="P990" s="4"/>
      <c r="Q990" s="4"/>
      <c r="R990" s="4"/>
      <c r="S990" s="4"/>
      <c r="T990" s="4"/>
      <c r="U990" s="4"/>
      <c r="V990" s="4"/>
      <c r="W990" s="4"/>
    </row>
    <row r="991" spans="1:23" x14ac:dyDescent="0.2">
      <c r="A991" s="4">
        <v>50</v>
      </c>
      <c r="B991" s="4">
        <v>0</v>
      </c>
      <c r="C991" s="4">
        <v>0</v>
      </c>
      <c r="D991" s="4">
        <v>1</v>
      </c>
      <c r="E991" s="4">
        <v>232</v>
      </c>
      <c r="F991" s="4">
        <f>ROUND(Source!BC975,O991)</f>
        <v>0</v>
      </c>
      <c r="G991" s="4" t="s">
        <v>241</v>
      </c>
      <c r="H991" s="4" t="s">
        <v>242</v>
      </c>
      <c r="I991" s="4"/>
      <c r="J991" s="4"/>
      <c r="K991" s="4">
        <v>232</v>
      </c>
      <c r="L991" s="4">
        <v>15</v>
      </c>
      <c r="M991" s="4">
        <v>3</v>
      </c>
      <c r="N991" s="4" t="s">
        <v>3</v>
      </c>
      <c r="O991" s="4">
        <v>2</v>
      </c>
      <c r="P991" s="4"/>
      <c r="Q991" s="4"/>
      <c r="R991" s="4"/>
      <c r="S991" s="4"/>
      <c r="T991" s="4"/>
      <c r="U991" s="4"/>
      <c r="V991" s="4"/>
      <c r="W991" s="4"/>
    </row>
    <row r="992" spans="1:23" x14ac:dyDescent="0.2">
      <c r="A992" s="4">
        <v>50</v>
      </c>
      <c r="B992" s="4">
        <v>0</v>
      </c>
      <c r="C992" s="4">
        <v>0</v>
      </c>
      <c r="D992" s="4">
        <v>1</v>
      </c>
      <c r="E992" s="4">
        <v>214</v>
      </c>
      <c r="F992" s="4">
        <f>ROUND(Source!AS975,O992)</f>
        <v>657532.27</v>
      </c>
      <c r="G992" s="4" t="s">
        <v>243</v>
      </c>
      <c r="H992" s="4" t="s">
        <v>244</v>
      </c>
      <c r="I992" s="4"/>
      <c r="J992" s="4"/>
      <c r="K992" s="4">
        <v>214</v>
      </c>
      <c r="L992" s="4">
        <v>16</v>
      </c>
      <c r="M992" s="4">
        <v>3</v>
      </c>
      <c r="N992" s="4" t="s">
        <v>3</v>
      </c>
      <c r="O992" s="4">
        <v>2</v>
      </c>
      <c r="P992" s="4"/>
      <c r="Q992" s="4"/>
      <c r="R992" s="4"/>
      <c r="S992" s="4"/>
      <c r="T992" s="4"/>
      <c r="U992" s="4"/>
      <c r="V992" s="4"/>
      <c r="W992" s="4"/>
    </row>
    <row r="993" spans="1:206" x14ac:dyDescent="0.2">
      <c r="A993" s="4">
        <v>50</v>
      </c>
      <c r="B993" s="4">
        <v>0</v>
      </c>
      <c r="C993" s="4">
        <v>0</v>
      </c>
      <c r="D993" s="4">
        <v>1</v>
      </c>
      <c r="E993" s="4">
        <v>215</v>
      </c>
      <c r="F993" s="4">
        <f>ROUND(Source!AT975,O993)</f>
        <v>0</v>
      </c>
      <c r="G993" s="4" t="s">
        <v>245</v>
      </c>
      <c r="H993" s="4" t="s">
        <v>246</v>
      </c>
      <c r="I993" s="4"/>
      <c r="J993" s="4"/>
      <c r="K993" s="4">
        <v>215</v>
      </c>
      <c r="L993" s="4">
        <v>17</v>
      </c>
      <c r="M993" s="4">
        <v>3</v>
      </c>
      <c r="N993" s="4" t="s">
        <v>3</v>
      </c>
      <c r="O993" s="4">
        <v>2</v>
      </c>
      <c r="P993" s="4"/>
      <c r="Q993" s="4"/>
      <c r="R993" s="4"/>
      <c r="S993" s="4"/>
      <c r="T993" s="4"/>
      <c r="U993" s="4"/>
      <c r="V993" s="4"/>
      <c r="W993" s="4"/>
    </row>
    <row r="994" spans="1:206" x14ac:dyDescent="0.2">
      <c r="A994" s="4">
        <v>50</v>
      </c>
      <c r="B994" s="4">
        <v>0</v>
      </c>
      <c r="C994" s="4">
        <v>0</v>
      </c>
      <c r="D994" s="4">
        <v>1</v>
      </c>
      <c r="E994" s="4">
        <v>217</v>
      </c>
      <c r="F994" s="4">
        <f>ROUND(Source!AU975,O994)</f>
        <v>0</v>
      </c>
      <c r="G994" s="4" t="s">
        <v>247</v>
      </c>
      <c r="H994" s="4" t="s">
        <v>248</v>
      </c>
      <c r="I994" s="4"/>
      <c r="J994" s="4"/>
      <c r="K994" s="4">
        <v>217</v>
      </c>
      <c r="L994" s="4">
        <v>18</v>
      </c>
      <c r="M994" s="4">
        <v>3</v>
      </c>
      <c r="N994" s="4" t="s">
        <v>3</v>
      </c>
      <c r="O994" s="4">
        <v>2</v>
      </c>
      <c r="P994" s="4"/>
      <c r="Q994" s="4"/>
      <c r="R994" s="4"/>
      <c r="S994" s="4"/>
      <c r="T994" s="4"/>
      <c r="U994" s="4"/>
      <c r="V994" s="4"/>
      <c r="W994" s="4"/>
    </row>
    <row r="995" spans="1:206" x14ac:dyDescent="0.2">
      <c r="A995" s="4">
        <v>50</v>
      </c>
      <c r="B995" s="4">
        <v>0</v>
      </c>
      <c r="C995" s="4">
        <v>0</v>
      </c>
      <c r="D995" s="4">
        <v>1</v>
      </c>
      <c r="E995" s="4">
        <v>230</v>
      </c>
      <c r="F995" s="4">
        <f>ROUND(Source!BA975,O995)</f>
        <v>0</v>
      </c>
      <c r="G995" s="4" t="s">
        <v>249</v>
      </c>
      <c r="H995" s="4" t="s">
        <v>250</v>
      </c>
      <c r="I995" s="4"/>
      <c r="J995" s="4"/>
      <c r="K995" s="4">
        <v>230</v>
      </c>
      <c r="L995" s="4">
        <v>19</v>
      </c>
      <c r="M995" s="4">
        <v>3</v>
      </c>
      <c r="N995" s="4" t="s">
        <v>3</v>
      </c>
      <c r="O995" s="4">
        <v>2</v>
      </c>
      <c r="P995" s="4"/>
      <c r="Q995" s="4"/>
      <c r="R995" s="4"/>
      <c r="S995" s="4"/>
      <c r="T995" s="4"/>
      <c r="U995" s="4"/>
      <c r="V995" s="4"/>
      <c r="W995" s="4"/>
    </row>
    <row r="996" spans="1:206" x14ac:dyDescent="0.2">
      <c r="A996" s="4">
        <v>50</v>
      </c>
      <c r="B996" s="4">
        <v>0</v>
      </c>
      <c r="C996" s="4">
        <v>0</v>
      </c>
      <c r="D996" s="4">
        <v>1</v>
      </c>
      <c r="E996" s="4">
        <v>206</v>
      </c>
      <c r="F996" s="4">
        <f>ROUND(Source!T975,O996)</f>
        <v>0</v>
      </c>
      <c r="G996" s="4" t="s">
        <v>251</v>
      </c>
      <c r="H996" s="4" t="s">
        <v>252</v>
      </c>
      <c r="I996" s="4"/>
      <c r="J996" s="4"/>
      <c r="K996" s="4">
        <v>206</v>
      </c>
      <c r="L996" s="4">
        <v>20</v>
      </c>
      <c r="M996" s="4">
        <v>3</v>
      </c>
      <c r="N996" s="4" t="s">
        <v>3</v>
      </c>
      <c r="O996" s="4">
        <v>2</v>
      </c>
      <c r="P996" s="4"/>
      <c r="Q996" s="4"/>
      <c r="R996" s="4"/>
      <c r="S996" s="4"/>
      <c r="T996" s="4"/>
      <c r="U996" s="4"/>
      <c r="V996" s="4"/>
      <c r="W996" s="4"/>
    </row>
    <row r="997" spans="1:206" x14ac:dyDescent="0.2">
      <c r="A997" s="4">
        <v>50</v>
      </c>
      <c r="B997" s="4">
        <v>0</v>
      </c>
      <c r="C997" s="4">
        <v>0</v>
      </c>
      <c r="D997" s="4">
        <v>1</v>
      </c>
      <c r="E997" s="4">
        <v>207</v>
      </c>
      <c r="F997" s="4">
        <f>Source!U975</f>
        <v>95.518999999999991</v>
      </c>
      <c r="G997" s="4" t="s">
        <v>253</v>
      </c>
      <c r="H997" s="4" t="s">
        <v>254</v>
      </c>
      <c r="I997" s="4"/>
      <c r="J997" s="4"/>
      <c r="K997" s="4">
        <v>207</v>
      </c>
      <c r="L997" s="4">
        <v>21</v>
      </c>
      <c r="M997" s="4">
        <v>3</v>
      </c>
      <c r="N997" s="4" t="s">
        <v>3</v>
      </c>
      <c r="O997" s="4">
        <v>-1</v>
      </c>
      <c r="P997" s="4"/>
      <c r="Q997" s="4"/>
      <c r="R997" s="4"/>
      <c r="S997" s="4"/>
      <c r="T997" s="4"/>
      <c r="U997" s="4"/>
      <c r="V997" s="4"/>
      <c r="W997" s="4"/>
    </row>
    <row r="998" spans="1:206" x14ac:dyDescent="0.2">
      <c r="A998" s="4">
        <v>50</v>
      </c>
      <c r="B998" s="4">
        <v>0</v>
      </c>
      <c r="C998" s="4">
        <v>0</v>
      </c>
      <c r="D998" s="4">
        <v>1</v>
      </c>
      <c r="E998" s="4">
        <v>208</v>
      </c>
      <c r="F998" s="4">
        <f>Source!V975</f>
        <v>0</v>
      </c>
      <c r="G998" s="4" t="s">
        <v>255</v>
      </c>
      <c r="H998" s="4" t="s">
        <v>256</v>
      </c>
      <c r="I998" s="4"/>
      <c r="J998" s="4"/>
      <c r="K998" s="4">
        <v>208</v>
      </c>
      <c r="L998" s="4">
        <v>22</v>
      </c>
      <c r="M998" s="4">
        <v>3</v>
      </c>
      <c r="N998" s="4" t="s">
        <v>3</v>
      </c>
      <c r="O998" s="4">
        <v>-1</v>
      </c>
      <c r="P998" s="4"/>
      <c r="Q998" s="4"/>
      <c r="R998" s="4"/>
      <c r="S998" s="4"/>
      <c r="T998" s="4"/>
      <c r="U998" s="4"/>
      <c r="V998" s="4"/>
      <c r="W998" s="4"/>
    </row>
    <row r="999" spans="1:206" x14ac:dyDescent="0.2">
      <c r="A999" s="4">
        <v>50</v>
      </c>
      <c r="B999" s="4">
        <v>0</v>
      </c>
      <c r="C999" s="4">
        <v>0</v>
      </c>
      <c r="D999" s="4">
        <v>1</v>
      </c>
      <c r="E999" s="4">
        <v>209</v>
      </c>
      <c r="F999" s="4">
        <f>ROUND(Source!W975,O999)</f>
        <v>0</v>
      </c>
      <c r="G999" s="4" t="s">
        <v>257</v>
      </c>
      <c r="H999" s="4" t="s">
        <v>258</v>
      </c>
      <c r="I999" s="4"/>
      <c r="J999" s="4"/>
      <c r="K999" s="4">
        <v>209</v>
      </c>
      <c r="L999" s="4">
        <v>23</v>
      </c>
      <c r="M999" s="4">
        <v>3</v>
      </c>
      <c r="N999" s="4" t="s">
        <v>3</v>
      </c>
      <c r="O999" s="4">
        <v>2</v>
      </c>
      <c r="P999" s="4"/>
      <c r="Q999" s="4"/>
      <c r="R999" s="4"/>
      <c r="S999" s="4"/>
      <c r="T999" s="4"/>
      <c r="U999" s="4"/>
      <c r="V999" s="4"/>
      <c r="W999" s="4"/>
    </row>
    <row r="1000" spans="1:206" x14ac:dyDescent="0.2">
      <c r="A1000" s="4">
        <v>50</v>
      </c>
      <c r="B1000" s="4">
        <v>0</v>
      </c>
      <c r="C1000" s="4">
        <v>0</v>
      </c>
      <c r="D1000" s="4">
        <v>1</v>
      </c>
      <c r="E1000" s="4">
        <v>233</v>
      </c>
      <c r="F1000" s="4">
        <f>ROUND(Source!BD975,O1000)</f>
        <v>0</v>
      </c>
      <c r="G1000" s="4" t="s">
        <v>259</v>
      </c>
      <c r="H1000" s="4" t="s">
        <v>260</v>
      </c>
      <c r="I1000" s="4"/>
      <c r="J1000" s="4"/>
      <c r="K1000" s="4">
        <v>233</v>
      </c>
      <c r="L1000" s="4">
        <v>24</v>
      </c>
      <c r="M1000" s="4">
        <v>3</v>
      </c>
      <c r="N1000" s="4" t="s">
        <v>3</v>
      </c>
      <c r="O1000" s="4">
        <v>2</v>
      </c>
      <c r="P1000" s="4"/>
      <c r="Q1000" s="4"/>
      <c r="R1000" s="4"/>
      <c r="S1000" s="4"/>
      <c r="T1000" s="4"/>
      <c r="U1000" s="4"/>
      <c r="V1000" s="4"/>
      <c r="W1000" s="4"/>
    </row>
    <row r="1001" spans="1:206" x14ac:dyDescent="0.2">
      <c r="A1001" s="4">
        <v>50</v>
      </c>
      <c r="B1001" s="4">
        <v>0</v>
      </c>
      <c r="C1001" s="4">
        <v>0</v>
      </c>
      <c r="D1001" s="4">
        <v>1</v>
      </c>
      <c r="E1001" s="4">
        <v>210</v>
      </c>
      <c r="F1001" s="4">
        <f>ROUND(Source!X975,O1001)</f>
        <v>23291.46</v>
      </c>
      <c r="G1001" s="4" t="s">
        <v>261</v>
      </c>
      <c r="H1001" s="4" t="s">
        <v>262</v>
      </c>
      <c r="I1001" s="4"/>
      <c r="J1001" s="4"/>
      <c r="K1001" s="4">
        <v>210</v>
      </c>
      <c r="L1001" s="4">
        <v>25</v>
      </c>
      <c r="M1001" s="4">
        <v>3</v>
      </c>
      <c r="N1001" s="4" t="s">
        <v>3</v>
      </c>
      <c r="O1001" s="4">
        <v>2</v>
      </c>
      <c r="P1001" s="4"/>
      <c r="Q1001" s="4"/>
      <c r="R1001" s="4"/>
      <c r="S1001" s="4"/>
      <c r="T1001" s="4"/>
      <c r="U1001" s="4"/>
      <c r="V1001" s="4"/>
      <c r="W1001" s="4"/>
    </row>
    <row r="1002" spans="1:206" x14ac:dyDescent="0.2">
      <c r="A1002" s="4">
        <v>50</v>
      </c>
      <c r="B1002" s="4">
        <v>0</v>
      </c>
      <c r="C1002" s="4">
        <v>0</v>
      </c>
      <c r="D1002" s="4">
        <v>1</v>
      </c>
      <c r="E1002" s="4">
        <v>211</v>
      </c>
      <c r="F1002" s="4">
        <f>ROUND(Source!Y975,O1002)</f>
        <v>13275.08</v>
      </c>
      <c r="G1002" s="4" t="s">
        <v>263</v>
      </c>
      <c r="H1002" s="4" t="s">
        <v>264</v>
      </c>
      <c r="I1002" s="4"/>
      <c r="J1002" s="4"/>
      <c r="K1002" s="4">
        <v>211</v>
      </c>
      <c r="L1002" s="4">
        <v>26</v>
      </c>
      <c r="M1002" s="4">
        <v>3</v>
      </c>
      <c r="N1002" s="4" t="s">
        <v>3</v>
      </c>
      <c r="O1002" s="4">
        <v>2</v>
      </c>
      <c r="P1002" s="4"/>
      <c r="Q1002" s="4"/>
      <c r="R1002" s="4"/>
      <c r="S1002" s="4"/>
      <c r="T1002" s="4"/>
      <c r="U1002" s="4"/>
      <c r="V1002" s="4"/>
      <c r="W1002" s="4"/>
    </row>
    <row r="1003" spans="1:206" x14ac:dyDescent="0.2">
      <c r="A1003" s="4">
        <v>50</v>
      </c>
      <c r="B1003" s="4">
        <v>0</v>
      </c>
      <c r="C1003" s="4">
        <v>0</v>
      </c>
      <c r="D1003" s="4">
        <v>1</v>
      </c>
      <c r="E1003" s="4">
        <v>224</v>
      </c>
      <c r="F1003" s="4">
        <f>ROUND(Source!AR975,O1003)</f>
        <v>657532.27</v>
      </c>
      <c r="G1003" s="4" t="s">
        <v>265</v>
      </c>
      <c r="H1003" s="4" t="s">
        <v>266</v>
      </c>
      <c r="I1003" s="4"/>
      <c r="J1003" s="4"/>
      <c r="K1003" s="4">
        <v>224</v>
      </c>
      <c r="L1003" s="4">
        <v>27</v>
      </c>
      <c r="M1003" s="4">
        <v>3</v>
      </c>
      <c r="N1003" s="4" t="s">
        <v>3</v>
      </c>
      <c r="O1003" s="4">
        <v>2</v>
      </c>
      <c r="P1003" s="4"/>
      <c r="Q1003" s="4"/>
      <c r="R1003" s="4"/>
      <c r="S1003" s="4"/>
      <c r="T1003" s="4"/>
      <c r="U1003" s="4"/>
      <c r="V1003" s="4"/>
      <c r="W1003" s="4"/>
    </row>
    <row r="1005" spans="1:206" x14ac:dyDescent="0.2">
      <c r="A1005" s="1">
        <v>4</v>
      </c>
      <c r="B1005" s="1">
        <v>1</v>
      </c>
      <c r="C1005" s="1"/>
      <c r="D1005" s="1">
        <f>ROW(A1077)</f>
        <v>1077</v>
      </c>
      <c r="E1005" s="1"/>
      <c r="F1005" s="1" t="s">
        <v>13</v>
      </c>
      <c r="G1005" s="1" t="s">
        <v>1096</v>
      </c>
      <c r="H1005" s="1" t="s">
        <v>3</v>
      </c>
      <c r="I1005" s="1">
        <v>0</v>
      </c>
      <c r="J1005" s="1"/>
      <c r="K1005" s="1">
        <v>0</v>
      </c>
      <c r="L1005" s="1"/>
      <c r="M1005" s="1" t="s">
        <v>3</v>
      </c>
      <c r="N1005" s="1"/>
      <c r="O1005" s="1"/>
      <c r="P1005" s="1"/>
      <c r="Q1005" s="1"/>
      <c r="R1005" s="1"/>
      <c r="S1005" s="1">
        <v>0</v>
      </c>
      <c r="T1005" s="1"/>
      <c r="U1005" s="1" t="s">
        <v>3</v>
      </c>
      <c r="V1005" s="1">
        <v>0</v>
      </c>
      <c r="W1005" s="1"/>
      <c r="X1005" s="1"/>
      <c r="Y1005" s="1"/>
      <c r="Z1005" s="1"/>
      <c r="AA1005" s="1"/>
      <c r="AB1005" s="1" t="s">
        <v>3</v>
      </c>
      <c r="AC1005" s="1" t="s">
        <v>3</v>
      </c>
      <c r="AD1005" s="1" t="s">
        <v>3</v>
      </c>
      <c r="AE1005" s="1" t="s">
        <v>3</v>
      </c>
      <c r="AF1005" s="1" t="s">
        <v>3</v>
      </c>
      <c r="AG1005" s="1" t="s">
        <v>3</v>
      </c>
      <c r="AH1005" s="1"/>
      <c r="AI1005" s="1"/>
      <c r="AJ1005" s="1"/>
      <c r="AK1005" s="1"/>
      <c r="AL1005" s="1"/>
      <c r="AM1005" s="1"/>
      <c r="AN1005" s="1"/>
      <c r="AO1005" s="1"/>
      <c r="AP1005" s="1" t="s">
        <v>3</v>
      </c>
      <c r="AQ1005" s="1" t="s">
        <v>3</v>
      </c>
      <c r="AR1005" s="1" t="s">
        <v>3</v>
      </c>
      <c r="AS1005" s="1"/>
      <c r="AT1005" s="1"/>
      <c r="AU1005" s="1"/>
      <c r="AV1005" s="1"/>
      <c r="AW1005" s="1"/>
      <c r="AX1005" s="1"/>
      <c r="AY1005" s="1"/>
      <c r="AZ1005" s="1" t="s">
        <v>3</v>
      </c>
      <c r="BA1005" s="1"/>
      <c r="BB1005" s="1" t="s">
        <v>3</v>
      </c>
      <c r="BC1005" s="1" t="s">
        <v>3</v>
      </c>
      <c r="BD1005" s="1" t="s">
        <v>3</v>
      </c>
      <c r="BE1005" s="1" t="s">
        <v>3</v>
      </c>
      <c r="BF1005" s="1" t="s">
        <v>3</v>
      </c>
      <c r="BG1005" s="1" t="s">
        <v>3</v>
      </c>
      <c r="BH1005" s="1" t="s">
        <v>3</v>
      </c>
      <c r="BI1005" s="1" t="s">
        <v>3</v>
      </c>
      <c r="BJ1005" s="1" t="s">
        <v>3</v>
      </c>
      <c r="BK1005" s="1" t="s">
        <v>3</v>
      </c>
      <c r="BL1005" s="1" t="s">
        <v>3</v>
      </c>
      <c r="BM1005" s="1" t="s">
        <v>3</v>
      </c>
      <c r="BN1005" s="1" t="s">
        <v>3</v>
      </c>
      <c r="BO1005" s="1" t="s">
        <v>3</v>
      </c>
      <c r="BP1005" s="1" t="s">
        <v>3</v>
      </c>
      <c r="BQ1005" s="1"/>
      <c r="BR1005" s="1"/>
      <c r="BS1005" s="1"/>
      <c r="BT1005" s="1"/>
      <c r="BU1005" s="1"/>
      <c r="BV1005" s="1"/>
      <c r="BW1005" s="1"/>
      <c r="BX1005" s="1">
        <v>0</v>
      </c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>
        <v>0</v>
      </c>
    </row>
    <row r="1007" spans="1:206" x14ac:dyDescent="0.2">
      <c r="A1007" s="2">
        <v>52</v>
      </c>
      <c r="B1007" s="2">
        <f t="shared" ref="B1007:G1007" si="852">B1077</f>
        <v>1</v>
      </c>
      <c r="C1007" s="2">
        <f t="shared" si="852"/>
        <v>4</v>
      </c>
      <c r="D1007" s="2">
        <f t="shared" si="852"/>
        <v>1005</v>
      </c>
      <c r="E1007" s="2">
        <f t="shared" si="852"/>
        <v>0</v>
      </c>
      <c r="F1007" s="2" t="str">
        <f t="shared" si="852"/>
        <v>Новый раздел</v>
      </c>
      <c r="G1007" s="2" t="str">
        <f t="shared" si="852"/>
        <v>Замена опор освещения</v>
      </c>
      <c r="H1007" s="2"/>
      <c r="I1007" s="2"/>
      <c r="J1007" s="2"/>
      <c r="K1007" s="2"/>
      <c r="L1007" s="2"/>
      <c r="M1007" s="2"/>
      <c r="N1007" s="2"/>
      <c r="O1007" s="2">
        <f t="shared" ref="O1007:AT1007" si="853">O1077</f>
        <v>1399380.47</v>
      </c>
      <c r="P1007" s="2">
        <f t="shared" si="853"/>
        <v>1212654.6599999999</v>
      </c>
      <c r="Q1007" s="2">
        <f t="shared" si="853"/>
        <v>107897.67</v>
      </c>
      <c r="R1007" s="2">
        <f t="shared" si="853"/>
        <v>8443.2900000000009</v>
      </c>
      <c r="S1007" s="2">
        <f t="shared" si="853"/>
        <v>78828.14</v>
      </c>
      <c r="T1007" s="2">
        <f t="shared" si="853"/>
        <v>0</v>
      </c>
      <c r="U1007" s="2">
        <f t="shared" si="853"/>
        <v>217.08641</v>
      </c>
      <c r="V1007" s="2">
        <f t="shared" si="853"/>
        <v>0</v>
      </c>
      <c r="W1007" s="2">
        <f t="shared" si="853"/>
        <v>0</v>
      </c>
      <c r="X1007" s="2">
        <f t="shared" si="853"/>
        <v>60595.38</v>
      </c>
      <c r="Y1007" s="2">
        <f t="shared" si="853"/>
        <v>32360.66</v>
      </c>
      <c r="Z1007" s="2">
        <f t="shared" si="853"/>
        <v>0</v>
      </c>
      <c r="AA1007" s="2">
        <f t="shared" si="853"/>
        <v>0</v>
      </c>
      <c r="AB1007" s="2">
        <f t="shared" si="853"/>
        <v>0</v>
      </c>
      <c r="AC1007" s="2">
        <f t="shared" si="853"/>
        <v>0</v>
      </c>
      <c r="AD1007" s="2">
        <f t="shared" si="853"/>
        <v>0</v>
      </c>
      <c r="AE1007" s="2">
        <f t="shared" si="853"/>
        <v>0</v>
      </c>
      <c r="AF1007" s="2">
        <f t="shared" si="853"/>
        <v>0</v>
      </c>
      <c r="AG1007" s="2">
        <f t="shared" si="853"/>
        <v>0</v>
      </c>
      <c r="AH1007" s="2">
        <f t="shared" si="853"/>
        <v>0</v>
      </c>
      <c r="AI1007" s="2">
        <f t="shared" si="853"/>
        <v>0</v>
      </c>
      <c r="AJ1007" s="2">
        <f t="shared" si="853"/>
        <v>0</v>
      </c>
      <c r="AK1007" s="2">
        <f t="shared" si="853"/>
        <v>0</v>
      </c>
      <c r="AL1007" s="2">
        <f t="shared" si="853"/>
        <v>0</v>
      </c>
      <c r="AM1007" s="2">
        <f t="shared" si="853"/>
        <v>0</v>
      </c>
      <c r="AN1007" s="2">
        <f t="shared" si="853"/>
        <v>0</v>
      </c>
      <c r="AO1007" s="2">
        <f t="shared" si="853"/>
        <v>0</v>
      </c>
      <c r="AP1007" s="2">
        <f t="shared" si="853"/>
        <v>0</v>
      </c>
      <c r="AQ1007" s="2">
        <f t="shared" si="853"/>
        <v>0</v>
      </c>
      <c r="AR1007" s="2">
        <f t="shared" si="853"/>
        <v>1505592.48</v>
      </c>
      <c r="AS1007" s="2">
        <f t="shared" si="853"/>
        <v>597057.15</v>
      </c>
      <c r="AT1007" s="2">
        <f t="shared" si="853"/>
        <v>752753.98</v>
      </c>
      <c r="AU1007" s="2">
        <f t="shared" ref="AU1007:BZ1007" si="854">AU1077</f>
        <v>155781.35</v>
      </c>
      <c r="AV1007" s="2">
        <f t="shared" si="854"/>
        <v>1212654.6599999999</v>
      </c>
      <c r="AW1007" s="2">
        <f t="shared" si="854"/>
        <v>1212654.6599999999</v>
      </c>
      <c r="AX1007" s="2">
        <f t="shared" si="854"/>
        <v>0</v>
      </c>
      <c r="AY1007" s="2">
        <f t="shared" si="854"/>
        <v>1212654.6599999999</v>
      </c>
      <c r="AZ1007" s="2">
        <f t="shared" si="854"/>
        <v>0</v>
      </c>
      <c r="BA1007" s="2">
        <f t="shared" si="854"/>
        <v>0</v>
      </c>
      <c r="BB1007" s="2">
        <f t="shared" si="854"/>
        <v>0</v>
      </c>
      <c r="BC1007" s="2">
        <f t="shared" si="854"/>
        <v>0</v>
      </c>
      <c r="BD1007" s="2">
        <f t="shared" si="854"/>
        <v>0</v>
      </c>
      <c r="BE1007" s="2">
        <f t="shared" si="854"/>
        <v>0</v>
      </c>
      <c r="BF1007" s="2">
        <f t="shared" si="854"/>
        <v>0</v>
      </c>
      <c r="BG1007" s="2">
        <f t="shared" si="854"/>
        <v>0</v>
      </c>
      <c r="BH1007" s="2">
        <f t="shared" si="854"/>
        <v>0</v>
      </c>
      <c r="BI1007" s="2">
        <f t="shared" si="854"/>
        <v>0</v>
      </c>
      <c r="BJ1007" s="2">
        <f t="shared" si="854"/>
        <v>0</v>
      </c>
      <c r="BK1007" s="2">
        <f t="shared" si="854"/>
        <v>0</v>
      </c>
      <c r="BL1007" s="2">
        <f t="shared" si="854"/>
        <v>0</v>
      </c>
      <c r="BM1007" s="2">
        <f t="shared" si="854"/>
        <v>0</v>
      </c>
      <c r="BN1007" s="2">
        <f t="shared" si="854"/>
        <v>0</v>
      </c>
      <c r="BO1007" s="2">
        <f t="shared" si="854"/>
        <v>0</v>
      </c>
      <c r="BP1007" s="2">
        <f t="shared" si="854"/>
        <v>0</v>
      </c>
      <c r="BQ1007" s="2">
        <f t="shared" si="854"/>
        <v>0</v>
      </c>
      <c r="BR1007" s="2">
        <f t="shared" si="854"/>
        <v>0</v>
      </c>
      <c r="BS1007" s="2">
        <f t="shared" si="854"/>
        <v>0</v>
      </c>
      <c r="BT1007" s="2">
        <f t="shared" si="854"/>
        <v>0</v>
      </c>
      <c r="BU1007" s="2">
        <f t="shared" si="854"/>
        <v>0</v>
      </c>
      <c r="BV1007" s="2">
        <f t="shared" si="854"/>
        <v>0</v>
      </c>
      <c r="BW1007" s="2">
        <f t="shared" si="854"/>
        <v>0</v>
      </c>
      <c r="BX1007" s="2">
        <f t="shared" si="854"/>
        <v>0</v>
      </c>
      <c r="BY1007" s="2">
        <f t="shared" si="854"/>
        <v>0</v>
      </c>
      <c r="BZ1007" s="2">
        <f t="shared" si="854"/>
        <v>0</v>
      </c>
      <c r="CA1007" s="2">
        <f t="shared" ref="CA1007:DF1007" si="855">CA1077</f>
        <v>0</v>
      </c>
      <c r="CB1007" s="2">
        <f t="shared" si="855"/>
        <v>0</v>
      </c>
      <c r="CC1007" s="2">
        <f t="shared" si="855"/>
        <v>0</v>
      </c>
      <c r="CD1007" s="2">
        <f t="shared" si="855"/>
        <v>0</v>
      </c>
      <c r="CE1007" s="2">
        <f t="shared" si="855"/>
        <v>0</v>
      </c>
      <c r="CF1007" s="2">
        <f t="shared" si="855"/>
        <v>0</v>
      </c>
      <c r="CG1007" s="2">
        <f t="shared" si="855"/>
        <v>0</v>
      </c>
      <c r="CH1007" s="2">
        <f t="shared" si="855"/>
        <v>0</v>
      </c>
      <c r="CI1007" s="2">
        <f t="shared" si="855"/>
        <v>0</v>
      </c>
      <c r="CJ1007" s="2">
        <f t="shared" si="855"/>
        <v>0</v>
      </c>
      <c r="CK1007" s="2">
        <f t="shared" si="855"/>
        <v>0</v>
      </c>
      <c r="CL1007" s="2">
        <f t="shared" si="855"/>
        <v>0</v>
      </c>
      <c r="CM1007" s="2">
        <f t="shared" si="855"/>
        <v>0</v>
      </c>
      <c r="CN1007" s="2">
        <f t="shared" si="855"/>
        <v>0</v>
      </c>
      <c r="CO1007" s="2">
        <f t="shared" si="855"/>
        <v>0</v>
      </c>
      <c r="CP1007" s="2">
        <f t="shared" si="855"/>
        <v>0</v>
      </c>
      <c r="CQ1007" s="2">
        <f t="shared" si="855"/>
        <v>0</v>
      </c>
      <c r="CR1007" s="2">
        <f t="shared" si="855"/>
        <v>0</v>
      </c>
      <c r="CS1007" s="2">
        <f t="shared" si="855"/>
        <v>0</v>
      </c>
      <c r="CT1007" s="2">
        <f t="shared" si="855"/>
        <v>0</v>
      </c>
      <c r="CU1007" s="2">
        <f t="shared" si="855"/>
        <v>0</v>
      </c>
      <c r="CV1007" s="2">
        <f t="shared" si="855"/>
        <v>0</v>
      </c>
      <c r="CW1007" s="2">
        <f t="shared" si="855"/>
        <v>0</v>
      </c>
      <c r="CX1007" s="2">
        <f t="shared" si="855"/>
        <v>0</v>
      </c>
      <c r="CY1007" s="2">
        <f t="shared" si="855"/>
        <v>0</v>
      </c>
      <c r="CZ1007" s="2">
        <f t="shared" si="855"/>
        <v>0</v>
      </c>
      <c r="DA1007" s="2">
        <f t="shared" si="855"/>
        <v>0</v>
      </c>
      <c r="DB1007" s="2">
        <f t="shared" si="855"/>
        <v>0</v>
      </c>
      <c r="DC1007" s="2">
        <f t="shared" si="855"/>
        <v>0</v>
      </c>
      <c r="DD1007" s="2">
        <f t="shared" si="855"/>
        <v>0</v>
      </c>
      <c r="DE1007" s="2">
        <f t="shared" si="855"/>
        <v>0</v>
      </c>
      <c r="DF1007" s="2">
        <f t="shared" si="855"/>
        <v>0</v>
      </c>
      <c r="DG1007" s="3">
        <f t="shared" ref="DG1007:EL1007" si="856">DG1077</f>
        <v>0</v>
      </c>
      <c r="DH1007" s="3">
        <f t="shared" si="856"/>
        <v>0</v>
      </c>
      <c r="DI1007" s="3">
        <f t="shared" si="856"/>
        <v>0</v>
      </c>
      <c r="DJ1007" s="3">
        <f t="shared" si="856"/>
        <v>0</v>
      </c>
      <c r="DK1007" s="3">
        <f t="shared" si="856"/>
        <v>0</v>
      </c>
      <c r="DL1007" s="3">
        <f t="shared" si="856"/>
        <v>0</v>
      </c>
      <c r="DM1007" s="3">
        <f t="shared" si="856"/>
        <v>0</v>
      </c>
      <c r="DN1007" s="3">
        <f t="shared" si="856"/>
        <v>0</v>
      </c>
      <c r="DO1007" s="3">
        <f t="shared" si="856"/>
        <v>0</v>
      </c>
      <c r="DP1007" s="3">
        <f t="shared" si="856"/>
        <v>0</v>
      </c>
      <c r="DQ1007" s="3">
        <f t="shared" si="856"/>
        <v>0</v>
      </c>
      <c r="DR1007" s="3">
        <f t="shared" si="856"/>
        <v>0</v>
      </c>
      <c r="DS1007" s="3">
        <f t="shared" si="856"/>
        <v>0</v>
      </c>
      <c r="DT1007" s="3">
        <f t="shared" si="856"/>
        <v>0</v>
      </c>
      <c r="DU1007" s="3">
        <f t="shared" si="856"/>
        <v>0</v>
      </c>
      <c r="DV1007" s="3">
        <f t="shared" si="856"/>
        <v>0</v>
      </c>
      <c r="DW1007" s="3">
        <f t="shared" si="856"/>
        <v>0</v>
      </c>
      <c r="DX1007" s="3">
        <f t="shared" si="856"/>
        <v>0</v>
      </c>
      <c r="DY1007" s="3">
        <f t="shared" si="856"/>
        <v>0</v>
      </c>
      <c r="DZ1007" s="3">
        <f t="shared" si="856"/>
        <v>0</v>
      </c>
      <c r="EA1007" s="3">
        <f t="shared" si="856"/>
        <v>0</v>
      </c>
      <c r="EB1007" s="3">
        <f t="shared" si="856"/>
        <v>0</v>
      </c>
      <c r="EC1007" s="3">
        <f t="shared" si="856"/>
        <v>0</v>
      </c>
      <c r="ED1007" s="3">
        <f t="shared" si="856"/>
        <v>0</v>
      </c>
      <c r="EE1007" s="3">
        <f t="shared" si="856"/>
        <v>0</v>
      </c>
      <c r="EF1007" s="3">
        <f t="shared" si="856"/>
        <v>0</v>
      </c>
      <c r="EG1007" s="3">
        <f t="shared" si="856"/>
        <v>0</v>
      </c>
      <c r="EH1007" s="3">
        <f t="shared" si="856"/>
        <v>0</v>
      </c>
      <c r="EI1007" s="3">
        <f t="shared" si="856"/>
        <v>0</v>
      </c>
      <c r="EJ1007" s="3">
        <f t="shared" si="856"/>
        <v>0</v>
      </c>
      <c r="EK1007" s="3">
        <f t="shared" si="856"/>
        <v>0</v>
      </c>
      <c r="EL1007" s="3">
        <f t="shared" si="856"/>
        <v>0</v>
      </c>
      <c r="EM1007" s="3">
        <f t="shared" ref="EM1007:FR1007" si="857">EM1077</f>
        <v>0</v>
      </c>
      <c r="EN1007" s="3">
        <f t="shared" si="857"/>
        <v>0</v>
      </c>
      <c r="EO1007" s="3">
        <f t="shared" si="857"/>
        <v>0</v>
      </c>
      <c r="EP1007" s="3">
        <f t="shared" si="857"/>
        <v>0</v>
      </c>
      <c r="EQ1007" s="3">
        <f t="shared" si="857"/>
        <v>0</v>
      </c>
      <c r="ER1007" s="3">
        <f t="shared" si="857"/>
        <v>0</v>
      </c>
      <c r="ES1007" s="3">
        <f t="shared" si="857"/>
        <v>0</v>
      </c>
      <c r="ET1007" s="3">
        <f t="shared" si="857"/>
        <v>0</v>
      </c>
      <c r="EU1007" s="3">
        <f t="shared" si="857"/>
        <v>0</v>
      </c>
      <c r="EV1007" s="3">
        <f t="shared" si="857"/>
        <v>0</v>
      </c>
      <c r="EW1007" s="3">
        <f t="shared" si="857"/>
        <v>0</v>
      </c>
      <c r="EX1007" s="3">
        <f t="shared" si="857"/>
        <v>0</v>
      </c>
      <c r="EY1007" s="3">
        <f t="shared" si="857"/>
        <v>0</v>
      </c>
      <c r="EZ1007" s="3">
        <f t="shared" si="857"/>
        <v>0</v>
      </c>
      <c r="FA1007" s="3">
        <f t="shared" si="857"/>
        <v>0</v>
      </c>
      <c r="FB1007" s="3">
        <f t="shared" si="857"/>
        <v>0</v>
      </c>
      <c r="FC1007" s="3">
        <f t="shared" si="857"/>
        <v>0</v>
      </c>
      <c r="FD1007" s="3">
        <f t="shared" si="857"/>
        <v>0</v>
      </c>
      <c r="FE1007" s="3">
        <f t="shared" si="857"/>
        <v>0</v>
      </c>
      <c r="FF1007" s="3">
        <f t="shared" si="857"/>
        <v>0</v>
      </c>
      <c r="FG1007" s="3">
        <f t="shared" si="857"/>
        <v>0</v>
      </c>
      <c r="FH1007" s="3">
        <f t="shared" si="857"/>
        <v>0</v>
      </c>
      <c r="FI1007" s="3">
        <f t="shared" si="857"/>
        <v>0</v>
      </c>
      <c r="FJ1007" s="3">
        <f t="shared" si="857"/>
        <v>0</v>
      </c>
      <c r="FK1007" s="3">
        <f t="shared" si="857"/>
        <v>0</v>
      </c>
      <c r="FL1007" s="3">
        <f t="shared" si="857"/>
        <v>0</v>
      </c>
      <c r="FM1007" s="3">
        <f t="shared" si="857"/>
        <v>0</v>
      </c>
      <c r="FN1007" s="3">
        <f t="shared" si="857"/>
        <v>0</v>
      </c>
      <c r="FO1007" s="3">
        <f t="shared" si="857"/>
        <v>0</v>
      </c>
      <c r="FP1007" s="3">
        <f t="shared" si="857"/>
        <v>0</v>
      </c>
      <c r="FQ1007" s="3">
        <f t="shared" si="857"/>
        <v>0</v>
      </c>
      <c r="FR1007" s="3">
        <f t="shared" si="857"/>
        <v>0</v>
      </c>
      <c r="FS1007" s="3">
        <f t="shared" ref="FS1007:GX1007" si="858">FS1077</f>
        <v>0</v>
      </c>
      <c r="FT1007" s="3">
        <f t="shared" si="858"/>
        <v>0</v>
      </c>
      <c r="FU1007" s="3">
        <f t="shared" si="858"/>
        <v>0</v>
      </c>
      <c r="FV1007" s="3">
        <f t="shared" si="858"/>
        <v>0</v>
      </c>
      <c r="FW1007" s="3">
        <f t="shared" si="858"/>
        <v>0</v>
      </c>
      <c r="FX1007" s="3">
        <f t="shared" si="858"/>
        <v>0</v>
      </c>
      <c r="FY1007" s="3">
        <f t="shared" si="858"/>
        <v>0</v>
      </c>
      <c r="FZ1007" s="3">
        <f t="shared" si="858"/>
        <v>0</v>
      </c>
      <c r="GA1007" s="3">
        <f t="shared" si="858"/>
        <v>0</v>
      </c>
      <c r="GB1007" s="3">
        <f t="shared" si="858"/>
        <v>0</v>
      </c>
      <c r="GC1007" s="3">
        <f t="shared" si="858"/>
        <v>0</v>
      </c>
      <c r="GD1007" s="3">
        <f t="shared" si="858"/>
        <v>0</v>
      </c>
      <c r="GE1007" s="3">
        <f t="shared" si="858"/>
        <v>0</v>
      </c>
      <c r="GF1007" s="3">
        <f t="shared" si="858"/>
        <v>0</v>
      </c>
      <c r="GG1007" s="3">
        <f t="shared" si="858"/>
        <v>0</v>
      </c>
      <c r="GH1007" s="3">
        <f t="shared" si="858"/>
        <v>0</v>
      </c>
      <c r="GI1007" s="3">
        <f t="shared" si="858"/>
        <v>0</v>
      </c>
      <c r="GJ1007" s="3">
        <f t="shared" si="858"/>
        <v>0</v>
      </c>
      <c r="GK1007" s="3">
        <f t="shared" si="858"/>
        <v>0</v>
      </c>
      <c r="GL1007" s="3">
        <f t="shared" si="858"/>
        <v>0</v>
      </c>
      <c r="GM1007" s="3">
        <f t="shared" si="858"/>
        <v>0</v>
      </c>
      <c r="GN1007" s="3">
        <f t="shared" si="858"/>
        <v>0</v>
      </c>
      <c r="GO1007" s="3">
        <f t="shared" si="858"/>
        <v>0</v>
      </c>
      <c r="GP1007" s="3">
        <f t="shared" si="858"/>
        <v>0</v>
      </c>
      <c r="GQ1007" s="3">
        <f t="shared" si="858"/>
        <v>0</v>
      </c>
      <c r="GR1007" s="3">
        <f t="shared" si="858"/>
        <v>0</v>
      </c>
      <c r="GS1007" s="3">
        <f t="shared" si="858"/>
        <v>0</v>
      </c>
      <c r="GT1007" s="3">
        <f t="shared" si="858"/>
        <v>0</v>
      </c>
      <c r="GU1007" s="3">
        <f t="shared" si="858"/>
        <v>0</v>
      </c>
      <c r="GV1007" s="3">
        <f t="shared" si="858"/>
        <v>0</v>
      </c>
      <c r="GW1007" s="3">
        <f t="shared" si="858"/>
        <v>0</v>
      </c>
      <c r="GX1007" s="3">
        <f t="shared" si="858"/>
        <v>0</v>
      </c>
    </row>
    <row r="1009" spans="1:245" x14ac:dyDescent="0.2">
      <c r="A1009" s="1">
        <v>5</v>
      </c>
      <c r="B1009" s="1">
        <v>1</v>
      </c>
      <c r="C1009" s="1"/>
      <c r="D1009" s="1">
        <f>ROW(A1047)</f>
        <v>1047</v>
      </c>
      <c r="E1009" s="1"/>
      <c r="F1009" s="1" t="s">
        <v>596</v>
      </c>
      <c r="G1009" s="1" t="s">
        <v>1097</v>
      </c>
      <c r="H1009" s="1" t="s">
        <v>3</v>
      </c>
      <c r="I1009" s="1">
        <v>0</v>
      </c>
      <c r="J1009" s="1"/>
      <c r="K1009" s="1">
        <v>-1</v>
      </c>
      <c r="L1009" s="1"/>
      <c r="M1009" s="1" t="s">
        <v>3</v>
      </c>
      <c r="N1009" s="1"/>
      <c r="O1009" s="1"/>
      <c r="P1009" s="1"/>
      <c r="Q1009" s="1"/>
      <c r="R1009" s="1"/>
      <c r="S1009" s="1">
        <v>0</v>
      </c>
      <c r="T1009" s="1"/>
      <c r="U1009" s="1" t="s">
        <v>3</v>
      </c>
      <c r="V1009" s="1">
        <v>0</v>
      </c>
      <c r="W1009" s="1"/>
      <c r="X1009" s="1"/>
      <c r="Y1009" s="1"/>
      <c r="Z1009" s="1"/>
      <c r="AA1009" s="1"/>
      <c r="AB1009" s="1" t="s">
        <v>3</v>
      </c>
      <c r="AC1009" s="1" t="s">
        <v>3</v>
      </c>
      <c r="AD1009" s="1" t="s">
        <v>3</v>
      </c>
      <c r="AE1009" s="1" t="s">
        <v>3</v>
      </c>
      <c r="AF1009" s="1" t="s">
        <v>3</v>
      </c>
      <c r="AG1009" s="1" t="s">
        <v>3</v>
      </c>
      <c r="AH1009" s="1"/>
      <c r="AI1009" s="1"/>
      <c r="AJ1009" s="1"/>
      <c r="AK1009" s="1"/>
      <c r="AL1009" s="1"/>
      <c r="AM1009" s="1"/>
      <c r="AN1009" s="1"/>
      <c r="AO1009" s="1"/>
      <c r="AP1009" s="1" t="s">
        <v>3</v>
      </c>
      <c r="AQ1009" s="1" t="s">
        <v>3</v>
      </c>
      <c r="AR1009" s="1" t="s">
        <v>3</v>
      </c>
      <c r="AS1009" s="1"/>
      <c r="AT1009" s="1"/>
      <c r="AU1009" s="1"/>
      <c r="AV1009" s="1"/>
      <c r="AW1009" s="1"/>
      <c r="AX1009" s="1"/>
      <c r="AY1009" s="1"/>
      <c r="AZ1009" s="1" t="s">
        <v>3</v>
      </c>
      <c r="BA1009" s="1"/>
      <c r="BB1009" s="1" t="s">
        <v>3</v>
      </c>
      <c r="BC1009" s="1" t="s">
        <v>3</v>
      </c>
      <c r="BD1009" s="1" t="s">
        <v>3</v>
      </c>
      <c r="BE1009" s="1" t="s">
        <v>3</v>
      </c>
      <c r="BF1009" s="1" t="s">
        <v>3</v>
      </c>
      <c r="BG1009" s="1" t="s">
        <v>3</v>
      </c>
      <c r="BH1009" s="1" t="s">
        <v>3</v>
      </c>
      <c r="BI1009" s="1" t="s">
        <v>3</v>
      </c>
      <c r="BJ1009" s="1" t="s">
        <v>3</v>
      </c>
      <c r="BK1009" s="1" t="s">
        <v>3</v>
      </c>
      <c r="BL1009" s="1" t="s">
        <v>3</v>
      </c>
      <c r="BM1009" s="1" t="s">
        <v>3</v>
      </c>
      <c r="BN1009" s="1" t="s">
        <v>3</v>
      </c>
      <c r="BO1009" s="1" t="s">
        <v>3</v>
      </c>
      <c r="BP1009" s="1" t="s">
        <v>3</v>
      </c>
      <c r="BQ1009" s="1"/>
      <c r="BR1009" s="1"/>
      <c r="BS1009" s="1"/>
      <c r="BT1009" s="1"/>
      <c r="BU1009" s="1"/>
      <c r="BV1009" s="1"/>
      <c r="BW1009" s="1"/>
      <c r="BX1009" s="1">
        <v>0</v>
      </c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>
        <v>0</v>
      </c>
    </row>
    <row r="1011" spans="1:245" x14ac:dyDescent="0.2">
      <c r="A1011" s="2">
        <v>52</v>
      </c>
      <c r="B1011" s="2">
        <f t="shared" ref="B1011:G1011" si="859">B1047</f>
        <v>1</v>
      </c>
      <c r="C1011" s="2">
        <f t="shared" si="859"/>
        <v>5</v>
      </c>
      <c r="D1011" s="2">
        <f t="shared" si="859"/>
        <v>1009</v>
      </c>
      <c r="E1011" s="2">
        <f t="shared" si="859"/>
        <v>0</v>
      </c>
      <c r="F1011" s="2" t="str">
        <f t="shared" si="859"/>
        <v>Новый подраздел</v>
      </c>
      <c r="G1011" s="2" t="str">
        <f t="shared" si="859"/>
        <v>Замена существующих опор и сетей до ШНО</v>
      </c>
      <c r="H1011" s="2"/>
      <c r="I1011" s="2"/>
      <c r="J1011" s="2"/>
      <c r="K1011" s="2"/>
      <c r="L1011" s="2"/>
      <c r="M1011" s="2"/>
      <c r="N1011" s="2"/>
      <c r="O1011" s="2">
        <f t="shared" ref="O1011:AT1011" si="860">O1047</f>
        <v>1399380.47</v>
      </c>
      <c r="P1011" s="2">
        <f t="shared" si="860"/>
        <v>1212654.6599999999</v>
      </c>
      <c r="Q1011" s="2">
        <f t="shared" si="860"/>
        <v>107897.67</v>
      </c>
      <c r="R1011" s="2">
        <f t="shared" si="860"/>
        <v>8443.2900000000009</v>
      </c>
      <c r="S1011" s="2">
        <f t="shared" si="860"/>
        <v>78828.14</v>
      </c>
      <c r="T1011" s="2">
        <f t="shared" si="860"/>
        <v>0</v>
      </c>
      <c r="U1011" s="2">
        <f t="shared" si="860"/>
        <v>217.08641</v>
      </c>
      <c r="V1011" s="2">
        <f t="shared" si="860"/>
        <v>0</v>
      </c>
      <c r="W1011" s="2">
        <f t="shared" si="860"/>
        <v>0</v>
      </c>
      <c r="X1011" s="2">
        <f t="shared" si="860"/>
        <v>60595.38</v>
      </c>
      <c r="Y1011" s="2">
        <f t="shared" si="860"/>
        <v>32360.66</v>
      </c>
      <c r="Z1011" s="2">
        <f t="shared" si="860"/>
        <v>0</v>
      </c>
      <c r="AA1011" s="2">
        <f t="shared" si="860"/>
        <v>0</v>
      </c>
      <c r="AB1011" s="2">
        <f t="shared" si="860"/>
        <v>1399380.47</v>
      </c>
      <c r="AC1011" s="2">
        <f t="shared" si="860"/>
        <v>1212654.6599999999</v>
      </c>
      <c r="AD1011" s="2">
        <f t="shared" si="860"/>
        <v>107897.67</v>
      </c>
      <c r="AE1011" s="2">
        <f t="shared" si="860"/>
        <v>8443.2900000000009</v>
      </c>
      <c r="AF1011" s="2">
        <f t="shared" si="860"/>
        <v>78828.14</v>
      </c>
      <c r="AG1011" s="2">
        <f t="shared" si="860"/>
        <v>0</v>
      </c>
      <c r="AH1011" s="2">
        <f t="shared" si="860"/>
        <v>217.08641</v>
      </c>
      <c r="AI1011" s="2">
        <f t="shared" si="860"/>
        <v>0</v>
      </c>
      <c r="AJ1011" s="2">
        <f t="shared" si="860"/>
        <v>0</v>
      </c>
      <c r="AK1011" s="2">
        <f t="shared" si="860"/>
        <v>60595.38</v>
      </c>
      <c r="AL1011" s="2">
        <f t="shared" si="860"/>
        <v>32360.66</v>
      </c>
      <c r="AM1011" s="2">
        <f t="shared" si="860"/>
        <v>0</v>
      </c>
      <c r="AN1011" s="2">
        <f t="shared" si="860"/>
        <v>0</v>
      </c>
      <c r="AO1011" s="2">
        <f t="shared" si="860"/>
        <v>0</v>
      </c>
      <c r="AP1011" s="2">
        <f t="shared" si="860"/>
        <v>0</v>
      </c>
      <c r="AQ1011" s="2">
        <f t="shared" si="860"/>
        <v>0</v>
      </c>
      <c r="AR1011" s="2">
        <f t="shared" si="860"/>
        <v>1505592.48</v>
      </c>
      <c r="AS1011" s="2">
        <f t="shared" si="860"/>
        <v>597057.15</v>
      </c>
      <c r="AT1011" s="2">
        <f t="shared" si="860"/>
        <v>752753.98</v>
      </c>
      <c r="AU1011" s="2">
        <f t="shared" ref="AU1011:BZ1011" si="861">AU1047</f>
        <v>155781.35</v>
      </c>
      <c r="AV1011" s="2">
        <f t="shared" si="861"/>
        <v>1212654.6599999999</v>
      </c>
      <c r="AW1011" s="2">
        <f t="shared" si="861"/>
        <v>1212654.6599999999</v>
      </c>
      <c r="AX1011" s="2">
        <f t="shared" si="861"/>
        <v>0</v>
      </c>
      <c r="AY1011" s="2">
        <f t="shared" si="861"/>
        <v>1212654.6599999999</v>
      </c>
      <c r="AZ1011" s="2">
        <f t="shared" si="861"/>
        <v>0</v>
      </c>
      <c r="BA1011" s="2">
        <f t="shared" si="861"/>
        <v>0</v>
      </c>
      <c r="BB1011" s="2">
        <f t="shared" si="861"/>
        <v>0</v>
      </c>
      <c r="BC1011" s="2">
        <f t="shared" si="861"/>
        <v>0</v>
      </c>
      <c r="BD1011" s="2">
        <f t="shared" si="861"/>
        <v>0</v>
      </c>
      <c r="BE1011" s="2">
        <f t="shared" si="861"/>
        <v>0</v>
      </c>
      <c r="BF1011" s="2">
        <f t="shared" si="861"/>
        <v>0</v>
      </c>
      <c r="BG1011" s="2">
        <f t="shared" si="861"/>
        <v>0</v>
      </c>
      <c r="BH1011" s="2">
        <f t="shared" si="861"/>
        <v>0</v>
      </c>
      <c r="BI1011" s="2">
        <f t="shared" si="861"/>
        <v>0</v>
      </c>
      <c r="BJ1011" s="2">
        <f t="shared" si="861"/>
        <v>0</v>
      </c>
      <c r="BK1011" s="2">
        <f t="shared" si="861"/>
        <v>0</v>
      </c>
      <c r="BL1011" s="2">
        <f t="shared" si="861"/>
        <v>0</v>
      </c>
      <c r="BM1011" s="2">
        <f t="shared" si="861"/>
        <v>0</v>
      </c>
      <c r="BN1011" s="2">
        <f t="shared" si="861"/>
        <v>0</v>
      </c>
      <c r="BO1011" s="2">
        <f t="shared" si="861"/>
        <v>0</v>
      </c>
      <c r="BP1011" s="2">
        <f t="shared" si="861"/>
        <v>0</v>
      </c>
      <c r="BQ1011" s="2">
        <f t="shared" si="861"/>
        <v>0</v>
      </c>
      <c r="BR1011" s="2">
        <f t="shared" si="861"/>
        <v>0</v>
      </c>
      <c r="BS1011" s="2">
        <f t="shared" si="861"/>
        <v>0</v>
      </c>
      <c r="BT1011" s="2">
        <f t="shared" si="861"/>
        <v>0</v>
      </c>
      <c r="BU1011" s="2">
        <f t="shared" si="861"/>
        <v>0</v>
      </c>
      <c r="BV1011" s="2">
        <f t="shared" si="861"/>
        <v>0</v>
      </c>
      <c r="BW1011" s="2">
        <f t="shared" si="861"/>
        <v>0</v>
      </c>
      <c r="BX1011" s="2">
        <f t="shared" si="861"/>
        <v>0</v>
      </c>
      <c r="BY1011" s="2">
        <f t="shared" si="861"/>
        <v>0</v>
      </c>
      <c r="BZ1011" s="2">
        <f t="shared" si="861"/>
        <v>0</v>
      </c>
      <c r="CA1011" s="2">
        <f t="shared" ref="CA1011:DF1011" si="862">CA1047</f>
        <v>1505592.48</v>
      </c>
      <c r="CB1011" s="2">
        <f t="shared" si="862"/>
        <v>597057.15</v>
      </c>
      <c r="CC1011" s="2">
        <f t="shared" si="862"/>
        <v>752753.98</v>
      </c>
      <c r="CD1011" s="2">
        <f t="shared" si="862"/>
        <v>155781.35</v>
      </c>
      <c r="CE1011" s="2">
        <f t="shared" si="862"/>
        <v>1212654.6599999999</v>
      </c>
      <c r="CF1011" s="2">
        <f t="shared" si="862"/>
        <v>1212654.6599999999</v>
      </c>
      <c r="CG1011" s="2">
        <f t="shared" si="862"/>
        <v>0</v>
      </c>
      <c r="CH1011" s="2">
        <f t="shared" si="862"/>
        <v>1212654.6599999999</v>
      </c>
      <c r="CI1011" s="2">
        <f t="shared" si="862"/>
        <v>0</v>
      </c>
      <c r="CJ1011" s="2">
        <f t="shared" si="862"/>
        <v>0</v>
      </c>
      <c r="CK1011" s="2">
        <f t="shared" si="862"/>
        <v>0</v>
      </c>
      <c r="CL1011" s="2">
        <f t="shared" si="862"/>
        <v>0</v>
      </c>
      <c r="CM1011" s="2">
        <f t="shared" si="862"/>
        <v>0</v>
      </c>
      <c r="CN1011" s="2">
        <f t="shared" si="862"/>
        <v>0</v>
      </c>
      <c r="CO1011" s="2">
        <f t="shared" si="862"/>
        <v>0</v>
      </c>
      <c r="CP1011" s="2">
        <f t="shared" si="862"/>
        <v>0</v>
      </c>
      <c r="CQ1011" s="2">
        <f t="shared" si="862"/>
        <v>0</v>
      </c>
      <c r="CR1011" s="2">
        <f t="shared" si="862"/>
        <v>0</v>
      </c>
      <c r="CS1011" s="2">
        <f t="shared" si="862"/>
        <v>0</v>
      </c>
      <c r="CT1011" s="2">
        <f t="shared" si="862"/>
        <v>0</v>
      </c>
      <c r="CU1011" s="2">
        <f t="shared" si="862"/>
        <v>0</v>
      </c>
      <c r="CV1011" s="2">
        <f t="shared" si="862"/>
        <v>0</v>
      </c>
      <c r="CW1011" s="2">
        <f t="shared" si="862"/>
        <v>0</v>
      </c>
      <c r="CX1011" s="2">
        <f t="shared" si="862"/>
        <v>0</v>
      </c>
      <c r="CY1011" s="2">
        <f t="shared" si="862"/>
        <v>0</v>
      </c>
      <c r="CZ1011" s="2">
        <f t="shared" si="862"/>
        <v>0</v>
      </c>
      <c r="DA1011" s="2">
        <f t="shared" si="862"/>
        <v>0</v>
      </c>
      <c r="DB1011" s="2">
        <f t="shared" si="862"/>
        <v>0</v>
      </c>
      <c r="DC1011" s="2">
        <f t="shared" si="862"/>
        <v>0</v>
      </c>
      <c r="DD1011" s="2">
        <f t="shared" si="862"/>
        <v>0</v>
      </c>
      <c r="DE1011" s="2">
        <f t="shared" si="862"/>
        <v>0</v>
      </c>
      <c r="DF1011" s="2">
        <f t="shared" si="862"/>
        <v>0</v>
      </c>
      <c r="DG1011" s="3">
        <f t="shared" ref="DG1011:EL1011" si="863">DG1047</f>
        <v>0</v>
      </c>
      <c r="DH1011" s="3">
        <f t="shared" si="863"/>
        <v>0</v>
      </c>
      <c r="DI1011" s="3">
        <f t="shared" si="863"/>
        <v>0</v>
      </c>
      <c r="DJ1011" s="3">
        <f t="shared" si="863"/>
        <v>0</v>
      </c>
      <c r="DK1011" s="3">
        <f t="shared" si="863"/>
        <v>0</v>
      </c>
      <c r="DL1011" s="3">
        <f t="shared" si="863"/>
        <v>0</v>
      </c>
      <c r="DM1011" s="3">
        <f t="shared" si="863"/>
        <v>0</v>
      </c>
      <c r="DN1011" s="3">
        <f t="shared" si="863"/>
        <v>0</v>
      </c>
      <c r="DO1011" s="3">
        <f t="shared" si="863"/>
        <v>0</v>
      </c>
      <c r="DP1011" s="3">
        <f t="shared" si="863"/>
        <v>0</v>
      </c>
      <c r="DQ1011" s="3">
        <f t="shared" si="863"/>
        <v>0</v>
      </c>
      <c r="DR1011" s="3">
        <f t="shared" si="863"/>
        <v>0</v>
      </c>
      <c r="DS1011" s="3">
        <f t="shared" si="863"/>
        <v>0</v>
      </c>
      <c r="DT1011" s="3">
        <f t="shared" si="863"/>
        <v>0</v>
      </c>
      <c r="DU1011" s="3">
        <f t="shared" si="863"/>
        <v>0</v>
      </c>
      <c r="DV1011" s="3">
        <f t="shared" si="863"/>
        <v>0</v>
      </c>
      <c r="DW1011" s="3">
        <f t="shared" si="863"/>
        <v>0</v>
      </c>
      <c r="DX1011" s="3">
        <f t="shared" si="863"/>
        <v>0</v>
      </c>
      <c r="DY1011" s="3">
        <f t="shared" si="863"/>
        <v>0</v>
      </c>
      <c r="DZ1011" s="3">
        <f t="shared" si="863"/>
        <v>0</v>
      </c>
      <c r="EA1011" s="3">
        <f t="shared" si="863"/>
        <v>0</v>
      </c>
      <c r="EB1011" s="3">
        <f t="shared" si="863"/>
        <v>0</v>
      </c>
      <c r="EC1011" s="3">
        <f t="shared" si="863"/>
        <v>0</v>
      </c>
      <c r="ED1011" s="3">
        <f t="shared" si="863"/>
        <v>0</v>
      </c>
      <c r="EE1011" s="3">
        <f t="shared" si="863"/>
        <v>0</v>
      </c>
      <c r="EF1011" s="3">
        <f t="shared" si="863"/>
        <v>0</v>
      </c>
      <c r="EG1011" s="3">
        <f t="shared" si="863"/>
        <v>0</v>
      </c>
      <c r="EH1011" s="3">
        <f t="shared" si="863"/>
        <v>0</v>
      </c>
      <c r="EI1011" s="3">
        <f t="shared" si="863"/>
        <v>0</v>
      </c>
      <c r="EJ1011" s="3">
        <f t="shared" si="863"/>
        <v>0</v>
      </c>
      <c r="EK1011" s="3">
        <f t="shared" si="863"/>
        <v>0</v>
      </c>
      <c r="EL1011" s="3">
        <f t="shared" si="863"/>
        <v>0</v>
      </c>
      <c r="EM1011" s="3">
        <f t="shared" ref="EM1011:FR1011" si="864">EM1047</f>
        <v>0</v>
      </c>
      <c r="EN1011" s="3">
        <f t="shared" si="864"/>
        <v>0</v>
      </c>
      <c r="EO1011" s="3">
        <f t="shared" si="864"/>
        <v>0</v>
      </c>
      <c r="EP1011" s="3">
        <f t="shared" si="864"/>
        <v>0</v>
      </c>
      <c r="EQ1011" s="3">
        <f t="shared" si="864"/>
        <v>0</v>
      </c>
      <c r="ER1011" s="3">
        <f t="shared" si="864"/>
        <v>0</v>
      </c>
      <c r="ES1011" s="3">
        <f t="shared" si="864"/>
        <v>0</v>
      </c>
      <c r="ET1011" s="3">
        <f t="shared" si="864"/>
        <v>0</v>
      </c>
      <c r="EU1011" s="3">
        <f t="shared" si="864"/>
        <v>0</v>
      </c>
      <c r="EV1011" s="3">
        <f t="shared" si="864"/>
        <v>0</v>
      </c>
      <c r="EW1011" s="3">
        <f t="shared" si="864"/>
        <v>0</v>
      </c>
      <c r="EX1011" s="3">
        <f t="shared" si="864"/>
        <v>0</v>
      </c>
      <c r="EY1011" s="3">
        <f t="shared" si="864"/>
        <v>0</v>
      </c>
      <c r="EZ1011" s="3">
        <f t="shared" si="864"/>
        <v>0</v>
      </c>
      <c r="FA1011" s="3">
        <f t="shared" si="864"/>
        <v>0</v>
      </c>
      <c r="FB1011" s="3">
        <f t="shared" si="864"/>
        <v>0</v>
      </c>
      <c r="FC1011" s="3">
        <f t="shared" si="864"/>
        <v>0</v>
      </c>
      <c r="FD1011" s="3">
        <f t="shared" si="864"/>
        <v>0</v>
      </c>
      <c r="FE1011" s="3">
        <f t="shared" si="864"/>
        <v>0</v>
      </c>
      <c r="FF1011" s="3">
        <f t="shared" si="864"/>
        <v>0</v>
      </c>
      <c r="FG1011" s="3">
        <f t="shared" si="864"/>
        <v>0</v>
      </c>
      <c r="FH1011" s="3">
        <f t="shared" si="864"/>
        <v>0</v>
      </c>
      <c r="FI1011" s="3">
        <f t="shared" si="864"/>
        <v>0</v>
      </c>
      <c r="FJ1011" s="3">
        <f t="shared" si="864"/>
        <v>0</v>
      </c>
      <c r="FK1011" s="3">
        <f t="shared" si="864"/>
        <v>0</v>
      </c>
      <c r="FL1011" s="3">
        <f t="shared" si="864"/>
        <v>0</v>
      </c>
      <c r="FM1011" s="3">
        <f t="shared" si="864"/>
        <v>0</v>
      </c>
      <c r="FN1011" s="3">
        <f t="shared" si="864"/>
        <v>0</v>
      </c>
      <c r="FO1011" s="3">
        <f t="shared" si="864"/>
        <v>0</v>
      </c>
      <c r="FP1011" s="3">
        <f t="shared" si="864"/>
        <v>0</v>
      </c>
      <c r="FQ1011" s="3">
        <f t="shared" si="864"/>
        <v>0</v>
      </c>
      <c r="FR1011" s="3">
        <f t="shared" si="864"/>
        <v>0</v>
      </c>
      <c r="FS1011" s="3">
        <f t="shared" ref="FS1011:GX1011" si="865">FS1047</f>
        <v>0</v>
      </c>
      <c r="FT1011" s="3">
        <f t="shared" si="865"/>
        <v>0</v>
      </c>
      <c r="FU1011" s="3">
        <f t="shared" si="865"/>
        <v>0</v>
      </c>
      <c r="FV1011" s="3">
        <f t="shared" si="865"/>
        <v>0</v>
      </c>
      <c r="FW1011" s="3">
        <f t="shared" si="865"/>
        <v>0</v>
      </c>
      <c r="FX1011" s="3">
        <f t="shared" si="865"/>
        <v>0</v>
      </c>
      <c r="FY1011" s="3">
        <f t="shared" si="865"/>
        <v>0</v>
      </c>
      <c r="FZ1011" s="3">
        <f t="shared" si="865"/>
        <v>0</v>
      </c>
      <c r="GA1011" s="3">
        <f t="shared" si="865"/>
        <v>0</v>
      </c>
      <c r="GB1011" s="3">
        <f t="shared" si="865"/>
        <v>0</v>
      </c>
      <c r="GC1011" s="3">
        <f t="shared" si="865"/>
        <v>0</v>
      </c>
      <c r="GD1011" s="3">
        <f t="shared" si="865"/>
        <v>0</v>
      </c>
      <c r="GE1011" s="3">
        <f t="shared" si="865"/>
        <v>0</v>
      </c>
      <c r="GF1011" s="3">
        <f t="shared" si="865"/>
        <v>0</v>
      </c>
      <c r="GG1011" s="3">
        <f t="shared" si="865"/>
        <v>0</v>
      </c>
      <c r="GH1011" s="3">
        <f t="shared" si="865"/>
        <v>0</v>
      </c>
      <c r="GI1011" s="3">
        <f t="shared" si="865"/>
        <v>0</v>
      </c>
      <c r="GJ1011" s="3">
        <f t="shared" si="865"/>
        <v>0</v>
      </c>
      <c r="GK1011" s="3">
        <f t="shared" si="865"/>
        <v>0</v>
      </c>
      <c r="GL1011" s="3">
        <f t="shared" si="865"/>
        <v>0</v>
      </c>
      <c r="GM1011" s="3">
        <f t="shared" si="865"/>
        <v>0</v>
      </c>
      <c r="GN1011" s="3">
        <f t="shared" si="865"/>
        <v>0</v>
      </c>
      <c r="GO1011" s="3">
        <f t="shared" si="865"/>
        <v>0</v>
      </c>
      <c r="GP1011" s="3">
        <f t="shared" si="865"/>
        <v>0</v>
      </c>
      <c r="GQ1011" s="3">
        <f t="shared" si="865"/>
        <v>0</v>
      </c>
      <c r="GR1011" s="3">
        <f t="shared" si="865"/>
        <v>0</v>
      </c>
      <c r="GS1011" s="3">
        <f t="shared" si="865"/>
        <v>0</v>
      </c>
      <c r="GT1011" s="3">
        <f t="shared" si="865"/>
        <v>0</v>
      </c>
      <c r="GU1011" s="3">
        <f t="shared" si="865"/>
        <v>0</v>
      </c>
      <c r="GV1011" s="3">
        <f t="shared" si="865"/>
        <v>0</v>
      </c>
      <c r="GW1011" s="3">
        <f t="shared" si="865"/>
        <v>0</v>
      </c>
      <c r="GX1011" s="3">
        <f t="shared" si="865"/>
        <v>0</v>
      </c>
    </row>
    <row r="1013" spans="1:245" x14ac:dyDescent="0.2">
      <c r="A1013">
        <v>17</v>
      </c>
      <c r="B1013">
        <v>1</v>
      </c>
      <c r="C1013">
        <f>ROW(SmtRes!A503)</f>
        <v>503</v>
      </c>
      <c r="D1013">
        <f>ROW(EtalonRes!A497)</f>
        <v>497</v>
      </c>
      <c r="E1013" t="s">
        <v>1098</v>
      </c>
      <c r="F1013" t="s">
        <v>954</v>
      </c>
      <c r="G1013" t="s">
        <v>1099</v>
      </c>
      <c r="H1013" t="s">
        <v>63</v>
      </c>
      <c r="I1013">
        <f>ROUND(70/100,9)</f>
        <v>0.7</v>
      </c>
      <c r="J1013">
        <v>0</v>
      </c>
      <c r="K1013">
        <f>ROUND(70/100,9)</f>
        <v>0.7</v>
      </c>
      <c r="O1013">
        <f t="shared" ref="O1013:O1045" si="866">ROUND(CP1013,2)</f>
        <v>4680.95</v>
      </c>
      <c r="P1013">
        <f t="shared" ref="P1013:P1045" si="867">ROUND((ROUND((AC1013*AW1013*I1013),2)*BC1013),2)</f>
        <v>0</v>
      </c>
      <c r="Q1013">
        <f>(ROUND((ROUND((((ET1013*1.25))*AV1013*I1013),2)*BB1013),2)+ROUND((ROUND(((AE1013-((EU1013*1.25)))*AV1013*I1013),2)*BS1013),2))</f>
        <v>4427.57</v>
      </c>
      <c r="R1013">
        <f t="shared" ref="R1013:R1045" si="868">ROUND((ROUND((AE1013*AV1013*I1013),2)*BS1013),2)</f>
        <v>1226.21</v>
      </c>
      <c r="S1013">
        <f t="shared" ref="S1013:S1045" si="869">ROUND((ROUND((AF1013*AV1013*I1013),2)*BA1013),2)</f>
        <v>253.38</v>
      </c>
      <c r="T1013">
        <f t="shared" ref="T1013:T1045" si="870">ROUND(CU1013*I1013,2)</f>
        <v>0</v>
      </c>
      <c r="U1013">
        <f t="shared" ref="U1013:U1045" si="871">CV1013*I1013</f>
        <v>0.97404999999999986</v>
      </c>
      <c r="V1013">
        <f t="shared" ref="V1013:V1045" si="872">CW1013*I1013</f>
        <v>0</v>
      </c>
      <c r="W1013">
        <f t="shared" ref="W1013:W1045" si="873">ROUND(CX1013*I1013,2)</f>
        <v>0</v>
      </c>
      <c r="X1013">
        <f t="shared" ref="X1013:X1045" si="874">ROUND(CY1013,2)</f>
        <v>233.11</v>
      </c>
      <c r="Y1013">
        <f t="shared" ref="Y1013:Y1045" si="875">ROUND(CZ1013,2)</f>
        <v>126.69</v>
      </c>
      <c r="AA1013">
        <v>42938047</v>
      </c>
      <c r="AB1013">
        <f t="shared" ref="AB1013:AB1045" si="876">ROUND((AC1013+AD1013+AF1013),6)</f>
        <v>724.91300000000001</v>
      </c>
      <c r="AC1013">
        <f t="shared" ref="AC1013:AC1031" si="877">ROUND((ES1013),6)</f>
        <v>0</v>
      </c>
      <c r="AD1013">
        <f>ROUND(((((ET1013*1.25))-((EU1013*1.25)))+AE1013),6)</f>
        <v>710.6875</v>
      </c>
      <c r="AE1013">
        <f>ROUND(((EU1013*1.25)),6)</f>
        <v>68.862499999999997</v>
      </c>
      <c r="AF1013">
        <f>ROUND(((EV1013*1.15)),6)</f>
        <v>14.2255</v>
      </c>
      <c r="AG1013">
        <f t="shared" ref="AG1013:AG1045" si="878">ROUND((AP1013),6)</f>
        <v>0</v>
      </c>
      <c r="AH1013">
        <f>((EW1013*1.15))</f>
        <v>1.3915</v>
      </c>
      <c r="AI1013">
        <f>((EX1013*1.25))</f>
        <v>0</v>
      </c>
      <c r="AJ1013">
        <f t="shared" ref="AJ1013:AJ1045" si="879">(AS1013)</f>
        <v>0</v>
      </c>
      <c r="AK1013">
        <v>580.91999999999996</v>
      </c>
      <c r="AL1013">
        <v>0</v>
      </c>
      <c r="AM1013">
        <v>568.54999999999995</v>
      </c>
      <c r="AN1013">
        <v>55.09</v>
      </c>
      <c r="AO1013">
        <v>12.37</v>
      </c>
      <c r="AP1013">
        <v>0</v>
      </c>
      <c r="AQ1013">
        <v>1.21</v>
      </c>
      <c r="AR1013">
        <v>0</v>
      </c>
      <c r="AS1013">
        <v>0</v>
      </c>
      <c r="AT1013">
        <v>92</v>
      </c>
      <c r="AU1013">
        <v>50</v>
      </c>
      <c r="AV1013">
        <v>1</v>
      </c>
      <c r="AW1013">
        <v>1</v>
      </c>
      <c r="AZ1013">
        <v>1</v>
      </c>
      <c r="BA1013">
        <v>25.44</v>
      </c>
      <c r="BB1013">
        <v>8.9</v>
      </c>
      <c r="BC1013">
        <v>1</v>
      </c>
      <c r="BD1013" t="s">
        <v>3</v>
      </c>
      <c r="BE1013" t="s">
        <v>3</v>
      </c>
      <c r="BF1013" t="s">
        <v>3</v>
      </c>
      <c r="BG1013" t="s">
        <v>3</v>
      </c>
      <c r="BH1013">
        <v>0</v>
      </c>
      <c r="BI1013">
        <v>1</v>
      </c>
      <c r="BJ1013" t="s">
        <v>956</v>
      </c>
      <c r="BM1013">
        <v>2</v>
      </c>
      <c r="BN1013">
        <v>0</v>
      </c>
      <c r="BO1013" t="s">
        <v>954</v>
      </c>
      <c r="BP1013">
        <v>1</v>
      </c>
      <c r="BQ1013">
        <v>30</v>
      </c>
      <c r="BR1013">
        <v>0</v>
      </c>
      <c r="BS1013">
        <v>25.44</v>
      </c>
      <c r="BT1013">
        <v>1</v>
      </c>
      <c r="BU1013">
        <v>1</v>
      </c>
      <c r="BV1013">
        <v>1</v>
      </c>
      <c r="BW1013">
        <v>1</v>
      </c>
      <c r="BX1013">
        <v>1</v>
      </c>
      <c r="BY1013" t="s">
        <v>3</v>
      </c>
      <c r="BZ1013">
        <v>92</v>
      </c>
      <c r="CA1013">
        <v>50</v>
      </c>
      <c r="CB1013" t="s">
        <v>3</v>
      </c>
      <c r="CE1013">
        <v>30</v>
      </c>
      <c r="CF1013">
        <v>0</v>
      </c>
      <c r="CG1013">
        <v>0</v>
      </c>
      <c r="CM1013">
        <v>0</v>
      </c>
      <c r="CN1013" t="s">
        <v>1584</v>
      </c>
      <c r="CO1013">
        <v>0</v>
      </c>
      <c r="CP1013">
        <f t="shared" ref="CP1013:CP1045" si="880">(P1013+Q1013+S1013)</f>
        <v>4680.95</v>
      </c>
      <c r="CQ1013">
        <f t="shared" ref="CQ1013:CQ1045" si="881">ROUND((ROUND((AC1013*AW1013*1),2)*BC1013),2)</f>
        <v>0</v>
      </c>
      <c r="CR1013">
        <f>(ROUND((ROUND((((ET1013*1.25))*AV1013*1),2)*BB1013),2)+ROUND((ROUND(((AE1013-((EU1013*1.25)))*AV1013*1),2)*BS1013),2))</f>
        <v>6325.14</v>
      </c>
      <c r="CS1013">
        <f t="shared" ref="CS1013:CS1045" si="882">ROUND((ROUND((AE1013*AV1013*1),2)*BS1013),2)</f>
        <v>1751.8</v>
      </c>
      <c r="CT1013">
        <f t="shared" ref="CT1013:CT1045" si="883">ROUND((ROUND((AF1013*AV1013*1),2)*BA1013),2)</f>
        <v>362.01</v>
      </c>
      <c r="CU1013">
        <f t="shared" ref="CU1013:CU1045" si="884">AG1013</f>
        <v>0</v>
      </c>
      <c r="CV1013">
        <f t="shared" ref="CV1013:CV1045" si="885">(AH1013*AV1013)</f>
        <v>1.3915</v>
      </c>
      <c r="CW1013">
        <f t="shared" ref="CW1013:CW1045" si="886">AI1013</f>
        <v>0</v>
      </c>
      <c r="CX1013">
        <f t="shared" ref="CX1013:CX1045" si="887">AJ1013</f>
        <v>0</v>
      </c>
      <c r="CY1013">
        <f t="shared" ref="CY1013:CY1045" si="888">S1013*(BZ1013/100)</f>
        <v>233.1096</v>
      </c>
      <c r="CZ1013">
        <f t="shared" ref="CZ1013:CZ1045" si="889">S1013*(CA1013/100)</f>
        <v>126.69</v>
      </c>
      <c r="DC1013" t="s">
        <v>3</v>
      </c>
      <c r="DD1013" t="s">
        <v>3</v>
      </c>
      <c r="DE1013" t="s">
        <v>20</v>
      </c>
      <c r="DF1013" t="s">
        <v>20</v>
      </c>
      <c r="DG1013" t="s">
        <v>21</v>
      </c>
      <c r="DH1013" t="s">
        <v>3</v>
      </c>
      <c r="DI1013" t="s">
        <v>21</v>
      </c>
      <c r="DJ1013" t="s">
        <v>20</v>
      </c>
      <c r="DK1013" t="s">
        <v>3</v>
      </c>
      <c r="DL1013" t="s">
        <v>3</v>
      </c>
      <c r="DM1013" t="s">
        <v>3</v>
      </c>
      <c r="DN1013">
        <v>98</v>
      </c>
      <c r="DO1013">
        <v>77</v>
      </c>
      <c r="DP1013">
        <v>1</v>
      </c>
      <c r="DQ1013">
        <v>1</v>
      </c>
      <c r="DU1013">
        <v>1013</v>
      </c>
      <c r="DV1013" t="s">
        <v>63</v>
      </c>
      <c r="DW1013" t="s">
        <v>63</v>
      </c>
      <c r="DX1013">
        <v>1</v>
      </c>
      <c r="DZ1013" t="s">
        <v>3</v>
      </c>
      <c r="EA1013" t="s">
        <v>3</v>
      </c>
      <c r="EB1013" t="s">
        <v>3</v>
      </c>
      <c r="EC1013" t="s">
        <v>3</v>
      </c>
      <c r="EE1013">
        <v>43090081</v>
      </c>
      <c r="EF1013">
        <v>30</v>
      </c>
      <c r="EG1013" t="s">
        <v>22</v>
      </c>
      <c r="EH1013">
        <v>0</v>
      </c>
      <c r="EI1013" t="s">
        <v>3</v>
      </c>
      <c r="EJ1013">
        <v>1</v>
      </c>
      <c r="EK1013">
        <v>2</v>
      </c>
      <c r="EL1013" t="s">
        <v>72</v>
      </c>
      <c r="EM1013" t="s">
        <v>73</v>
      </c>
      <c r="EO1013" t="s">
        <v>59</v>
      </c>
      <c r="EQ1013">
        <v>0</v>
      </c>
      <c r="ER1013">
        <v>580.91999999999996</v>
      </c>
      <c r="ES1013">
        <v>0</v>
      </c>
      <c r="ET1013">
        <v>568.54999999999995</v>
      </c>
      <c r="EU1013">
        <v>55.09</v>
      </c>
      <c r="EV1013">
        <v>12.37</v>
      </c>
      <c r="EW1013">
        <v>1.21</v>
      </c>
      <c r="EX1013">
        <v>0</v>
      </c>
      <c r="EY1013">
        <v>0</v>
      </c>
      <c r="FQ1013">
        <v>0</v>
      </c>
      <c r="FR1013">
        <f t="shared" ref="FR1013:FR1045" si="890">ROUND(IF(AND(BH1013=3,BI1013=3),P1013,0),2)</f>
        <v>0</v>
      </c>
      <c r="FS1013">
        <v>0</v>
      </c>
      <c r="FX1013">
        <v>98</v>
      </c>
      <c r="FY1013">
        <v>77</v>
      </c>
      <c r="GA1013" t="s">
        <v>3</v>
      </c>
      <c r="GD1013">
        <v>0</v>
      </c>
      <c r="GF1013">
        <v>-1848326471</v>
      </c>
      <c r="GG1013">
        <v>2</v>
      </c>
      <c r="GH1013">
        <v>1</v>
      </c>
      <c r="GI1013">
        <v>2</v>
      </c>
      <c r="GJ1013">
        <v>0</v>
      </c>
      <c r="GK1013">
        <f>ROUND(R1013*(R12)/100,2)</f>
        <v>1925.15</v>
      </c>
      <c r="GL1013">
        <f t="shared" ref="GL1013:GL1045" si="891">ROUND(IF(AND(BH1013=3,BI1013=3,FS1013&lt;&gt;0),P1013,0),2)</f>
        <v>0</v>
      </c>
      <c r="GM1013">
        <f t="shared" ref="GM1013:GM1045" si="892">ROUND(O1013+X1013+Y1013+GK1013,2)+GX1013</f>
        <v>6965.9</v>
      </c>
      <c r="GN1013">
        <f t="shared" ref="GN1013:GN1045" si="893">IF(OR(BI1013=0,BI1013=1),ROUND(O1013+X1013+Y1013+GK1013,2),0)</f>
        <v>6965.9</v>
      </c>
      <c r="GO1013">
        <f t="shared" ref="GO1013:GO1045" si="894">IF(BI1013=2,ROUND(O1013+X1013+Y1013+GK1013,2),0)</f>
        <v>0</v>
      </c>
      <c r="GP1013">
        <f t="shared" ref="GP1013:GP1045" si="895">IF(BI1013=4,ROUND(O1013+X1013+Y1013+GK1013,2)+GX1013,0)</f>
        <v>0</v>
      </c>
      <c r="GR1013">
        <v>0</v>
      </c>
      <c r="GS1013">
        <v>3</v>
      </c>
      <c r="GT1013">
        <v>0</v>
      </c>
      <c r="GU1013" t="s">
        <v>3</v>
      </c>
      <c r="GV1013">
        <f t="shared" ref="GV1013:GV1045" si="896">ROUND((GT1013),6)</f>
        <v>0</v>
      </c>
      <c r="GW1013">
        <v>1</v>
      </c>
      <c r="GX1013">
        <f t="shared" ref="GX1013:GX1045" si="897">ROUND(HC1013*I1013,2)</f>
        <v>0</v>
      </c>
      <c r="HA1013">
        <v>0</v>
      </c>
      <c r="HB1013">
        <v>0</v>
      </c>
      <c r="HC1013">
        <f t="shared" ref="HC1013:HC1045" si="898">GV1013*GW1013</f>
        <v>0</v>
      </c>
      <c r="HE1013" t="s">
        <v>3</v>
      </c>
      <c r="HF1013" t="s">
        <v>3</v>
      </c>
      <c r="HM1013" t="s">
        <v>3</v>
      </c>
      <c r="IK1013">
        <v>0</v>
      </c>
    </row>
    <row r="1014" spans="1:245" x14ac:dyDescent="0.2">
      <c r="A1014">
        <v>17</v>
      </c>
      <c r="B1014">
        <v>1</v>
      </c>
      <c r="C1014">
        <f>ROW(SmtRes!A504)</f>
        <v>504</v>
      </c>
      <c r="D1014">
        <f>ROW(EtalonRes!A498)</f>
        <v>498</v>
      </c>
      <c r="E1014" t="s">
        <v>1100</v>
      </c>
      <c r="F1014" t="s">
        <v>1101</v>
      </c>
      <c r="G1014" t="s">
        <v>1102</v>
      </c>
      <c r="H1014" t="s">
        <v>104</v>
      </c>
      <c r="I1014">
        <v>105</v>
      </c>
      <c r="J1014">
        <v>0</v>
      </c>
      <c r="K1014">
        <v>105</v>
      </c>
      <c r="O1014">
        <f t="shared" si="866"/>
        <v>49801.58</v>
      </c>
      <c r="P1014">
        <f t="shared" si="867"/>
        <v>0</v>
      </c>
      <c r="Q1014">
        <f>(ROUND((ROUND(((ET1014)*AV1014*I1014),2)*BB1014),2)+ROUND((ROUND(((AE1014-(EU1014))*AV1014*I1014),2)*BS1014),2))</f>
        <v>49801.58</v>
      </c>
      <c r="R1014">
        <f t="shared" si="868"/>
        <v>0</v>
      </c>
      <c r="S1014">
        <f t="shared" si="869"/>
        <v>0</v>
      </c>
      <c r="T1014">
        <f t="shared" si="870"/>
        <v>0</v>
      </c>
      <c r="U1014">
        <f t="shared" si="871"/>
        <v>0</v>
      </c>
      <c r="V1014">
        <f t="shared" si="872"/>
        <v>0</v>
      </c>
      <c r="W1014">
        <f t="shared" si="873"/>
        <v>0</v>
      </c>
      <c r="X1014">
        <f t="shared" si="874"/>
        <v>0</v>
      </c>
      <c r="Y1014">
        <f t="shared" si="875"/>
        <v>0</v>
      </c>
      <c r="AA1014">
        <v>42938047</v>
      </c>
      <c r="AB1014">
        <f t="shared" si="876"/>
        <v>43.04</v>
      </c>
      <c r="AC1014">
        <f t="shared" si="877"/>
        <v>0</v>
      </c>
      <c r="AD1014">
        <f>ROUND((((ET1014)-(EU1014))+AE1014),6)</f>
        <v>43.04</v>
      </c>
      <c r="AE1014">
        <f>ROUND((EU1014),6)</f>
        <v>0</v>
      </c>
      <c r="AF1014">
        <f>ROUND((EV1014),6)</f>
        <v>0</v>
      </c>
      <c r="AG1014">
        <f t="shared" si="878"/>
        <v>0</v>
      </c>
      <c r="AH1014">
        <f>(EW1014)</f>
        <v>0</v>
      </c>
      <c r="AI1014">
        <f>(EX1014)</f>
        <v>0</v>
      </c>
      <c r="AJ1014">
        <f t="shared" si="879"/>
        <v>0</v>
      </c>
      <c r="AK1014">
        <v>43.04</v>
      </c>
      <c r="AL1014">
        <v>0</v>
      </c>
      <c r="AM1014">
        <v>43.04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93</v>
      </c>
      <c r="AU1014">
        <v>64</v>
      </c>
      <c r="AV1014">
        <v>1</v>
      </c>
      <c r="AW1014">
        <v>1</v>
      </c>
      <c r="AZ1014">
        <v>1</v>
      </c>
      <c r="BA1014">
        <v>1</v>
      </c>
      <c r="BB1014">
        <v>11.02</v>
      </c>
      <c r="BC1014">
        <v>1</v>
      </c>
      <c r="BD1014" t="s">
        <v>3</v>
      </c>
      <c r="BE1014" t="s">
        <v>3</v>
      </c>
      <c r="BF1014" t="s">
        <v>3</v>
      </c>
      <c r="BG1014" t="s">
        <v>3</v>
      </c>
      <c r="BH1014">
        <v>0</v>
      </c>
      <c r="BI1014">
        <v>4</v>
      </c>
      <c r="BJ1014" t="s">
        <v>1103</v>
      </c>
      <c r="BM1014">
        <v>1111</v>
      </c>
      <c r="BN1014">
        <v>0</v>
      </c>
      <c r="BO1014" t="s">
        <v>1101</v>
      </c>
      <c r="BP1014">
        <v>1</v>
      </c>
      <c r="BQ1014">
        <v>150</v>
      </c>
      <c r="BR1014">
        <v>0</v>
      </c>
      <c r="BS1014">
        <v>1</v>
      </c>
      <c r="BT1014">
        <v>1</v>
      </c>
      <c r="BU1014">
        <v>1</v>
      </c>
      <c r="BV1014">
        <v>1</v>
      </c>
      <c r="BW1014">
        <v>1</v>
      </c>
      <c r="BX1014">
        <v>1</v>
      </c>
      <c r="BY1014" t="s">
        <v>3</v>
      </c>
      <c r="BZ1014">
        <v>93</v>
      </c>
      <c r="CA1014">
        <v>64</v>
      </c>
      <c r="CB1014" t="s">
        <v>3</v>
      </c>
      <c r="CE1014">
        <v>30</v>
      </c>
      <c r="CF1014">
        <v>0</v>
      </c>
      <c r="CG1014">
        <v>0</v>
      </c>
      <c r="CM1014">
        <v>0</v>
      </c>
      <c r="CN1014" t="s">
        <v>3</v>
      </c>
      <c r="CO1014">
        <v>0</v>
      </c>
      <c r="CP1014">
        <f t="shared" si="880"/>
        <v>49801.58</v>
      </c>
      <c r="CQ1014">
        <f t="shared" si="881"/>
        <v>0</v>
      </c>
      <c r="CR1014">
        <f>(ROUND((ROUND(((ET1014)*AV1014*1),2)*BB1014),2)+ROUND((ROUND(((AE1014-(EU1014))*AV1014*1),2)*BS1014),2))</f>
        <v>474.3</v>
      </c>
      <c r="CS1014">
        <f t="shared" si="882"/>
        <v>0</v>
      </c>
      <c r="CT1014">
        <f t="shared" si="883"/>
        <v>0</v>
      </c>
      <c r="CU1014">
        <f t="shared" si="884"/>
        <v>0</v>
      </c>
      <c r="CV1014">
        <f t="shared" si="885"/>
        <v>0</v>
      </c>
      <c r="CW1014">
        <f t="shared" si="886"/>
        <v>0</v>
      </c>
      <c r="CX1014">
        <f t="shared" si="887"/>
        <v>0</v>
      </c>
      <c r="CY1014">
        <f t="shared" si="888"/>
        <v>0</v>
      </c>
      <c r="CZ1014">
        <f t="shared" si="889"/>
        <v>0</v>
      </c>
      <c r="DC1014" t="s">
        <v>3</v>
      </c>
      <c r="DD1014" t="s">
        <v>3</v>
      </c>
      <c r="DE1014" t="s">
        <v>3</v>
      </c>
      <c r="DF1014" t="s">
        <v>3</v>
      </c>
      <c r="DG1014" t="s">
        <v>3</v>
      </c>
      <c r="DH1014" t="s">
        <v>3</v>
      </c>
      <c r="DI1014" t="s">
        <v>3</v>
      </c>
      <c r="DJ1014" t="s">
        <v>3</v>
      </c>
      <c r="DK1014" t="s">
        <v>3</v>
      </c>
      <c r="DL1014" t="s">
        <v>3</v>
      </c>
      <c r="DM1014" t="s">
        <v>3</v>
      </c>
      <c r="DN1014">
        <v>0</v>
      </c>
      <c r="DO1014">
        <v>0</v>
      </c>
      <c r="DP1014">
        <v>1</v>
      </c>
      <c r="DQ1014">
        <v>1</v>
      </c>
      <c r="DU1014">
        <v>1009</v>
      </c>
      <c r="DV1014" t="s">
        <v>104</v>
      </c>
      <c r="DW1014" t="s">
        <v>104</v>
      </c>
      <c r="DX1014">
        <v>1000</v>
      </c>
      <c r="DZ1014" t="s">
        <v>3</v>
      </c>
      <c r="EA1014" t="s">
        <v>3</v>
      </c>
      <c r="EB1014" t="s">
        <v>3</v>
      </c>
      <c r="EC1014" t="s">
        <v>3</v>
      </c>
      <c r="EE1014">
        <v>43089189</v>
      </c>
      <c r="EF1014">
        <v>150</v>
      </c>
      <c r="EG1014" t="s">
        <v>190</v>
      </c>
      <c r="EH1014">
        <v>0</v>
      </c>
      <c r="EI1014" t="s">
        <v>3</v>
      </c>
      <c r="EJ1014">
        <v>4</v>
      </c>
      <c r="EK1014">
        <v>1111</v>
      </c>
      <c r="EL1014" t="s">
        <v>207</v>
      </c>
      <c r="EM1014" t="s">
        <v>208</v>
      </c>
      <c r="EO1014" t="s">
        <v>3</v>
      </c>
      <c r="EQ1014">
        <v>0</v>
      </c>
      <c r="ER1014">
        <v>43.04</v>
      </c>
      <c r="ES1014">
        <v>0</v>
      </c>
      <c r="ET1014">
        <v>43.04</v>
      </c>
      <c r="EU1014">
        <v>0</v>
      </c>
      <c r="EV1014">
        <v>0</v>
      </c>
      <c r="EW1014">
        <v>0</v>
      </c>
      <c r="EX1014">
        <v>0</v>
      </c>
      <c r="EY1014">
        <v>0</v>
      </c>
      <c r="FQ1014">
        <v>0</v>
      </c>
      <c r="FR1014">
        <f t="shared" si="890"/>
        <v>0</v>
      </c>
      <c r="FS1014">
        <v>0</v>
      </c>
      <c r="FX1014">
        <v>0</v>
      </c>
      <c r="FY1014">
        <v>0</v>
      </c>
      <c r="GA1014" t="s">
        <v>3</v>
      </c>
      <c r="GD1014">
        <v>0</v>
      </c>
      <c r="GF1014">
        <v>1529219309</v>
      </c>
      <c r="GG1014">
        <v>2</v>
      </c>
      <c r="GH1014">
        <v>1</v>
      </c>
      <c r="GI1014">
        <v>2</v>
      </c>
      <c r="GJ1014">
        <v>0</v>
      </c>
      <c r="GK1014">
        <f>ROUND(R1014*(R12)/100,2)</f>
        <v>0</v>
      </c>
      <c r="GL1014">
        <f t="shared" si="891"/>
        <v>0</v>
      </c>
      <c r="GM1014">
        <f t="shared" si="892"/>
        <v>49801.58</v>
      </c>
      <c r="GN1014">
        <f t="shared" si="893"/>
        <v>0</v>
      </c>
      <c r="GO1014">
        <f t="shared" si="894"/>
        <v>0</v>
      </c>
      <c r="GP1014">
        <f t="shared" si="895"/>
        <v>49801.58</v>
      </c>
      <c r="GR1014">
        <v>0</v>
      </c>
      <c r="GS1014">
        <v>3</v>
      </c>
      <c r="GT1014">
        <v>0</v>
      </c>
      <c r="GU1014" t="s">
        <v>3</v>
      </c>
      <c r="GV1014">
        <f t="shared" si="896"/>
        <v>0</v>
      </c>
      <c r="GW1014">
        <v>1</v>
      </c>
      <c r="GX1014">
        <f t="shared" si="897"/>
        <v>0</v>
      </c>
      <c r="HA1014">
        <v>0</v>
      </c>
      <c r="HB1014">
        <v>0</v>
      </c>
      <c r="HC1014">
        <f t="shared" si="898"/>
        <v>0</v>
      </c>
      <c r="HE1014" t="s">
        <v>3</v>
      </c>
      <c r="HF1014" t="s">
        <v>3</v>
      </c>
      <c r="HM1014" t="s">
        <v>3</v>
      </c>
      <c r="IK1014">
        <v>0</v>
      </c>
    </row>
    <row r="1015" spans="1:245" x14ac:dyDescent="0.2">
      <c r="A1015">
        <v>17</v>
      </c>
      <c r="B1015">
        <v>1</v>
      </c>
      <c r="C1015">
        <f>ROW(SmtRes!A505)</f>
        <v>505</v>
      </c>
      <c r="D1015">
        <f>ROW(EtalonRes!A499)</f>
        <v>499</v>
      </c>
      <c r="E1015" t="s">
        <v>1104</v>
      </c>
      <c r="F1015" t="s">
        <v>210</v>
      </c>
      <c r="G1015" t="s">
        <v>211</v>
      </c>
      <c r="H1015" t="s">
        <v>182</v>
      </c>
      <c r="I1015">
        <v>105</v>
      </c>
      <c r="J1015">
        <v>0</v>
      </c>
      <c r="K1015">
        <v>105</v>
      </c>
      <c r="O1015">
        <f t="shared" si="866"/>
        <v>10102.5</v>
      </c>
      <c r="P1015">
        <f t="shared" si="867"/>
        <v>0</v>
      </c>
      <c r="Q1015">
        <f>(ROUND((ROUND(((ET1015)*AV1015*I1015),2)*BB1015),2)+ROUND((ROUND(((AE1015-(EU1015))*AV1015*I1015),2)*BS1015),2))</f>
        <v>10102.5</v>
      </c>
      <c r="R1015">
        <f t="shared" si="868"/>
        <v>0</v>
      </c>
      <c r="S1015">
        <f t="shared" si="869"/>
        <v>0</v>
      </c>
      <c r="T1015">
        <f t="shared" si="870"/>
        <v>0</v>
      </c>
      <c r="U1015">
        <f t="shared" si="871"/>
        <v>0</v>
      </c>
      <c r="V1015">
        <f t="shared" si="872"/>
        <v>0</v>
      </c>
      <c r="W1015">
        <f t="shared" si="873"/>
        <v>0</v>
      </c>
      <c r="X1015">
        <f t="shared" si="874"/>
        <v>0</v>
      </c>
      <c r="Y1015">
        <f t="shared" si="875"/>
        <v>0</v>
      </c>
      <c r="AA1015">
        <v>42938047</v>
      </c>
      <c r="AB1015">
        <f t="shared" si="876"/>
        <v>12.61</v>
      </c>
      <c r="AC1015">
        <f t="shared" si="877"/>
        <v>0</v>
      </c>
      <c r="AD1015">
        <f>ROUND((((ET1015)-(EU1015))+AE1015),6)</f>
        <v>12.61</v>
      </c>
      <c r="AE1015">
        <f>ROUND((EU1015),6)</f>
        <v>0</v>
      </c>
      <c r="AF1015">
        <f>ROUND((EV1015),6)</f>
        <v>0</v>
      </c>
      <c r="AG1015">
        <f t="shared" si="878"/>
        <v>0</v>
      </c>
      <c r="AH1015">
        <f>(EW1015)</f>
        <v>0</v>
      </c>
      <c r="AI1015">
        <f>(EX1015)</f>
        <v>0</v>
      </c>
      <c r="AJ1015">
        <f t="shared" si="879"/>
        <v>0</v>
      </c>
      <c r="AK1015">
        <v>12.61</v>
      </c>
      <c r="AL1015">
        <v>0</v>
      </c>
      <c r="AM1015">
        <v>12.61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0</v>
      </c>
      <c r="AT1015">
        <v>93</v>
      </c>
      <c r="AU1015">
        <v>64</v>
      </c>
      <c r="AV1015">
        <v>1</v>
      </c>
      <c r="AW1015">
        <v>1</v>
      </c>
      <c r="AZ1015">
        <v>1</v>
      </c>
      <c r="BA1015">
        <v>1</v>
      </c>
      <c r="BB1015">
        <v>7.63</v>
      </c>
      <c r="BC1015">
        <v>1</v>
      </c>
      <c r="BD1015" t="s">
        <v>3</v>
      </c>
      <c r="BE1015" t="s">
        <v>3</v>
      </c>
      <c r="BF1015" t="s">
        <v>3</v>
      </c>
      <c r="BG1015" t="s">
        <v>3</v>
      </c>
      <c r="BH1015">
        <v>0</v>
      </c>
      <c r="BI1015">
        <v>4</v>
      </c>
      <c r="BJ1015" t="s">
        <v>212</v>
      </c>
      <c r="BM1015">
        <v>1113</v>
      </c>
      <c r="BN1015">
        <v>0</v>
      </c>
      <c r="BO1015" t="s">
        <v>210</v>
      </c>
      <c r="BP1015">
        <v>1</v>
      </c>
      <c r="BQ1015">
        <v>150</v>
      </c>
      <c r="BR1015">
        <v>0</v>
      </c>
      <c r="BS1015">
        <v>1</v>
      </c>
      <c r="BT1015">
        <v>1</v>
      </c>
      <c r="BU1015">
        <v>1</v>
      </c>
      <c r="BV1015">
        <v>1</v>
      </c>
      <c r="BW1015">
        <v>1</v>
      </c>
      <c r="BX1015">
        <v>1</v>
      </c>
      <c r="BY1015" t="s">
        <v>3</v>
      </c>
      <c r="BZ1015">
        <v>93</v>
      </c>
      <c r="CA1015">
        <v>64</v>
      </c>
      <c r="CB1015" t="s">
        <v>3</v>
      </c>
      <c r="CE1015">
        <v>30</v>
      </c>
      <c r="CF1015">
        <v>0</v>
      </c>
      <c r="CG1015">
        <v>0</v>
      </c>
      <c r="CM1015">
        <v>0</v>
      </c>
      <c r="CN1015" t="s">
        <v>3</v>
      </c>
      <c r="CO1015">
        <v>0</v>
      </c>
      <c r="CP1015">
        <f t="shared" si="880"/>
        <v>10102.5</v>
      </c>
      <c r="CQ1015">
        <f t="shared" si="881"/>
        <v>0</v>
      </c>
      <c r="CR1015">
        <f>(ROUND((ROUND(((ET1015)*AV1015*1),2)*BB1015),2)+ROUND((ROUND(((AE1015-(EU1015))*AV1015*1),2)*BS1015),2))</f>
        <v>96.21</v>
      </c>
      <c r="CS1015">
        <f t="shared" si="882"/>
        <v>0</v>
      </c>
      <c r="CT1015">
        <f t="shared" si="883"/>
        <v>0</v>
      </c>
      <c r="CU1015">
        <f t="shared" si="884"/>
        <v>0</v>
      </c>
      <c r="CV1015">
        <f t="shared" si="885"/>
        <v>0</v>
      </c>
      <c r="CW1015">
        <f t="shared" si="886"/>
        <v>0</v>
      </c>
      <c r="CX1015">
        <f t="shared" si="887"/>
        <v>0</v>
      </c>
      <c r="CY1015">
        <f t="shared" si="888"/>
        <v>0</v>
      </c>
      <c r="CZ1015">
        <f t="shared" si="889"/>
        <v>0</v>
      </c>
      <c r="DC1015" t="s">
        <v>3</v>
      </c>
      <c r="DD1015" t="s">
        <v>3</v>
      </c>
      <c r="DE1015" t="s">
        <v>3</v>
      </c>
      <c r="DF1015" t="s">
        <v>3</v>
      </c>
      <c r="DG1015" t="s">
        <v>3</v>
      </c>
      <c r="DH1015" t="s">
        <v>3</v>
      </c>
      <c r="DI1015" t="s">
        <v>3</v>
      </c>
      <c r="DJ1015" t="s">
        <v>3</v>
      </c>
      <c r="DK1015" t="s">
        <v>3</v>
      </c>
      <c r="DL1015" t="s">
        <v>3</v>
      </c>
      <c r="DM1015" t="s">
        <v>3</v>
      </c>
      <c r="DN1015">
        <v>0</v>
      </c>
      <c r="DO1015">
        <v>0</v>
      </c>
      <c r="DP1015">
        <v>1</v>
      </c>
      <c r="DQ1015">
        <v>1</v>
      </c>
      <c r="DU1015">
        <v>1013</v>
      </c>
      <c r="DV1015" t="s">
        <v>182</v>
      </c>
      <c r="DW1015" t="s">
        <v>182</v>
      </c>
      <c r="DX1015">
        <v>1</v>
      </c>
      <c r="DZ1015" t="s">
        <v>3</v>
      </c>
      <c r="EA1015" t="s">
        <v>3</v>
      </c>
      <c r="EB1015" t="s">
        <v>3</v>
      </c>
      <c r="EC1015" t="s">
        <v>3</v>
      </c>
      <c r="EE1015">
        <v>43089191</v>
      </c>
      <c r="EF1015">
        <v>150</v>
      </c>
      <c r="EG1015" t="s">
        <v>190</v>
      </c>
      <c r="EH1015">
        <v>0</v>
      </c>
      <c r="EI1015" t="s">
        <v>3</v>
      </c>
      <c r="EJ1015">
        <v>4</v>
      </c>
      <c r="EK1015">
        <v>1113</v>
      </c>
      <c r="EL1015" t="s">
        <v>191</v>
      </c>
      <c r="EM1015" t="s">
        <v>192</v>
      </c>
      <c r="EO1015" t="s">
        <v>3</v>
      </c>
      <c r="EQ1015">
        <v>0</v>
      </c>
      <c r="ER1015">
        <v>12.61</v>
      </c>
      <c r="ES1015">
        <v>0</v>
      </c>
      <c r="ET1015">
        <v>12.61</v>
      </c>
      <c r="EU1015">
        <v>0</v>
      </c>
      <c r="EV1015">
        <v>0</v>
      </c>
      <c r="EW1015">
        <v>0</v>
      </c>
      <c r="EX1015">
        <v>0</v>
      </c>
      <c r="EY1015">
        <v>0</v>
      </c>
      <c r="FQ1015">
        <v>0</v>
      </c>
      <c r="FR1015">
        <f t="shared" si="890"/>
        <v>0</v>
      </c>
      <c r="FS1015">
        <v>0</v>
      </c>
      <c r="FX1015">
        <v>0</v>
      </c>
      <c r="FY1015">
        <v>0</v>
      </c>
      <c r="GA1015" t="s">
        <v>3</v>
      </c>
      <c r="GD1015">
        <v>0</v>
      </c>
      <c r="GF1015">
        <v>-1630031867</v>
      </c>
      <c r="GG1015">
        <v>2</v>
      </c>
      <c r="GH1015">
        <v>1</v>
      </c>
      <c r="GI1015">
        <v>2</v>
      </c>
      <c r="GJ1015">
        <v>0</v>
      </c>
      <c r="GK1015">
        <f>ROUND(R1015*(R12)/100,2)</f>
        <v>0</v>
      </c>
      <c r="GL1015">
        <f t="shared" si="891"/>
        <v>0</v>
      </c>
      <c r="GM1015">
        <f t="shared" si="892"/>
        <v>10102.5</v>
      </c>
      <c r="GN1015">
        <f t="shared" si="893"/>
        <v>0</v>
      </c>
      <c r="GO1015">
        <f t="shared" si="894"/>
        <v>0</v>
      </c>
      <c r="GP1015">
        <f t="shared" si="895"/>
        <v>10102.5</v>
      </c>
      <c r="GR1015">
        <v>0</v>
      </c>
      <c r="GS1015">
        <v>3</v>
      </c>
      <c r="GT1015">
        <v>0</v>
      </c>
      <c r="GU1015" t="s">
        <v>3</v>
      </c>
      <c r="GV1015">
        <f t="shared" si="896"/>
        <v>0</v>
      </c>
      <c r="GW1015">
        <v>1</v>
      </c>
      <c r="GX1015">
        <f t="shared" si="897"/>
        <v>0</v>
      </c>
      <c r="HA1015">
        <v>0</v>
      </c>
      <c r="HB1015">
        <v>0</v>
      </c>
      <c r="HC1015">
        <f t="shared" si="898"/>
        <v>0</v>
      </c>
      <c r="HE1015" t="s">
        <v>3</v>
      </c>
      <c r="HF1015" t="s">
        <v>3</v>
      </c>
      <c r="HM1015" t="s">
        <v>3</v>
      </c>
      <c r="IK1015">
        <v>0</v>
      </c>
    </row>
    <row r="1016" spans="1:245" x14ac:dyDescent="0.2">
      <c r="A1016">
        <v>17</v>
      </c>
      <c r="B1016">
        <v>1</v>
      </c>
      <c r="C1016">
        <f>ROW(SmtRes!A513)</f>
        <v>513</v>
      </c>
      <c r="D1016">
        <f>ROW(EtalonRes!A507)</f>
        <v>507</v>
      </c>
      <c r="E1016" t="s">
        <v>1105</v>
      </c>
      <c r="F1016" t="s">
        <v>87</v>
      </c>
      <c r="G1016" t="s">
        <v>88</v>
      </c>
      <c r="H1016" t="s">
        <v>77</v>
      </c>
      <c r="I1016">
        <f>ROUND(20/100,9)</f>
        <v>0.2</v>
      </c>
      <c r="J1016">
        <v>0</v>
      </c>
      <c r="K1016">
        <f>ROUND(20/100,9)</f>
        <v>0.2</v>
      </c>
      <c r="O1016">
        <f t="shared" si="866"/>
        <v>2742.82</v>
      </c>
      <c r="P1016">
        <f t="shared" si="867"/>
        <v>36.340000000000003</v>
      </c>
      <c r="Q1016">
        <f>(ROUND((ROUND((((ET1016*1.25))*AV1016*I1016),2)*BB1016),2)+ROUND((ROUND(((AE1016-((EU1016*1.25)))*AV1016*I1016),2)*BS1016),2))</f>
        <v>1820.15</v>
      </c>
      <c r="R1016">
        <f t="shared" si="868"/>
        <v>674.16</v>
      </c>
      <c r="S1016">
        <f t="shared" si="869"/>
        <v>886.33</v>
      </c>
      <c r="T1016">
        <f t="shared" si="870"/>
        <v>0</v>
      </c>
      <c r="U1016">
        <f t="shared" si="871"/>
        <v>3.3119999999999998</v>
      </c>
      <c r="V1016">
        <f t="shared" si="872"/>
        <v>0</v>
      </c>
      <c r="W1016">
        <f t="shared" si="873"/>
        <v>0</v>
      </c>
      <c r="X1016">
        <f t="shared" si="874"/>
        <v>992.69</v>
      </c>
      <c r="Y1016">
        <f t="shared" si="875"/>
        <v>363.4</v>
      </c>
      <c r="AA1016">
        <v>42938047</v>
      </c>
      <c r="AB1016">
        <f t="shared" si="876"/>
        <v>1141.0385000000001</v>
      </c>
      <c r="AC1016">
        <f t="shared" si="877"/>
        <v>35.35</v>
      </c>
      <c r="AD1016">
        <f>ROUND(((((ET1016*1.25))-((EU1016*1.25)))+AE1016),6)</f>
        <v>931.47500000000002</v>
      </c>
      <c r="AE1016">
        <f>ROUND(((EU1016*1.25)),6)</f>
        <v>132.48750000000001</v>
      </c>
      <c r="AF1016">
        <f>ROUND(((EV1016*1.15)),6)</f>
        <v>174.21350000000001</v>
      </c>
      <c r="AG1016">
        <f t="shared" si="878"/>
        <v>0</v>
      </c>
      <c r="AH1016">
        <f>((EW1016*1.15))</f>
        <v>16.559999999999999</v>
      </c>
      <c r="AI1016">
        <f>((EX1016*1.25))</f>
        <v>0</v>
      </c>
      <c r="AJ1016">
        <f t="shared" si="879"/>
        <v>0</v>
      </c>
      <c r="AK1016">
        <v>932.02</v>
      </c>
      <c r="AL1016">
        <v>35.35</v>
      </c>
      <c r="AM1016">
        <v>745.18</v>
      </c>
      <c r="AN1016">
        <v>105.99</v>
      </c>
      <c r="AO1016">
        <v>151.49</v>
      </c>
      <c r="AP1016">
        <v>0</v>
      </c>
      <c r="AQ1016">
        <v>14.4</v>
      </c>
      <c r="AR1016">
        <v>0</v>
      </c>
      <c r="AS1016">
        <v>0</v>
      </c>
      <c r="AT1016">
        <v>112</v>
      </c>
      <c r="AU1016">
        <v>41</v>
      </c>
      <c r="AV1016">
        <v>1</v>
      </c>
      <c r="AW1016">
        <v>1</v>
      </c>
      <c r="AZ1016">
        <v>1</v>
      </c>
      <c r="BA1016">
        <v>25.44</v>
      </c>
      <c r="BB1016">
        <v>9.77</v>
      </c>
      <c r="BC1016">
        <v>5.14</v>
      </c>
      <c r="BD1016" t="s">
        <v>3</v>
      </c>
      <c r="BE1016" t="s">
        <v>3</v>
      </c>
      <c r="BF1016" t="s">
        <v>3</v>
      </c>
      <c r="BG1016" t="s">
        <v>3</v>
      </c>
      <c r="BH1016">
        <v>0</v>
      </c>
      <c r="BI1016">
        <v>1</v>
      </c>
      <c r="BJ1016" t="s">
        <v>89</v>
      </c>
      <c r="BM1016">
        <v>146</v>
      </c>
      <c r="BN1016">
        <v>0</v>
      </c>
      <c r="BO1016" t="s">
        <v>87</v>
      </c>
      <c r="BP1016">
        <v>1</v>
      </c>
      <c r="BQ1016">
        <v>30</v>
      </c>
      <c r="BR1016">
        <v>0</v>
      </c>
      <c r="BS1016">
        <v>25.44</v>
      </c>
      <c r="BT1016">
        <v>1</v>
      </c>
      <c r="BU1016">
        <v>1</v>
      </c>
      <c r="BV1016">
        <v>1</v>
      </c>
      <c r="BW1016">
        <v>1</v>
      </c>
      <c r="BX1016">
        <v>1</v>
      </c>
      <c r="BY1016" t="s">
        <v>3</v>
      </c>
      <c r="BZ1016">
        <v>112</v>
      </c>
      <c r="CA1016">
        <v>41</v>
      </c>
      <c r="CB1016" t="s">
        <v>3</v>
      </c>
      <c r="CE1016">
        <v>30</v>
      </c>
      <c r="CF1016">
        <v>0</v>
      </c>
      <c r="CG1016">
        <v>0</v>
      </c>
      <c r="CM1016">
        <v>0</v>
      </c>
      <c r="CN1016" t="s">
        <v>1584</v>
      </c>
      <c r="CO1016">
        <v>0</v>
      </c>
      <c r="CP1016">
        <f t="shared" si="880"/>
        <v>2742.82</v>
      </c>
      <c r="CQ1016">
        <f t="shared" si="881"/>
        <v>181.7</v>
      </c>
      <c r="CR1016">
        <f>(ROUND((ROUND((((ET1016*1.25))*AV1016*1),2)*BB1016),2)+ROUND((ROUND(((AE1016-((EU1016*1.25)))*AV1016*1),2)*BS1016),2))</f>
        <v>9100.56</v>
      </c>
      <c r="CS1016">
        <f t="shared" si="882"/>
        <v>3370.55</v>
      </c>
      <c r="CT1016">
        <f t="shared" si="883"/>
        <v>4431.8999999999996</v>
      </c>
      <c r="CU1016">
        <f t="shared" si="884"/>
        <v>0</v>
      </c>
      <c r="CV1016">
        <f t="shared" si="885"/>
        <v>16.559999999999999</v>
      </c>
      <c r="CW1016">
        <f t="shared" si="886"/>
        <v>0</v>
      </c>
      <c r="CX1016">
        <f t="shared" si="887"/>
        <v>0</v>
      </c>
      <c r="CY1016">
        <f t="shared" si="888"/>
        <v>992.68960000000015</v>
      </c>
      <c r="CZ1016">
        <f t="shared" si="889"/>
        <v>363.39530000000002</v>
      </c>
      <c r="DC1016" t="s">
        <v>3</v>
      </c>
      <c r="DD1016" t="s">
        <v>3</v>
      </c>
      <c r="DE1016" t="s">
        <v>20</v>
      </c>
      <c r="DF1016" t="s">
        <v>20</v>
      </c>
      <c r="DG1016" t="s">
        <v>21</v>
      </c>
      <c r="DH1016" t="s">
        <v>3</v>
      </c>
      <c r="DI1016" t="s">
        <v>21</v>
      </c>
      <c r="DJ1016" t="s">
        <v>20</v>
      </c>
      <c r="DK1016" t="s">
        <v>3</v>
      </c>
      <c r="DL1016" t="s">
        <v>3</v>
      </c>
      <c r="DM1016" t="s">
        <v>3</v>
      </c>
      <c r="DN1016">
        <v>140</v>
      </c>
      <c r="DO1016">
        <v>79</v>
      </c>
      <c r="DP1016">
        <v>1</v>
      </c>
      <c r="DQ1016">
        <v>1</v>
      </c>
      <c r="DU1016">
        <v>1013</v>
      </c>
      <c r="DV1016" t="s">
        <v>77</v>
      </c>
      <c r="DW1016" t="s">
        <v>77</v>
      </c>
      <c r="DX1016">
        <v>1</v>
      </c>
      <c r="DZ1016" t="s">
        <v>3</v>
      </c>
      <c r="EA1016" t="s">
        <v>3</v>
      </c>
      <c r="EB1016" t="s">
        <v>3</v>
      </c>
      <c r="EC1016" t="s">
        <v>3</v>
      </c>
      <c r="EE1016">
        <v>43088224</v>
      </c>
      <c r="EF1016">
        <v>30</v>
      </c>
      <c r="EG1016" t="s">
        <v>22</v>
      </c>
      <c r="EH1016">
        <v>0</v>
      </c>
      <c r="EI1016" t="s">
        <v>3</v>
      </c>
      <c r="EJ1016">
        <v>1</v>
      </c>
      <c r="EK1016">
        <v>146</v>
      </c>
      <c r="EL1016" t="s">
        <v>79</v>
      </c>
      <c r="EM1016" t="s">
        <v>80</v>
      </c>
      <c r="EO1016" t="s">
        <v>59</v>
      </c>
      <c r="EQ1016">
        <v>0</v>
      </c>
      <c r="ER1016">
        <v>932.02</v>
      </c>
      <c r="ES1016">
        <v>35.35</v>
      </c>
      <c r="ET1016">
        <v>745.18</v>
      </c>
      <c r="EU1016">
        <v>105.99</v>
      </c>
      <c r="EV1016">
        <v>151.49</v>
      </c>
      <c r="EW1016">
        <v>14.4</v>
      </c>
      <c r="EX1016">
        <v>0</v>
      </c>
      <c r="EY1016">
        <v>0</v>
      </c>
      <c r="FQ1016">
        <v>0</v>
      </c>
      <c r="FR1016">
        <f t="shared" si="890"/>
        <v>0</v>
      </c>
      <c r="FS1016">
        <v>0</v>
      </c>
      <c r="FX1016">
        <v>140</v>
      </c>
      <c r="FY1016">
        <v>79</v>
      </c>
      <c r="GA1016" t="s">
        <v>3</v>
      </c>
      <c r="GD1016">
        <v>0</v>
      </c>
      <c r="GF1016">
        <v>1486975691</v>
      </c>
      <c r="GG1016">
        <v>2</v>
      </c>
      <c r="GH1016">
        <v>1</v>
      </c>
      <c r="GI1016">
        <v>2</v>
      </c>
      <c r="GJ1016">
        <v>0</v>
      </c>
      <c r="GK1016">
        <f>ROUND(R1016*(R12)/100,2)</f>
        <v>1058.43</v>
      </c>
      <c r="GL1016">
        <f t="shared" si="891"/>
        <v>0</v>
      </c>
      <c r="GM1016">
        <f t="shared" si="892"/>
        <v>5157.34</v>
      </c>
      <c r="GN1016">
        <f t="shared" si="893"/>
        <v>5157.34</v>
      </c>
      <c r="GO1016">
        <f t="shared" si="894"/>
        <v>0</v>
      </c>
      <c r="GP1016">
        <f t="shared" si="895"/>
        <v>0</v>
      </c>
      <c r="GR1016">
        <v>0</v>
      </c>
      <c r="GS1016">
        <v>3</v>
      </c>
      <c r="GT1016">
        <v>0</v>
      </c>
      <c r="GU1016" t="s">
        <v>3</v>
      </c>
      <c r="GV1016">
        <f t="shared" si="896"/>
        <v>0</v>
      </c>
      <c r="GW1016">
        <v>1</v>
      </c>
      <c r="GX1016">
        <f t="shared" si="897"/>
        <v>0</v>
      </c>
      <c r="HA1016">
        <v>0</v>
      </c>
      <c r="HB1016">
        <v>0</v>
      </c>
      <c r="HC1016">
        <f t="shared" si="898"/>
        <v>0</v>
      </c>
      <c r="HE1016" t="s">
        <v>3</v>
      </c>
      <c r="HF1016" t="s">
        <v>3</v>
      </c>
      <c r="HM1016" t="s">
        <v>3</v>
      </c>
      <c r="IK1016">
        <v>0</v>
      </c>
    </row>
    <row r="1017" spans="1:245" x14ac:dyDescent="0.2">
      <c r="A1017">
        <v>18</v>
      </c>
      <c r="B1017">
        <v>1</v>
      </c>
      <c r="C1017">
        <v>513</v>
      </c>
      <c r="E1017" t="s">
        <v>1106</v>
      </c>
      <c r="F1017" t="s">
        <v>91</v>
      </c>
      <c r="G1017" t="s">
        <v>92</v>
      </c>
      <c r="H1017" t="s">
        <v>84</v>
      </c>
      <c r="I1017">
        <f>I1016*J1017</f>
        <v>2</v>
      </c>
      <c r="J1017">
        <v>10</v>
      </c>
      <c r="K1017">
        <v>10</v>
      </c>
      <c r="O1017">
        <f t="shared" si="866"/>
        <v>1156.99</v>
      </c>
      <c r="P1017">
        <f t="shared" si="867"/>
        <v>1156.99</v>
      </c>
      <c r="Q1017">
        <f>(ROUND((ROUND(((ET1017)*AV1017*I1017),2)*BB1017),2)+ROUND((ROUND(((AE1017-(EU1017))*AV1017*I1017),2)*BS1017),2))</f>
        <v>0</v>
      </c>
      <c r="R1017">
        <f t="shared" si="868"/>
        <v>0</v>
      </c>
      <c r="S1017">
        <f t="shared" si="869"/>
        <v>0</v>
      </c>
      <c r="T1017">
        <f t="shared" si="870"/>
        <v>0</v>
      </c>
      <c r="U1017">
        <f t="shared" si="871"/>
        <v>0</v>
      </c>
      <c r="V1017">
        <f t="shared" si="872"/>
        <v>0</v>
      </c>
      <c r="W1017">
        <f t="shared" si="873"/>
        <v>0</v>
      </c>
      <c r="X1017">
        <f t="shared" si="874"/>
        <v>0</v>
      </c>
      <c r="Y1017">
        <f t="shared" si="875"/>
        <v>0</v>
      </c>
      <c r="AA1017">
        <v>42938047</v>
      </c>
      <c r="AB1017">
        <f t="shared" si="876"/>
        <v>104.99</v>
      </c>
      <c r="AC1017">
        <f t="shared" si="877"/>
        <v>104.99</v>
      </c>
      <c r="AD1017">
        <f>ROUND((((ET1017)-(EU1017))+AE1017),6)</f>
        <v>0</v>
      </c>
      <c r="AE1017">
        <f>ROUND((EU1017),6)</f>
        <v>0</v>
      </c>
      <c r="AF1017">
        <f>ROUND((EV1017),6)</f>
        <v>0</v>
      </c>
      <c r="AG1017">
        <f t="shared" si="878"/>
        <v>0</v>
      </c>
      <c r="AH1017">
        <f>(EW1017)</f>
        <v>0</v>
      </c>
      <c r="AI1017">
        <f>(EX1017)</f>
        <v>0</v>
      </c>
      <c r="AJ1017">
        <f t="shared" si="879"/>
        <v>0</v>
      </c>
      <c r="AK1017">
        <v>104.99</v>
      </c>
      <c r="AL1017">
        <v>104.99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1</v>
      </c>
      <c r="AW1017">
        <v>1</v>
      </c>
      <c r="AZ1017">
        <v>1</v>
      </c>
      <c r="BA1017">
        <v>1</v>
      </c>
      <c r="BB1017">
        <v>1</v>
      </c>
      <c r="BC1017">
        <v>5.51</v>
      </c>
      <c r="BD1017" t="s">
        <v>3</v>
      </c>
      <c r="BE1017" t="s">
        <v>3</v>
      </c>
      <c r="BF1017" t="s">
        <v>3</v>
      </c>
      <c r="BG1017" t="s">
        <v>3</v>
      </c>
      <c r="BH1017">
        <v>3</v>
      </c>
      <c r="BI1017">
        <v>1</v>
      </c>
      <c r="BJ1017" t="s">
        <v>93</v>
      </c>
      <c r="BM1017">
        <v>146</v>
      </c>
      <c r="BN1017">
        <v>0</v>
      </c>
      <c r="BO1017" t="s">
        <v>91</v>
      </c>
      <c r="BP1017">
        <v>1</v>
      </c>
      <c r="BQ1017">
        <v>30</v>
      </c>
      <c r="BR1017">
        <v>0</v>
      </c>
      <c r="BS1017">
        <v>1</v>
      </c>
      <c r="BT1017">
        <v>1</v>
      </c>
      <c r="BU1017">
        <v>1</v>
      </c>
      <c r="BV1017">
        <v>1</v>
      </c>
      <c r="BW1017">
        <v>1</v>
      </c>
      <c r="BX1017">
        <v>1</v>
      </c>
      <c r="BY1017" t="s">
        <v>3</v>
      </c>
      <c r="BZ1017">
        <v>0</v>
      </c>
      <c r="CA1017">
        <v>0</v>
      </c>
      <c r="CB1017" t="s">
        <v>3</v>
      </c>
      <c r="CE1017">
        <v>30</v>
      </c>
      <c r="CF1017">
        <v>0</v>
      </c>
      <c r="CG1017">
        <v>0</v>
      </c>
      <c r="CM1017">
        <v>0</v>
      </c>
      <c r="CN1017" t="s">
        <v>3</v>
      </c>
      <c r="CO1017">
        <v>0</v>
      </c>
      <c r="CP1017">
        <f t="shared" si="880"/>
        <v>1156.99</v>
      </c>
      <c r="CQ1017">
        <f t="shared" si="881"/>
        <v>578.49</v>
      </c>
      <c r="CR1017">
        <f>(ROUND((ROUND(((ET1017)*AV1017*1),2)*BB1017),2)+ROUND((ROUND(((AE1017-(EU1017))*AV1017*1),2)*BS1017),2))</f>
        <v>0</v>
      </c>
      <c r="CS1017">
        <f t="shared" si="882"/>
        <v>0</v>
      </c>
      <c r="CT1017">
        <f t="shared" si="883"/>
        <v>0</v>
      </c>
      <c r="CU1017">
        <f t="shared" si="884"/>
        <v>0</v>
      </c>
      <c r="CV1017">
        <f t="shared" si="885"/>
        <v>0</v>
      </c>
      <c r="CW1017">
        <f t="shared" si="886"/>
        <v>0</v>
      </c>
      <c r="CX1017">
        <f t="shared" si="887"/>
        <v>0</v>
      </c>
      <c r="CY1017">
        <f t="shared" si="888"/>
        <v>0</v>
      </c>
      <c r="CZ1017">
        <f t="shared" si="889"/>
        <v>0</v>
      </c>
      <c r="DC1017" t="s">
        <v>3</v>
      </c>
      <c r="DD1017" t="s">
        <v>3</v>
      </c>
      <c r="DE1017" t="s">
        <v>3</v>
      </c>
      <c r="DF1017" t="s">
        <v>3</v>
      </c>
      <c r="DG1017" t="s">
        <v>3</v>
      </c>
      <c r="DH1017" t="s">
        <v>3</v>
      </c>
      <c r="DI1017" t="s">
        <v>3</v>
      </c>
      <c r="DJ1017" t="s">
        <v>3</v>
      </c>
      <c r="DK1017" t="s">
        <v>3</v>
      </c>
      <c r="DL1017" t="s">
        <v>3</v>
      </c>
      <c r="DM1017" t="s">
        <v>3</v>
      </c>
      <c r="DN1017">
        <v>140</v>
      </c>
      <c r="DO1017">
        <v>79</v>
      </c>
      <c r="DP1017">
        <v>1</v>
      </c>
      <c r="DQ1017">
        <v>1</v>
      </c>
      <c r="DU1017">
        <v>1007</v>
      </c>
      <c r="DV1017" t="s">
        <v>84</v>
      </c>
      <c r="DW1017" t="s">
        <v>84</v>
      </c>
      <c r="DX1017">
        <v>1</v>
      </c>
      <c r="DZ1017" t="s">
        <v>3</v>
      </c>
      <c r="EA1017" t="s">
        <v>3</v>
      </c>
      <c r="EB1017" t="s">
        <v>3</v>
      </c>
      <c r="EC1017" t="s">
        <v>3</v>
      </c>
      <c r="EE1017">
        <v>43088224</v>
      </c>
      <c r="EF1017">
        <v>30</v>
      </c>
      <c r="EG1017" t="s">
        <v>22</v>
      </c>
      <c r="EH1017">
        <v>0</v>
      </c>
      <c r="EI1017" t="s">
        <v>3</v>
      </c>
      <c r="EJ1017">
        <v>1</v>
      </c>
      <c r="EK1017">
        <v>146</v>
      </c>
      <c r="EL1017" t="s">
        <v>79</v>
      </c>
      <c r="EM1017" t="s">
        <v>80</v>
      </c>
      <c r="EO1017" t="s">
        <v>3</v>
      </c>
      <c r="EQ1017">
        <v>0</v>
      </c>
      <c r="ER1017">
        <v>104.99</v>
      </c>
      <c r="ES1017">
        <v>104.99</v>
      </c>
      <c r="ET1017">
        <v>0</v>
      </c>
      <c r="EU1017">
        <v>0</v>
      </c>
      <c r="EV1017">
        <v>0</v>
      </c>
      <c r="EW1017">
        <v>0</v>
      </c>
      <c r="EX1017">
        <v>0</v>
      </c>
      <c r="FQ1017">
        <v>0</v>
      </c>
      <c r="FR1017">
        <f t="shared" si="890"/>
        <v>0</v>
      </c>
      <c r="FS1017">
        <v>0</v>
      </c>
      <c r="FX1017">
        <v>140</v>
      </c>
      <c r="FY1017">
        <v>79</v>
      </c>
      <c r="GA1017" t="s">
        <v>3</v>
      </c>
      <c r="GD1017">
        <v>0</v>
      </c>
      <c r="GF1017">
        <v>2069056849</v>
      </c>
      <c r="GG1017">
        <v>2</v>
      </c>
      <c r="GH1017">
        <v>1</v>
      </c>
      <c r="GI1017">
        <v>2</v>
      </c>
      <c r="GJ1017">
        <v>0</v>
      </c>
      <c r="GK1017">
        <f>ROUND(R1017*(R12)/100,2)</f>
        <v>0</v>
      </c>
      <c r="GL1017">
        <f t="shared" si="891"/>
        <v>0</v>
      </c>
      <c r="GM1017">
        <f t="shared" si="892"/>
        <v>1156.99</v>
      </c>
      <c r="GN1017">
        <f t="shared" si="893"/>
        <v>1156.99</v>
      </c>
      <c r="GO1017">
        <f t="shared" si="894"/>
        <v>0</v>
      </c>
      <c r="GP1017">
        <f t="shared" si="895"/>
        <v>0</v>
      </c>
      <c r="GR1017">
        <v>0</v>
      </c>
      <c r="GS1017">
        <v>3</v>
      </c>
      <c r="GT1017">
        <v>0</v>
      </c>
      <c r="GU1017" t="s">
        <v>3</v>
      </c>
      <c r="GV1017">
        <f t="shared" si="896"/>
        <v>0</v>
      </c>
      <c r="GW1017">
        <v>1</v>
      </c>
      <c r="GX1017">
        <f t="shared" si="897"/>
        <v>0</v>
      </c>
      <c r="HA1017">
        <v>0</v>
      </c>
      <c r="HB1017">
        <v>0</v>
      </c>
      <c r="HC1017">
        <f t="shared" si="898"/>
        <v>0</v>
      </c>
      <c r="HE1017" t="s">
        <v>3</v>
      </c>
      <c r="HF1017" t="s">
        <v>3</v>
      </c>
      <c r="HM1017" t="s">
        <v>3</v>
      </c>
      <c r="IK1017">
        <v>0</v>
      </c>
    </row>
    <row r="1018" spans="1:245" x14ac:dyDescent="0.2">
      <c r="A1018">
        <v>17</v>
      </c>
      <c r="B1018">
        <v>1</v>
      </c>
      <c r="C1018">
        <f>ROW(SmtRes!A517)</f>
        <v>517</v>
      </c>
      <c r="D1018">
        <f>ROW(EtalonRes!A510)</f>
        <v>510</v>
      </c>
      <c r="E1018" t="s">
        <v>1107</v>
      </c>
      <c r="F1018" t="s">
        <v>962</v>
      </c>
      <c r="G1018" t="s">
        <v>1108</v>
      </c>
      <c r="H1018" t="s">
        <v>964</v>
      </c>
      <c r="I1018">
        <v>5.8000000000000003E-2</v>
      </c>
      <c r="J1018">
        <v>0</v>
      </c>
      <c r="K1018">
        <v>5.8000000000000003E-2</v>
      </c>
      <c r="O1018">
        <f t="shared" si="866"/>
        <v>2540.0500000000002</v>
      </c>
      <c r="P1018">
        <f t="shared" si="867"/>
        <v>16.91</v>
      </c>
      <c r="Q1018">
        <f>(ROUND((ROUND((((ET1018*1.25))*AV1018*I1018),2)*BB1018),2)+ROUND((ROUND(((AE1018-((EU1018*1.25)))*AV1018*I1018),2)*BS1018),2))</f>
        <v>0</v>
      </c>
      <c r="R1018">
        <f t="shared" si="868"/>
        <v>0</v>
      </c>
      <c r="S1018">
        <f t="shared" si="869"/>
        <v>2523.14</v>
      </c>
      <c r="T1018">
        <f t="shared" si="870"/>
        <v>0</v>
      </c>
      <c r="U1018">
        <f t="shared" si="871"/>
        <v>8.8711000000000002</v>
      </c>
      <c r="V1018">
        <f t="shared" si="872"/>
        <v>0</v>
      </c>
      <c r="W1018">
        <f t="shared" si="873"/>
        <v>0</v>
      </c>
      <c r="X1018">
        <f t="shared" si="874"/>
        <v>2270.83</v>
      </c>
      <c r="Y1018">
        <f t="shared" si="875"/>
        <v>1034.49</v>
      </c>
      <c r="AA1018">
        <v>42938047</v>
      </c>
      <c r="AB1018">
        <f t="shared" si="876"/>
        <v>1754.3610000000001</v>
      </c>
      <c r="AC1018">
        <f t="shared" si="877"/>
        <v>44.38</v>
      </c>
      <c r="AD1018">
        <f>ROUND(((((ET1018*1.25))-((EU1018*1.25)))+AE1018),6)</f>
        <v>0</v>
      </c>
      <c r="AE1018">
        <f>ROUND(((EU1018*1.25)),6)</f>
        <v>0</v>
      </c>
      <c r="AF1018">
        <f>ROUND(((EV1018*1.15)),6)</f>
        <v>1709.981</v>
      </c>
      <c r="AG1018">
        <f t="shared" si="878"/>
        <v>0</v>
      </c>
      <c r="AH1018">
        <f>((EW1018*1.15))</f>
        <v>152.94999999999999</v>
      </c>
      <c r="AI1018">
        <f>((EX1018*1.25))</f>
        <v>0</v>
      </c>
      <c r="AJ1018">
        <f t="shared" si="879"/>
        <v>0</v>
      </c>
      <c r="AK1018">
        <v>1531.32</v>
      </c>
      <c r="AL1018">
        <v>44.38</v>
      </c>
      <c r="AM1018">
        <v>0</v>
      </c>
      <c r="AN1018">
        <v>0</v>
      </c>
      <c r="AO1018">
        <v>1486.94</v>
      </c>
      <c r="AP1018">
        <v>0</v>
      </c>
      <c r="AQ1018">
        <v>133</v>
      </c>
      <c r="AR1018">
        <v>0</v>
      </c>
      <c r="AS1018">
        <v>0</v>
      </c>
      <c r="AT1018">
        <v>90</v>
      </c>
      <c r="AU1018">
        <v>41</v>
      </c>
      <c r="AV1018">
        <v>1</v>
      </c>
      <c r="AW1018">
        <v>1</v>
      </c>
      <c r="AZ1018">
        <v>1</v>
      </c>
      <c r="BA1018">
        <v>25.44</v>
      </c>
      <c r="BB1018">
        <v>1</v>
      </c>
      <c r="BC1018">
        <v>6.58</v>
      </c>
      <c r="BD1018" t="s">
        <v>3</v>
      </c>
      <c r="BE1018" t="s">
        <v>3</v>
      </c>
      <c r="BF1018" t="s">
        <v>3</v>
      </c>
      <c r="BG1018" t="s">
        <v>3</v>
      </c>
      <c r="BH1018">
        <v>0</v>
      </c>
      <c r="BI1018">
        <v>1</v>
      </c>
      <c r="BJ1018" t="s">
        <v>965</v>
      </c>
      <c r="BM1018">
        <v>242</v>
      </c>
      <c r="BN1018">
        <v>0</v>
      </c>
      <c r="BO1018" t="s">
        <v>962</v>
      </c>
      <c r="BP1018">
        <v>1</v>
      </c>
      <c r="BQ1018">
        <v>30</v>
      </c>
      <c r="BR1018">
        <v>0</v>
      </c>
      <c r="BS1018">
        <v>25.44</v>
      </c>
      <c r="BT1018">
        <v>1</v>
      </c>
      <c r="BU1018">
        <v>1</v>
      </c>
      <c r="BV1018">
        <v>1</v>
      </c>
      <c r="BW1018">
        <v>1</v>
      </c>
      <c r="BX1018">
        <v>1</v>
      </c>
      <c r="BY1018" t="s">
        <v>3</v>
      </c>
      <c r="BZ1018">
        <v>90</v>
      </c>
      <c r="CA1018">
        <v>41</v>
      </c>
      <c r="CB1018" t="s">
        <v>3</v>
      </c>
      <c r="CE1018">
        <v>30</v>
      </c>
      <c r="CF1018">
        <v>0</v>
      </c>
      <c r="CG1018">
        <v>0</v>
      </c>
      <c r="CM1018">
        <v>0</v>
      </c>
      <c r="CN1018" t="s">
        <v>1584</v>
      </c>
      <c r="CO1018">
        <v>0</v>
      </c>
      <c r="CP1018">
        <f t="shared" si="880"/>
        <v>2540.0499999999997</v>
      </c>
      <c r="CQ1018">
        <f t="shared" si="881"/>
        <v>292.02</v>
      </c>
      <c r="CR1018">
        <f>(ROUND((ROUND((((ET1018*1.25))*AV1018*1),2)*BB1018),2)+ROUND((ROUND(((AE1018-((EU1018*1.25)))*AV1018*1),2)*BS1018),2))</f>
        <v>0</v>
      </c>
      <c r="CS1018">
        <f t="shared" si="882"/>
        <v>0</v>
      </c>
      <c r="CT1018">
        <f t="shared" si="883"/>
        <v>43501.89</v>
      </c>
      <c r="CU1018">
        <f t="shared" si="884"/>
        <v>0</v>
      </c>
      <c r="CV1018">
        <f t="shared" si="885"/>
        <v>152.94999999999999</v>
      </c>
      <c r="CW1018">
        <f t="shared" si="886"/>
        <v>0</v>
      </c>
      <c r="CX1018">
        <f t="shared" si="887"/>
        <v>0</v>
      </c>
      <c r="CY1018">
        <f t="shared" si="888"/>
        <v>2270.826</v>
      </c>
      <c r="CZ1018">
        <f t="shared" si="889"/>
        <v>1034.4874</v>
      </c>
      <c r="DC1018" t="s">
        <v>3</v>
      </c>
      <c r="DD1018" t="s">
        <v>3</v>
      </c>
      <c r="DE1018" t="s">
        <v>20</v>
      </c>
      <c r="DF1018" t="s">
        <v>20</v>
      </c>
      <c r="DG1018" t="s">
        <v>21</v>
      </c>
      <c r="DH1018" t="s">
        <v>3</v>
      </c>
      <c r="DI1018" t="s">
        <v>21</v>
      </c>
      <c r="DJ1018" t="s">
        <v>20</v>
      </c>
      <c r="DK1018" t="s">
        <v>3</v>
      </c>
      <c r="DL1018" t="s">
        <v>3</v>
      </c>
      <c r="DM1018" t="s">
        <v>3</v>
      </c>
      <c r="DN1018">
        <v>112</v>
      </c>
      <c r="DO1018">
        <v>70</v>
      </c>
      <c r="DP1018">
        <v>1</v>
      </c>
      <c r="DQ1018">
        <v>1</v>
      </c>
      <c r="DU1018">
        <v>1013</v>
      </c>
      <c r="DV1018" t="s">
        <v>964</v>
      </c>
      <c r="DW1018" t="s">
        <v>964</v>
      </c>
      <c r="DX1018">
        <v>1</v>
      </c>
      <c r="DZ1018" t="s">
        <v>3</v>
      </c>
      <c r="EA1018" t="s">
        <v>3</v>
      </c>
      <c r="EB1018" t="s">
        <v>3</v>
      </c>
      <c r="EC1018" t="s">
        <v>3</v>
      </c>
      <c r="EE1018">
        <v>43088320</v>
      </c>
      <c r="EF1018">
        <v>30</v>
      </c>
      <c r="EG1018" t="s">
        <v>22</v>
      </c>
      <c r="EH1018">
        <v>0</v>
      </c>
      <c r="EI1018" t="s">
        <v>3</v>
      </c>
      <c r="EJ1018">
        <v>1</v>
      </c>
      <c r="EK1018">
        <v>242</v>
      </c>
      <c r="EL1018" t="s">
        <v>966</v>
      </c>
      <c r="EM1018" t="s">
        <v>967</v>
      </c>
      <c r="EO1018" t="s">
        <v>59</v>
      </c>
      <c r="EQ1018">
        <v>0</v>
      </c>
      <c r="ER1018">
        <v>1531.32</v>
      </c>
      <c r="ES1018">
        <v>44.38</v>
      </c>
      <c r="ET1018">
        <v>0</v>
      </c>
      <c r="EU1018">
        <v>0</v>
      </c>
      <c r="EV1018">
        <v>1486.94</v>
      </c>
      <c r="EW1018">
        <v>133</v>
      </c>
      <c r="EX1018">
        <v>0</v>
      </c>
      <c r="EY1018">
        <v>0</v>
      </c>
      <c r="FQ1018">
        <v>0</v>
      </c>
      <c r="FR1018">
        <f t="shared" si="890"/>
        <v>0</v>
      </c>
      <c r="FS1018">
        <v>0</v>
      </c>
      <c r="FX1018">
        <v>112</v>
      </c>
      <c r="FY1018">
        <v>70</v>
      </c>
      <c r="GA1018" t="s">
        <v>3</v>
      </c>
      <c r="GD1018">
        <v>0</v>
      </c>
      <c r="GF1018">
        <v>-1576545789</v>
      </c>
      <c r="GG1018">
        <v>2</v>
      </c>
      <c r="GH1018">
        <v>1</v>
      </c>
      <c r="GI1018">
        <v>2</v>
      </c>
      <c r="GJ1018">
        <v>0</v>
      </c>
      <c r="GK1018">
        <f>ROUND(R1018*(R12)/100,2)</f>
        <v>0</v>
      </c>
      <c r="GL1018">
        <f t="shared" si="891"/>
        <v>0</v>
      </c>
      <c r="GM1018">
        <f t="shared" si="892"/>
        <v>5845.37</v>
      </c>
      <c r="GN1018">
        <f t="shared" si="893"/>
        <v>5845.37</v>
      </c>
      <c r="GO1018">
        <f t="shared" si="894"/>
        <v>0</v>
      </c>
      <c r="GP1018">
        <f t="shared" si="895"/>
        <v>0</v>
      </c>
      <c r="GR1018">
        <v>0</v>
      </c>
      <c r="GS1018">
        <v>3</v>
      </c>
      <c r="GT1018">
        <v>0</v>
      </c>
      <c r="GU1018" t="s">
        <v>3</v>
      </c>
      <c r="GV1018">
        <f t="shared" si="896"/>
        <v>0</v>
      </c>
      <c r="GW1018">
        <v>1</v>
      </c>
      <c r="GX1018">
        <f t="shared" si="897"/>
        <v>0</v>
      </c>
      <c r="HA1018">
        <v>0</v>
      </c>
      <c r="HB1018">
        <v>0</v>
      </c>
      <c r="HC1018">
        <f t="shared" si="898"/>
        <v>0</v>
      </c>
      <c r="HE1018" t="s">
        <v>3</v>
      </c>
      <c r="HF1018" t="s">
        <v>3</v>
      </c>
      <c r="HM1018" t="s">
        <v>3</v>
      </c>
      <c r="IK1018">
        <v>0</v>
      </c>
    </row>
    <row r="1019" spans="1:245" x14ac:dyDescent="0.2">
      <c r="A1019">
        <v>18</v>
      </c>
      <c r="B1019">
        <v>1</v>
      </c>
      <c r="C1019">
        <v>516</v>
      </c>
      <c r="E1019" t="s">
        <v>1109</v>
      </c>
      <c r="F1019" t="s">
        <v>1110</v>
      </c>
      <c r="G1019" t="s">
        <v>1597</v>
      </c>
      <c r="H1019" t="s">
        <v>136</v>
      </c>
      <c r="I1019">
        <f>I1018*J1019</f>
        <v>58</v>
      </c>
      <c r="J1019">
        <v>1000</v>
      </c>
      <c r="K1019">
        <v>1000</v>
      </c>
      <c r="O1019">
        <f t="shared" si="866"/>
        <v>33449.269999999997</v>
      </c>
      <c r="P1019">
        <f t="shared" si="867"/>
        <v>33449.269999999997</v>
      </c>
      <c r="Q1019">
        <f>(ROUND((ROUND(((ET1019)*AV1019*I1019),2)*BB1019),2)+ROUND((ROUND(((AE1019-(EU1019))*AV1019*I1019),2)*BS1019),2))</f>
        <v>0</v>
      </c>
      <c r="R1019">
        <f t="shared" si="868"/>
        <v>0</v>
      </c>
      <c r="S1019">
        <f t="shared" si="869"/>
        <v>0</v>
      </c>
      <c r="T1019">
        <f t="shared" si="870"/>
        <v>0</v>
      </c>
      <c r="U1019">
        <f t="shared" si="871"/>
        <v>0</v>
      </c>
      <c r="V1019">
        <f t="shared" si="872"/>
        <v>0</v>
      </c>
      <c r="W1019">
        <f t="shared" si="873"/>
        <v>0</v>
      </c>
      <c r="X1019">
        <f t="shared" si="874"/>
        <v>0</v>
      </c>
      <c r="Y1019">
        <f t="shared" si="875"/>
        <v>0</v>
      </c>
      <c r="AA1019">
        <v>42938047</v>
      </c>
      <c r="AB1019">
        <f t="shared" si="876"/>
        <v>99.95</v>
      </c>
      <c r="AC1019">
        <f t="shared" si="877"/>
        <v>99.95</v>
      </c>
      <c r="AD1019">
        <f>ROUND((((ET1019)-(EU1019))+AE1019),6)</f>
        <v>0</v>
      </c>
      <c r="AE1019">
        <f>ROUND((EU1019),6)</f>
        <v>0</v>
      </c>
      <c r="AF1019">
        <f>ROUND((EV1019),6)</f>
        <v>0</v>
      </c>
      <c r="AG1019">
        <f t="shared" si="878"/>
        <v>0</v>
      </c>
      <c r="AH1019">
        <f>(EW1019)</f>
        <v>0</v>
      </c>
      <c r="AI1019">
        <f>(EX1019)</f>
        <v>0</v>
      </c>
      <c r="AJ1019">
        <f t="shared" si="879"/>
        <v>0</v>
      </c>
      <c r="AK1019">
        <v>99.95</v>
      </c>
      <c r="AL1019">
        <v>99.95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1</v>
      </c>
      <c r="AW1019">
        <v>1</v>
      </c>
      <c r="AZ1019">
        <v>1</v>
      </c>
      <c r="BA1019">
        <v>1</v>
      </c>
      <c r="BB1019">
        <v>1</v>
      </c>
      <c r="BC1019">
        <v>5.77</v>
      </c>
      <c r="BD1019" t="s">
        <v>3</v>
      </c>
      <c r="BE1019" t="s">
        <v>3</v>
      </c>
      <c r="BF1019" t="s">
        <v>3</v>
      </c>
      <c r="BG1019" t="s">
        <v>3</v>
      </c>
      <c r="BH1019">
        <v>3</v>
      </c>
      <c r="BI1019">
        <v>1</v>
      </c>
      <c r="BJ1019" t="s">
        <v>1111</v>
      </c>
      <c r="BM1019">
        <v>242</v>
      </c>
      <c r="BN1019">
        <v>0</v>
      </c>
      <c r="BO1019" t="s">
        <v>1110</v>
      </c>
      <c r="BP1019">
        <v>1</v>
      </c>
      <c r="BQ1019">
        <v>30</v>
      </c>
      <c r="BR1019">
        <v>0</v>
      </c>
      <c r="BS1019">
        <v>1</v>
      </c>
      <c r="BT1019">
        <v>1</v>
      </c>
      <c r="BU1019">
        <v>1</v>
      </c>
      <c r="BV1019">
        <v>1</v>
      </c>
      <c r="BW1019">
        <v>1</v>
      </c>
      <c r="BX1019">
        <v>1</v>
      </c>
      <c r="BY1019" t="s">
        <v>3</v>
      </c>
      <c r="BZ1019">
        <v>0</v>
      </c>
      <c r="CA1019">
        <v>0</v>
      </c>
      <c r="CB1019" t="s">
        <v>3</v>
      </c>
      <c r="CE1019">
        <v>30</v>
      </c>
      <c r="CF1019">
        <v>0</v>
      </c>
      <c r="CG1019">
        <v>0</v>
      </c>
      <c r="CM1019">
        <v>0</v>
      </c>
      <c r="CN1019" t="s">
        <v>3</v>
      </c>
      <c r="CO1019">
        <v>0</v>
      </c>
      <c r="CP1019">
        <f t="shared" si="880"/>
        <v>33449.269999999997</v>
      </c>
      <c r="CQ1019">
        <f t="shared" si="881"/>
        <v>576.71</v>
      </c>
      <c r="CR1019">
        <f>(ROUND((ROUND(((ET1019)*AV1019*1),2)*BB1019),2)+ROUND((ROUND(((AE1019-(EU1019))*AV1019*1),2)*BS1019),2))</f>
        <v>0</v>
      </c>
      <c r="CS1019">
        <f t="shared" si="882"/>
        <v>0</v>
      </c>
      <c r="CT1019">
        <f t="shared" si="883"/>
        <v>0</v>
      </c>
      <c r="CU1019">
        <f t="shared" si="884"/>
        <v>0</v>
      </c>
      <c r="CV1019">
        <f t="shared" si="885"/>
        <v>0</v>
      </c>
      <c r="CW1019">
        <f t="shared" si="886"/>
        <v>0</v>
      </c>
      <c r="CX1019">
        <f t="shared" si="887"/>
        <v>0</v>
      </c>
      <c r="CY1019">
        <f t="shared" si="888"/>
        <v>0</v>
      </c>
      <c r="CZ1019">
        <f t="shared" si="889"/>
        <v>0</v>
      </c>
      <c r="DC1019" t="s">
        <v>3</v>
      </c>
      <c r="DD1019" t="s">
        <v>3</v>
      </c>
      <c r="DE1019" t="s">
        <v>3</v>
      </c>
      <c r="DF1019" t="s">
        <v>3</v>
      </c>
      <c r="DG1019" t="s">
        <v>3</v>
      </c>
      <c r="DH1019" t="s">
        <v>3</v>
      </c>
      <c r="DI1019" t="s">
        <v>3</v>
      </c>
      <c r="DJ1019" t="s">
        <v>3</v>
      </c>
      <c r="DK1019" t="s">
        <v>3</v>
      </c>
      <c r="DL1019" t="s">
        <v>3</v>
      </c>
      <c r="DM1019" t="s">
        <v>3</v>
      </c>
      <c r="DN1019">
        <v>112</v>
      </c>
      <c r="DO1019">
        <v>70</v>
      </c>
      <c r="DP1019">
        <v>1</v>
      </c>
      <c r="DQ1019">
        <v>1</v>
      </c>
      <c r="DU1019">
        <v>1003</v>
      </c>
      <c r="DV1019" t="s">
        <v>136</v>
      </c>
      <c r="DW1019" t="s">
        <v>136</v>
      </c>
      <c r="DX1019">
        <v>1</v>
      </c>
      <c r="DZ1019" t="s">
        <v>3</v>
      </c>
      <c r="EA1019" t="s">
        <v>3</v>
      </c>
      <c r="EB1019" t="s">
        <v>3</v>
      </c>
      <c r="EC1019" t="s">
        <v>3</v>
      </c>
      <c r="EE1019">
        <v>43088320</v>
      </c>
      <c r="EF1019">
        <v>30</v>
      </c>
      <c r="EG1019" t="s">
        <v>22</v>
      </c>
      <c r="EH1019">
        <v>0</v>
      </c>
      <c r="EI1019" t="s">
        <v>3</v>
      </c>
      <c r="EJ1019">
        <v>1</v>
      </c>
      <c r="EK1019">
        <v>242</v>
      </c>
      <c r="EL1019" t="s">
        <v>966</v>
      </c>
      <c r="EM1019" t="s">
        <v>967</v>
      </c>
      <c r="EO1019" t="s">
        <v>3</v>
      </c>
      <c r="EQ1019">
        <v>0</v>
      </c>
      <c r="ER1019">
        <v>99.95</v>
      </c>
      <c r="ES1019">
        <v>99.95</v>
      </c>
      <c r="ET1019">
        <v>0</v>
      </c>
      <c r="EU1019">
        <v>0</v>
      </c>
      <c r="EV1019">
        <v>0</v>
      </c>
      <c r="EW1019">
        <v>0</v>
      </c>
      <c r="EX1019">
        <v>0</v>
      </c>
      <c r="FQ1019">
        <v>0</v>
      </c>
      <c r="FR1019">
        <f t="shared" si="890"/>
        <v>0</v>
      </c>
      <c r="FS1019">
        <v>0</v>
      </c>
      <c r="FX1019">
        <v>112</v>
      </c>
      <c r="FY1019">
        <v>70</v>
      </c>
      <c r="GA1019" t="s">
        <v>3</v>
      </c>
      <c r="GD1019">
        <v>0</v>
      </c>
      <c r="GF1019">
        <v>-455874827</v>
      </c>
      <c r="GG1019">
        <v>2</v>
      </c>
      <c r="GH1019">
        <v>1</v>
      </c>
      <c r="GI1019">
        <v>2</v>
      </c>
      <c r="GJ1019">
        <v>0</v>
      </c>
      <c r="GK1019">
        <f>ROUND(R1019*(R12)/100,2)</f>
        <v>0</v>
      </c>
      <c r="GL1019">
        <f t="shared" si="891"/>
        <v>0</v>
      </c>
      <c r="GM1019">
        <f t="shared" si="892"/>
        <v>33449.269999999997</v>
      </c>
      <c r="GN1019">
        <f t="shared" si="893"/>
        <v>33449.269999999997</v>
      </c>
      <c r="GO1019">
        <f t="shared" si="894"/>
        <v>0</v>
      </c>
      <c r="GP1019">
        <f t="shared" si="895"/>
        <v>0</v>
      </c>
      <c r="GR1019">
        <v>0</v>
      </c>
      <c r="GS1019">
        <v>3</v>
      </c>
      <c r="GT1019">
        <v>0</v>
      </c>
      <c r="GU1019" t="s">
        <v>3</v>
      </c>
      <c r="GV1019">
        <f t="shared" si="896"/>
        <v>0</v>
      </c>
      <c r="GW1019">
        <v>1</v>
      </c>
      <c r="GX1019">
        <f t="shared" si="897"/>
        <v>0</v>
      </c>
      <c r="HA1019">
        <v>0</v>
      </c>
      <c r="HB1019">
        <v>0</v>
      </c>
      <c r="HC1019">
        <f t="shared" si="898"/>
        <v>0</v>
      </c>
      <c r="HE1019" t="s">
        <v>3</v>
      </c>
      <c r="HF1019" t="s">
        <v>3</v>
      </c>
      <c r="HM1019" t="s">
        <v>3</v>
      </c>
      <c r="IK1019">
        <v>0</v>
      </c>
    </row>
    <row r="1020" spans="1:245" x14ac:dyDescent="0.2">
      <c r="A1020">
        <v>18</v>
      </c>
      <c r="B1020">
        <v>1</v>
      </c>
      <c r="C1020">
        <v>515</v>
      </c>
      <c r="E1020" t="s">
        <v>1112</v>
      </c>
      <c r="F1020" t="s">
        <v>997</v>
      </c>
      <c r="G1020" t="s">
        <v>998</v>
      </c>
      <c r="H1020" t="s">
        <v>136</v>
      </c>
      <c r="I1020">
        <f>I1018*J1020</f>
        <v>58</v>
      </c>
      <c r="J1020">
        <v>1000</v>
      </c>
      <c r="K1020">
        <v>1000</v>
      </c>
      <c r="O1020">
        <f t="shared" si="866"/>
        <v>69.63</v>
      </c>
      <c r="P1020">
        <f t="shared" si="867"/>
        <v>69.63</v>
      </c>
      <c r="Q1020">
        <f>(ROUND((ROUND(((ET1020)*AV1020*I1020),2)*BB1020),2)+ROUND((ROUND(((AE1020-(EU1020))*AV1020*I1020),2)*BS1020),2))</f>
        <v>0</v>
      </c>
      <c r="R1020">
        <f t="shared" si="868"/>
        <v>0</v>
      </c>
      <c r="S1020">
        <f t="shared" si="869"/>
        <v>0</v>
      </c>
      <c r="T1020">
        <f t="shared" si="870"/>
        <v>0</v>
      </c>
      <c r="U1020">
        <f t="shared" si="871"/>
        <v>0</v>
      </c>
      <c r="V1020">
        <f t="shared" si="872"/>
        <v>0</v>
      </c>
      <c r="W1020">
        <f t="shared" si="873"/>
        <v>0</v>
      </c>
      <c r="X1020">
        <f t="shared" si="874"/>
        <v>0</v>
      </c>
      <c r="Y1020">
        <f t="shared" si="875"/>
        <v>0</v>
      </c>
      <c r="AA1020">
        <v>42938047</v>
      </c>
      <c r="AB1020">
        <f t="shared" si="876"/>
        <v>0.49</v>
      </c>
      <c r="AC1020">
        <f t="shared" si="877"/>
        <v>0.49</v>
      </c>
      <c r="AD1020">
        <f>ROUND((((ET1020)-(EU1020))+AE1020),6)</f>
        <v>0</v>
      </c>
      <c r="AE1020">
        <f>ROUND((EU1020),6)</f>
        <v>0</v>
      </c>
      <c r="AF1020">
        <f>ROUND((EV1020),6)</f>
        <v>0</v>
      </c>
      <c r="AG1020">
        <f t="shared" si="878"/>
        <v>0</v>
      </c>
      <c r="AH1020">
        <f>(EW1020)</f>
        <v>0</v>
      </c>
      <c r="AI1020">
        <f>(EX1020)</f>
        <v>0</v>
      </c>
      <c r="AJ1020">
        <f t="shared" si="879"/>
        <v>0</v>
      </c>
      <c r="AK1020">
        <v>0.49</v>
      </c>
      <c r="AL1020">
        <v>0.49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1</v>
      </c>
      <c r="AW1020">
        <v>1</v>
      </c>
      <c r="AZ1020">
        <v>1</v>
      </c>
      <c r="BA1020">
        <v>1</v>
      </c>
      <c r="BB1020">
        <v>1</v>
      </c>
      <c r="BC1020">
        <v>2.4500000000000002</v>
      </c>
      <c r="BD1020" t="s">
        <v>3</v>
      </c>
      <c r="BE1020" t="s">
        <v>3</v>
      </c>
      <c r="BF1020" t="s">
        <v>3</v>
      </c>
      <c r="BG1020" t="s">
        <v>3</v>
      </c>
      <c r="BH1020">
        <v>3</v>
      </c>
      <c r="BI1020">
        <v>1</v>
      </c>
      <c r="BJ1020" t="s">
        <v>999</v>
      </c>
      <c r="BM1020">
        <v>242</v>
      </c>
      <c r="BN1020">
        <v>0</v>
      </c>
      <c r="BO1020" t="s">
        <v>997</v>
      </c>
      <c r="BP1020">
        <v>1</v>
      </c>
      <c r="BQ1020">
        <v>30</v>
      </c>
      <c r="BR1020">
        <v>0</v>
      </c>
      <c r="BS1020">
        <v>1</v>
      </c>
      <c r="BT1020">
        <v>1</v>
      </c>
      <c r="BU1020">
        <v>1</v>
      </c>
      <c r="BV1020">
        <v>1</v>
      </c>
      <c r="BW1020">
        <v>1</v>
      </c>
      <c r="BX1020">
        <v>1</v>
      </c>
      <c r="BY1020" t="s">
        <v>3</v>
      </c>
      <c r="BZ1020">
        <v>0</v>
      </c>
      <c r="CA1020">
        <v>0</v>
      </c>
      <c r="CB1020" t="s">
        <v>3</v>
      </c>
      <c r="CE1020">
        <v>30</v>
      </c>
      <c r="CF1020">
        <v>0</v>
      </c>
      <c r="CG1020">
        <v>0</v>
      </c>
      <c r="CM1020">
        <v>0</v>
      </c>
      <c r="CN1020" t="s">
        <v>3</v>
      </c>
      <c r="CO1020">
        <v>0</v>
      </c>
      <c r="CP1020">
        <f t="shared" si="880"/>
        <v>69.63</v>
      </c>
      <c r="CQ1020">
        <f t="shared" si="881"/>
        <v>1.2</v>
      </c>
      <c r="CR1020">
        <f>(ROUND((ROUND(((ET1020)*AV1020*1),2)*BB1020),2)+ROUND((ROUND(((AE1020-(EU1020))*AV1020*1),2)*BS1020),2))</f>
        <v>0</v>
      </c>
      <c r="CS1020">
        <f t="shared" si="882"/>
        <v>0</v>
      </c>
      <c r="CT1020">
        <f t="shared" si="883"/>
        <v>0</v>
      </c>
      <c r="CU1020">
        <f t="shared" si="884"/>
        <v>0</v>
      </c>
      <c r="CV1020">
        <f t="shared" si="885"/>
        <v>0</v>
      </c>
      <c r="CW1020">
        <f t="shared" si="886"/>
        <v>0</v>
      </c>
      <c r="CX1020">
        <f t="shared" si="887"/>
        <v>0</v>
      </c>
      <c r="CY1020">
        <f t="shared" si="888"/>
        <v>0</v>
      </c>
      <c r="CZ1020">
        <f t="shared" si="889"/>
        <v>0</v>
      </c>
      <c r="DC1020" t="s">
        <v>3</v>
      </c>
      <c r="DD1020" t="s">
        <v>3</v>
      </c>
      <c r="DE1020" t="s">
        <v>3</v>
      </c>
      <c r="DF1020" t="s">
        <v>3</v>
      </c>
      <c r="DG1020" t="s">
        <v>3</v>
      </c>
      <c r="DH1020" t="s">
        <v>3</v>
      </c>
      <c r="DI1020" t="s">
        <v>3</v>
      </c>
      <c r="DJ1020" t="s">
        <v>3</v>
      </c>
      <c r="DK1020" t="s">
        <v>3</v>
      </c>
      <c r="DL1020" t="s">
        <v>3</v>
      </c>
      <c r="DM1020" t="s">
        <v>3</v>
      </c>
      <c r="DN1020">
        <v>112</v>
      </c>
      <c r="DO1020">
        <v>70</v>
      </c>
      <c r="DP1020">
        <v>1</v>
      </c>
      <c r="DQ1020">
        <v>1</v>
      </c>
      <c r="DU1020">
        <v>1003</v>
      </c>
      <c r="DV1020" t="s">
        <v>136</v>
      </c>
      <c r="DW1020" t="s">
        <v>136</v>
      </c>
      <c r="DX1020">
        <v>1</v>
      </c>
      <c r="DZ1020" t="s">
        <v>3</v>
      </c>
      <c r="EA1020" t="s">
        <v>3</v>
      </c>
      <c r="EB1020" t="s">
        <v>3</v>
      </c>
      <c r="EC1020" t="s">
        <v>3</v>
      </c>
      <c r="EE1020">
        <v>43088320</v>
      </c>
      <c r="EF1020">
        <v>30</v>
      </c>
      <c r="EG1020" t="s">
        <v>22</v>
      </c>
      <c r="EH1020">
        <v>0</v>
      </c>
      <c r="EI1020" t="s">
        <v>3</v>
      </c>
      <c r="EJ1020">
        <v>1</v>
      </c>
      <c r="EK1020">
        <v>242</v>
      </c>
      <c r="EL1020" t="s">
        <v>966</v>
      </c>
      <c r="EM1020" t="s">
        <v>967</v>
      </c>
      <c r="EO1020" t="s">
        <v>3</v>
      </c>
      <c r="EQ1020">
        <v>0</v>
      </c>
      <c r="ER1020">
        <v>0.49</v>
      </c>
      <c r="ES1020">
        <v>0.49</v>
      </c>
      <c r="ET1020">
        <v>0</v>
      </c>
      <c r="EU1020">
        <v>0</v>
      </c>
      <c r="EV1020">
        <v>0</v>
      </c>
      <c r="EW1020">
        <v>0</v>
      </c>
      <c r="EX1020">
        <v>0</v>
      </c>
      <c r="FQ1020">
        <v>0</v>
      </c>
      <c r="FR1020">
        <f t="shared" si="890"/>
        <v>0</v>
      </c>
      <c r="FS1020">
        <v>0</v>
      </c>
      <c r="FX1020">
        <v>112</v>
      </c>
      <c r="FY1020">
        <v>70</v>
      </c>
      <c r="GA1020" t="s">
        <v>3</v>
      </c>
      <c r="GD1020">
        <v>0</v>
      </c>
      <c r="GF1020">
        <v>1047663974</v>
      </c>
      <c r="GG1020">
        <v>2</v>
      </c>
      <c r="GH1020">
        <v>1</v>
      </c>
      <c r="GI1020">
        <v>2</v>
      </c>
      <c r="GJ1020">
        <v>0</v>
      </c>
      <c r="GK1020">
        <f>ROUND(R1020*(R12)/100,2)</f>
        <v>0</v>
      </c>
      <c r="GL1020">
        <f t="shared" si="891"/>
        <v>0</v>
      </c>
      <c r="GM1020">
        <f t="shared" si="892"/>
        <v>69.63</v>
      </c>
      <c r="GN1020">
        <f t="shared" si="893"/>
        <v>69.63</v>
      </c>
      <c r="GO1020">
        <f t="shared" si="894"/>
        <v>0</v>
      </c>
      <c r="GP1020">
        <f t="shared" si="895"/>
        <v>0</v>
      </c>
      <c r="GR1020">
        <v>0</v>
      </c>
      <c r="GS1020">
        <v>3</v>
      </c>
      <c r="GT1020">
        <v>0</v>
      </c>
      <c r="GU1020" t="s">
        <v>3</v>
      </c>
      <c r="GV1020">
        <f t="shared" si="896"/>
        <v>0</v>
      </c>
      <c r="GW1020">
        <v>1</v>
      </c>
      <c r="GX1020">
        <f t="shared" si="897"/>
        <v>0</v>
      </c>
      <c r="HA1020">
        <v>0</v>
      </c>
      <c r="HB1020">
        <v>0</v>
      </c>
      <c r="HC1020">
        <f t="shared" si="898"/>
        <v>0</v>
      </c>
      <c r="HE1020" t="s">
        <v>3</v>
      </c>
      <c r="HF1020" t="s">
        <v>3</v>
      </c>
      <c r="HM1020" t="s">
        <v>3</v>
      </c>
      <c r="IK1020">
        <v>0</v>
      </c>
    </row>
    <row r="1021" spans="1:245" x14ac:dyDescent="0.2">
      <c r="A1021">
        <v>17</v>
      </c>
      <c r="B1021">
        <v>1</v>
      </c>
      <c r="C1021">
        <f>ROW(SmtRes!A519)</f>
        <v>519</v>
      </c>
      <c r="D1021">
        <f>ROW(EtalonRes!A512)</f>
        <v>512</v>
      </c>
      <c r="E1021" t="s">
        <v>1113</v>
      </c>
      <c r="F1021" t="s">
        <v>1114</v>
      </c>
      <c r="G1021" t="s">
        <v>1115</v>
      </c>
      <c r="H1021" t="s">
        <v>1116</v>
      </c>
      <c r="I1021">
        <f>ROUND(4/100,9)</f>
        <v>0.04</v>
      </c>
      <c r="J1021">
        <v>0</v>
      </c>
      <c r="K1021">
        <f>ROUND(4/100,9)</f>
        <v>0.04</v>
      </c>
      <c r="O1021">
        <f t="shared" si="866"/>
        <v>2918.67</v>
      </c>
      <c r="P1021">
        <f t="shared" si="867"/>
        <v>136.72999999999999</v>
      </c>
      <c r="Q1021">
        <f>(ROUND((ROUND((((ET1021*1.25))*AV1021*I1021),2)*BB1021),2)+ROUND((ROUND(((AE1021-((EU1021*1.25)))*AV1021*I1021),2)*BS1021),2))</f>
        <v>269.99</v>
      </c>
      <c r="R1021">
        <f t="shared" si="868"/>
        <v>78.86</v>
      </c>
      <c r="S1021">
        <f t="shared" si="869"/>
        <v>2511.9499999999998</v>
      </c>
      <c r="T1021">
        <f t="shared" si="870"/>
        <v>0</v>
      </c>
      <c r="U1021">
        <f t="shared" si="871"/>
        <v>7.1709399999999999</v>
      </c>
      <c r="V1021">
        <f t="shared" si="872"/>
        <v>0</v>
      </c>
      <c r="W1021">
        <f t="shared" si="873"/>
        <v>0</v>
      </c>
      <c r="X1021">
        <f t="shared" si="874"/>
        <v>1934.2</v>
      </c>
      <c r="Y1021">
        <f t="shared" si="875"/>
        <v>1029.9000000000001</v>
      </c>
      <c r="AA1021">
        <v>42938047</v>
      </c>
      <c r="AB1021">
        <f t="shared" si="876"/>
        <v>3881.904</v>
      </c>
      <c r="AC1021">
        <f t="shared" si="877"/>
        <v>519.45000000000005</v>
      </c>
      <c r="AD1021">
        <f>ROUND(((((ET1021*1.25))-((EU1021*1.25)))+AE1021),6)</f>
        <v>894.02499999999998</v>
      </c>
      <c r="AE1021">
        <f>ROUND(((EU1021*1.25)),6)</f>
        <v>77.512500000000003</v>
      </c>
      <c r="AF1021">
        <f>ROUND(((EV1021*1.15)),6)</f>
        <v>2468.4290000000001</v>
      </c>
      <c r="AG1021">
        <f t="shared" si="878"/>
        <v>0</v>
      </c>
      <c r="AH1021">
        <f>((EW1021*1.15))</f>
        <v>179.27349999999998</v>
      </c>
      <c r="AI1021">
        <f>((EX1021*1.25))</f>
        <v>0</v>
      </c>
      <c r="AJ1021">
        <f t="shared" si="879"/>
        <v>0</v>
      </c>
      <c r="AK1021">
        <v>3381.13</v>
      </c>
      <c r="AL1021">
        <v>519.45000000000005</v>
      </c>
      <c r="AM1021">
        <v>715.22</v>
      </c>
      <c r="AN1021">
        <v>62.01</v>
      </c>
      <c r="AO1021">
        <v>2146.46</v>
      </c>
      <c r="AP1021">
        <v>0</v>
      </c>
      <c r="AQ1021">
        <v>155.88999999999999</v>
      </c>
      <c r="AR1021">
        <v>0</v>
      </c>
      <c r="AS1021">
        <v>0</v>
      </c>
      <c r="AT1021">
        <v>77</v>
      </c>
      <c r="AU1021">
        <v>41</v>
      </c>
      <c r="AV1021">
        <v>1</v>
      </c>
      <c r="AW1021">
        <v>1</v>
      </c>
      <c r="AZ1021">
        <v>1</v>
      </c>
      <c r="BA1021">
        <v>25.44</v>
      </c>
      <c r="BB1021">
        <v>7.55</v>
      </c>
      <c r="BC1021">
        <v>6.58</v>
      </c>
      <c r="BD1021" t="s">
        <v>3</v>
      </c>
      <c r="BE1021" t="s">
        <v>3</v>
      </c>
      <c r="BF1021" t="s">
        <v>3</v>
      </c>
      <c r="BG1021" t="s">
        <v>3</v>
      </c>
      <c r="BH1021">
        <v>0</v>
      </c>
      <c r="BI1021">
        <v>2</v>
      </c>
      <c r="BJ1021" t="s">
        <v>1117</v>
      </c>
      <c r="BM1021">
        <v>1608</v>
      </c>
      <c r="BN1021">
        <v>0</v>
      </c>
      <c r="BO1021" t="s">
        <v>1114</v>
      </c>
      <c r="BP1021">
        <v>1</v>
      </c>
      <c r="BQ1021">
        <v>40</v>
      </c>
      <c r="BR1021">
        <v>0</v>
      </c>
      <c r="BS1021">
        <v>25.44</v>
      </c>
      <c r="BT1021">
        <v>1</v>
      </c>
      <c r="BU1021">
        <v>1</v>
      </c>
      <c r="BV1021">
        <v>1</v>
      </c>
      <c r="BW1021">
        <v>1</v>
      </c>
      <c r="BX1021">
        <v>1</v>
      </c>
      <c r="BY1021" t="s">
        <v>3</v>
      </c>
      <c r="BZ1021">
        <v>77</v>
      </c>
      <c r="CA1021">
        <v>41</v>
      </c>
      <c r="CB1021" t="s">
        <v>3</v>
      </c>
      <c r="CE1021">
        <v>30</v>
      </c>
      <c r="CF1021">
        <v>0</v>
      </c>
      <c r="CG1021">
        <v>0</v>
      </c>
      <c r="CM1021">
        <v>0</v>
      </c>
      <c r="CN1021" t="s">
        <v>1118</v>
      </c>
      <c r="CO1021">
        <v>0</v>
      </c>
      <c r="CP1021">
        <f t="shared" si="880"/>
        <v>2918.67</v>
      </c>
      <c r="CQ1021">
        <f t="shared" si="881"/>
        <v>3417.98</v>
      </c>
      <c r="CR1021">
        <f>(ROUND((ROUND((((ET1021*1.25))*AV1021*1),2)*BB1021),2)+ROUND((ROUND(((AE1021-((EU1021*1.25)))*AV1021*1),2)*BS1021),2))</f>
        <v>6749.93</v>
      </c>
      <c r="CS1021">
        <f t="shared" si="882"/>
        <v>1971.85</v>
      </c>
      <c r="CT1021">
        <f t="shared" si="883"/>
        <v>62796.86</v>
      </c>
      <c r="CU1021">
        <f t="shared" si="884"/>
        <v>0</v>
      </c>
      <c r="CV1021">
        <f t="shared" si="885"/>
        <v>179.27349999999998</v>
      </c>
      <c r="CW1021">
        <f t="shared" si="886"/>
        <v>0</v>
      </c>
      <c r="CX1021">
        <f t="shared" si="887"/>
        <v>0</v>
      </c>
      <c r="CY1021">
        <f t="shared" si="888"/>
        <v>1934.2014999999999</v>
      </c>
      <c r="CZ1021">
        <f t="shared" si="889"/>
        <v>1029.8994999999998</v>
      </c>
      <c r="DC1021" t="s">
        <v>3</v>
      </c>
      <c r="DD1021" t="s">
        <v>3</v>
      </c>
      <c r="DE1021" t="s">
        <v>20</v>
      </c>
      <c r="DF1021" t="s">
        <v>20</v>
      </c>
      <c r="DG1021" t="s">
        <v>21</v>
      </c>
      <c r="DH1021" t="s">
        <v>3</v>
      </c>
      <c r="DI1021" t="s">
        <v>21</v>
      </c>
      <c r="DJ1021" t="s">
        <v>20</v>
      </c>
      <c r="DK1021" t="s">
        <v>3</v>
      </c>
      <c r="DL1021" t="s">
        <v>3</v>
      </c>
      <c r="DM1021" t="s">
        <v>3</v>
      </c>
      <c r="DN1021">
        <v>114</v>
      </c>
      <c r="DO1021">
        <v>67</v>
      </c>
      <c r="DP1021">
        <v>1</v>
      </c>
      <c r="DQ1021">
        <v>1</v>
      </c>
      <c r="DU1021">
        <v>1013</v>
      </c>
      <c r="DV1021" t="s">
        <v>1116</v>
      </c>
      <c r="DW1021" t="s">
        <v>1116</v>
      </c>
      <c r="DX1021">
        <v>1</v>
      </c>
      <c r="DZ1021" t="s">
        <v>3</v>
      </c>
      <c r="EA1021" t="s">
        <v>3</v>
      </c>
      <c r="EB1021" t="s">
        <v>3</v>
      </c>
      <c r="EC1021" t="s">
        <v>3</v>
      </c>
      <c r="EE1021">
        <v>43089686</v>
      </c>
      <c r="EF1021">
        <v>40</v>
      </c>
      <c r="EG1021" t="s">
        <v>553</v>
      </c>
      <c r="EH1021">
        <v>0</v>
      </c>
      <c r="EI1021" t="s">
        <v>3</v>
      </c>
      <c r="EJ1021">
        <v>2</v>
      </c>
      <c r="EK1021">
        <v>1608</v>
      </c>
      <c r="EL1021" t="s">
        <v>1119</v>
      </c>
      <c r="EM1021" t="s">
        <v>1120</v>
      </c>
      <c r="EO1021" t="s">
        <v>1121</v>
      </c>
      <c r="EQ1021">
        <v>0</v>
      </c>
      <c r="ER1021">
        <v>3381.13</v>
      </c>
      <c r="ES1021">
        <v>519.45000000000005</v>
      </c>
      <c r="ET1021">
        <v>715.22</v>
      </c>
      <c r="EU1021">
        <v>62.01</v>
      </c>
      <c r="EV1021">
        <v>2146.46</v>
      </c>
      <c r="EW1021">
        <v>155.88999999999999</v>
      </c>
      <c r="EX1021">
        <v>0</v>
      </c>
      <c r="EY1021">
        <v>0</v>
      </c>
      <c r="FQ1021">
        <v>0</v>
      </c>
      <c r="FR1021">
        <f t="shared" si="890"/>
        <v>0</v>
      </c>
      <c r="FS1021">
        <v>0</v>
      </c>
      <c r="FX1021">
        <v>114</v>
      </c>
      <c r="FY1021">
        <v>67</v>
      </c>
      <c r="GA1021" t="s">
        <v>3</v>
      </c>
      <c r="GD1021">
        <v>0</v>
      </c>
      <c r="GF1021">
        <v>1031233031</v>
      </c>
      <c r="GG1021">
        <v>2</v>
      </c>
      <c r="GH1021">
        <v>1</v>
      </c>
      <c r="GI1021">
        <v>2</v>
      </c>
      <c r="GJ1021">
        <v>0</v>
      </c>
      <c r="GK1021">
        <f>ROUND(R1021*(R12)/100,2)</f>
        <v>123.81</v>
      </c>
      <c r="GL1021">
        <f t="shared" si="891"/>
        <v>0</v>
      </c>
      <c r="GM1021">
        <f t="shared" si="892"/>
        <v>6006.58</v>
      </c>
      <c r="GN1021">
        <f t="shared" si="893"/>
        <v>0</v>
      </c>
      <c r="GO1021">
        <f t="shared" si="894"/>
        <v>6006.58</v>
      </c>
      <c r="GP1021">
        <f t="shared" si="895"/>
        <v>0</v>
      </c>
      <c r="GR1021">
        <v>0</v>
      </c>
      <c r="GS1021">
        <v>3</v>
      </c>
      <c r="GT1021">
        <v>0</v>
      </c>
      <c r="GU1021" t="s">
        <v>3</v>
      </c>
      <c r="GV1021">
        <f t="shared" si="896"/>
        <v>0</v>
      </c>
      <c r="GW1021">
        <v>1</v>
      </c>
      <c r="GX1021">
        <f t="shared" si="897"/>
        <v>0</v>
      </c>
      <c r="HA1021">
        <v>0</v>
      </c>
      <c r="HB1021">
        <v>0</v>
      </c>
      <c r="HC1021">
        <f t="shared" si="898"/>
        <v>0</v>
      </c>
      <c r="HE1021" t="s">
        <v>3</v>
      </c>
      <c r="HF1021" t="s">
        <v>3</v>
      </c>
      <c r="HM1021" t="s">
        <v>3</v>
      </c>
      <c r="IK1021">
        <v>0</v>
      </c>
    </row>
    <row r="1022" spans="1:245" x14ac:dyDescent="0.2">
      <c r="A1022">
        <v>18</v>
      </c>
      <c r="B1022">
        <v>1</v>
      </c>
      <c r="C1022">
        <v>519</v>
      </c>
      <c r="E1022" t="s">
        <v>1122</v>
      </c>
      <c r="F1022" t="s">
        <v>1123</v>
      </c>
      <c r="G1022" t="s">
        <v>1124</v>
      </c>
      <c r="H1022" t="s">
        <v>1062</v>
      </c>
      <c r="I1022">
        <f>I1021*J1022</f>
        <v>4</v>
      </c>
      <c r="J1022">
        <v>100</v>
      </c>
      <c r="K1022">
        <v>100</v>
      </c>
      <c r="O1022">
        <f t="shared" si="866"/>
        <v>1241.33</v>
      </c>
      <c r="P1022">
        <f t="shared" si="867"/>
        <v>1241.33</v>
      </c>
      <c r="Q1022">
        <f>(ROUND((ROUND(((ET1022)*AV1022*I1022),2)*BB1022),2)+ROUND((ROUND(((AE1022-(EU1022))*AV1022*I1022),2)*BS1022),2))</f>
        <v>0</v>
      </c>
      <c r="R1022">
        <f t="shared" si="868"/>
        <v>0</v>
      </c>
      <c r="S1022">
        <f t="shared" si="869"/>
        <v>0</v>
      </c>
      <c r="T1022">
        <f t="shared" si="870"/>
        <v>0</v>
      </c>
      <c r="U1022">
        <f t="shared" si="871"/>
        <v>0</v>
      </c>
      <c r="V1022">
        <f t="shared" si="872"/>
        <v>0</v>
      </c>
      <c r="W1022">
        <f t="shared" si="873"/>
        <v>0</v>
      </c>
      <c r="X1022">
        <f t="shared" si="874"/>
        <v>0</v>
      </c>
      <c r="Y1022">
        <f t="shared" si="875"/>
        <v>0</v>
      </c>
      <c r="AA1022">
        <v>42938047</v>
      </c>
      <c r="AB1022">
        <f t="shared" si="876"/>
        <v>153.63</v>
      </c>
      <c r="AC1022">
        <f t="shared" si="877"/>
        <v>153.63</v>
      </c>
      <c r="AD1022">
        <f>ROUND((((ET1022)-(EU1022))+AE1022),6)</f>
        <v>0</v>
      </c>
      <c r="AE1022">
        <f>ROUND((EU1022),6)</f>
        <v>0</v>
      </c>
      <c r="AF1022">
        <f>ROUND((EV1022),6)</f>
        <v>0</v>
      </c>
      <c r="AG1022">
        <f t="shared" si="878"/>
        <v>0</v>
      </c>
      <c r="AH1022">
        <f>(EW1022)</f>
        <v>0</v>
      </c>
      <c r="AI1022">
        <f>(EX1022)</f>
        <v>0</v>
      </c>
      <c r="AJ1022">
        <f t="shared" si="879"/>
        <v>0</v>
      </c>
      <c r="AK1022">
        <v>153.63</v>
      </c>
      <c r="AL1022">
        <v>153.63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1</v>
      </c>
      <c r="AW1022">
        <v>1</v>
      </c>
      <c r="AZ1022">
        <v>1</v>
      </c>
      <c r="BA1022">
        <v>1</v>
      </c>
      <c r="BB1022">
        <v>1</v>
      </c>
      <c r="BC1022">
        <v>2.02</v>
      </c>
      <c r="BD1022" t="s">
        <v>3</v>
      </c>
      <c r="BE1022" t="s">
        <v>3</v>
      </c>
      <c r="BF1022" t="s">
        <v>3</v>
      </c>
      <c r="BG1022" t="s">
        <v>3</v>
      </c>
      <c r="BH1022">
        <v>3</v>
      </c>
      <c r="BI1022">
        <v>2</v>
      </c>
      <c r="BJ1022" t="s">
        <v>1125</v>
      </c>
      <c r="BM1022">
        <v>1608</v>
      </c>
      <c r="BN1022">
        <v>0</v>
      </c>
      <c r="BO1022" t="s">
        <v>1123</v>
      </c>
      <c r="BP1022">
        <v>1</v>
      </c>
      <c r="BQ1022">
        <v>40</v>
      </c>
      <c r="BR1022">
        <v>0</v>
      </c>
      <c r="BS1022">
        <v>1</v>
      </c>
      <c r="BT1022">
        <v>1</v>
      </c>
      <c r="BU1022">
        <v>1</v>
      </c>
      <c r="BV1022">
        <v>1</v>
      </c>
      <c r="BW1022">
        <v>1</v>
      </c>
      <c r="BX1022">
        <v>1</v>
      </c>
      <c r="BY1022" t="s">
        <v>3</v>
      </c>
      <c r="BZ1022">
        <v>0</v>
      </c>
      <c r="CA1022">
        <v>0</v>
      </c>
      <c r="CB1022" t="s">
        <v>3</v>
      </c>
      <c r="CE1022">
        <v>30</v>
      </c>
      <c r="CF1022">
        <v>0</v>
      </c>
      <c r="CG1022">
        <v>0</v>
      </c>
      <c r="CM1022">
        <v>0</v>
      </c>
      <c r="CN1022" t="s">
        <v>3</v>
      </c>
      <c r="CO1022">
        <v>0</v>
      </c>
      <c r="CP1022">
        <f t="shared" si="880"/>
        <v>1241.33</v>
      </c>
      <c r="CQ1022">
        <f t="shared" si="881"/>
        <v>310.33</v>
      </c>
      <c r="CR1022">
        <f>(ROUND((ROUND(((ET1022)*AV1022*1),2)*BB1022),2)+ROUND((ROUND(((AE1022-(EU1022))*AV1022*1),2)*BS1022),2))</f>
        <v>0</v>
      </c>
      <c r="CS1022">
        <f t="shared" si="882"/>
        <v>0</v>
      </c>
      <c r="CT1022">
        <f t="shared" si="883"/>
        <v>0</v>
      </c>
      <c r="CU1022">
        <f t="shared" si="884"/>
        <v>0</v>
      </c>
      <c r="CV1022">
        <f t="shared" si="885"/>
        <v>0</v>
      </c>
      <c r="CW1022">
        <f t="shared" si="886"/>
        <v>0</v>
      </c>
      <c r="CX1022">
        <f t="shared" si="887"/>
        <v>0</v>
      </c>
      <c r="CY1022">
        <f t="shared" si="888"/>
        <v>0</v>
      </c>
      <c r="CZ1022">
        <f t="shared" si="889"/>
        <v>0</v>
      </c>
      <c r="DC1022" t="s">
        <v>3</v>
      </c>
      <c r="DD1022" t="s">
        <v>3</v>
      </c>
      <c r="DE1022" t="s">
        <v>3</v>
      </c>
      <c r="DF1022" t="s">
        <v>3</v>
      </c>
      <c r="DG1022" t="s">
        <v>3</v>
      </c>
      <c r="DH1022" t="s">
        <v>3</v>
      </c>
      <c r="DI1022" t="s">
        <v>3</v>
      </c>
      <c r="DJ1022" t="s">
        <v>3</v>
      </c>
      <c r="DK1022" t="s">
        <v>3</v>
      </c>
      <c r="DL1022" t="s">
        <v>3</v>
      </c>
      <c r="DM1022" t="s">
        <v>3</v>
      </c>
      <c r="DN1022">
        <v>114</v>
      </c>
      <c r="DO1022">
        <v>67</v>
      </c>
      <c r="DP1022">
        <v>1</v>
      </c>
      <c r="DQ1022">
        <v>1</v>
      </c>
      <c r="DU1022">
        <v>1013</v>
      </c>
      <c r="DV1022" t="s">
        <v>1062</v>
      </c>
      <c r="DW1022" t="s">
        <v>1062</v>
      </c>
      <c r="DX1022">
        <v>1</v>
      </c>
      <c r="DZ1022" t="s">
        <v>3</v>
      </c>
      <c r="EA1022" t="s">
        <v>3</v>
      </c>
      <c r="EB1022" t="s">
        <v>3</v>
      </c>
      <c r="EC1022" t="s">
        <v>3</v>
      </c>
      <c r="EE1022">
        <v>43089686</v>
      </c>
      <c r="EF1022">
        <v>40</v>
      </c>
      <c r="EG1022" t="s">
        <v>553</v>
      </c>
      <c r="EH1022">
        <v>0</v>
      </c>
      <c r="EI1022" t="s">
        <v>3</v>
      </c>
      <c r="EJ1022">
        <v>2</v>
      </c>
      <c r="EK1022">
        <v>1608</v>
      </c>
      <c r="EL1022" t="s">
        <v>1119</v>
      </c>
      <c r="EM1022" t="s">
        <v>1120</v>
      </c>
      <c r="EO1022" t="s">
        <v>3</v>
      </c>
      <c r="EQ1022">
        <v>0</v>
      </c>
      <c r="ER1022">
        <v>153.63</v>
      </c>
      <c r="ES1022">
        <v>153.63</v>
      </c>
      <c r="ET1022">
        <v>0</v>
      </c>
      <c r="EU1022">
        <v>0</v>
      </c>
      <c r="EV1022">
        <v>0</v>
      </c>
      <c r="EW1022">
        <v>0</v>
      </c>
      <c r="EX1022">
        <v>0</v>
      </c>
      <c r="FQ1022">
        <v>0</v>
      </c>
      <c r="FR1022">
        <f t="shared" si="890"/>
        <v>0</v>
      </c>
      <c r="FS1022">
        <v>0</v>
      </c>
      <c r="FX1022">
        <v>114</v>
      </c>
      <c r="FY1022">
        <v>67</v>
      </c>
      <c r="GA1022" t="s">
        <v>3</v>
      </c>
      <c r="GD1022">
        <v>0</v>
      </c>
      <c r="GF1022">
        <v>-2023689584</v>
      </c>
      <c r="GG1022">
        <v>2</v>
      </c>
      <c r="GH1022">
        <v>1</v>
      </c>
      <c r="GI1022">
        <v>2</v>
      </c>
      <c r="GJ1022">
        <v>0</v>
      </c>
      <c r="GK1022">
        <f>ROUND(R1022*(R12)/100,2)</f>
        <v>0</v>
      </c>
      <c r="GL1022">
        <f t="shared" si="891"/>
        <v>0</v>
      </c>
      <c r="GM1022">
        <f t="shared" si="892"/>
        <v>1241.33</v>
      </c>
      <c r="GN1022">
        <f t="shared" si="893"/>
        <v>0</v>
      </c>
      <c r="GO1022">
        <f t="shared" si="894"/>
        <v>1241.33</v>
      </c>
      <c r="GP1022">
        <f t="shared" si="895"/>
        <v>0</v>
      </c>
      <c r="GR1022">
        <v>0</v>
      </c>
      <c r="GS1022">
        <v>3</v>
      </c>
      <c r="GT1022">
        <v>0</v>
      </c>
      <c r="GU1022" t="s">
        <v>3</v>
      </c>
      <c r="GV1022">
        <f t="shared" si="896"/>
        <v>0</v>
      </c>
      <c r="GW1022">
        <v>1</v>
      </c>
      <c r="GX1022">
        <f t="shared" si="897"/>
        <v>0</v>
      </c>
      <c r="HA1022">
        <v>0</v>
      </c>
      <c r="HB1022">
        <v>0</v>
      </c>
      <c r="HC1022">
        <f t="shared" si="898"/>
        <v>0</v>
      </c>
      <c r="HE1022" t="s">
        <v>3</v>
      </c>
      <c r="HF1022" t="s">
        <v>3</v>
      </c>
      <c r="HM1022" t="s">
        <v>3</v>
      </c>
      <c r="IK1022">
        <v>0</v>
      </c>
    </row>
    <row r="1023" spans="1:245" x14ac:dyDescent="0.2">
      <c r="A1023">
        <v>17</v>
      </c>
      <c r="B1023">
        <v>1</v>
      </c>
      <c r="C1023">
        <f>ROW(SmtRes!A521)</f>
        <v>521</v>
      </c>
      <c r="D1023">
        <f>ROW(EtalonRes!A513)</f>
        <v>513</v>
      </c>
      <c r="E1023" t="s">
        <v>1126</v>
      </c>
      <c r="F1023" t="s">
        <v>1127</v>
      </c>
      <c r="G1023" t="s">
        <v>1128</v>
      </c>
      <c r="H1023" t="s">
        <v>977</v>
      </c>
      <c r="I1023">
        <f>ROUND(200/100,9)</f>
        <v>2</v>
      </c>
      <c r="J1023">
        <v>0</v>
      </c>
      <c r="K1023">
        <f>ROUND(200/100,9)</f>
        <v>2</v>
      </c>
      <c r="O1023">
        <f t="shared" si="866"/>
        <v>13054.69</v>
      </c>
      <c r="P1023">
        <f t="shared" si="867"/>
        <v>474.42</v>
      </c>
      <c r="Q1023">
        <f>(ROUND((ROUND((((ET1023*1.25))*AV1023*I1023),2)*BB1023),2)+ROUND((ROUND(((AE1023-((EU1023*1.25)))*AV1023*I1023),2)*BS1023),2))</f>
        <v>1181.6199999999999</v>
      </c>
      <c r="R1023">
        <f t="shared" si="868"/>
        <v>658.9</v>
      </c>
      <c r="S1023">
        <f t="shared" si="869"/>
        <v>11398.65</v>
      </c>
      <c r="T1023">
        <f t="shared" si="870"/>
        <v>0</v>
      </c>
      <c r="U1023">
        <f t="shared" si="871"/>
        <v>36.339999999999996</v>
      </c>
      <c r="V1023">
        <f t="shared" si="872"/>
        <v>0</v>
      </c>
      <c r="W1023">
        <f t="shared" si="873"/>
        <v>0</v>
      </c>
      <c r="X1023">
        <f t="shared" si="874"/>
        <v>8776.9599999999991</v>
      </c>
      <c r="Y1023">
        <f t="shared" si="875"/>
        <v>4673.45</v>
      </c>
      <c r="AA1023">
        <v>42938047</v>
      </c>
      <c r="AB1023">
        <f t="shared" si="876"/>
        <v>317.71899999999999</v>
      </c>
      <c r="AC1023">
        <f t="shared" si="877"/>
        <v>36.049999999999997</v>
      </c>
      <c r="AD1023">
        <f>ROUND(((((ET1023*1.25))-((EU1023*1.25)))+AE1023),6)</f>
        <v>57.637500000000003</v>
      </c>
      <c r="AE1023">
        <f>ROUND(((EU1023*1.25)),6)</f>
        <v>12.95</v>
      </c>
      <c r="AF1023">
        <f>ROUND(((EV1023*1.15)),6)</f>
        <v>224.03149999999999</v>
      </c>
      <c r="AG1023">
        <f t="shared" si="878"/>
        <v>0</v>
      </c>
      <c r="AH1023">
        <f>((EW1023*1.15))</f>
        <v>18.169999999999998</v>
      </c>
      <c r="AI1023">
        <f>((EX1023*1.25))</f>
        <v>0</v>
      </c>
      <c r="AJ1023">
        <f t="shared" si="879"/>
        <v>0</v>
      </c>
      <c r="AK1023">
        <v>276.97000000000003</v>
      </c>
      <c r="AL1023">
        <v>36.049999999999997</v>
      </c>
      <c r="AM1023">
        <v>46.11</v>
      </c>
      <c r="AN1023">
        <v>10.36</v>
      </c>
      <c r="AO1023">
        <v>194.81</v>
      </c>
      <c r="AP1023">
        <v>0</v>
      </c>
      <c r="AQ1023">
        <v>15.8</v>
      </c>
      <c r="AR1023">
        <v>0</v>
      </c>
      <c r="AS1023">
        <v>0</v>
      </c>
      <c r="AT1023">
        <v>77</v>
      </c>
      <c r="AU1023">
        <v>41</v>
      </c>
      <c r="AV1023">
        <v>1</v>
      </c>
      <c r="AW1023">
        <v>1</v>
      </c>
      <c r="AZ1023">
        <v>1</v>
      </c>
      <c r="BA1023">
        <v>25.44</v>
      </c>
      <c r="BB1023">
        <v>10.25</v>
      </c>
      <c r="BC1023">
        <v>6.58</v>
      </c>
      <c r="BD1023" t="s">
        <v>3</v>
      </c>
      <c r="BE1023" t="s">
        <v>3</v>
      </c>
      <c r="BF1023" t="s">
        <v>3</v>
      </c>
      <c r="BG1023" t="s">
        <v>3</v>
      </c>
      <c r="BH1023">
        <v>0</v>
      </c>
      <c r="BI1023">
        <v>2</v>
      </c>
      <c r="BJ1023" t="s">
        <v>1129</v>
      </c>
      <c r="BM1023">
        <v>318</v>
      </c>
      <c r="BN1023">
        <v>0</v>
      </c>
      <c r="BO1023" t="s">
        <v>1127</v>
      </c>
      <c r="BP1023">
        <v>1</v>
      </c>
      <c r="BQ1023">
        <v>40</v>
      </c>
      <c r="BR1023">
        <v>0</v>
      </c>
      <c r="BS1023">
        <v>25.44</v>
      </c>
      <c r="BT1023">
        <v>1</v>
      </c>
      <c r="BU1023">
        <v>1</v>
      </c>
      <c r="BV1023">
        <v>1</v>
      </c>
      <c r="BW1023">
        <v>1</v>
      </c>
      <c r="BX1023">
        <v>1</v>
      </c>
      <c r="BY1023" t="s">
        <v>3</v>
      </c>
      <c r="BZ1023">
        <v>77</v>
      </c>
      <c r="CA1023">
        <v>41</v>
      </c>
      <c r="CB1023" t="s">
        <v>3</v>
      </c>
      <c r="CE1023">
        <v>30</v>
      </c>
      <c r="CF1023">
        <v>0</v>
      </c>
      <c r="CG1023">
        <v>0</v>
      </c>
      <c r="CM1023">
        <v>0</v>
      </c>
      <c r="CN1023" t="s">
        <v>1118</v>
      </c>
      <c r="CO1023">
        <v>0</v>
      </c>
      <c r="CP1023">
        <f t="shared" si="880"/>
        <v>13054.689999999999</v>
      </c>
      <c r="CQ1023">
        <f t="shared" si="881"/>
        <v>237.21</v>
      </c>
      <c r="CR1023">
        <f>(ROUND((ROUND((((ET1023*1.25))*AV1023*1),2)*BB1023),2)+ROUND((ROUND(((AE1023-((EU1023*1.25)))*AV1023*1),2)*BS1023),2))</f>
        <v>590.80999999999995</v>
      </c>
      <c r="CS1023">
        <f t="shared" si="882"/>
        <v>329.45</v>
      </c>
      <c r="CT1023">
        <f t="shared" si="883"/>
        <v>5699.32</v>
      </c>
      <c r="CU1023">
        <f t="shared" si="884"/>
        <v>0</v>
      </c>
      <c r="CV1023">
        <f t="shared" si="885"/>
        <v>18.169999999999998</v>
      </c>
      <c r="CW1023">
        <f t="shared" si="886"/>
        <v>0</v>
      </c>
      <c r="CX1023">
        <f t="shared" si="887"/>
        <v>0</v>
      </c>
      <c r="CY1023">
        <f t="shared" si="888"/>
        <v>8776.9604999999992</v>
      </c>
      <c r="CZ1023">
        <f t="shared" si="889"/>
        <v>4673.4465</v>
      </c>
      <c r="DC1023" t="s">
        <v>3</v>
      </c>
      <c r="DD1023" t="s">
        <v>3</v>
      </c>
      <c r="DE1023" t="s">
        <v>20</v>
      </c>
      <c r="DF1023" t="s">
        <v>20</v>
      </c>
      <c r="DG1023" t="s">
        <v>21</v>
      </c>
      <c r="DH1023" t="s">
        <v>3</v>
      </c>
      <c r="DI1023" t="s">
        <v>21</v>
      </c>
      <c r="DJ1023" t="s">
        <v>20</v>
      </c>
      <c r="DK1023" t="s">
        <v>3</v>
      </c>
      <c r="DL1023" t="s">
        <v>3</v>
      </c>
      <c r="DM1023" t="s">
        <v>3</v>
      </c>
      <c r="DN1023">
        <v>114</v>
      </c>
      <c r="DO1023">
        <v>67</v>
      </c>
      <c r="DP1023">
        <v>1</v>
      </c>
      <c r="DQ1023">
        <v>1</v>
      </c>
      <c r="DU1023">
        <v>1013</v>
      </c>
      <c r="DV1023" t="s">
        <v>977</v>
      </c>
      <c r="DW1023" t="s">
        <v>977</v>
      </c>
      <c r="DX1023">
        <v>1</v>
      </c>
      <c r="DZ1023" t="s">
        <v>3</v>
      </c>
      <c r="EA1023" t="s">
        <v>3</v>
      </c>
      <c r="EB1023" t="s">
        <v>3</v>
      </c>
      <c r="EC1023" t="s">
        <v>3</v>
      </c>
      <c r="EE1023">
        <v>43088396</v>
      </c>
      <c r="EF1023">
        <v>40</v>
      </c>
      <c r="EG1023" t="s">
        <v>553</v>
      </c>
      <c r="EH1023">
        <v>0</v>
      </c>
      <c r="EI1023" t="s">
        <v>3</v>
      </c>
      <c r="EJ1023">
        <v>2</v>
      </c>
      <c r="EK1023">
        <v>318</v>
      </c>
      <c r="EL1023" t="s">
        <v>979</v>
      </c>
      <c r="EM1023" t="s">
        <v>980</v>
      </c>
      <c r="EO1023" t="s">
        <v>1121</v>
      </c>
      <c r="EQ1023">
        <v>0</v>
      </c>
      <c r="ER1023">
        <v>276.97000000000003</v>
      </c>
      <c r="ES1023">
        <v>36.049999999999997</v>
      </c>
      <c r="ET1023">
        <v>46.11</v>
      </c>
      <c r="EU1023">
        <v>10.36</v>
      </c>
      <c r="EV1023">
        <v>194.81</v>
      </c>
      <c r="EW1023">
        <v>15.8</v>
      </c>
      <c r="EX1023">
        <v>0</v>
      </c>
      <c r="EY1023">
        <v>0</v>
      </c>
      <c r="FQ1023">
        <v>0</v>
      </c>
      <c r="FR1023">
        <f t="shared" si="890"/>
        <v>0</v>
      </c>
      <c r="FS1023">
        <v>0</v>
      </c>
      <c r="FX1023">
        <v>114</v>
      </c>
      <c r="FY1023">
        <v>67</v>
      </c>
      <c r="GA1023" t="s">
        <v>3</v>
      </c>
      <c r="GD1023">
        <v>0</v>
      </c>
      <c r="GF1023">
        <v>-243628578</v>
      </c>
      <c r="GG1023">
        <v>2</v>
      </c>
      <c r="GH1023">
        <v>1</v>
      </c>
      <c r="GI1023">
        <v>2</v>
      </c>
      <c r="GJ1023">
        <v>0</v>
      </c>
      <c r="GK1023">
        <f>ROUND(R1023*(R12)/100,2)</f>
        <v>1034.47</v>
      </c>
      <c r="GL1023">
        <f t="shared" si="891"/>
        <v>0</v>
      </c>
      <c r="GM1023">
        <f t="shared" si="892"/>
        <v>27539.57</v>
      </c>
      <c r="GN1023">
        <f t="shared" si="893"/>
        <v>0</v>
      </c>
      <c r="GO1023">
        <f t="shared" si="894"/>
        <v>27539.57</v>
      </c>
      <c r="GP1023">
        <f t="shared" si="895"/>
        <v>0</v>
      </c>
      <c r="GR1023">
        <v>0</v>
      </c>
      <c r="GS1023">
        <v>3</v>
      </c>
      <c r="GT1023">
        <v>0</v>
      </c>
      <c r="GU1023" t="s">
        <v>3</v>
      </c>
      <c r="GV1023">
        <f t="shared" si="896"/>
        <v>0</v>
      </c>
      <c r="GW1023">
        <v>1</v>
      </c>
      <c r="GX1023">
        <f t="shared" si="897"/>
        <v>0</v>
      </c>
      <c r="HA1023">
        <v>0</v>
      </c>
      <c r="HB1023">
        <v>0</v>
      </c>
      <c r="HC1023">
        <f t="shared" si="898"/>
        <v>0</v>
      </c>
      <c r="HE1023" t="s">
        <v>3</v>
      </c>
      <c r="HF1023" t="s">
        <v>3</v>
      </c>
      <c r="HM1023" t="s">
        <v>3</v>
      </c>
      <c r="IK1023">
        <v>0</v>
      </c>
    </row>
    <row r="1024" spans="1:245" x14ac:dyDescent="0.2">
      <c r="A1024">
        <v>18</v>
      </c>
      <c r="B1024">
        <v>1</v>
      </c>
      <c r="C1024">
        <v>521</v>
      </c>
      <c r="E1024" t="s">
        <v>1130</v>
      </c>
      <c r="F1024" t="s">
        <v>1131</v>
      </c>
      <c r="G1024" t="s">
        <v>1132</v>
      </c>
      <c r="H1024" t="s">
        <v>810</v>
      </c>
      <c r="I1024">
        <f>I1023*J1024</f>
        <v>0.25</v>
      </c>
      <c r="J1024">
        <v>0.125</v>
      </c>
      <c r="K1024">
        <v>0.125</v>
      </c>
      <c r="O1024">
        <f t="shared" si="866"/>
        <v>216330.92</v>
      </c>
      <c r="P1024">
        <f t="shared" si="867"/>
        <v>216330.92</v>
      </c>
      <c r="Q1024">
        <f>(ROUND((ROUND(((ET1024)*AV1024*I1024),2)*BB1024),2)+ROUND((ROUND(((AE1024-(EU1024))*AV1024*I1024),2)*BS1024),2))</f>
        <v>0</v>
      </c>
      <c r="R1024">
        <f t="shared" si="868"/>
        <v>0</v>
      </c>
      <c r="S1024">
        <f t="shared" si="869"/>
        <v>0</v>
      </c>
      <c r="T1024">
        <f t="shared" si="870"/>
        <v>0</v>
      </c>
      <c r="U1024">
        <f t="shared" si="871"/>
        <v>0</v>
      </c>
      <c r="V1024">
        <f t="shared" si="872"/>
        <v>0</v>
      </c>
      <c r="W1024">
        <f t="shared" si="873"/>
        <v>0</v>
      </c>
      <c r="X1024">
        <f t="shared" si="874"/>
        <v>0</v>
      </c>
      <c r="Y1024">
        <f t="shared" si="875"/>
        <v>0</v>
      </c>
      <c r="AA1024">
        <v>42938047</v>
      </c>
      <c r="AB1024">
        <f t="shared" si="876"/>
        <v>85337.64</v>
      </c>
      <c r="AC1024">
        <f t="shared" si="877"/>
        <v>85337.64</v>
      </c>
      <c r="AD1024">
        <f>ROUND((((ET1024)-(EU1024))+AE1024),6)</f>
        <v>0</v>
      </c>
      <c r="AE1024">
        <f>ROUND((EU1024),6)</f>
        <v>0</v>
      </c>
      <c r="AF1024">
        <f>ROUND((EV1024),6)</f>
        <v>0</v>
      </c>
      <c r="AG1024">
        <f t="shared" si="878"/>
        <v>0</v>
      </c>
      <c r="AH1024">
        <f>(EW1024)</f>
        <v>0</v>
      </c>
      <c r="AI1024">
        <f>(EX1024)</f>
        <v>0</v>
      </c>
      <c r="AJ1024">
        <f t="shared" si="879"/>
        <v>0</v>
      </c>
      <c r="AK1024">
        <v>85337.64</v>
      </c>
      <c r="AL1024">
        <v>85337.64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1</v>
      </c>
      <c r="AW1024">
        <v>1</v>
      </c>
      <c r="AZ1024">
        <v>1</v>
      </c>
      <c r="BA1024">
        <v>1</v>
      </c>
      <c r="BB1024">
        <v>1</v>
      </c>
      <c r="BC1024">
        <v>10.14</v>
      </c>
      <c r="BD1024" t="s">
        <v>3</v>
      </c>
      <c r="BE1024" t="s">
        <v>3</v>
      </c>
      <c r="BF1024" t="s">
        <v>3</v>
      </c>
      <c r="BG1024" t="s">
        <v>3</v>
      </c>
      <c r="BH1024">
        <v>3</v>
      </c>
      <c r="BI1024">
        <v>2</v>
      </c>
      <c r="BJ1024" t="s">
        <v>1133</v>
      </c>
      <c r="BM1024">
        <v>318</v>
      </c>
      <c r="BN1024">
        <v>0</v>
      </c>
      <c r="BO1024" t="s">
        <v>1131</v>
      </c>
      <c r="BP1024">
        <v>1</v>
      </c>
      <c r="BQ1024">
        <v>40</v>
      </c>
      <c r="BR1024">
        <v>0</v>
      </c>
      <c r="BS1024">
        <v>1</v>
      </c>
      <c r="BT1024">
        <v>1</v>
      </c>
      <c r="BU1024">
        <v>1</v>
      </c>
      <c r="BV1024">
        <v>1</v>
      </c>
      <c r="BW1024">
        <v>1</v>
      </c>
      <c r="BX1024">
        <v>1</v>
      </c>
      <c r="BY1024" t="s">
        <v>3</v>
      </c>
      <c r="BZ1024">
        <v>0</v>
      </c>
      <c r="CA1024">
        <v>0</v>
      </c>
      <c r="CB1024" t="s">
        <v>3</v>
      </c>
      <c r="CE1024">
        <v>30</v>
      </c>
      <c r="CF1024">
        <v>0</v>
      </c>
      <c r="CG1024">
        <v>0</v>
      </c>
      <c r="CM1024">
        <v>0</v>
      </c>
      <c r="CN1024" t="s">
        <v>3</v>
      </c>
      <c r="CO1024">
        <v>0</v>
      </c>
      <c r="CP1024">
        <f t="shared" si="880"/>
        <v>216330.92</v>
      </c>
      <c r="CQ1024">
        <f t="shared" si="881"/>
        <v>865323.67</v>
      </c>
      <c r="CR1024">
        <f>(ROUND((ROUND(((ET1024)*AV1024*1),2)*BB1024),2)+ROUND((ROUND(((AE1024-(EU1024))*AV1024*1),2)*BS1024),2))</f>
        <v>0</v>
      </c>
      <c r="CS1024">
        <f t="shared" si="882"/>
        <v>0</v>
      </c>
      <c r="CT1024">
        <f t="shared" si="883"/>
        <v>0</v>
      </c>
      <c r="CU1024">
        <f t="shared" si="884"/>
        <v>0</v>
      </c>
      <c r="CV1024">
        <f t="shared" si="885"/>
        <v>0</v>
      </c>
      <c r="CW1024">
        <f t="shared" si="886"/>
        <v>0</v>
      </c>
      <c r="CX1024">
        <f t="shared" si="887"/>
        <v>0</v>
      </c>
      <c r="CY1024">
        <f t="shared" si="888"/>
        <v>0</v>
      </c>
      <c r="CZ1024">
        <f t="shared" si="889"/>
        <v>0</v>
      </c>
      <c r="DC1024" t="s">
        <v>3</v>
      </c>
      <c r="DD1024" t="s">
        <v>3</v>
      </c>
      <c r="DE1024" t="s">
        <v>3</v>
      </c>
      <c r="DF1024" t="s">
        <v>3</v>
      </c>
      <c r="DG1024" t="s">
        <v>3</v>
      </c>
      <c r="DH1024" t="s">
        <v>3</v>
      </c>
      <c r="DI1024" t="s">
        <v>3</v>
      </c>
      <c r="DJ1024" t="s">
        <v>3</v>
      </c>
      <c r="DK1024" t="s">
        <v>3</v>
      </c>
      <c r="DL1024" t="s">
        <v>3</v>
      </c>
      <c r="DM1024" t="s">
        <v>3</v>
      </c>
      <c r="DN1024">
        <v>114</v>
      </c>
      <c r="DO1024">
        <v>67</v>
      </c>
      <c r="DP1024">
        <v>1</v>
      </c>
      <c r="DQ1024">
        <v>1</v>
      </c>
      <c r="DU1024">
        <v>1003</v>
      </c>
      <c r="DV1024" t="s">
        <v>810</v>
      </c>
      <c r="DW1024" t="s">
        <v>810</v>
      </c>
      <c r="DX1024">
        <v>1000</v>
      </c>
      <c r="DZ1024" t="s">
        <v>3</v>
      </c>
      <c r="EA1024" t="s">
        <v>3</v>
      </c>
      <c r="EB1024" t="s">
        <v>3</v>
      </c>
      <c r="EC1024" t="s">
        <v>3</v>
      </c>
      <c r="EE1024">
        <v>43088396</v>
      </c>
      <c r="EF1024">
        <v>40</v>
      </c>
      <c r="EG1024" t="s">
        <v>553</v>
      </c>
      <c r="EH1024">
        <v>0</v>
      </c>
      <c r="EI1024" t="s">
        <v>3</v>
      </c>
      <c r="EJ1024">
        <v>2</v>
      </c>
      <c r="EK1024">
        <v>318</v>
      </c>
      <c r="EL1024" t="s">
        <v>979</v>
      </c>
      <c r="EM1024" t="s">
        <v>980</v>
      </c>
      <c r="EO1024" t="s">
        <v>3</v>
      </c>
      <c r="EQ1024">
        <v>0</v>
      </c>
      <c r="ER1024">
        <v>85337.64</v>
      </c>
      <c r="ES1024">
        <v>85337.64</v>
      </c>
      <c r="ET1024">
        <v>0</v>
      </c>
      <c r="EU1024">
        <v>0</v>
      </c>
      <c r="EV1024">
        <v>0</v>
      </c>
      <c r="EW1024">
        <v>0</v>
      </c>
      <c r="EX1024">
        <v>0</v>
      </c>
      <c r="FQ1024">
        <v>0</v>
      </c>
      <c r="FR1024">
        <f t="shared" si="890"/>
        <v>0</v>
      </c>
      <c r="FS1024">
        <v>0</v>
      </c>
      <c r="FX1024">
        <v>114</v>
      </c>
      <c r="FY1024">
        <v>67</v>
      </c>
      <c r="GA1024" t="s">
        <v>3</v>
      </c>
      <c r="GD1024">
        <v>0</v>
      </c>
      <c r="GF1024">
        <v>2107958880</v>
      </c>
      <c r="GG1024">
        <v>2</v>
      </c>
      <c r="GH1024">
        <v>1</v>
      </c>
      <c r="GI1024">
        <v>2</v>
      </c>
      <c r="GJ1024">
        <v>0</v>
      </c>
      <c r="GK1024">
        <f>ROUND(R1024*(R12)/100,2)</f>
        <v>0</v>
      </c>
      <c r="GL1024">
        <f t="shared" si="891"/>
        <v>0</v>
      </c>
      <c r="GM1024">
        <f t="shared" si="892"/>
        <v>216330.92</v>
      </c>
      <c r="GN1024">
        <f t="shared" si="893"/>
        <v>0</v>
      </c>
      <c r="GO1024">
        <f t="shared" si="894"/>
        <v>216330.92</v>
      </c>
      <c r="GP1024">
        <f t="shared" si="895"/>
        <v>0</v>
      </c>
      <c r="GR1024">
        <v>0</v>
      </c>
      <c r="GS1024">
        <v>3</v>
      </c>
      <c r="GT1024">
        <v>0</v>
      </c>
      <c r="GU1024" t="s">
        <v>3</v>
      </c>
      <c r="GV1024">
        <f t="shared" si="896"/>
        <v>0</v>
      </c>
      <c r="GW1024">
        <v>1</v>
      </c>
      <c r="GX1024">
        <f t="shared" si="897"/>
        <v>0</v>
      </c>
      <c r="HA1024">
        <v>0</v>
      </c>
      <c r="HB1024">
        <v>0</v>
      </c>
      <c r="HC1024">
        <f t="shared" si="898"/>
        <v>0</v>
      </c>
      <c r="HE1024" t="s">
        <v>3</v>
      </c>
      <c r="HF1024" t="s">
        <v>3</v>
      </c>
      <c r="HM1024" t="s">
        <v>3</v>
      </c>
      <c r="IK1024">
        <v>0</v>
      </c>
    </row>
    <row r="1025" spans="1:245" x14ac:dyDescent="0.2">
      <c r="A1025">
        <v>17</v>
      </c>
      <c r="B1025">
        <v>1</v>
      </c>
      <c r="C1025">
        <f>ROW(SmtRes!A523)</f>
        <v>523</v>
      </c>
      <c r="D1025">
        <f>ROW(EtalonRes!A515)</f>
        <v>515</v>
      </c>
      <c r="E1025" t="s">
        <v>1134</v>
      </c>
      <c r="F1025" t="s">
        <v>1135</v>
      </c>
      <c r="G1025" t="s">
        <v>1136</v>
      </c>
      <c r="H1025" t="s">
        <v>1137</v>
      </c>
      <c r="I1025">
        <f>ROUND(4/100,9)</f>
        <v>0.04</v>
      </c>
      <c r="J1025">
        <v>0</v>
      </c>
      <c r="K1025">
        <f>ROUND(4/100,9)</f>
        <v>0.04</v>
      </c>
      <c r="O1025">
        <f t="shared" si="866"/>
        <v>1420.66</v>
      </c>
      <c r="P1025">
        <f t="shared" si="867"/>
        <v>0</v>
      </c>
      <c r="Q1025">
        <f>(ROUND((ROUND((((ET1025*1.25))*AV1025*I1025),2)*BB1025),2)+ROUND((ROUND(((AE1025-((EU1025*1.25)))*AV1025*I1025),2)*BS1025),2))</f>
        <v>1217.3900000000001</v>
      </c>
      <c r="R1025">
        <f t="shared" si="868"/>
        <v>530.41999999999996</v>
      </c>
      <c r="S1025">
        <f t="shared" si="869"/>
        <v>203.27</v>
      </c>
      <c r="T1025">
        <f t="shared" si="870"/>
        <v>0</v>
      </c>
      <c r="U1025">
        <f t="shared" si="871"/>
        <v>0.78199999999999992</v>
      </c>
      <c r="V1025">
        <f t="shared" si="872"/>
        <v>0</v>
      </c>
      <c r="W1025">
        <f t="shared" si="873"/>
        <v>0</v>
      </c>
      <c r="X1025">
        <f t="shared" si="874"/>
        <v>187.01</v>
      </c>
      <c r="Y1025">
        <f t="shared" si="875"/>
        <v>101.64</v>
      </c>
      <c r="AA1025">
        <v>42938047</v>
      </c>
      <c r="AB1025">
        <f t="shared" si="876"/>
        <v>2544.4385000000002</v>
      </c>
      <c r="AC1025">
        <f t="shared" si="877"/>
        <v>0</v>
      </c>
      <c r="AD1025">
        <f>ROUND(((((ET1025*1.25))-((EU1025*1.25)))+AE1025),6)</f>
        <v>2344.6374999999998</v>
      </c>
      <c r="AE1025">
        <f>ROUND(((EU1025*1.25)),6)</f>
        <v>521.23749999999995</v>
      </c>
      <c r="AF1025">
        <f>ROUND(((EV1025*1.15)),6)</f>
        <v>199.80099999999999</v>
      </c>
      <c r="AG1025">
        <f t="shared" si="878"/>
        <v>0</v>
      </c>
      <c r="AH1025">
        <f>((EW1025*1.15))</f>
        <v>19.549999999999997</v>
      </c>
      <c r="AI1025">
        <f>((EX1025*1.25))</f>
        <v>0</v>
      </c>
      <c r="AJ1025">
        <f t="shared" si="879"/>
        <v>0</v>
      </c>
      <c r="AK1025">
        <v>2049.4499999999998</v>
      </c>
      <c r="AL1025">
        <v>0</v>
      </c>
      <c r="AM1025">
        <v>1875.71</v>
      </c>
      <c r="AN1025">
        <v>416.99</v>
      </c>
      <c r="AO1025">
        <v>173.74</v>
      </c>
      <c r="AP1025">
        <v>0</v>
      </c>
      <c r="AQ1025">
        <v>17</v>
      </c>
      <c r="AR1025">
        <v>0</v>
      </c>
      <c r="AS1025">
        <v>0</v>
      </c>
      <c r="AT1025">
        <v>92</v>
      </c>
      <c r="AU1025">
        <v>50</v>
      </c>
      <c r="AV1025">
        <v>1</v>
      </c>
      <c r="AW1025">
        <v>1</v>
      </c>
      <c r="AZ1025">
        <v>1</v>
      </c>
      <c r="BA1025">
        <v>25.44</v>
      </c>
      <c r="BB1025">
        <v>12.98</v>
      </c>
      <c r="BC1025">
        <v>1</v>
      </c>
      <c r="BD1025" t="s">
        <v>3</v>
      </c>
      <c r="BE1025" t="s">
        <v>3</v>
      </c>
      <c r="BF1025" t="s">
        <v>3</v>
      </c>
      <c r="BG1025" t="s">
        <v>3</v>
      </c>
      <c r="BH1025">
        <v>0</v>
      </c>
      <c r="BI1025">
        <v>1</v>
      </c>
      <c r="BJ1025" t="s">
        <v>1138</v>
      </c>
      <c r="BM1025">
        <v>15</v>
      </c>
      <c r="BN1025">
        <v>0</v>
      </c>
      <c r="BO1025" t="s">
        <v>1135</v>
      </c>
      <c r="BP1025">
        <v>1</v>
      </c>
      <c r="BQ1025">
        <v>30</v>
      </c>
      <c r="BR1025">
        <v>0</v>
      </c>
      <c r="BS1025">
        <v>25.44</v>
      </c>
      <c r="BT1025">
        <v>1</v>
      </c>
      <c r="BU1025">
        <v>1</v>
      </c>
      <c r="BV1025">
        <v>1</v>
      </c>
      <c r="BW1025">
        <v>1</v>
      </c>
      <c r="BX1025">
        <v>1</v>
      </c>
      <c r="BY1025" t="s">
        <v>3</v>
      </c>
      <c r="BZ1025">
        <v>92</v>
      </c>
      <c r="CA1025">
        <v>50</v>
      </c>
      <c r="CB1025" t="s">
        <v>3</v>
      </c>
      <c r="CE1025">
        <v>30</v>
      </c>
      <c r="CF1025">
        <v>0</v>
      </c>
      <c r="CG1025">
        <v>0</v>
      </c>
      <c r="CM1025">
        <v>0</v>
      </c>
      <c r="CN1025" t="s">
        <v>1584</v>
      </c>
      <c r="CO1025">
        <v>0</v>
      </c>
      <c r="CP1025">
        <f t="shared" si="880"/>
        <v>1420.66</v>
      </c>
      <c r="CQ1025">
        <f t="shared" si="881"/>
        <v>0</v>
      </c>
      <c r="CR1025">
        <f>(ROUND((ROUND((((ET1025*1.25))*AV1025*1),2)*BB1025),2)+ROUND((ROUND(((AE1025-((EU1025*1.25)))*AV1025*1),2)*BS1025),2))</f>
        <v>30433.43</v>
      </c>
      <c r="CS1025">
        <f t="shared" si="882"/>
        <v>13260.35</v>
      </c>
      <c r="CT1025">
        <f t="shared" si="883"/>
        <v>5082.91</v>
      </c>
      <c r="CU1025">
        <f t="shared" si="884"/>
        <v>0</v>
      </c>
      <c r="CV1025">
        <f t="shared" si="885"/>
        <v>19.549999999999997</v>
      </c>
      <c r="CW1025">
        <f t="shared" si="886"/>
        <v>0</v>
      </c>
      <c r="CX1025">
        <f t="shared" si="887"/>
        <v>0</v>
      </c>
      <c r="CY1025">
        <f t="shared" si="888"/>
        <v>187.00840000000002</v>
      </c>
      <c r="CZ1025">
        <f t="shared" si="889"/>
        <v>101.63500000000001</v>
      </c>
      <c r="DC1025" t="s">
        <v>3</v>
      </c>
      <c r="DD1025" t="s">
        <v>3</v>
      </c>
      <c r="DE1025" t="s">
        <v>20</v>
      </c>
      <c r="DF1025" t="s">
        <v>20</v>
      </c>
      <c r="DG1025" t="s">
        <v>21</v>
      </c>
      <c r="DH1025" t="s">
        <v>3</v>
      </c>
      <c r="DI1025" t="s">
        <v>21</v>
      </c>
      <c r="DJ1025" t="s">
        <v>20</v>
      </c>
      <c r="DK1025" t="s">
        <v>3</v>
      </c>
      <c r="DL1025" t="s">
        <v>3</v>
      </c>
      <c r="DM1025" t="s">
        <v>3</v>
      </c>
      <c r="DN1025">
        <v>98</v>
      </c>
      <c r="DO1025">
        <v>77</v>
      </c>
      <c r="DP1025">
        <v>1</v>
      </c>
      <c r="DQ1025">
        <v>1</v>
      </c>
      <c r="DU1025">
        <v>1013</v>
      </c>
      <c r="DV1025" t="s">
        <v>1137</v>
      </c>
      <c r="DW1025" t="s">
        <v>1137</v>
      </c>
      <c r="DX1025">
        <v>1</v>
      </c>
      <c r="DZ1025" t="s">
        <v>3</v>
      </c>
      <c r="EA1025" t="s">
        <v>3</v>
      </c>
      <c r="EB1025" t="s">
        <v>3</v>
      </c>
      <c r="EC1025" t="s">
        <v>3</v>
      </c>
      <c r="EE1025">
        <v>43090094</v>
      </c>
      <c r="EF1025">
        <v>30</v>
      </c>
      <c r="EG1025" t="s">
        <v>22</v>
      </c>
      <c r="EH1025">
        <v>0</v>
      </c>
      <c r="EI1025" t="s">
        <v>3</v>
      </c>
      <c r="EJ1025">
        <v>1</v>
      </c>
      <c r="EK1025">
        <v>15</v>
      </c>
      <c r="EL1025" t="s">
        <v>681</v>
      </c>
      <c r="EM1025" t="s">
        <v>682</v>
      </c>
      <c r="EO1025" t="s">
        <v>59</v>
      </c>
      <c r="EQ1025">
        <v>0</v>
      </c>
      <c r="ER1025">
        <v>2049.4499999999998</v>
      </c>
      <c r="ES1025">
        <v>0</v>
      </c>
      <c r="ET1025">
        <v>1875.71</v>
      </c>
      <c r="EU1025">
        <v>416.99</v>
      </c>
      <c r="EV1025">
        <v>173.74</v>
      </c>
      <c r="EW1025">
        <v>17</v>
      </c>
      <c r="EX1025">
        <v>0</v>
      </c>
      <c r="EY1025">
        <v>0</v>
      </c>
      <c r="FQ1025">
        <v>0</v>
      </c>
      <c r="FR1025">
        <f t="shared" si="890"/>
        <v>0</v>
      </c>
      <c r="FS1025">
        <v>0</v>
      </c>
      <c r="FX1025">
        <v>98</v>
      </c>
      <c r="FY1025">
        <v>77</v>
      </c>
      <c r="GA1025" t="s">
        <v>3</v>
      </c>
      <c r="GD1025">
        <v>0</v>
      </c>
      <c r="GF1025">
        <v>-1801917051</v>
      </c>
      <c r="GG1025">
        <v>2</v>
      </c>
      <c r="GH1025">
        <v>1</v>
      </c>
      <c r="GI1025">
        <v>2</v>
      </c>
      <c r="GJ1025">
        <v>0</v>
      </c>
      <c r="GK1025">
        <f>ROUND(R1025*(R12)/100,2)</f>
        <v>832.76</v>
      </c>
      <c r="GL1025">
        <f t="shared" si="891"/>
        <v>0</v>
      </c>
      <c r="GM1025">
        <f t="shared" si="892"/>
        <v>2542.0700000000002</v>
      </c>
      <c r="GN1025">
        <f t="shared" si="893"/>
        <v>2542.0700000000002</v>
      </c>
      <c r="GO1025">
        <f t="shared" si="894"/>
        <v>0</v>
      </c>
      <c r="GP1025">
        <f t="shared" si="895"/>
        <v>0</v>
      </c>
      <c r="GR1025">
        <v>0</v>
      </c>
      <c r="GS1025">
        <v>3</v>
      </c>
      <c r="GT1025">
        <v>0</v>
      </c>
      <c r="GU1025" t="s">
        <v>3</v>
      </c>
      <c r="GV1025">
        <f t="shared" si="896"/>
        <v>0</v>
      </c>
      <c r="GW1025">
        <v>1</v>
      </c>
      <c r="GX1025">
        <f t="shared" si="897"/>
        <v>0</v>
      </c>
      <c r="HA1025">
        <v>0</v>
      </c>
      <c r="HB1025">
        <v>0</v>
      </c>
      <c r="HC1025">
        <f t="shared" si="898"/>
        <v>0</v>
      </c>
      <c r="HE1025" t="s">
        <v>3</v>
      </c>
      <c r="HF1025" t="s">
        <v>3</v>
      </c>
      <c r="HM1025" t="s">
        <v>3</v>
      </c>
      <c r="IK1025">
        <v>0</v>
      </c>
    </row>
    <row r="1026" spans="1:245" x14ac:dyDescent="0.2">
      <c r="A1026">
        <v>17</v>
      </c>
      <c r="B1026">
        <v>1</v>
      </c>
      <c r="C1026">
        <f>ROW(SmtRes!A529)</f>
        <v>529</v>
      </c>
      <c r="D1026">
        <f>ROW(EtalonRes!A521)</f>
        <v>521</v>
      </c>
      <c r="E1026" t="s">
        <v>1139</v>
      </c>
      <c r="F1026" t="s">
        <v>1015</v>
      </c>
      <c r="G1026" t="s">
        <v>1140</v>
      </c>
      <c r="H1026" t="s">
        <v>1017</v>
      </c>
      <c r="I1026">
        <v>0.16</v>
      </c>
      <c r="J1026">
        <v>0</v>
      </c>
      <c r="K1026">
        <v>0.16</v>
      </c>
      <c r="O1026">
        <f t="shared" si="866"/>
        <v>79.239999999999995</v>
      </c>
      <c r="P1026">
        <f t="shared" si="867"/>
        <v>0.87</v>
      </c>
      <c r="Q1026">
        <f>(ROUND((ROUND((((ET1026*1.25))*AV1026*I1026),2)*BB1026),2)+ROUND((ROUND(((AE1026-((EU1026*1.25)))*AV1026*I1026),2)*BS1026),2))</f>
        <v>36.9</v>
      </c>
      <c r="R1026">
        <f t="shared" si="868"/>
        <v>20.61</v>
      </c>
      <c r="S1026">
        <f t="shared" si="869"/>
        <v>41.47</v>
      </c>
      <c r="T1026">
        <f t="shared" si="870"/>
        <v>0</v>
      </c>
      <c r="U1026">
        <f t="shared" si="871"/>
        <v>0.15639999999999998</v>
      </c>
      <c r="V1026">
        <f t="shared" si="872"/>
        <v>0</v>
      </c>
      <c r="W1026">
        <f t="shared" si="873"/>
        <v>0</v>
      </c>
      <c r="X1026">
        <f t="shared" si="874"/>
        <v>30.27</v>
      </c>
      <c r="Y1026">
        <f t="shared" si="875"/>
        <v>17</v>
      </c>
      <c r="AA1026">
        <v>42938047</v>
      </c>
      <c r="AB1026">
        <f t="shared" si="876"/>
        <v>31.262499999999999</v>
      </c>
      <c r="AC1026">
        <f t="shared" si="877"/>
        <v>1.06</v>
      </c>
      <c r="AD1026">
        <f>ROUND(((((ET1026*1.25))-((EU1026*1.25)))+AE1026),6)</f>
        <v>20.024999999999999</v>
      </c>
      <c r="AE1026">
        <f>ROUND(((EU1026*1.25)),6)</f>
        <v>5.0625</v>
      </c>
      <c r="AF1026">
        <f>ROUND(((EV1026*1.15)),6)</f>
        <v>10.1775</v>
      </c>
      <c r="AG1026">
        <f t="shared" si="878"/>
        <v>0</v>
      </c>
      <c r="AH1026">
        <f>((EW1026*1.15))</f>
        <v>0.97749999999999992</v>
      </c>
      <c r="AI1026">
        <f>((EX1026*1.25))</f>
        <v>0</v>
      </c>
      <c r="AJ1026">
        <f t="shared" si="879"/>
        <v>0</v>
      </c>
      <c r="AK1026">
        <v>25.93</v>
      </c>
      <c r="AL1026">
        <v>1.06</v>
      </c>
      <c r="AM1026">
        <v>16.02</v>
      </c>
      <c r="AN1026">
        <v>4.05</v>
      </c>
      <c r="AO1026">
        <v>8.85</v>
      </c>
      <c r="AP1026">
        <v>0</v>
      </c>
      <c r="AQ1026">
        <v>0.85</v>
      </c>
      <c r="AR1026">
        <v>0</v>
      </c>
      <c r="AS1026">
        <v>0</v>
      </c>
      <c r="AT1026">
        <v>73</v>
      </c>
      <c r="AU1026">
        <v>41</v>
      </c>
      <c r="AV1026">
        <v>1</v>
      </c>
      <c r="AW1026">
        <v>1</v>
      </c>
      <c r="AZ1026">
        <v>1</v>
      </c>
      <c r="BA1026">
        <v>25.44</v>
      </c>
      <c r="BB1026">
        <v>11.53</v>
      </c>
      <c r="BC1026">
        <v>5.14</v>
      </c>
      <c r="BD1026" t="s">
        <v>3</v>
      </c>
      <c r="BE1026" t="s">
        <v>3</v>
      </c>
      <c r="BF1026" t="s">
        <v>3</v>
      </c>
      <c r="BG1026" t="s">
        <v>3</v>
      </c>
      <c r="BH1026">
        <v>0</v>
      </c>
      <c r="BI1026">
        <v>1</v>
      </c>
      <c r="BJ1026" t="s">
        <v>1018</v>
      </c>
      <c r="BM1026">
        <v>64</v>
      </c>
      <c r="BN1026">
        <v>0</v>
      </c>
      <c r="BO1026" t="s">
        <v>1015</v>
      </c>
      <c r="BP1026">
        <v>1</v>
      </c>
      <c r="BQ1026">
        <v>30</v>
      </c>
      <c r="BR1026">
        <v>0</v>
      </c>
      <c r="BS1026">
        <v>25.44</v>
      </c>
      <c r="BT1026">
        <v>1</v>
      </c>
      <c r="BU1026">
        <v>1</v>
      </c>
      <c r="BV1026">
        <v>1</v>
      </c>
      <c r="BW1026">
        <v>1</v>
      </c>
      <c r="BX1026">
        <v>1</v>
      </c>
      <c r="BY1026" t="s">
        <v>3</v>
      </c>
      <c r="BZ1026">
        <v>73</v>
      </c>
      <c r="CA1026">
        <v>41</v>
      </c>
      <c r="CB1026" t="s">
        <v>3</v>
      </c>
      <c r="CE1026">
        <v>30</v>
      </c>
      <c r="CF1026">
        <v>0</v>
      </c>
      <c r="CG1026">
        <v>0</v>
      </c>
      <c r="CM1026">
        <v>0</v>
      </c>
      <c r="CN1026" t="s">
        <v>1584</v>
      </c>
      <c r="CO1026">
        <v>0</v>
      </c>
      <c r="CP1026">
        <f t="shared" si="880"/>
        <v>79.239999999999995</v>
      </c>
      <c r="CQ1026">
        <f t="shared" si="881"/>
        <v>5.45</v>
      </c>
      <c r="CR1026">
        <f>(ROUND((ROUND((((ET1026*1.25))*AV1026*1),2)*BB1026),2)+ROUND((ROUND(((AE1026-((EU1026*1.25)))*AV1026*1),2)*BS1026),2))</f>
        <v>230.95</v>
      </c>
      <c r="CS1026">
        <f t="shared" si="882"/>
        <v>128.72999999999999</v>
      </c>
      <c r="CT1026">
        <f t="shared" si="883"/>
        <v>258.98</v>
      </c>
      <c r="CU1026">
        <f t="shared" si="884"/>
        <v>0</v>
      </c>
      <c r="CV1026">
        <f t="shared" si="885"/>
        <v>0.97749999999999992</v>
      </c>
      <c r="CW1026">
        <f t="shared" si="886"/>
        <v>0</v>
      </c>
      <c r="CX1026">
        <f t="shared" si="887"/>
        <v>0</v>
      </c>
      <c r="CY1026">
        <f t="shared" si="888"/>
        <v>30.273099999999999</v>
      </c>
      <c r="CZ1026">
        <f t="shared" si="889"/>
        <v>17.002699999999997</v>
      </c>
      <c r="DC1026" t="s">
        <v>3</v>
      </c>
      <c r="DD1026" t="s">
        <v>3</v>
      </c>
      <c r="DE1026" t="s">
        <v>20</v>
      </c>
      <c r="DF1026" t="s">
        <v>20</v>
      </c>
      <c r="DG1026" t="s">
        <v>21</v>
      </c>
      <c r="DH1026" t="s">
        <v>3</v>
      </c>
      <c r="DI1026" t="s">
        <v>21</v>
      </c>
      <c r="DJ1026" t="s">
        <v>20</v>
      </c>
      <c r="DK1026" t="s">
        <v>3</v>
      </c>
      <c r="DL1026" t="s">
        <v>3</v>
      </c>
      <c r="DM1026" t="s">
        <v>3</v>
      </c>
      <c r="DN1026">
        <v>91</v>
      </c>
      <c r="DO1026">
        <v>70</v>
      </c>
      <c r="DP1026">
        <v>1</v>
      </c>
      <c r="DQ1026">
        <v>1</v>
      </c>
      <c r="DU1026">
        <v>1013</v>
      </c>
      <c r="DV1026" t="s">
        <v>1017</v>
      </c>
      <c r="DW1026" t="s">
        <v>1017</v>
      </c>
      <c r="DX1026">
        <v>1</v>
      </c>
      <c r="DZ1026" t="s">
        <v>3</v>
      </c>
      <c r="EA1026" t="s">
        <v>3</v>
      </c>
      <c r="EB1026" t="s">
        <v>3</v>
      </c>
      <c r="EC1026" t="s">
        <v>3</v>
      </c>
      <c r="EE1026">
        <v>43088142</v>
      </c>
      <c r="EF1026">
        <v>30</v>
      </c>
      <c r="EG1026" t="s">
        <v>22</v>
      </c>
      <c r="EH1026">
        <v>0</v>
      </c>
      <c r="EI1026" t="s">
        <v>3</v>
      </c>
      <c r="EJ1026">
        <v>1</v>
      </c>
      <c r="EK1026">
        <v>64</v>
      </c>
      <c r="EL1026" t="s">
        <v>1019</v>
      </c>
      <c r="EM1026" t="s">
        <v>1020</v>
      </c>
      <c r="EO1026" t="s">
        <v>59</v>
      </c>
      <c r="EQ1026">
        <v>0</v>
      </c>
      <c r="ER1026">
        <v>25.93</v>
      </c>
      <c r="ES1026">
        <v>1.06</v>
      </c>
      <c r="ET1026">
        <v>16.02</v>
      </c>
      <c r="EU1026">
        <v>4.05</v>
      </c>
      <c r="EV1026">
        <v>8.85</v>
      </c>
      <c r="EW1026">
        <v>0.85</v>
      </c>
      <c r="EX1026">
        <v>0</v>
      </c>
      <c r="EY1026">
        <v>0</v>
      </c>
      <c r="FQ1026">
        <v>0</v>
      </c>
      <c r="FR1026">
        <f t="shared" si="890"/>
        <v>0</v>
      </c>
      <c r="FS1026">
        <v>0</v>
      </c>
      <c r="FX1026">
        <v>91</v>
      </c>
      <c r="FY1026">
        <v>70</v>
      </c>
      <c r="GA1026" t="s">
        <v>3</v>
      </c>
      <c r="GD1026">
        <v>0</v>
      </c>
      <c r="GF1026">
        <v>-1346104101</v>
      </c>
      <c r="GG1026">
        <v>2</v>
      </c>
      <c r="GH1026">
        <v>1</v>
      </c>
      <c r="GI1026">
        <v>2</v>
      </c>
      <c r="GJ1026">
        <v>0</v>
      </c>
      <c r="GK1026">
        <f>ROUND(R1026*(R12)/100,2)</f>
        <v>32.36</v>
      </c>
      <c r="GL1026">
        <f t="shared" si="891"/>
        <v>0</v>
      </c>
      <c r="GM1026">
        <f t="shared" si="892"/>
        <v>158.87</v>
      </c>
      <c r="GN1026">
        <f t="shared" si="893"/>
        <v>158.87</v>
      </c>
      <c r="GO1026">
        <f t="shared" si="894"/>
        <v>0</v>
      </c>
      <c r="GP1026">
        <f t="shared" si="895"/>
        <v>0</v>
      </c>
      <c r="GR1026">
        <v>0</v>
      </c>
      <c r="GS1026">
        <v>3</v>
      </c>
      <c r="GT1026">
        <v>0</v>
      </c>
      <c r="GU1026" t="s">
        <v>3</v>
      </c>
      <c r="GV1026">
        <f t="shared" si="896"/>
        <v>0</v>
      </c>
      <c r="GW1026">
        <v>1</v>
      </c>
      <c r="GX1026">
        <f t="shared" si="897"/>
        <v>0</v>
      </c>
      <c r="HA1026">
        <v>0</v>
      </c>
      <c r="HB1026">
        <v>0</v>
      </c>
      <c r="HC1026">
        <f t="shared" si="898"/>
        <v>0</v>
      </c>
      <c r="HE1026" t="s">
        <v>3</v>
      </c>
      <c r="HF1026" t="s">
        <v>3</v>
      </c>
      <c r="HM1026" t="s">
        <v>3</v>
      </c>
      <c r="IK1026">
        <v>0</v>
      </c>
    </row>
    <row r="1027" spans="1:245" x14ac:dyDescent="0.2">
      <c r="A1027">
        <v>18</v>
      </c>
      <c r="B1027">
        <v>1</v>
      </c>
      <c r="C1027">
        <v>529</v>
      </c>
      <c r="E1027" t="s">
        <v>1141</v>
      </c>
      <c r="F1027" t="s">
        <v>1022</v>
      </c>
      <c r="G1027" t="s">
        <v>1023</v>
      </c>
      <c r="H1027" t="s">
        <v>84</v>
      </c>
      <c r="I1027">
        <f>I1026*J1027</f>
        <v>0.184</v>
      </c>
      <c r="J1027">
        <v>1.1499999999999999</v>
      </c>
      <c r="K1027">
        <v>1.1499999999999999</v>
      </c>
      <c r="O1027">
        <f t="shared" si="866"/>
        <v>357.49</v>
      </c>
      <c r="P1027">
        <f t="shared" si="867"/>
        <v>357.49</v>
      </c>
      <c r="Q1027">
        <f>(ROUND((ROUND(((ET1027)*AV1027*I1027),2)*BB1027),2)+ROUND((ROUND(((AE1027-(EU1027))*AV1027*I1027),2)*BS1027),2))</f>
        <v>0</v>
      </c>
      <c r="R1027">
        <f t="shared" si="868"/>
        <v>0</v>
      </c>
      <c r="S1027">
        <f t="shared" si="869"/>
        <v>0</v>
      </c>
      <c r="T1027">
        <f t="shared" si="870"/>
        <v>0</v>
      </c>
      <c r="U1027">
        <f t="shared" si="871"/>
        <v>0</v>
      </c>
      <c r="V1027">
        <f t="shared" si="872"/>
        <v>0</v>
      </c>
      <c r="W1027">
        <f t="shared" si="873"/>
        <v>0</v>
      </c>
      <c r="X1027">
        <f t="shared" si="874"/>
        <v>0</v>
      </c>
      <c r="Y1027">
        <f t="shared" si="875"/>
        <v>0</v>
      </c>
      <c r="AA1027">
        <v>42938047</v>
      </c>
      <c r="AB1027">
        <f t="shared" si="876"/>
        <v>196.85</v>
      </c>
      <c r="AC1027">
        <f t="shared" si="877"/>
        <v>196.85</v>
      </c>
      <c r="AD1027">
        <f>ROUND((((ET1027)-(EU1027))+AE1027),6)</f>
        <v>0</v>
      </c>
      <c r="AE1027">
        <f>ROUND((EU1027),6)</f>
        <v>0</v>
      </c>
      <c r="AF1027">
        <f>ROUND((EV1027),6)</f>
        <v>0</v>
      </c>
      <c r="AG1027">
        <f t="shared" si="878"/>
        <v>0</v>
      </c>
      <c r="AH1027">
        <f>(EW1027)</f>
        <v>0</v>
      </c>
      <c r="AI1027">
        <f>(EX1027)</f>
        <v>0</v>
      </c>
      <c r="AJ1027">
        <f t="shared" si="879"/>
        <v>0</v>
      </c>
      <c r="AK1027">
        <v>196.85</v>
      </c>
      <c r="AL1027">
        <v>196.85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1</v>
      </c>
      <c r="AW1027">
        <v>1</v>
      </c>
      <c r="AZ1027">
        <v>1</v>
      </c>
      <c r="BA1027">
        <v>1</v>
      </c>
      <c r="BB1027">
        <v>1</v>
      </c>
      <c r="BC1027">
        <v>9.8699999999999992</v>
      </c>
      <c r="BD1027" t="s">
        <v>3</v>
      </c>
      <c r="BE1027" t="s">
        <v>3</v>
      </c>
      <c r="BF1027" t="s">
        <v>3</v>
      </c>
      <c r="BG1027" t="s">
        <v>3</v>
      </c>
      <c r="BH1027">
        <v>3</v>
      </c>
      <c r="BI1027">
        <v>1</v>
      </c>
      <c r="BJ1027" t="s">
        <v>1024</v>
      </c>
      <c r="BM1027">
        <v>64</v>
      </c>
      <c r="BN1027">
        <v>0</v>
      </c>
      <c r="BO1027" t="s">
        <v>1022</v>
      </c>
      <c r="BP1027">
        <v>1</v>
      </c>
      <c r="BQ1027">
        <v>30</v>
      </c>
      <c r="BR1027">
        <v>0</v>
      </c>
      <c r="BS1027">
        <v>1</v>
      </c>
      <c r="BT1027">
        <v>1</v>
      </c>
      <c r="BU1027">
        <v>1</v>
      </c>
      <c r="BV1027">
        <v>1</v>
      </c>
      <c r="BW1027">
        <v>1</v>
      </c>
      <c r="BX1027">
        <v>1</v>
      </c>
      <c r="BY1027" t="s">
        <v>3</v>
      </c>
      <c r="BZ1027">
        <v>0</v>
      </c>
      <c r="CA1027">
        <v>0</v>
      </c>
      <c r="CB1027" t="s">
        <v>3</v>
      </c>
      <c r="CE1027">
        <v>30</v>
      </c>
      <c r="CF1027">
        <v>0</v>
      </c>
      <c r="CG1027">
        <v>0</v>
      </c>
      <c r="CM1027">
        <v>0</v>
      </c>
      <c r="CN1027" t="s">
        <v>3</v>
      </c>
      <c r="CO1027">
        <v>0</v>
      </c>
      <c r="CP1027">
        <f t="shared" si="880"/>
        <v>357.49</v>
      </c>
      <c r="CQ1027">
        <f t="shared" si="881"/>
        <v>1942.91</v>
      </c>
      <c r="CR1027">
        <f>(ROUND((ROUND(((ET1027)*AV1027*1),2)*BB1027),2)+ROUND((ROUND(((AE1027-(EU1027))*AV1027*1),2)*BS1027),2))</f>
        <v>0</v>
      </c>
      <c r="CS1027">
        <f t="shared" si="882"/>
        <v>0</v>
      </c>
      <c r="CT1027">
        <f t="shared" si="883"/>
        <v>0</v>
      </c>
      <c r="CU1027">
        <f t="shared" si="884"/>
        <v>0</v>
      </c>
      <c r="CV1027">
        <f t="shared" si="885"/>
        <v>0</v>
      </c>
      <c r="CW1027">
        <f t="shared" si="886"/>
        <v>0</v>
      </c>
      <c r="CX1027">
        <f t="shared" si="887"/>
        <v>0</v>
      </c>
      <c r="CY1027">
        <f t="shared" si="888"/>
        <v>0</v>
      </c>
      <c r="CZ1027">
        <f t="shared" si="889"/>
        <v>0</v>
      </c>
      <c r="DC1027" t="s">
        <v>3</v>
      </c>
      <c r="DD1027" t="s">
        <v>3</v>
      </c>
      <c r="DE1027" t="s">
        <v>3</v>
      </c>
      <c r="DF1027" t="s">
        <v>3</v>
      </c>
      <c r="DG1027" t="s">
        <v>3</v>
      </c>
      <c r="DH1027" t="s">
        <v>3</v>
      </c>
      <c r="DI1027" t="s">
        <v>3</v>
      </c>
      <c r="DJ1027" t="s">
        <v>3</v>
      </c>
      <c r="DK1027" t="s">
        <v>3</v>
      </c>
      <c r="DL1027" t="s">
        <v>3</v>
      </c>
      <c r="DM1027" t="s">
        <v>3</v>
      </c>
      <c r="DN1027">
        <v>91</v>
      </c>
      <c r="DO1027">
        <v>70</v>
      </c>
      <c r="DP1027">
        <v>1</v>
      </c>
      <c r="DQ1027">
        <v>1</v>
      </c>
      <c r="DU1027">
        <v>1007</v>
      </c>
      <c r="DV1027" t="s">
        <v>84</v>
      </c>
      <c r="DW1027" t="s">
        <v>84</v>
      </c>
      <c r="DX1027">
        <v>1</v>
      </c>
      <c r="DZ1027" t="s">
        <v>3</v>
      </c>
      <c r="EA1027" t="s">
        <v>3</v>
      </c>
      <c r="EB1027" t="s">
        <v>3</v>
      </c>
      <c r="EC1027" t="s">
        <v>3</v>
      </c>
      <c r="EE1027">
        <v>43088142</v>
      </c>
      <c r="EF1027">
        <v>30</v>
      </c>
      <c r="EG1027" t="s">
        <v>22</v>
      </c>
      <c r="EH1027">
        <v>0</v>
      </c>
      <c r="EI1027" t="s">
        <v>3</v>
      </c>
      <c r="EJ1027">
        <v>1</v>
      </c>
      <c r="EK1027">
        <v>64</v>
      </c>
      <c r="EL1027" t="s">
        <v>1019</v>
      </c>
      <c r="EM1027" t="s">
        <v>1020</v>
      </c>
      <c r="EO1027" t="s">
        <v>3</v>
      </c>
      <c r="EQ1027">
        <v>0</v>
      </c>
      <c r="ER1027">
        <v>196.85</v>
      </c>
      <c r="ES1027">
        <v>196.85</v>
      </c>
      <c r="ET1027">
        <v>0</v>
      </c>
      <c r="EU1027">
        <v>0</v>
      </c>
      <c r="EV1027">
        <v>0</v>
      </c>
      <c r="EW1027">
        <v>0</v>
      </c>
      <c r="EX1027">
        <v>0</v>
      </c>
      <c r="FQ1027">
        <v>0</v>
      </c>
      <c r="FR1027">
        <f t="shared" si="890"/>
        <v>0</v>
      </c>
      <c r="FS1027">
        <v>0</v>
      </c>
      <c r="FX1027">
        <v>91</v>
      </c>
      <c r="FY1027">
        <v>70</v>
      </c>
      <c r="GA1027" t="s">
        <v>3</v>
      </c>
      <c r="GD1027">
        <v>0</v>
      </c>
      <c r="GF1027">
        <v>103091715</v>
      </c>
      <c r="GG1027">
        <v>2</v>
      </c>
      <c r="GH1027">
        <v>1</v>
      </c>
      <c r="GI1027">
        <v>2</v>
      </c>
      <c r="GJ1027">
        <v>0</v>
      </c>
      <c r="GK1027">
        <f>ROUND(R1027*(R12)/100,2)</f>
        <v>0</v>
      </c>
      <c r="GL1027">
        <f t="shared" si="891"/>
        <v>0</v>
      </c>
      <c r="GM1027">
        <f t="shared" si="892"/>
        <v>357.49</v>
      </c>
      <c r="GN1027">
        <f t="shared" si="893"/>
        <v>357.49</v>
      </c>
      <c r="GO1027">
        <f t="shared" si="894"/>
        <v>0</v>
      </c>
      <c r="GP1027">
        <f t="shared" si="895"/>
        <v>0</v>
      </c>
      <c r="GR1027">
        <v>0</v>
      </c>
      <c r="GS1027">
        <v>3</v>
      </c>
      <c r="GT1027">
        <v>0</v>
      </c>
      <c r="GU1027" t="s">
        <v>3</v>
      </c>
      <c r="GV1027">
        <f t="shared" si="896"/>
        <v>0</v>
      </c>
      <c r="GW1027">
        <v>1</v>
      </c>
      <c r="GX1027">
        <f t="shared" si="897"/>
        <v>0</v>
      </c>
      <c r="HA1027">
        <v>0</v>
      </c>
      <c r="HB1027">
        <v>0</v>
      </c>
      <c r="HC1027">
        <f t="shared" si="898"/>
        <v>0</v>
      </c>
      <c r="HE1027" t="s">
        <v>3</v>
      </c>
      <c r="HF1027" t="s">
        <v>3</v>
      </c>
      <c r="HM1027" t="s">
        <v>3</v>
      </c>
      <c r="IK1027">
        <v>0</v>
      </c>
    </row>
    <row r="1028" spans="1:245" x14ac:dyDescent="0.2">
      <c r="A1028">
        <v>17</v>
      </c>
      <c r="B1028">
        <v>1</v>
      </c>
      <c r="C1028">
        <f>ROW(SmtRes!A533)</f>
        <v>533</v>
      </c>
      <c r="D1028">
        <f>ROW(EtalonRes!A525)</f>
        <v>525</v>
      </c>
      <c r="E1028" t="s">
        <v>1142</v>
      </c>
      <c r="F1028" t="s">
        <v>1143</v>
      </c>
      <c r="G1028" t="s">
        <v>1144</v>
      </c>
      <c r="H1028" t="s">
        <v>182</v>
      </c>
      <c r="I1028">
        <v>0.33600000000000002</v>
      </c>
      <c r="J1028">
        <v>0</v>
      </c>
      <c r="K1028">
        <v>0.33600000000000002</v>
      </c>
      <c r="O1028">
        <f t="shared" si="866"/>
        <v>2495.2600000000002</v>
      </c>
      <c r="P1028">
        <f t="shared" si="867"/>
        <v>0</v>
      </c>
      <c r="Q1028">
        <f>(ROUND((ROUND((((ET1028*1.25))*AV1028*I1028),2)*BB1028),2)+ROUND((ROUND(((AE1028-((EU1028*1.25)))*AV1028*I1028),2)*BS1028),2))</f>
        <v>155.80000000000001</v>
      </c>
      <c r="R1028">
        <f t="shared" si="868"/>
        <v>56.22</v>
      </c>
      <c r="S1028">
        <f t="shared" si="869"/>
        <v>2339.46</v>
      </c>
      <c r="T1028">
        <f t="shared" si="870"/>
        <v>0</v>
      </c>
      <c r="U1028">
        <f t="shared" si="871"/>
        <v>7.7280000000000006</v>
      </c>
      <c r="V1028">
        <f t="shared" si="872"/>
        <v>0</v>
      </c>
      <c r="W1028">
        <f t="shared" si="873"/>
        <v>0</v>
      </c>
      <c r="X1028">
        <f t="shared" si="874"/>
        <v>1590.83</v>
      </c>
      <c r="Y1028">
        <f t="shared" si="875"/>
        <v>959.18</v>
      </c>
      <c r="AA1028">
        <v>42938047</v>
      </c>
      <c r="AB1028">
        <f t="shared" si="876"/>
        <v>325.35000000000002</v>
      </c>
      <c r="AC1028">
        <f t="shared" si="877"/>
        <v>0</v>
      </c>
      <c r="AD1028">
        <f>ROUND(((((ET1028*1.25))-((EU1028*1.25)))+AE1028),6)</f>
        <v>51.65</v>
      </c>
      <c r="AE1028">
        <f>ROUND(((EU1028*1.25)),6)</f>
        <v>6.5875000000000004</v>
      </c>
      <c r="AF1028">
        <f>ROUND(((EV1028*1.15)),6)</f>
        <v>273.7</v>
      </c>
      <c r="AG1028">
        <f t="shared" si="878"/>
        <v>0</v>
      </c>
      <c r="AH1028">
        <f>((EW1028*1.15))</f>
        <v>23</v>
      </c>
      <c r="AI1028">
        <f>((EX1028*1.25))</f>
        <v>0</v>
      </c>
      <c r="AJ1028">
        <f t="shared" si="879"/>
        <v>0</v>
      </c>
      <c r="AK1028">
        <v>279.32</v>
      </c>
      <c r="AL1028">
        <v>0</v>
      </c>
      <c r="AM1028">
        <v>41.32</v>
      </c>
      <c r="AN1028">
        <v>5.27</v>
      </c>
      <c r="AO1028">
        <v>238</v>
      </c>
      <c r="AP1028">
        <v>0</v>
      </c>
      <c r="AQ1028">
        <v>20</v>
      </c>
      <c r="AR1028">
        <v>0</v>
      </c>
      <c r="AS1028">
        <v>0</v>
      </c>
      <c r="AT1028">
        <v>68</v>
      </c>
      <c r="AU1028">
        <v>41</v>
      </c>
      <c r="AV1028">
        <v>1</v>
      </c>
      <c r="AW1028">
        <v>1</v>
      </c>
      <c r="AZ1028">
        <v>1</v>
      </c>
      <c r="BA1028">
        <v>25.44</v>
      </c>
      <c r="BB1028">
        <v>8.98</v>
      </c>
      <c r="BC1028">
        <v>1</v>
      </c>
      <c r="BD1028" t="s">
        <v>3</v>
      </c>
      <c r="BE1028" t="s">
        <v>3</v>
      </c>
      <c r="BF1028" t="s">
        <v>3</v>
      </c>
      <c r="BG1028" t="s">
        <v>3</v>
      </c>
      <c r="BH1028">
        <v>0</v>
      </c>
      <c r="BI1028">
        <v>1</v>
      </c>
      <c r="BJ1028" t="s">
        <v>1145</v>
      </c>
      <c r="BM1028">
        <v>47</v>
      </c>
      <c r="BN1028">
        <v>0</v>
      </c>
      <c r="BO1028" t="s">
        <v>1143</v>
      </c>
      <c r="BP1028">
        <v>1</v>
      </c>
      <c r="BQ1028">
        <v>30</v>
      </c>
      <c r="BR1028">
        <v>0</v>
      </c>
      <c r="BS1028">
        <v>25.44</v>
      </c>
      <c r="BT1028">
        <v>1</v>
      </c>
      <c r="BU1028">
        <v>1</v>
      </c>
      <c r="BV1028">
        <v>1</v>
      </c>
      <c r="BW1028">
        <v>1</v>
      </c>
      <c r="BX1028">
        <v>1</v>
      </c>
      <c r="BY1028" t="s">
        <v>3</v>
      </c>
      <c r="BZ1028">
        <v>68</v>
      </c>
      <c r="CA1028">
        <v>41</v>
      </c>
      <c r="CB1028" t="s">
        <v>3</v>
      </c>
      <c r="CE1028">
        <v>30</v>
      </c>
      <c r="CF1028">
        <v>0</v>
      </c>
      <c r="CG1028">
        <v>0</v>
      </c>
      <c r="CM1028">
        <v>0</v>
      </c>
      <c r="CN1028" t="s">
        <v>1584</v>
      </c>
      <c r="CO1028">
        <v>0</v>
      </c>
      <c r="CP1028">
        <f t="shared" si="880"/>
        <v>2495.2600000000002</v>
      </c>
      <c r="CQ1028">
        <f t="shared" si="881"/>
        <v>0</v>
      </c>
      <c r="CR1028">
        <f>(ROUND((ROUND((((ET1028*1.25))*AV1028*1),2)*BB1028),2)+ROUND((ROUND(((AE1028-((EU1028*1.25)))*AV1028*1),2)*BS1028),2))</f>
        <v>463.82</v>
      </c>
      <c r="CS1028">
        <f t="shared" si="882"/>
        <v>167.65</v>
      </c>
      <c r="CT1028">
        <f t="shared" si="883"/>
        <v>6962.93</v>
      </c>
      <c r="CU1028">
        <f t="shared" si="884"/>
        <v>0</v>
      </c>
      <c r="CV1028">
        <f t="shared" si="885"/>
        <v>23</v>
      </c>
      <c r="CW1028">
        <f t="shared" si="886"/>
        <v>0</v>
      </c>
      <c r="CX1028">
        <f t="shared" si="887"/>
        <v>0</v>
      </c>
      <c r="CY1028">
        <f t="shared" si="888"/>
        <v>1590.8328000000001</v>
      </c>
      <c r="CZ1028">
        <f t="shared" si="889"/>
        <v>959.17859999999996</v>
      </c>
      <c r="DC1028" t="s">
        <v>3</v>
      </c>
      <c r="DD1028" t="s">
        <v>3</v>
      </c>
      <c r="DE1028" t="s">
        <v>20</v>
      </c>
      <c r="DF1028" t="s">
        <v>20</v>
      </c>
      <c r="DG1028" t="s">
        <v>21</v>
      </c>
      <c r="DH1028" t="s">
        <v>3</v>
      </c>
      <c r="DI1028" t="s">
        <v>21</v>
      </c>
      <c r="DJ1028" t="s">
        <v>20</v>
      </c>
      <c r="DK1028" t="s">
        <v>3</v>
      </c>
      <c r="DL1028" t="s">
        <v>3</v>
      </c>
      <c r="DM1028" t="s">
        <v>3</v>
      </c>
      <c r="DN1028">
        <v>85</v>
      </c>
      <c r="DO1028">
        <v>70</v>
      </c>
      <c r="DP1028">
        <v>1</v>
      </c>
      <c r="DQ1028">
        <v>1</v>
      </c>
      <c r="DU1028">
        <v>1013</v>
      </c>
      <c r="DV1028" t="s">
        <v>182</v>
      </c>
      <c r="DW1028" t="s">
        <v>182</v>
      </c>
      <c r="DX1028">
        <v>1</v>
      </c>
      <c r="DZ1028" t="s">
        <v>3</v>
      </c>
      <c r="EA1028" t="s">
        <v>3</v>
      </c>
      <c r="EB1028" t="s">
        <v>3</v>
      </c>
      <c r="EC1028" t="s">
        <v>3</v>
      </c>
      <c r="EE1028">
        <v>43088125</v>
      </c>
      <c r="EF1028">
        <v>30</v>
      </c>
      <c r="EG1028" t="s">
        <v>22</v>
      </c>
      <c r="EH1028">
        <v>0</v>
      </c>
      <c r="EI1028" t="s">
        <v>3</v>
      </c>
      <c r="EJ1028">
        <v>1</v>
      </c>
      <c r="EK1028">
        <v>47</v>
      </c>
      <c r="EL1028" t="s">
        <v>99</v>
      </c>
      <c r="EM1028" t="s">
        <v>100</v>
      </c>
      <c r="EO1028" t="s">
        <v>59</v>
      </c>
      <c r="EQ1028">
        <v>0</v>
      </c>
      <c r="ER1028">
        <v>279.32</v>
      </c>
      <c r="ES1028">
        <v>0</v>
      </c>
      <c r="ET1028">
        <v>41.32</v>
      </c>
      <c r="EU1028">
        <v>5.27</v>
      </c>
      <c r="EV1028">
        <v>238</v>
      </c>
      <c r="EW1028">
        <v>20</v>
      </c>
      <c r="EX1028">
        <v>0</v>
      </c>
      <c r="EY1028">
        <v>0</v>
      </c>
      <c r="FQ1028">
        <v>0</v>
      </c>
      <c r="FR1028">
        <f t="shared" si="890"/>
        <v>0</v>
      </c>
      <c r="FS1028">
        <v>0</v>
      </c>
      <c r="FX1028">
        <v>85</v>
      </c>
      <c r="FY1028">
        <v>70</v>
      </c>
      <c r="GA1028" t="s">
        <v>3</v>
      </c>
      <c r="GD1028">
        <v>0</v>
      </c>
      <c r="GF1028">
        <v>-1129414118</v>
      </c>
      <c r="GG1028">
        <v>2</v>
      </c>
      <c r="GH1028">
        <v>1</v>
      </c>
      <c r="GI1028">
        <v>2</v>
      </c>
      <c r="GJ1028">
        <v>0</v>
      </c>
      <c r="GK1028">
        <f>ROUND(R1028*(R12)/100,2)</f>
        <v>88.27</v>
      </c>
      <c r="GL1028">
        <f t="shared" si="891"/>
        <v>0</v>
      </c>
      <c r="GM1028">
        <f t="shared" si="892"/>
        <v>5133.54</v>
      </c>
      <c r="GN1028">
        <f t="shared" si="893"/>
        <v>5133.54</v>
      </c>
      <c r="GO1028">
        <f t="shared" si="894"/>
        <v>0</v>
      </c>
      <c r="GP1028">
        <f t="shared" si="895"/>
        <v>0</v>
      </c>
      <c r="GR1028">
        <v>0</v>
      </c>
      <c r="GS1028">
        <v>3</v>
      </c>
      <c r="GT1028">
        <v>0</v>
      </c>
      <c r="GU1028" t="s">
        <v>3</v>
      </c>
      <c r="GV1028">
        <f t="shared" si="896"/>
        <v>0</v>
      </c>
      <c r="GW1028">
        <v>1</v>
      </c>
      <c r="GX1028">
        <f t="shared" si="897"/>
        <v>0</v>
      </c>
      <c r="HA1028">
        <v>0</v>
      </c>
      <c r="HB1028">
        <v>0</v>
      </c>
      <c r="HC1028">
        <f t="shared" si="898"/>
        <v>0</v>
      </c>
      <c r="HE1028" t="s">
        <v>3</v>
      </c>
      <c r="HF1028" t="s">
        <v>3</v>
      </c>
      <c r="HM1028" t="s">
        <v>3</v>
      </c>
      <c r="IK1028">
        <v>0</v>
      </c>
    </row>
    <row r="1029" spans="1:245" x14ac:dyDescent="0.2">
      <c r="A1029">
        <v>18</v>
      </c>
      <c r="B1029">
        <v>1</v>
      </c>
      <c r="C1029">
        <v>533</v>
      </c>
      <c r="E1029" t="s">
        <v>1146</v>
      </c>
      <c r="F1029" t="s">
        <v>118</v>
      </c>
      <c r="G1029" t="s">
        <v>1147</v>
      </c>
      <c r="H1029" t="s">
        <v>169</v>
      </c>
      <c r="I1029">
        <f>I1028*J1029</f>
        <v>3.9999999999999996</v>
      </c>
      <c r="J1029">
        <v>11.904761904761903</v>
      </c>
      <c r="K1029">
        <v>11.904762</v>
      </c>
      <c r="O1029">
        <f t="shared" si="866"/>
        <v>30277.05</v>
      </c>
      <c r="P1029">
        <f t="shared" si="867"/>
        <v>30277.05</v>
      </c>
      <c r="Q1029">
        <f>(ROUND((ROUND(((ET1029)*AV1029*I1029),2)*BB1029),2)+ROUND((ROUND(((AE1029-(EU1029))*AV1029*I1029),2)*BS1029),2))</f>
        <v>0</v>
      </c>
      <c r="R1029">
        <f t="shared" si="868"/>
        <v>0</v>
      </c>
      <c r="S1029">
        <f t="shared" si="869"/>
        <v>0</v>
      </c>
      <c r="T1029">
        <f t="shared" si="870"/>
        <v>0</v>
      </c>
      <c r="U1029">
        <f t="shared" si="871"/>
        <v>0</v>
      </c>
      <c r="V1029">
        <f t="shared" si="872"/>
        <v>0</v>
      </c>
      <c r="W1029">
        <f t="shared" si="873"/>
        <v>0</v>
      </c>
      <c r="X1029">
        <f t="shared" si="874"/>
        <v>0</v>
      </c>
      <c r="Y1029">
        <f t="shared" si="875"/>
        <v>0</v>
      </c>
      <c r="AA1029">
        <v>42938047</v>
      </c>
      <c r="AB1029">
        <f t="shared" si="876"/>
        <v>1193.8900000000001</v>
      </c>
      <c r="AC1029">
        <f t="shared" si="877"/>
        <v>1193.8900000000001</v>
      </c>
      <c r="AD1029">
        <f>ROUND((((ET1029)-(EU1029))+AE1029),6)</f>
        <v>0</v>
      </c>
      <c r="AE1029">
        <f>ROUND((EU1029),6)</f>
        <v>0</v>
      </c>
      <c r="AF1029">
        <f>ROUND((EV1029),6)</f>
        <v>0</v>
      </c>
      <c r="AG1029">
        <f t="shared" si="878"/>
        <v>0</v>
      </c>
      <c r="AH1029">
        <f>(EW1029)</f>
        <v>0</v>
      </c>
      <c r="AI1029">
        <f>(EX1029)</f>
        <v>0</v>
      </c>
      <c r="AJ1029">
        <f t="shared" si="879"/>
        <v>0</v>
      </c>
      <c r="AK1029">
        <v>1193.8900000000001</v>
      </c>
      <c r="AL1029">
        <v>1193.8900000000001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1</v>
      </c>
      <c r="AW1029">
        <v>1</v>
      </c>
      <c r="AZ1029">
        <v>1</v>
      </c>
      <c r="BA1029">
        <v>1</v>
      </c>
      <c r="BB1029">
        <v>1</v>
      </c>
      <c r="BC1029">
        <v>6.34</v>
      </c>
      <c r="BD1029" t="s">
        <v>3</v>
      </c>
      <c r="BE1029" t="s">
        <v>3</v>
      </c>
      <c r="BF1029" t="s">
        <v>3</v>
      </c>
      <c r="BG1029" t="s">
        <v>3</v>
      </c>
      <c r="BH1029">
        <v>3</v>
      </c>
      <c r="BI1029">
        <v>1</v>
      </c>
      <c r="BJ1029" t="s">
        <v>3</v>
      </c>
      <c r="BM1029">
        <v>47</v>
      </c>
      <c r="BN1029">
        <v>0</v>
      </c>
      <c r="BO1029" t="s">
        <v>3</v>
      </c>
      <c r="BP1029">
        <v>0</v>
      </c>
      <c r="BQ1029">
        <v>30</v>
      </c>
      <c r="BR1029">
        <v>0</v>
      </c>
      <c r="BS1029">
        <v>1</v>
      </c>
      <c r="BT1029">
        <v>1</v>
      </c>
      <c r="BU1029">
        <v>1</v>
      </c>
      <c r="BV1029">
        <v>1</v>
      </c>
      <c r="BW1029">
        <v>1</v>
      </c>
      <c r="BX1029">
        <v>1</v>
      </c>
      <c r="BY1029" t="s">
        <v>3</v>
      </c>
      <c r="BZ1029">
        <v>0</v>
      </c>
      <c r="CA1029">
        <v>0</v>
      </c>
      <c r="CB1029" t="s">
        <v>3</v>
      </c>
      <c r="CE1029">
        <v>30</v>
      </c>
      <c r="CF1029">
        <v>0</v>
      </c>
      <c r="CG1029">
        <v>0</v>
      </c>
      <c r="CM1029">
        <v>0</v>
      </c>
      <c r="CN1029" t="s">
        <v>3</v>
      </c>
      <c r="CO1029">
        <v>0</v>
      </c>
      <c r="CP1029">
        <f t="shared" si="880"/>
        <v>30277.05</v>
      </c>
      <c r="CQ1029">
        <f t="shared" si="881"/>
        <v>7569.26</v>
      </c>
      <c r="CR1029">
        <f>(ROUND((ROUND(((ET1029)*AV1029*1),2)*BB1029),2)+ROUND((ROUND(((AE1029-(EU1029))*AV1029*1),2)*BS1029),2))</f>
        <v>0</v>
      </c>
      <c r="CS1029">
        <f t="shared" si="882"/>
        <v>0</v>
      </c>
      <c r="CT1029">
        <f t="shared" si="883"/>
        <v>0</v>
      </c>
      <c r="CU1029">
        <f t="shared" si="884"/>
        <v>0</v>
      </c>
      <c r="CV1029">
        <f t="shared" si="885"/>
        <v>0</v>
      </c>
      <c r="CW1029">
        <f t="shared" si="886"/>
        <v>0</v>
      </c>
      <c r="CX1029">
        <f t="shared" si="887"/>
        <v>0</v>
      </c>
      <c r="CY1029">
        <f t="shared" si="888"/>
        <v>0</v>
      </c>
      <c r="CZ1029">
        <f t="shared" si="889"/>
        <v>0</v>
      </c>
      <c r="DC1029" t="s">
        <v>3</v>
      </c>
      <c r="DD1029" t="s">
        <v>3</v>
      </c>
      <c r="DE1029" t="s">
        <v>3</v>
      </c>
      <c r="DF1029" t="s">
        <v>3</v>
      </c>
      <c r="DG1029" t="s">
        <v>3</v>
      </c>
      <c r="DH1029" t="s">
        <v>3</v>
      </c>
      <c r="DI1029" t="s">
        <v>3</v>
      </c>
      <c r="DJ1029" t="s">
        <v>3</v>
      </c>
      <c r="DK1029" t="s">
        <v>3</v>
      </c>
      <c r="DL1029" t="s">
        <v>3</v>
      </c>
      <c r="DM1029" t="s">
        <v>3</v>
      </c>
      <c r="DN1029">
        <v>85</v>
      </c>
      <c r="DO1029">
        <v>70</v>
      </c>
      <c r="DP1029">
        <v>1</v>
      </c>
      <c r="DQ1029">
        <v>1</v>
      </c>
      <c r="DU1029">
        <v>1010</v>
      </c>
      <c r="DV1029" t="s">
        <v>169</v>
      </c>
      <c r="DW1029" t="s">
        <v>169</v>
      </c>
      <c r="DX1029">
        <v>1</v>
      </c>
      <c r="DZ1029" t="s">
        <v>3</v>
      </c>
      <c r="EA1029" t="s">
        <v>3</v>
      </c>
      <c r="EB1029" t="s">
        <v>3</v>
      </c>
      <c r="EC1029" t="s">
        <v>3</v>
      </c>
      <c r="EE1029">
        <v>43088125</v>
      </c>
      <c r="EF1029">
        <v>30</v>
      </c>
      <c r="EG1029" t="s">
        <v>22</v>
      </c>
      <c r="EH1029">
        <v>0</v>
      </c>
      <c r="EI1029" t="s">
        <v>3</v>
      </c>
      <c r="EJ1029">
        <v>1</v>
      </c>
      <c r="EK1029">
        <v>47</v>
      </c>
      <c r="EL1029" t="s">
        <v>99</v>
      </c>
      <c r="EM1029" t="s">
        <v>100</v>
      </c>
      <c r="EO1029" t="s">
        <v>3</v>
      </c>
      <c r="EQ1029">
        <v>0</v>
      </c>
      <c r="ER1029">
        <v>1193.8900000000001</v>
      </c>
      <c r="ES1029">
        <v>1193.8900000000001</v>
      </c>
      <c r="ET1029">
        <v>0</v>
      </c>
      <c r="EU1029">
        <v>0</v>
      </c>
      <c r="EV1029">
        <v>0</v>
      </c>
      <c r="EW1029">
        <v>0</v>
      </c>
      <c r="EX1029">
        <v>0</v>
      </c>
      <c r="EZ1029">
        <v>5</v>
      </c>
      <c r="FC1029">
        <v>1</v>
      </c>
      <c r="FD1029">
        <v>18</v>
      </c>
      <c r="FF1029">
        <v>8905</v>
      </c>
      <c r="FQ1029">
        <v>0</v>
      </c>
      <c r="FR1029">
        <f t="shared" si="890"/>
        <v>0</v>
      </c>
      <c r="FS1029">
        <v>0</v>
      </c>
      <c r="FX1029">
        <v>85</v>
      </c>
      <c r="FY1029">
        <v>70</v>
      </c>
      <c r="GA1029" t="s">
        <v>1148</v>
      </c>
      <c r="GD1029">
        <v>0</v>
      </c>
      <c r="GF1029">
        <v>130142395</v>
      </c>
      <c r="GG1029">
        <v>2</v>
      </c>
      <c r="GH1029">
        <v>3</v>
      </c>
      <c r="GI1029">
        <v>3</v>
      </c>
      <c r="GJ1029">
        <v>0</v>
      </c>
      <c r="GK1029">
        <f>ROUND(R1029*(R12)/100,2)</f>
        <v>0</v>
      </c>
      <c r="GL1029">
        <f t="shared" si="891"/>
        <v>0</v>
      </c>
      <c r="GM1029">
        <f t="shared" si="892"/>
        <v>30277.05</v>
      </c>
      <c r="GN1029">
        <f t="shared" si="893"/>
        <v>30277.05</v>
      </c>
      <c r="GO1029">
        <f t="shared" si="894"/>
        <v>0</v>
      </c>
      <c r="GP1029">
        <f t="shared" si="895"/>
        <v>0</v>
      </c>
      <c r="GR1029">
        <v>1</v>
      </c>
      <c r="GS1029">
        <v>1</v>
      </c>
      <c r="GT1029">
        <v>0</v>
      </c>
      <c r="GU1029" t="s">
        <v>3</v>
      </c>
      <c r="GV1029">
        <f t="shared" si="896"/>
        <v>0</v>
      </c>
      <c r="GW1029">
        <v>1</v>
      </c>
      <c r="GX1029">
        <f t="shared" si="897"/>
        <v>0</v>
      </c>
      <c r="HA1029">
        <v>0</v>
      </c>
      <c r="HB1029">
        <v>0</v>
      </c>
      <c r="HC1029">
        <f t="shared" si="898"/>
        <v>0</v>
      </c>
      <c r="HE1029" t="s">
        <v>26</v>
      </c>
      <c r="HF1029" t="s">
        <v>122</v>
      </c>
      <c r="HM1029" t="s">
        <v>3</v>
      </c>
      <c r="IK1029">
        <v>0</v>
      </c>
    </row>
    <row r="1030" spans="1:245" x14ac:dyDescent="0.2">
      <c r="A1030">
        <v>17</v>
      </c>
      <c r="B1030">
        <v>1</v>
      </c>
      <c r="C1030">
        <f>ROW(SmtRes!A537)</f>
        <v>537</v>
      </c>
      <c r="D1030">
        <f>ROW(EtalonRes!A529)</f>
        <v>529</v>
      </c>
      <c r="E1030" t="s">
        <v>1149</v>
      </c>
      <c r="F1030" t="s">
        <v>1150</v>
      </c>
      <c r="G1030" t="s">
        <v>1151</v>
      </c>
      <c r="H1030" t="s">
        <v>358</v>
      </c>
      <c r="I1030">
        <v>0.96</v>
      </c>
      <c r="J1030">
        <v>0</v>
      </c>
      <c r="K1030">
        <v>0.96</v>
      </c>
      <c r="O1030">
        <f t="shared" si="866"/>
        <v>752.94</v>
      </c>
      <c r="P1030">
        <f t="shared" si="867"/>
        <v>0</v>
      </c>
      <c r="Q1030">
        <f>(ROUND((ROUND((((ET1030*1.25))*AV1030*I1030),2)*BB1030),2)+ROUND((ROUND(((AE1030-((EU1030*1.25)))*AV1030*I1030),2)*BS1030),2))</f>
        <v>288.14999999999998</v>
      </c>
      <c r="R1030">
        <f t="shared" si="868"/>
        <v>107.36</v>
      </c>
      <c r="S1030">
        <f t="shared" si="869"/>
        <v>464.79</v>
      </c>
      <c r="T1030">
        <f t="shared" si="870"/>
        <v>0</v>
      </c>
      <c r="U1030">
        <f t="shared" si="871"/>
        <v>1.6339199999999998</v>
      </c>
      <c r="V1030">
        <f t="shared" si="872"/>
        <v>0</v>
      </c>
      <c r="W1030">
        <f t="shared" si="873"/>
        <v>0</v>
      </c>
      <c r="X1030">
        <f t="shared" si="874"/>
        <v>427.61</v>
      </c>
      <c r="Y1030">
        <f t="shared" si="875"/>
        <v>190.56</v>
      </c>
      <c r="AA1030">
        <v>42938047</v>
      </c>
      <c r="AB1030">
        <f t="shared" si="876"/>
        <v>52.27</v>
      </c>
      <c r="AC1030">
        <f t="shared" si="877"/>
        <v>0</v>
      </c>
      <c r="AD1030">
        <f>ROUND(((((ET1030*1.25))-((EU1030*1.25)))+AE1030),6)</f>
        <v>33.237499999999997</v>
      </c>
      <c r="AE1030">
        <f>ROUND(((EU1030*1.25)),6)</f>
        <v>4.4000000000000004</v>
      </c>
      <c r="AF1030">
        <f>ROUND(((EV1030*1.15)),6)</f>
        <v>19.032499999999999</v>
      </c>
      <c r="AG1030">
        <f t="shared" si="878"/>
        <v>0</v>
      </c>
      <c r="AH1030">
        <f>((EW1030*1.15))</f>
        <v>1.702</v>
      </c>
      <c r="AI1030">
        <f>((EX1030*1.25))</f>
        <v>0</v>
      </c>
      <c r="AJ1030">
        <f t="shared" si="879"/>
        <v>0</v>
      </c>
      <c r="AK1030">
        <v>43.14</v>
      </c>
      <c r="AL1030">
        <v>0</v>
      </c>
      <c r="AM1030">
        <v>26.59</v>
      </c>
      <c r="AN1030">
        <v>3.52</v>
      </c>
      <c r="AO1030">
        <v>16.55</v>
      </c>
      <c r="AP1030">
        <v>0</v>
      </c>
      <c r="AQ1030">
        <v>1.48</v>
      </c>
      <c r="AR1030">
        <v>0</v>
      </c>
      <c r="AS1030">
        <v>0</v>
      </c>
      <c r="AT1030">
        <v>92</v>
      </c>
      <c r="AU1030">
        <v>41</v>
      </c>
      <c r="AV1030">
        <v>1</v>
      </c>
      <c r="AW1030">
        <v>1</v>
      </c>
      <c r="AZ1030">
        <v>1</v>
      </c>
      <c r="BA1030">
        <v>25.44</v>
      </c>
      <c r="BB1030">
        <v>9.0299999999999994</v>
      </c>
      <c r="BC1030">
        <v>1</v>
      </c>
      <c r="BD1030" t="s">
        <v>3</v>
      </c>
      <c r="BE1030" t="s">
        <v>3</v>
      </c>
      <c r="BF1030" t="s">
        <v>3</v>
      </c>
      <c r="BG1030" t="s">
        <v>3</v>
      </c>
      <c r="BH1030">
        <v>0</v>
      </c>
      <c r="BI1030">
        <v>1</v>
      </c>
      <c r="BJ1030" t="s">
        <v>1152</v>
      </c>
      <c r="BM1030">
        <v>235</v>
      </c>
      <c r="BN1030">
        <v>0</v>
      </c>
      <c r="BO1030" t="s">
        <v>1150</v>
      </c>
      <c r="BP1030">
        <v>1</v>
      </c>
      <c r="BQ1030">
        <v>30</v>
      </c>
      <c r="BR1030">
        <v>0</v>
      </c>
      <c r="BS1030">
        <v>25.44</v>
      </c>
      <c r="BT1030">
        <v>1</v>
      </c>
      <c r="BU1030">
        <v>1</v>
      </c>
      <c r="BV1030">
        <v>1</v>
      </c>
      <c r="BW1030">
        <v>1</v>
      </c>
      <c r="BX1030">
        <v>1</v>
      </c>
      <c r="BY1030" t="s">
        <v>3</v>
      </c>
      <c r="BZ1030">
        <v>92</v>
      </c>
      <c r="CA1030">
        <v>41</v>
      </c>
      <c r="CB1030" t="s">
        <v>3</v>
      </c>
      <c r="CE1030">
        <v>30</v>
      </c>
      <c r="CF1030">
        <v>0</v>
      </c>
      <c r="CG1030">
        <v>0</v>
      </c>
      <c r="CM1030">
        <v>0</v>
      </c>
      <c r="CN1030" t="s">
        <v>1584</v>
      </c>
      <c r="CO1030">
        <v>0</v>
      </c>
      <c r="CP1030">
        <f t="shared" si="880"/>
        <v>752.94</v>
      </c>
      <c r="CQ1030">
        <f t="shared" si="881"/>
        <v>0</v>
      </c>
      <c r="CR1030">
        <f>(ROUND((ROUND((((ET1030*1.25))*AV1030*1),2)*BB1030),2)+ROUND((ROUND(((AE1030-((EU1030*1.25)))*AV1030*1),2)*BS1030),2))</f>
        <v>300.16000000000003</v>
      </c>
      <c r="CS1030">
        <f t="shared" si="882"/>
        <v>111.94</v>
      </c>
      <c r="CT1030">
        <f t="shared" si="883"/>
        <v>484.12</v>
      </c>
      <c r="CU1030">
        <f t="shared" si="884"/>
        <v>0</v>
      </c>
      <c r="CV1030">
        <f t="shared" si="885"/>
        <v>1.702</v>
      </c>
      <c r="CW1030">
        <f t="shared" si="886"/>
        <v>0</v>
      </c>
      <c r="CX1030">
        <f t="shared" si="887"/>
        <v>0</v>
      </c>
      <c r="CY1030">
        <f t="shared" si="888"/>
        <v>427.60680000000002</v>
      </c>
      <c r="CZ1030">
        <f t="shared" si="889"/>
        <v>190.56389999999999</v>
      </c>
      <c r="DC1030" t="s">
        <v>3</v>
      </c>
      <c r="DD1030" t="s">
        <v>3</v>
      </c>
      <c r="DE1030" t="s">
        <v>20</v>
      </c>
      <c r="DF1030" t="s">
        <v>20</v>
      </c>
      <c r="DG1030" t="s">
        <v>21</v>
      </c>
      <c r="DH1030" t="s">
        <v>3</v>
      </c>
      <c r="DI1030" t="s">
        <v>21</v>
      </c>
      <c r="DJ1030" t="s">
        <v>20</v>
      </c>
      <c r="DK1030" t="s">
        <v>3</v>
      </c>
      <c r="DL1030" t="s">
        <v>3</v>
      </c>
      <c r="DM1030" t="s">
        <v>3</v>
      </c>
      <c r="DN1030">
        <v>114</v>
      </c>
      <c r="DO1030">
        <v>80</v>
      </c>
      <c r="DP1030">
        <v>1</v>
      </c>
      <c r="DQ1030">
        <v>1</v>
      </c>
      <c r="DU1030">
        <v>1013</v>
      </c>
      <c r="DV1030" t="s">
        <v>358</v>
      </c>
      <c r="DW1030" t="s">
        <v>358</v>
      </c>
      <c r="DX1030">
        <v>1</v>
      </c>
      <c r="DZ1030" t="s">
        <v>3</v>
      </c>
      <c r="EA1030" t="s">
        <v>3</v>
      </c>
      <c r="EB1030" t="s">
        <v>3</v>
      </c>
      <c r="EC1030" t="s">
        <v>3</v>
      </c>
      <c r="EE1030">
        <v>43088313</v>
      </c>
      <c r="EF1030">
        <v>30</v>
      </c>
      <c r="EG1030" t="s">
        <v>22</v>
      </c>
      <c r="EH1030">
        <v>0</v>
      </c>
      <c r="EI1030" t="s">
        <v>3</v>
      </c>
      <c r="EJ1030">
        <v>1</v>
      </c>
      <c r="EK1030">
        <v>235</v>
      </c>
      <c r="EL1030" t="s">
        <v>1153</v>
      </c>
      <c r="EM1030" t="s">
        <v>1154</v>
      </c>
      <c r="EO1030" t="s">
        <v>59</v>
      </c>
      <c r="EQ1030">
        <v>0</v>
      </c>
      <c r="ER1030">
        <v>43.14</v>
      </c>
      <c r="ES1030">
        <v>0</v>
      </c>
      <c r="ET1030">
        <v>26.59</v>
      </c>
      <c r="EU1030">
        <v>3.52</v>
      </c>
      <c r="EV1030">
        <v>16.55</v>
      </c>
      <c r="EW1030">
        <v>1.48</v>
      </c>
      <c r="EX1030">
        <v>0</v>
      </c>
      <c r="EY1030">
        <v>0</v>
      </c>
      <c r="FQ1030">
        <v>0</v>
      </c>
      <c r="FR1030">
        <f t="shared" si="890"/>
        <v>0</v>
      </c>
      <c r="FS1030">
        <v>0</v>
      </c>
      <c r="FX1030">
        <v>114</v>
      </c>
      <c r="FY1030">
        <v>80</v>
      </c>
      <c r="GA1030" t="s">
        <v>3</v>
      </c>
      <c r="GD1030">
        <v>0</v>
      </c>
      <c r="GF1030">
        <v>958933022</v>
      </c>
      <c r="GG1030">
        <v>2</v>
      </c>
      <c r="GH1030">
        <v>1</v>
      </c>
      <c r="GI1030">
        <v>2</v>
      </c>
      <c r="GJ1030">
        <v>0</v>
      </c>
      <c r="GK1030">
        <f>ROUND(R1030*(R12)/100,2)</f>
        <v>168.56</v>
      </c>
      <c r="GL1030">
        <f t="shared" si="891"/>
        <v>0</v>
      </c>
      <c r="GM1030">
        <f t="shared" si="892"/>
        <v>1539.67</v>
      </c>
      <c r="GN1030">
        <f t="shared" si="893"/>
        <v>1539.67</v>
      </c>
      <c r="GO1030">
        <f t="shared" si="894"/>
        <v>0</v>
      </c>
      <c r="GP1030">
        <f t="shared" si="895"/>
        <v>0</v>
      </c>
      <c r="GR1030">
        <v>0</v>
      </c>
      <c r="GS1030">
        <v>3</v>
      </c>
      <c r="GT1030">
        <v>0</v>
      </c>
      <c r="GU1030" t="s">
        <v>3</v>
      </c>
      <c r="GV1030">
        <f t="shared" si="896"/>
        <v>0</v>
      </c>
      <c r="GW1030">
        <v>1</v>
      </c>
      <c r="GX1030">
        <f t="shared" si="897"/>
        <v>0</v>
      </c>
      <c r="HA1030">
        <v>0</v>
      </c>
      <c r="HB1030">
        <v>0</v>
      </c>
      <c r="HC1030">
        <f t="shared" si="898"/>
        <v>0</v>
      </c>
      <c r="HE1030" t="s">
        <v>3</v>
      </c>
      <c r="HF1030" t="s">
        <v>3</v>
      </c>
      <c r="HM1030" t="s">
        <v>3</v>
      </c>
      <c r="IK1030">
        <v>0</v>
      </c>
    </row>
    <row r="1031" spans="1:245" x14ac:dyDescent="0.2">
      <c r="A1031">
        <v>18</v>
      </c>
      <c r="B1031">
        <v>1</v>
      </c>
      <c r="C1031">
        <v>537</v>
      </c>
      <c r="E1031" t="s">
        <v>1155</v>
      </c>
      <c r="F1031" t="s">
        <v>1156</v>
      </c>
      <c r="G1031" t="s">
        <v>1157</v>
      </c>
      <c r="H1031" t="s">
        <v>84</v>
      </c>
      <c r="I1031">
        <f>I1030*J1031</f>
        <v>0.97919999999999996</v>
      </c>
      <c r="J1031">
        <v>1.02</v>
      </c>
      <c r="K1031">
        <v>1.02</v>
      </c>
      <c r="O1031">
        <f t="shared" si="866"/>
        <v>3971.18</v>
      </c>
      <c r="P1031">
        <f t="shared" si="867"/>
        <v>3971.18</v>
      </c>
      <c r="Q1031">
        <f>(ROUND((ROUND(((ET1031)*AV1031*I1031),2)*BB1031),2)+ROUND((ROUND(((AE1031-(EU1031))*AV1031*I1031),2)*BS1031),2))</f>
        <v>0</v>
      </c>
      <c r="R1031">
        <f t="shared" si="868"/>
        <v>0</v>
      </c>
      <c r="S1031">
        <f t="shared" si="869"/>
        <v>0</v>
      </c>
      <c r="T1031">
        <f t="shared" si="870"/>
        <v>0</v>
      </c>
      <c r="U1031">
        <f t="shared" si="871"/>
        <v>0</v>
      </c>
      <c r="V1031">
        <f t="shared" si="872"/>
        <v>0</v>
      </c>
      <c r="W1031">
        <f t="shared" si="873"/>
        <v>0</v>
      </c>
      <c r="X1031">
        <f t="shared" si="874"/>
        <v>0</v>
      </c>
      <c r="Y1031">
        <f t="shared" si="875"/>
        <v>0</v>
      </c>
      <c r="AA1031">
        <v>42938047</v>
      </c>
      <c r="AB1031">
        <f t="shared" si="876"/>
        <v>565.62</v>
      </c>
      <c r="AC1031">
        <f t="shared" si="877"/>
        <v>565.62</v>
      </c>
      <c r="AD1031">
        <f>ROUND((((ET1031)-(EU1031))+AE1031),6)</f>
        <v>0</v>
      </c>
      <c r="AE1031">
        <f>ROUND((EU1031),6)</f>
        <v>0</v>
      </c>
      <c r="AF1031">
        <f>ROUND((EV1031),6)</f>
        <v>0</v>
      </c>
      <c r="AG1031">
        <f t="shared" si="878"/>
        <v>0</v>
      </c>
      <c r="AH1031">
        <f>(EW1031)</f>
        <v>0</v>
      </c>
      <c r="AI1031">
        <f>(EX1031)</f>
        <v>0</v>
      </c>
      <c r="AJ1031">
        <f t="shared" si="879"/>
        <v>0</v>
      </c>
      <c r="AK1031">
        <v>565.62</v>
      </c>
      <c r="AL1031">
        <v>565.62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1</v>
      </c>
      <c r="AW1031">
        <v>1</v>
      </c>
      <c r="AZ1031">
        <v>1</v>
      </c>
      <c r="BA1031">
        <v>1</v>
      </c>
      <c r="BB1031">
        <v>1</v>
      </c>
      <c r="BC1031">
        <v>7.17</v>
      </c>
      <c r="BD1031" t="s">
        <v>3</v>
      </c>
      <c r="BE1031" t="s">
        <v>3</v>
      </c>
      <c r="BF1031" t="s">
        <v>3</v>
      </c>
      <c r="BG1031" t="s">
        <v>3</v>
      </c>
      <c r="BH1031">
        <v>3</v>
      </c>
      <c r="BI1031">
        <v>1</v>
      </c>
      <c r="BJ1031" t="s">
        <v>1158</v>
      </c>
      <c r="BM1031">
        <v>235</v>
      </c>
      <c r="BN1031">
        <v>0</v>
      </c>
      <c r="BO1031" t="s">
        <v>1156</v>
      </c>
      <c r="BP1031">
        <v>1</v>
      </c>
      <c r="BQ1031">
        <v>30</v>
      </c>
      <c r="BR1031">
        <v>0</v>
      </c>
      <c r="BS1031">
        <v>1</v>
      </c>
      <c r="BT1031">
        <v>1</v>
      </c>
      <c r="BU1031">
        <v>1</v>
      </c>
      <c r="BV1031">
        <v>1</v>
      </c>
      <c r="BW1031">
        <v>1</v>
      </c>
      <c r="BX1031">
        <v>1</v>
      </c>
      <c r="BY1031" t="s">
        <v>3</v>
      </c>
      <c r="BZ1031">
        <v>0</v>
      </c>
      <c r="CA1031">
        <v>0</v>
      </c>
      <c r="CB1031" t="s">
        <v>3</v>
      </c>
      <c r="CE1031">
        <v>30</v>
      </c>
      <c r="CF1031">
        <v>0</v>
      </c>
      <c r="CG1031">
        <v>0</v>
      </c>
      <c r="CM1031">
        <v>0</v>
      </c>
      <c r="CN1031" t="s">
        <v>3</v>
      </c>
      <c r="CO1031">
        <v>0</v>
      </c>
      <c r="CP1031">
        <f t="shared" si="880"/>
        <v>3971.18</v>
      </c>
      <c r="CQ1031">
        <f t="shared" si="881"/>
        <v>4055.5</v>
      </c>
      <c r="CR1031">
        <f>(ROUND((ROUND(((ET1031)*AV1031*1),2)*BB1031),2)+ROUND((ROUND(((AE1031-(EU1031))*AV1031*1),2)*BS1031),2))</f>
        <v>0</v>
      </c>
      <c r="CS1031">
        <f t="shared" si="882"/>
        <v>0</v>
      </c>
      <c r="CT1031">
        <f t="shared" si="883"/>
        <v>0</v>
      </c>
      <c r="CU1031">
        <f t="shared" si="884"/>
        <v>0</v>
      </c>
      <c r="CV1031">
        <f t="shared" si="885"/>
        <v>0</v>
      </c>
      <c r="CW1031">
        <f t="shared" si="886"/>
        <v>0</v>
      </c>
      <c r="CX1031">
        <f t="shared" si="887"/>
        <v>0</v>
      </c>
      <c r="CY1031">
        <f t="shared" si="888"/>
        <v>0</v>
      </c>
      <c r="CZ1031">
        <f t="shared" si="889"/>
        <v>0</v>
      </c>
      <c r="DC1031" t="s">
        <v>3</v>
      </c>
      <c r="DD1031" t="s">
        <v>3</v>
      </c>
      <c r="DE1031" t="s">
        <v>3</v>
      </c>
      <c r="DF1031" t="s">
        <v>3</v>
      </c>
      <c r="DG1031" t="s">
        <v>3</v>
      </c>
      <c r="DH1031" t="s">
        <v>3</v>
      </c>
      <c r="DI1031" t="s">
        <v>3</v>
      </c>
      <c r="DJ1031" t="s">
        <v>3</v>
      </c>
      <c r="DK1031" t="s">
        <v>3</v>
      </c>
      <c r="DL1031" t="s">
        <v>3</v>
      </c>
      <c r="DM1031" t="s">
        <v>3</v>
      </c>
      <c r="DN1031">
        <v>114</v>
      </c>
      <c r="DO1031">
        <v>80</v>
      </c>
      <c r="DP1031">
        <v>1</v>
      </c>
      <c r="DQ1031">
        <v>1</v>
      </c>
      <c r="DU1031">
        <v>1007</v>
      </c>
      <c r="DV1031" t="s">
        <v>84</v>
      </c>
      <c r="DW1031" t="s">
        <v>84</v>
      </c>
      <c r="DX1031">
        <v>1</v>
      </c>
      <c r="DZ1031" t="s">
        <v>3</v>
      </c>
      <c r="EA1031" t="s">
        <v>3</v>
      </c>
      <c r="EB1031" t="s">
        <v>3</v>
      </c>
      <c r="EC1031" t="s">
        <v>3</v>
      </c>
      <c r="EE1031">
        <v>43088313</v>
      </c>
      <c r="EF1031">
        <v>30</v>
      </c>
      <c r="EG1031" t="s">
        <v>22</v>
      </c>
      <c r="EH1031">
        <v>0</v>
      </c>
      <c r="EI1031" t="s">
        <v>3</v>
      </c>
      <c r="EJ1031">
        <v>1</v>
      </c>
      <c r="EK1031">
        <v>235</v>
      </c>
      <c r="EL1031" t="s">
        <v>1153</v>
      </c>
      <c r="EM1031" t="s">
        <v>1154</v>
      </c>
      <c r="EO1031" t="s">
        <v>3</v>
      </c>
      <c r="EQ1031">
        <v>0</v>
      </c>
      <c r="ER1031">
        <v>565.62</v>
      </c>
      <c r="ES1031">
        <v>565.62</v>
      </c>
      <c r="ET1031">
        <v>0</v>
      </c>
      <c r="EU1031">
        <v>0</v>
      </c>
      <c r="EV1031">
        <v>0</v>
      </c>
      <c r="EW1031">
        <v>0</v>
      </c>
      <c r="EX1031">
        <v>0</v>
      </c>
      <c r="FQ1031">
        <v>0</v>
      </c>
      <c r="FR1031">
        <f t="shared" si="890"/>
        <v>0</v>
      </c>
      <c r="FS1031">
        <v>0</v>
      </c>
      <c r="FX1031">
        <v>114</v>
      </c>
      <c r="FY1031">
        <v>80</v>
      </c>
      <c r="GA1031" t="s">
        <v>3</v>
      </c>
      <c r="GD1031">
        <v>0</v>
      </c>
      <c r="GF1031">
        <v>-815776288</v>
      </c>
      <c r="GG1031">
        <v>2</v>
      </c>
      <c r="GH1031">
        <v>1</v>
      </c>
      <c r="GI1031">
        <v>2</v>
      </c>
      <c r="GJ1031">
        <v>0</v>
      </c>
      <c r="GK1031">
        <f>ROUND(R1031*(R12)/100,2)</f>
        <v>0</v>
      </c>
      <c r="GL1031">
        <f t="shared" si="891"/>
        <v>0</v>
      </c>
      <c r="GM1031">
        <f t="shared" si="892"/>
        <v>3971.18</v>
      </c>
      <c r="GN1031">
        <f t="shared" si="893"/>
        <v>3971.18</v>
      </c>
      <c r="GO1031">
        <f t="shared" si="894"/>
        <v>0</v>
      </c>
      <c r="GP1031">
        <f t="shared" si="895"/>
        <v>0</v>
      </c>
      <c r="GR1031">
        <v>0</v>
      </c>
      <c r="GS1031">
        <v>3</v>
      </c>
      <c r="GT1031">
        <v>0</v>
      </c>
      <c r="GU1031" t="s">
        <v>3</v>
      </c>
      <c r="GV1031">
        <f t="shared" si="896"/>
        <v>0</v>
      </c>
      <c r="GW1031">
        <v>1</v>
      </c>
      <c r="GX1031">
        <f t="shared" si="897"/>
        <v>0</v>
      </c>
      <c r="HA1031">
        <v>0</v>
      </c>
      <c r="HB1031">
        <v>0</v>
      </c>
      <c r="HC1031">
        <f t="shared" si="898"/>
        <v>0</v>
      </c>
      <c r="HE1031" t="s">
        <v>3</v>
      </c>
      <c r="HF1031" t="s">
        <v>3</v>
      </c>
      <c r="HM1031" t="s">
        <v>3</v>
      </c>
      <c r="IK1031">
        <v>0</v>
      </c>
    </row>
    <row r="1032" spans="1:245" x14ac:dyDescent="0.2">
      <c r="A1032">
        <v>17</v>
      </c>
      <c r="B1032">
        <v>1</v>
      </c>
      <c r="C1032">
        <f>ROW(SmtRes!A541)</f>
        <v>541</v>
      </c>
      <c r="D1032">
        <f>ROW(EtalonRes!A534)</f>
        <v>534</v>
      </c>
      <c r="E1032" t="s">
        <v>1159</v>
      </c>
      <c r="F1032" t="s">
        <v>1160</v>
      </c>
      <c r="G1032" t="s">
        <v>1161</v>
      </c>
      <c r="H1032" t="s">
        <v>162</v>
      </c>
      <c r="I1032">
        <v>4</v>
      </c>
      <c r="J1032">
        <v>0</v>
      </c>
      <c r="K1032">
        <v>4</v>
      </c>
      <c r="O1032">
        <f t="shared" si="866"/>
        <v>5806.12</v>
      </c>
      <c r="P1032">
        <f t="shared" si="867"/>
        <v>0</v>
      </c>
      <c r="Q1032">
        <f>(ROUND((ROUND((((ET1032*0.6))*AV1032*I1032),2)*BB1032),2)+ROUND((ROUND(((AE1032-((EU1032*0.6)))*AV1032*I1032),2)*BS1032),2))</f>
        <v>645.62</v>
      </c>
      <c r="R1032">
        <f t="shared" si="868"/>
        <v>200.98</v>
      </c>
      <c r="S1032">
        <f t="shared" si="869"/>
        <v>5160.5</v>
      </c>
      <c r="T1032">
        <f t="shared" si="870"/>
        <v>0</v>
      </c>
      <c r="U1032">
        <f t="shared" si="871"/>
        <v>16.007999999999999</v>
      </c>
      <c r="V1032">
        <f t="shared" si="872"/>
        <v>0</v>
      </c>
      <c r="W1032">
        <f t="shared" si="873"/>
        <v>0</v>
      </c>
      <c r="X1032">
        <f t="shared" si="874"/>
        <v>4747.66</v>
      </c>
      <c r="Y1032">
        <f t="shared" si="875"/>
        <v>2115.81</v>
      </c>
      <c r="AA1032">
        <v>42938047</v>
      </c>
      <c r="AB1032">
        <f t="shared" si="876"/>
        <v>69.305999999999997</v>
      </c>
      <c r="AC1032">
        <f>ROUND(((ES1032*0.6)),6)</f>
        <v>0</v>
      </c>
      <c r="AD1032">
        <f>ROUND(((((ET1032*0.6))-((EU1032*0.6)))+AE1032),6)</f>
        <v>18.594000000000001</v>
      </c>
      <c r="AE1032">
        <f>ROUND(((EU1032*0.6)),6)</f>
        <v>1.974</v>
      </c>
      <c r="AF1032">
        <f>ROUND(((EV1032*0.6)),6)</f>
        <v>50.712000000000003</v>
      </c>
      <c r="AG1032">
        <f t="shared" si="878"/>
        <v>0</v>
      </c>
      <c r="AH1032">
        <f>((EW1032*0.6))</f>
        <v>4.0019999999999998</v>
      </c>
      <c r="AI1032">
        <f>((EX1032*0.6))</f>
        <v>0</v>
      </c>
      <c r="AJ1032">
        <f t="shared" si="879"/>
        <v>0</v>
      </c>
      <c r="AK1032">
        <v>115.51</v>
      </c>
      <c r="AL1032">
        <v>0</v>
      </c>
      <c r="AM1032">
        <v>30.99</v>
      </c>
      <c r="AN1032">
        <v>3.29</v>
      </c>
      <c r="AO1032">
        <v>84.52</v>
      </c>
      <c r="AP1032">
        <v>0</v>
      </c>
      <c r="AQ1032">
        <v>6.67</v>
      </c>
      <c r="AR1032">
        <v>0</v>
      </c>
      <c r="AS1032">
        <v>0</v>
      </c>
      <c r="AT1032">
        <v>92</v>
      </c>
      <c r="AU1032">
        <v>41</v>
      </c>
      <c r="AV1032">
        <v>1</v>
      </c>
      <c r="AW1032">
        <v>1</v>
      </c>
      <c r="AZ1032">
        <v>1</v>
      </c>
      <c r="BA1032">
        <v>25.44</v>
      </c>
      <c r="BB1032">
        <v>8.68</v>
      </c>
      <c r="BC1032">
        <v>1</v>
      </c>
      <c r="BD1032" t="s">
        <v>3</v>
      </c>
      <c r="BE1032" t="s">
        <v>3</v>
      </c>
      <c r="BF1032" t="s">
        <v>3</v>
      </c>
      <c r="BG1032" t="s">
        <v>3</v>
      </c>
      <c r="BH1032">
        <v>0</v>
      </c>
      <c r="BI1032">
        <v>1</v>
      </c>
      <c r="BJ1032" t="s">
        <v>1162</v>
      </c>
      <c r="BM1032">
        <v>1387</v>
      </c>
      <c r="BN1032">
        <v>0</v>
      </c>
      <c r="BO1032" t="s">
        <v>1160</v>
      </c>
      <c r="BP1032">
        <v>1</v>
      </c>
      <c r="BQ1032">
        <v>30</v>
      </c>
      <c r="BR1032">
        <v>0</v>
      </c>
      <c r="BS1032">
        <v>25.44</v>
      </c>
      <c r="BT1032">
        <v>1</v>
      </c>
      <c r="BU1032">
        <v>1</v>
      </c>
      <c r="BV1032">
        <v>1</v>
      </c>
      <c r="BW1032">
        <v>1</v>
      </c>
      <c r="BX1032">
        <v>1</v>
      </c>
      <c r="BY1032" t="s">
        <v>3</v>
      </c>
      <c r="BZ1032">
        <v>92</v>
      </c>
      <c r="CA1032">
        <v>41</v>
      </c>
      <c r="CB1032" t="s">
        <v>3</v>
      </c>
      <c r="CE1032">
        <v>30</v>
      </c>
      <c r="CF1032">
        <v>0</v>
      </c>
      <c r="CG1032">
        <v>0</v>
      </c>
      <c r="CM1032">
        <v>0</v>
      </c>
      <c r="CN1032" t="s">
        <v>1163</v>
      </c>
      <c r="CO1032">
        <v>0</v>
      </c>
      <c r="CP1032">
        <f t="shared" si="880"/>
        <v>5806.12</v>
      </c>
      <c r="CQ1032">
        <f t="shared" si="881"/>
        <v>0</v>
      </c>
      <c r="CR1032">
        <f>(ROUND((ROUND((((ET1032*0.6))*AV1032*1),2)*BB1032),2)+ROUND((ROUND(((AE1032-((EU1032*0.6)))*AV1032*1),2)*BS1032),2))</f>
        <v>161.36000000000001</v>
      </c>
      <c r="CS1032">
        <f t="shared" si="882"/>
        <v>50.12</v>
      </c>
      <c r="CT1032">
        <f t="shared" si="883"/>
        <v>1290.06</v>
      </c>
      <c r="CU1032">
        <f t="shared" si="884"/>
        <v>0</v>
      </c>
      <c r="CV1032">
        <f t="shared" si="885"/>
        <v>4.0019999999999998</v>
      </c>
      <c r="CW1032">
        <f t="shared" si="886"/>
        <v>0</v>
      </c>
      <c r="CX1032">
        <f t="shared" si="887"/>
        <v>0</v>
      </c>
      <c r="CY1032">
        <f t="shared" si="888"/>
        <v>4747.66</v>
      </c>
      <c r="CZ1032">
        <f t="shared" si="889"/>
        <v>2115.8049999999998</v>
      </c>
      <c r="DC1032" t="s">
        <v>3</v>
      </c>
      <c r="DD1032" t="s">
        <v>1164</v>
      </c>
      <c r="DE1032" t="s">
        <v>1164</v>
      </c>
      <c r="DF1032" t="s">
        <v>1164</v>
      </c>
      <c r="DG1032" t="s">
        <v>1164</v>
      </c>
      <c r="DH1032" t="s">
        <v>3</v>
      </c>
      <c r="DI1032" t="s">
        <v>1164</v>
      </c>
      <c r="DJ1032" t="s">
        <v>1164</v>
      </c>
      <c r="DK1032" t="s">
        <v>3</v>
      </c>
      <c r="DL1032" t="s">
        <v>3</v>
      </c>
      <c r="DM1032" t="s">
        <v>3</v>
      </c>
      <c r="DN1032">
        <v>114</v>
      </c>
      <c r="DO1032">
        <v>80</v>
      </c>
      <c r="DP1032">
        <v>1</v>
      </c>
      <c r="DQ1032">
        <v>1</v>
      </c>
      <c r="DU1032">
        <v>1013</v>
      </c>
      <c r="DV1032" t="s">
        <v>162</v>
      </c>
      <c r="DW1032" t="s">
        <v>162</v>
      </c>
      <c r="DX1032">
        <v>1</v>
      </c>
      <c r="DZ1032" t="s">
        <v>3</v>
      </c>
      <c r="EA1032" t="s">
        <v>3</v>
      </c>
      <c r="EB1032" t="s">
        <v>3</v>
      </c>
      <c r="EC1032" t="s">
        <v>3</v>
      </c>
      <c r="EE1032">
        <v>43089465</v>
      </c>
      <c r="EF1032">
        <v>30</v>
      </c>
      <c r="EG1032" t="s">
        <v>22</v>
      </c>
      <c r="EH1032">
        <v>0</v>
      </c>
      <c r="EI1032" t="s">
        <v>3</v>
      </c>
      <c r="EJ1032">
        <v>1</v>
      </c>
      <c r="EK1032">
        <v>1387</v>
      </c>
      <c r="EL1032" t="s">
        <v>1165</v>
      </c>
      <c r="EM1032" t="s">
        <v>1166</v>
      </c>
      <c r="EO1032" t="s">
        <v>1167</v>
      </c>
      <c r="EQ1032">
        <v>0</v>
      </c>
      <c r="ER1032">
        <v>115.51</v>
      </c>
      <c r="ES1032">
        <v>0</v>
      </c>
      <c r="ET1032">
        <v>30.99</v>
      </c>
      <c r="EU1032">
        <v>3.29</v>
      </c>
      <c r="EV1032">
        <v>84.52</v>
      </c>
      <c r="EW1032">
        <v>6.67</v>
      </c>
      <c r="EX1032">
        <v>0</v>
      </c>
      <c r="EY1032">
        <v>0</v>
      </c>
      <c r="FQ1032">
        <v>0</v>
      </c>
      <c r="FR1032">
        <f t="shared" si="890"/>
        <v>0</v>
      </c>
      <c r="FS1032">
        <v>0</v>
      </c>
      <c r="FX1032">
        <v>114</v>
      </c>
      <c r="FY1032">
        <v>80</v>
      </c>
      <c r="GA1032" t="s">
        <v>3</v>
      </c>
      <c r="GD1032">
        <v>0</v>
      </c>
      <c r="GF1032">
        <v>1225260919</v>
      </c>
      <c r="GG1032">
        <v>2</v>
      </c>
      <c r="GH1032">
        <v>1</v>
      </c>
      <c r="GI1032">
        <v>2</v>
      </c>
      <c r="GJ1032">
        <v>0</v>
      </c>
      <c r="GK1032">
        <f>ROUND(R1032*(R12)/100,2)</f>
        <v>315.54000000000002</v>
      </c>
      <c r="GL1032">
        <f t="shared" si="891"/>
        <v>0</v>
      </c>
      <c r="GM1032">
        <f t="shared" si="892"/>
        <v>12985.13</v>
      </c>
      <c r="GN1032">
        <f t="shared" si="893"/>
        <v>12985.13</v>
      </c>
      <c r="GO1032">
        <f t="shared" si="894"/>
        <v>0</v>
      </c>
      <c r="GP1032">
        <f t="shared" si="895"/>
        <v>0</v>
      </c>
      <c r="GR1032">
        <v>0</v>
      </c>
      <c r="GS1032">
        <v>3</v>
      </c>
      <c r="GT1032">
        <v>0</v>
      </c>
      <c r="GU1032" t="s">
        <v>3</v>
      </c>
      <c r="GV1032">
        <f t="shared" si="896"/>
        <v>0</v>
      </c>
      <c r="GW1032">
        <v>1</v>
      </c>
      <c r="GX1032">
        <f t="shared" si="897"/>
        <v>0</v>
      </c>
      <c r="HA1032">
        <v>0</v>
      </c>
      <c r="HB1032">
        <v>0</v>
      </c>
      <c r="HC1032">
        <f t="shared" si="898"/>
        <v>0</v>
      </c>
      <c r="HE1032" t="s">
        <v>3</v>
      </c>
      <c r="HF1032" t="s">
        <v>3</v>
      </c>
      <c r="HM1032" t="s">
        <v>3</v>
      </c>
      <c r="IK1032">
        <v>0</v>
      </c>
    </row>
    <row r="1033" spans="1:245" x14ac:dyDescent="0.2">
      <c r="A1033">
        <v>17</v>
      </c>
      <c r="B1033">
        <v>1</v>
      </c>
      <c r="C1033">
        <f>ROW(SmtRes!A546)</f>
        <v>546</v>
      </c>
      <c r="D1033">
        <f>ROW(EtalonRes!A539)</f>
        <v>539</v>
      </c>
      <c r="E1033" t="s">
        <v>1168</v>
      </c>
      <c r="F1033" t="s">
        <v>1160</v>
      </c>
      <c r="G1033" t="s">
        <v>1169</v>
      </c>
      <c r="H1033" t="s">
        <v>162</v>
      </c>
      <c r="I1033">
        <v>4</v>
      </c>
      <c r="J1033">
        <v>0</v>
      </c>
      <c r="K1033">
        <v>4</v>
      </c>
      <c r="O1033">
        <f t="shared" si="866"/>
        <v>11235.79</v>
      </c>
      <c r="P1033">
        <f t="shared" si="867"/>
        <v>0</v>
      </c>
      <c r="Q1033">
        <f>(ROUND((ROUND((((ET1033*1.25))*AV1033*I1033),2)*BB1033),2)+ROUND((ROUND(((AE1033-((EU1033*1.25)))*AV1033*I1033),2)*BS1033),2))</f>
        <v>1344.97</v>
      </c>
      <c r="R1033">
        <f t="shared" si="868"/>
        <v>418.49</v>
      </c>
      <c r="S1033">
        <f t="shared" si="869"/>
        <v>9890.82</v>
      </c>
      <c r="T1033">
        <f t="shared" si="870"/>
        <v>0</v>
      </c>
      <c r="U1033">
        <f t="shared" si="871"/>
        <v>30.681999999999999</v>
      </c>
      <c r="V1033">
        <f t="shared" si="872"/>
        <v>0</v>
      </c>
      <c r="W1033">
        <f t="shared" si="873"/>
        <v>0</v>
      </c>
      <c r="X1033">
        <f t="shared" si="874"/>
        <v>9099.5499999999993</v>
      </c>
      <c r="Y1033">
        <f t="shared" si="875"/>
        <v>4055.24</v>
      </c>
      <c r="AA1033">
        <v>42938047</v>
      </c>
      <c r="AB1033">
        <f t="shared" si="876"/>
        <v>135.93549999999999</v>
      </c>
      <c r="AC1033">
        <f t="shared" ref="AC1033:AC1045" si="899">ROUND((ES1033),6)</f>
        <v>0</v>
      </c>
      <c r="AD1033">
        <f>ROUND(((((ET1033*1.25))-((EU1033*1.25)))+AE1033),6)</f>
        <v>38.737499999999997</v>
      </c>
      <c r="AE1033">
        <f>ROUND(((EU1033*1.25)),6)</f>
        <v>4.1124999999999998</v>
      </c>
      <c r="AF1033">
        <f>ROUND(((EV1033*1.15)),6)</f>
        <v>97.197999999999993</v>
      </c>
      <c r="AG1033">
        <f t="shared" si="878"/>
        <v>0</v>
      </c>
      <c r="AH1033">
        <f>((EW1033*1.15))</f>
        <v>7.6704999999999997</v>
      </c>
      <c r="AI1033">
        <f>((EX1033*1.25))</f>
        <v>0</v>
      </c>
      <c r="AJ1033">
        <f t="shared" si="879"/>
        <v>0</v>
      </c>
      <c r="AK1033">
        <v>115.51</v>
      </c>
      <c r="AL1033">
        <v>0</v>
      </c>
      <c r="AM1033">
        <v>30.99</v>
      </c>
      <c r="AN1033">
        <v>3.29</v>
      </c>
      <c r="AO1033">
        <v>84.52</v>
      </c>
      <c r="AP1033">
        <v>0</v>
      </c>
      <c r="AQ1033">
        <v>6.67</v>
      </c>
      <c r="AR1033">
        <v>0</v>
      </c>
      <c r="AS1033">
        <v>0</v>
      </c>
      <c r="AT1033">
        <v>92</v>
      </c>
      <c r="AU1033">
        <v>41</v>
      </c>
      <c r="AV1033">
        <v>1</v>
      </c>
      <c r="AW1033">
        <v>1</v>
      </c>
      <c r="AZ1033">
        <v>1</v>
      </c>
      <c r="BA1033">
        <v>25.44</v>
      </c>
      <c r="BB1033">
        <v>8.68</v>
      </c>
      <c r="BC1033">
        <v>1</v>
      </c>
      <c r="BD1033" t="s">
        <v>3</v>
      </c>
      <c r="BE1033" t="s">
        <v>3</v>
      </c>
      <c r="BF1033" t="s">
        <v>3</v>
      </c>
      <c r="BG1033" t="s">
        <v>3</v>
      </c>
      <c r="BH1033">
        <v>0</v>
      </c>
      <c r="BI1033">
        <v>1</v>
      </c>
      <c r="BJ1033" t="s">
        <v>1162</v>
      </c>
      <c r="BM1033">
        <v>1387</v>
      </c>
      <c r="BN1033">
        <v>0</v>
      </c>
      <c r="BO1033" t="s">
        <v>1160</v>
      </c>
      <c r="BP1033">
        <v>1</v>
      </c>
      <c r="BQ1033">
        <v>30</v>
      </c>
      <c r="BR1033">
        <v>0</v>
      </c>
      <c r="BS1033">
        <v>25.44</v>
      </c>
      <c r="BT1033">
        <v>1</v>
      </c>
      <c r="BU1033">
        <v>1</v>
      </c>
      <c r="BV1033">
        <v>1</v>
      </c>
      <c r="BW1033">
        <v>1</v>
      </c>
      <c r="BX1033">
        <v>1</v>
      </c>
      <c r="BY1033" t="s">
        <v>3</v>
      </c>
      <c r="BZ1033">
        <v>92</v>
      </c>
      <c r="CA1033">
        <v>41</v>
      </c>
      <c r="CB1033" t="s">
        <v>3</v>
      </c>
      <c r="CE1033">
        <v>30</v>
      </c>
      <c r="CF1033">
        <v>0</v>
      </c>
      <c r="CG1033">
        <v>0</v>
      </c>
      <c r="CM1033">
        <v>0</v>
      </c>
      <c r="CN1033" t="s">
        <v>1584</v>
      </c>
      <c r="CO1033">
        <v>0</v>
      </c>
      <c r="CP1033">
        <f t="shared" si="880"/>
        <v>11235.789999999999</v>
      </c>
      <c r="CQ1033">
        <f t="shared" si="881"/>
        <v>0</v>
      </c>
      <c r="CR1033">
        <f>(ROUND((ROUND((((ET1033*1.25))*AV1033*1),2)*BB1033),2)+ROUND((ROUND(((AE1033-((EU1033*1.25)))*AV1033*1),2)*BS1033),2))</f>
        <v>336.26</v>
      </c>
      <c r="CS1033">
        <f t="shared" si="882"/>
        <v>104.56</v>
      </c>
      <c r="CT1033">
        <f t="shared" si="883"/>
        <v>2472.77</v>
      </c>
      <c r="CU1033">
        <f t="shared" si="884"/>
        <v>0</v>
      </c>
      <c r="CV1033">
        <f t="shared" si="885"/>
        <v>7.6704999999999997</v>
      </c>
      <c r="CW1033">
        <f t="shared" si="886"/>
        <v>0</v>
      </c>
      <c r="CX1033">
        <f t="shared" si="887"/>
        <v>0</v>
      </c>
      <c r="CY1033">
        <f t="shared" si="888"/>
        <v>9099.5544000000009</v>
      </c>
      <c r="CZ1033">
        <f t="shared" si="889"/>
        <v>4055.2361999999998</v>
      </c>
      <c r="DC1033" t="s">
        <v>3</v>
      </c>
      <c r="DD1033" t="s">
        <v>3</v>
      </c>
      <c r="DE1033" t="s">
        <v>20</v>
      </c>
      <c r="DF1033" t="s">
        <v>20</v>
      </c>
      <c r="DG1033" t="s">
        <v>21</v>
      </c>
      <c r="DH1033" t="s">
        <v>3</v>
      </c>
      <c r="DI1033" t="s">
        <v>21</v>
      </c>
      <c r="DJ1033" t="s">
        <v>20</v>
      </c>
      <c r="DK1033" t="s">
        <v>3</v>
      </c>
      <c r="DL1033" t="s">
        <v>3</v>
      </c>
      <c r="DM1033" t="s">
        <v>3</v>
      </c>
      <c r="DN1033">
        <v>114</v>
      </c>
      <c r="DO1033">
        <v>80</v>
      </c>
      <c r="DP1033">
        <v>1</v>
      </c>
      <c r="DQ1033">
        <v>1</v>
      </c>
      <c r="DU1033">
        <v>1013</v>
      </c>
      <c r="DV1033" t="s">
        <v>162</v>
      </c>
      <c r="DW1033" t="s">
        <v>162</v>
      </c>
      <c r="DX1033">
        <v>1</v>
      </c>
      <c r="DZ1033" t="s">
        <v>3</v>
      </c>
      <c r="EA1033" t="s">
        <v>3</v>
      </c>
      <c r="EB1033" t="s">
        <v>3</v>
      </c>
      <c r="EC1033" t="s">
        <v>3</v>
      </c>
      <c r="EE1033">
        <v>43089465</v>
      </c>
      <c r="EF1033">
        <v>30</v>
      </c>
      <c r="EG1033" t="s">
        <v>22</v>
      </c>
      <c r="EH1033">
        <v>0</v>
      </c>
      <c r="EI1033" t="s">
        <v>3</v>
      </c>
      <c r="EJ1033">
        <v>1</v>
      </c>
      <c r="EK1033">
        <v>1387</v>
      </c>
      <c r="EL1033" t="s">
        <v>1165</v>
      </c>
      <c r="EM1033" t="s">
        <v>1166</v>
      </c>
      <c r="EO1033" t="s">
        <v>59</v>
      </c>
      <c r="EQ1033">
        <v>0</v>
      </c>
      <c r="ER1033">
        <v>115.51</v>
      </c>
      <c r="ES1033">
        <v>0</v>
      </c>
      <c r="ET1033">
        <v>30.99</v>
      </c>
      <c r="EU1033">
        <v>3.29</v>
      </c>
      <c r="EV1033">
        <v>84.52</v>
      </c>
      <c r="EW1033">
        <v>6.67</v>
      </c>
      <c r="EX1033">
        <v>0</v>
      </c>
      <c r="EY1033">
        <v>0</v>
      </c>
      <c r="FQ1033">
        <v>0</v>
      </c>
      <c r="FR1033">
        <f t="shared" si="890"/>
        <v>0</v>
      </c>
      <c r="FS1033">
        <v>0</v>
      </c>
      <c r="FX1033">
        <v>114</v>
      </c>
      <c r="FY1033">
        <v>80</v>
      </c>
      <c r="GA1033" t="s">
        <v>3</v>
      </c>
      <c r="GD1033">
        <v>0</v>
      </c>
      <c r="GF1033">
        <v>972884747</v>
      </c>
      <c r="GG1033">
        <v>2</v>
      </c>
      <c r="GH1033">
        <v>1</v>
      </c>
      <c r="GI1033">
        <v>2</v>
      </c>
      <c r="GJ1033">
        <v>0</v>
      </c>
      <c r="GK1033">
        <f>ROUND(R1033*(R12)/100,2)</f>
        <v>657.03</v>
      </c>
      <c r="GL1033">
        <f t="shared" si="891"/>
        <v>0</v>
      </c>
      <c r="GM1033">
        <f t="shared" si="892"/>
        <v>25047.61</v>
      </c>
      <c r="GN1033">
        <f t="shared" si="893"/>
        <v>25047.61</v>
      </c>
      <c r="GO1033">
        <f t="shared" si="894"/>
        <v>0</v>
      </c>
      <c r="GP1033">
        <f t="shared" si="895"/>
        <v>0</v>
      </c>
      <c r="GR1033">
        <v>0</v>
      </c>
      <c r="GS1033">
        <v>3</v>
      </c>
      <c r="GT1033">
        <v>0</v>
      </c>
      <c r="GU1033" t="s">
        <v>3</v>
      </c>
      <c r="GV1033">
        <f t="shared" si="896"/>
        <v>0</v>
      </c>
      <c r="GW1033">
        <v>1</v>
      </c>
      <c r="GX1033">
        <f t="shared" si="897"/>
        <v>0</v>
      </c>
      <c r="HA1033">
        <v>0</v>
      </c>
      <c r="HB1033">
        <v>0</v>
      </c>
      <c r="HC1033">
        <f t="shared" si="898"/>
        <v>0</v>
      </c>
      <c r="HE1033" t="s">
        <v>3</v>
      </c>
      <c r="HF1033" t="s">
        <v>3</v>
      </c>
      <c r="HM1033" t="s">
        <v>3</v>
      </c>
      <c r="IK1033">
        <v>0</v>
      </c>
    </row>
    <row r="1034" spans="1:245" x14ac:dyDescent="0.2">
      <c r="A1034">
        <v>18</v>
      </c>
      <c r="B1034">
        <v>1</v>
      </c>
      <c r="C1034">
        <v>546</v>
      </c>
      <c r="E1034" t="s">
        <v>1170</v>
      </c>
      <c r="F1034" t="s">
        <v>118</v>
      </c>
      <c r="G1034" t="s">
        <v>1171</v>
      </c>
      <c r="H1034" t="s">
        <v>169</v>
      </c>
      <c r="I1034">
        <f>I1033*J1034</f>
        <v>4</v>
      </c>
      <c r="J1034">
        <v>1</v>
      </c>
      <c r="K1034">
        <v>1</v>
      </c>
      <c r="O1034">
        <f t="shared" si="866"/>
        <v>462400.04</v>
      </c>
      <c r="P1034">
        <f t="shared" si="867"/>
        <v>462400.04</v>
      </c>
      <c r="Q1034">
        <f>(ROUND((ROUND(((ET1034)*AV1034*I1034),2)*BB1034),2)+ROUND((ROUND(((AE1034-(EU1034))*AV1034*I1034),2)*BS1034),2))</f>
        <v>0</v>
      </c>
      <c r="R1034">
        <f t="shared" si="868"/>
        <v>0</v>
      </c>
      <c r="S1034">
        <f t="shared" si="869"/>
        <v>0</v>
      </c>
      <c r="T1034">
        <f t="shared" si="870"/>
        <v>0</v>
      </c>
      <c r="U1034">
        <f t="shared" si="871"/>
        <v>0</v>
      </c>
      <c r="V1034">
        <f t="shared" si="872"/>
        <v>0</v>
      </c>
      <c r="W1034">
        <f t="shared" si="873"/>
        <v>0</v>
      </c>
      <c r="X1034">
        <f t="shared" si="874"/>
        <v>0</v>
      </c>
      <c r="Y1034">
        <f t="shared" si="875"/>
        <v>0</v>
      </c>
      <c r="AA1034">
        <v>42938047</v>
      </c>
      <c r="AB1034">
        <f t="shared" si="876"/>
        <v>18233.439999999999</v>
      </c>
      <c r="AC1034">
        <f t="shared" si="899"/>
        <v>18233.439999999999</v>
      </c>
      <c r="AD1034">
        <f>ROUND((((ET1034)-(EU1034))+AE1034),6)</f>
        <v>0</v>
      </c>
      <c r="AE1034">
        <f>ROUND((EU1034),6)</f>
        <v>0</v>
      </c>
      <c r="AF1034">
        <f>ROUND((EV1034),6)</f>
        <v>0</v>
      </c>
      <c r="AG1034">
        <f t="shared" si="878"/>
        <v>0</v>
      </c>
      <c r="AH1034">
        <f>(EW1034)</f>
        <v>0</v>
      </c>
      <c r="AI1034">
        <f>(EX1034)</f>
        <v>0</v>
      </c>
      <c r="AJ1034">
        <f t="shared" si="879"/>
        <v>0</v>
      </c>
      <c r="AK1034">
        <v>18233.439999999999</v>
      </c>
      <c r="AL1034">
        <v>18233.439999999999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1</v>
      </c>
      <c r="AW1034">
        <v>1</v>
      </c>
      <c r="AZ1034">
        <v>1</v>
      </c>
      <c r="BA1034">
        <v>1</v>
      </c>
      <c r="BB1034">
        <v>1</v>
      </c>
      <c r="BC1034">
        <v>6.34</v>
      </c>
      <c r="BD1034" t="s">
        <v>3</v>
      </c>
      <c r="BE1034" t="s">
        <v>3</v>
      </c>
      <c r="BF1034" t="s">
        <v>3</v>
      </c>
      <c r="BG1034" t="s">
        <v>3</v>
      </c>
      <c r="BH1034">
        <v>3</v>
      </c>
      <c r="BI1034">
        <v>1</v>
      </c>
      <c r="BJ1034" t="s">
        <v>3</v>
      </c>
      <c r="BM1034">
        <v>1387</v>
      </c>
      <c r="BN1034">
        <v>0</v>
      </c>
      <c r="BO1034" t="s">
        <v>3</v>
      </c>
      <c r="BP1034">
        <v>0</v>
      </c>
      <c r="BQ1034">
        <v>30</v>
      </c>
      <c r="BR1034">
        <v>0</v>
      </c>
      <c r="BS1034">
        <v>1</v>
      </c>
      <c r="BT1034">
        <v>1</v>
      </c>
      <c r="BU1034">
        <v>1</v>
      </c>
      <c r="BV1034">
        <v>1</v>
      </c>
      <c r="BW1034">
        <v>1</v>
      </c>
      <c r="BX1034">
        <v>1</v>
      </c>
      <c r="BY1034" t="s">
        <v>3</v>
      </c>
      <c r="BZ1034">
        <v>0</v>
      </c>
      <c r="CA1034">
        <v>0</v>
      </c>
      <c r="CB1034" t="s">
        <v>3</v>
      </c>
      <c r="CE1034">
        <v>30</v>
      </c>
      <c r="CF1034">
        <v>0</v>
      </c>
      <c r="CG1034">
        <v>0</v>
      </c>
      <c r="CM1034">
        <v>0</v>
      </c>
      <c r="CN1034" t="s">
        <v>3</v>
      </c>
      <c r="CO1034">
        <v>0</v>
      </c>
      <c r="CP1034">
        <f t="shared" si="880"/>
        <v>462400.04</v>
      </c>
      <c r="CQ1034">
        <f t="shared" si="881"/>
        <v>115600.01</v>
      </c>
      <c r="CR1034">
        <f>(ROUND((ROUND(((ET1034)*AV1034*1),2)*BB1034),2)+ROUND((ROUND(((AE1034-(EU1034))*AV1034*1),2)*BS1034),2))</f>
        <v>0</v>
      </c>
      <c r="CS1034">
        <f t="shared" si="882"/>
        <v>0</v>
      </c>
      <c r="CT1034">
        <f t="shared" si="883"/>
        <v>0</v>
      </c>
      <c r="CU1034">
        <f t="shared" si="884"/>
        <v>0</v>
      </c>
      <c r="CV1034">
        <f t="shared" si="885"/>
        <v>0</v>
      </c>
      <c r="CW1034">
        <f t="shared" si="886"/>
        <v>0</v>
      </c>
      <c r="CX1034">
        <f t="shared" si="887"/>
        <v>0</v>
      </c>
      <c r="CY1034">
        <f t="shared" si="888"/>
        <v>0</v>
      </c>
      <c r="CZ1034">
        <f t="shared" si="889"/>
        <v>0</v>
      </c>
      <c r="DC1034" t="s">
        <v>3</v>
      </c>
      <c r="DD1034" t="s">
        <v>3</v>
      </c>
      <c r="DE1034" t="s">
        <v>3</v>
      </c>
      <c r="DF1034" t="s">
        <v>3</v>
      </c>
      <c r="DG1034" t="s">
        <v>3</v>
      </c>
      <c r="DH1034" t="s">
        <v>3</v>
      </c>
      <c r="DI1034" t="s">
        <v>3</v>
      </c>
      <c r="DJ1034" t="s">
        <v>3</v>
      </c>
      <c r="DK1034" t="s">
        <v>3</v>
      </c>
      <c r="DL1034" t="s">
        <v>3</v>
      </c>
      <c r="DM1034" t="s">
        <v>3</v>
      </c>
      <c r="DN1034">
        <v>114</v>
      </c>
      <c r="DO1034">
        <v>80</v>
      </c>
      <c r="DP1034">
        <v>1</v>
      </c>
      <c r="DQ1034">
        <v>1</v>
      </c>
      <c r="DU1034">
        <v>1010</v>
      </c>
      <c r="DV1034" t="s">
        <v>169</v>
      </c>
      <c r="DW1034" t="s">
        <v>169</v>
      </c>
      <c r="DX1034">
        <v>1</v>
      </c>
      <c r="DZ1034" t="s">
        <v>3</v>
      </c>
      <c r="EA1034" t="s">
        <v>3</v>
      </c>
      <c r="EB1034" t="s">
        <v>3</v>
      </c>
      <c r="EC1034" t="s">
        <v>3</v>
      </c>
      <c r="EE1034">
        <v>43089465</v>
      </c>
      <c r="EF1034">
        <v>30</v>
      </c>
      <c r="EG1034" t="s">
        <v>22</v>
      </c>
      <c r="EH1034">
        <v>0</v>
      </c>
      <c r="EI1034" t="s">
        <v>3</v>
      </c>
      <c r="EJ1034">
        <v>1</v>
      </c>
      <c r="EK1034">
        <v>1387</v>
      </c>
      <c r="EL1034" t="s">
        <v>1165</v>
      </c>
      <c r="EM1034" t="s">
        <v>1166</v>
      </c>
      <c r="EO1034" t="s">
        <v>3</v>
      </c>
      <c r="EQ1034">
        <v>0</v>
      </c>
      <c r="ER1034">
        <v>18233.439999999999</v>
      </c>
      <c r="ES1034">
        <v>18233.439999999999</v>
      </c>
      <c r="ET1034">
        <v>0</v>
      </c>
      <c r="EU1034">
        <v>0</v>
      </c>
      <c r="EV1034">
        <v>0</v>
      </c>
      <c r="EW1034">
        <v>0</v>
      </c>
      <c r="EX1034">
        <v>0</v>
      </c>
      <c r="EZ1034">
        <v>5</v>
      </c>
      <c r="FC1034">
        <v>1</v>
      </c>
      <c r="FD1034">
        <v>18</v>
      </c>
      <c r="FF1034">
        <v>136000</v>
      </c>
      <c r="FQ1034">
        <v>0</v>
      </c>
      <c r="FR1034">
        <f t="shared" si="890"/>
        <v>0</v>
      </c>
      <c r="FS1034">
        <v>0</v>
      </c>
      <c r="FX1034">
        <v>114</v>
      </c>
      <c r="FY1034">
        <v>80</v>
      </c>
      <c r="GA1034" t="s">
        <v>1172</v>
      </c>
      <c r="GD1034">
        <v>0</v>
      </c>
      <c r="GF1034">
        <v>-158374550</v>
      </c>
      <c r="GG1034">
        <v>2</v>
      </c>
      <c r="GH1034">
        <v>3</v>
      </c>
      <c r="GI1034">
        <v>3</v>
      </c>
      <c r="GJ1034">
        <v>0</v>
      </c>
      <c r="GK1034">
        <f>ROUND(R1034*(R12)/100,2)</f>
        <v>0</v>
      </c>
      <c r="GL1034">
        <f t="shared" si="891"/>
        <v>0</v>
      </c>
      <c r="GM1034">
        <f t="shared" si="892"/>
        <v>462400.04</v>
      </c>
      <c r="GN1034">
        <f t="shared" si="893"/>
        <v>462400.04</v>
      </c>
      <c r="GO1034">
        <f t="shared" si="894"/>
        <v>0</v>
      </c>
      <c r="GP1034">
        <f t="shared" si="895"/>
        <v>0</v>
      </c>
      <c r="GR1034">
        <v>1</v>
      </c>
      <c r="GS1034">
        <v>1</v>
      </c>
      <c r="GT1034">
        <v>0</v>
      </c>
      <c r="GU1034" t="s">
        <v>3</v>
      </c>
      <c r="GV1034">
        <f t="shared" si="896"/>
        <v>0</v>
      </c>
      <c r="GW1034">
        <v>1</v>
      </c>
      <c r="GX1034">
        <f t="shared" si="897"/>
        <v>0</v>
      </c>
      <c r="HA1034">
        <v>0</v>
      </c>
      <c r="HB1034">
        <v>0</v>
      </c>
      <c r="HC1034">
        <f t="shared" si="898"/>
        <v>0</v>
      </c>
      <c r="HE1034" t="s">
        <v>26</v>
      </c>
      <c r="HF1034" t="s">
        <v>122</v>
      </c>
      <c r="HM1034" t="s">
        <v>3</v>
      </c>
      <c r="IK1034">
        <v>0</v>
      </c>
    </row>
    <row r="1035" spans="1:245" x14ac:dyDescent="0.2">
      <c r="A1035">
        <v>17</v>
      </c>
      <c r="B1035">
        <v>1</v>
      </c>
      <c r="C1035">
        <f>ROW(SmtRes!A548)</f>
        <v>548</v>
      </c>
      <c r="D1035">
        <f>ROW(EtalonRes!A540)</f>
        <v>540</v>
      </c>
      <c r="E1035" t="s">
        <v>1173</v>
      </c>
      <c r="F1035" t="s">
        <v>1174</v>
      </c>
      <c r="G1035" t="s">
        <v>1175</v>
      </c>
      <c r="H1035" t="s">
        <v>162</v>
      </c>
      <c r="I1035">
        <v>4</v>
      </c>
      <c r="J1035">
        <v>0</v>
      </c>
      <c r="K1035">
        <v>4</v>
      </c>
      <c r="O1035">
        <f t="shared" si="866"/>
        <v>14604.48</v>
      </c>
      <c r="P1035">
        <f t="shared" si="867"/>
        <v>192.14</v>
      </c>
      <c r="Q1035">
        <f>(ROUND((ROUND((((ET1035*1.25))*AV1035*I1035),2)*BB1035),2)+ROUND((ROUND(((AE1035-((EU1035*1.25)))*AV1035*I1035),2)*BS1035),2))</f>
        <v>8540.02</v>
      </c>
      <c r="R1035">
        <f t="shared" si="868"/>
        <v>4427.83</v>
      </c>
      <c r="S1035">
        <f t="shared" si="869"/>
        <v>5872.32</v>
      </c>
      <c r="T1035">
        <f t="shared" si="870"/>
        <v>0</v>
      </c>
      <c r="U1035">
        <f t="shared" si="871"/>
        <v>18.032</v>
      </c>
      <c r="V1035">
        <f t="shared" si="872"/>
        <v>0</v>
      </c>
      <c r="W1035">
        <f t="shared" si="873"/>
        <v>0</v>
      </c>
      <c r="X1035">
        <f t="shared" si="874"/>
        <v>4521.6899999999996</v>
      </c>
      <c r="Y1035">
        <f t="shared" si="875"/>
        <v>2407.65</v>
      </c>
      <c r="AA1035">
        <v>42938047</v>
      </c>
      <c r="AB1035">
        <f t="shared" si="876"/>
        <v>284.43200000000002</v>
      </c>
      <c r="AC1035">
        <f t="shared" si="899"/>
        <v>7.3</v>
      </c>
      <c r="AD1035">
        <f>ROUND(((((ET1035*1.25))-((EU1035*1.25)))+AE1035),6)</f>
        <v>219.42500000000001</v>
      </c>
      <c r="AE1035">
        <f>ROUND(((EU1035*1.25)),6)</f>
        <v>43.512500000000003</v>
      </c>
      <c r="AF1035">
        <f>ROUND(((EV1035*1.15)),6)</f>
        <v>57.707000000000001</v>
      </c>
      <c r="AG1035">
        <f t="shared" si="878"/>
        <v>0</v>
      </c>
      <c r="AH1035">
        <f>((EW1035*1.15))</f>
        <v>4.508</v>
      </c>
      <c r="AI1035">
        <f>((EX1035*1.25))</f>
        <v>0</v>
      </c>
      <c r="AJ1035">
        <f t="shared" si="879"/>
        <v>0</v>
      </c>
      <c r="AK1035">
        <v>233.02</v>
      </c>
      <c r="AL1035">
        <v>7.3</v>
      </c>
      <c r="AM1035">
        <v>175.54</v>
      </c>
      <c r="AN1035">
        <v>34.81</v>
      </c>
      <c r="AO1035">
        <v>50.18</v>
      </c>
      <c r="AP1035">
        <v>0</v>
      </c>
      <c r="AQ1035">
        <v>3.92</v>
      </c>
      <c r="AR1035">
        <v>0</v>
      </c>
      <c r="AS1035">
        <v>0</v>
      </c>
      <c r="AT1035">
        <v>77</v>
      </c>
      <c r="AU1035">
        <v>41</v>
      </c>
      <c r="AV1035">
        <v>1</v>
      </c>
      <c r="AW1035">
        <v>1</v>
      </c>
      <c r="AZ1035">
        <v>1</v>
      </c>
      <c r="BA1035">
        <v>25.44</v>
      </c>
      <c r="BB1035">
        <v>9.73</v>
      </c>
      <c r="BC1035">
        <v>6.58</v>
      </c>
      <c r="BD1035" t="s">
        <v>3</v>
      </c>
      <c r="BE1035" t="s">
        <v>3</v>
      </c>
      <c r="BF1035" t="s">
        <v>3</v>
      </c>
      <c r="BG1035" t="s">
        <v>3</v>
      </c>
      <c r="BH1035">
        <v>0</v>
      </c>
      <c r="BI1035">
        <v>2</v>
      </c>
      <c r="BJ1035" t="s">
        <v>1176</v>
      </c>
      <c r="BM1035">
        <v>329</v>
      </c>
      <c r="BN1035">
        <v>0</v>
      </c>
      <c r="BO1035" t="s">
        <v>1174</v>
      </c>
      <c r="BP1035">
        <v>1</v>
      </c>
      <c r="BQ1035">
        <v>40</v>
      </c>
      <c r="BR1035">
        <v>0</v>
      </c>
      <c r="BS1035">
        <v>25.44</v>
      </c>
      <c r="BT1035">
        <v>1</v>
      </c>
      <c r="BU1035">
        <v>1</v>
      </c>
      <c r="BV1035">
        <v>1</v>
      </c>
      <c r="BW1035">
        <v>1</v>
      </c>
      <c r="BX1035">
        <v>1</v>
      </c>
      <c r="BY1035" t="s">
        <v>3</v>
      </c>
      <c r="BZ1035">
        <v>77</v>
      </c>
      <c r="CA1035">
        <v>41</v>
      </c>
      <c r="CB1035" t="s">
        <v>3</v>
      </c>
      <c r="CE1035">
        <v>30</v>
      </c>
      <c r="CF1035">
        <v>0</v>
      </c>
      <c r="CG1035">
        <v>0</v>
      </c>
      <c r="CM1035">
        <v>0</v>
      </c>
      <c r="CN1035" t="s">
        <v>1118</v>
      </c>
      <c r="CO1035">
        <v>0</v>
      </c>
      <c r="CP1035">
        <f t="shared" si="880"/>
        <v>14604.48</v>
      </c>
      <c r="CQ1035">
        <f t="shared" si="881"/>
        <v>48.03</v>
      </c>
      <c r="CR1035">
        <f>(ROUND((ROUND((((ET1035*1.25))*AV1035*1),2)*BB1035),2)+ROUND((ROUND(((AE1035-((EU1035*1.25)))*AV1035*1),2)*BS1035),2))</f>
        <v>2135.0500000000002</v>
      </c>
      <c r="CS1035">
        <f t="shared" si="882"/>
        <v>1106.8900000000001</v>
      </c>
      <c r="CT1035">
        <f t="shared" si="883"/>
        <v>1468.14</v>
      </c>
      <c r="CU1035">
        <f t="shared" si="884"/>
        <v>0</v>
      </c>
      <c r="CV1035">
        <f t="shared" si="885"/>
        <v>4.508</v>
      </c>
      <c r="CW1035">
        <f t="shared" si="886"/>
        <v>0</v>
      </c>
      <c r="CX1035">
        <f t="shared" si="887"/>
        <v>0</v>
      </c>
      <c r="CY1035">
        <f t="shared" si="888"/>
        <v>4521.6863999999996</v>
      </c>
      <c r="CZ1035">
        <f t="shared" si="889"/>
        <v>2407.6511999999998</v>
      </c>
      <c r="DC1035" t="s">
        <v>3</v>
      </c>
      <c r="DD1035" t="s">
        <v>3</v>
      </c>
      <c r="DE1035" t="s">
        <v>20</v>
      </c>
      <c r="DF1035" t="s">
        <v>20</v>
      </c>
      <c r="DG1035" t="s">
        <v>21</v>
      </c>
      <c r="DH1035" t="s">
        <v>3</v>
      </c>
      <c r="DI1035" t="s">
        <v>21</v>
      </c>
      <c r="DJ1035" t="s">
        <v>20</v>
      </c>
      <c r="DK1035" t="s">
        <v>3</v>
      </c>
      <c r="DL1035" t="s">
        <v>3</v>
      </c>
      <c r="DM1035" t="s">
        <v>3</v>
      </c>
      <c r="DN1035">
        <v>114</v>
      </c>
      <c r="DO1035">
        <v>67</v>
      </c>
      <c r="DP1035">
        <v>1</v>
      </c>
      <c r="DQ1035">
        <v>1</v>
      </c>
      <c r="DU1035">
        <v>1013</v>
      </c>
      <c r="DV1035" t="s">
        <v>162</v>
      </c>
      <c r="DW1035" t="s">
        <v>162</v>
      </c>
      <c r="DX1035">
        <v>1</v>
      </c>
      <c r="DZ1035" t="s">
        <v>3</v>
      </c>
      <c r="EA1035" t="s">
        <v>3</v>
      </c>
      <c r="EB1035" t="s">
        <v>3</v>
      </c>
      <c r="EC1035" t="s">
        <v>3</v>
      </c>
      <c r="EE1035">
        <v>43088407</v>
      </c>
      <c r="EF1035">
        <v>40</v>
      </c>
      <c r="EG1035" t="s">
        <v>553</v>
      </c>
      <c r="EH1035">
        <v>0</v>
      </c>
      <c r="EI1035" t="s">
        <v>3</v>
      </c>
      <c r="EJ1035">
        <v>2</v>
      </c>
      <c r="EK1035">
        <v>329</v>
      </c>
      <c r="EL1035" t="s">
        <v>1177</v>
      </c>
      <c r="EM1035" t="s">
        <v>1178</v>
      </c>
      <c r="EO1035" t="s">
        <v>1121</v>
      </c>
      <c r="EQ1035">
        <v>0</v>
      </c>
      <c r="ER1035">
        <v>233.02</v>
      </c>
      <c r="ES1035">
        <v>7.3</v>
      </c>
      <c r="ET1035">
        <v>175.54</v>
      </c>
      <c r="EU1035">
        <v>34.81</v>
      </c>
      <c r="EV1035">
        <v>50.18</v>
      </c>
      <c r="EW1035">
        <v>3.92</v>
      </c>
      <c r="EX1035">
        <v>0</v>
      </c>
      <c r="EY1035">
        <v>0</v>
      </c>
      <c r="FQ1035">
        <v>0</v>
      </c>
      <c r="FR1035">
        <f t="shared" si="890"/>
        <v>0</v>
      </c>
      <c r="FS1035">
        <v>0</v>
      </c>
      <c r="FX1035">
        <v>114</v>
      </c>
      <c r="FY1035">
        <v>67</v>
      </c>
      <c r="GA1035" t="s">
        <v>3</v>
      </c>
      <c r="GD1035">
        <v>0</v>
      </c>
      <c r="GF1035">
        <v>-340568048</v>
      </c>
      <c r="GG1035">
        <v>2</v>
      </c>
      <c r="GH1035">
        <v>1</v>
      </c>
      <c r="GI1035">
        <v>2</v>
      </c>
      <c r="GJ1035">
        <v>0</v>
      </c>
      <c r="GK1035">
        <f>ROUND(R1035*(R12)/100,2)</f>
        <v>6951.69</v>
      </c>
      <c r="GL1035">
        <f t="shared" si="891"/>
        <v>0</v>
      </c>
      <c r="GM1035">
        <f t="shared" si="892"/>
        <v>28485.51</v>
      </c>
      <c r="GN1035">
        <f t="shared" si="893"/>
        <v>0</v>
      </c>
      <c r="GO1035">
        <f t="shared" si="894"/>
        <v>28485.51</v>
      </c>
      <c r="GP1035">
        <f t="shared" si="895"/>
        <v>0</v>
      </c>
      <c r="GR1035">
        <v>0</v>
      </c>
      <c r="GS1035">
        <v>3</v>
      </c>
      <c r="GT1035">
        <v>0</v>
      </c>
      <c r="GU1035" t="s">
        <v>3</v>
      </c>
      <c r="GV1035">
        <f t="shared" si="896"/>
        <v>0</v>
      </c>
      <c r="GW1035">
        <v>1</v>
      </c>
      <c r="GX1035">
        <f t="shared" si="897"/>
        <v>0</v>
      </c>
      <c r="HA1035">
        <v>0</v>
      </c>
      <c r="HB1035">
        <v>0</v>
      </c>
      <c r="HC1035">
        <f t="shared" si="898"/>
        <v>0</v>
      </c>
      <c r="HE1035" t="s">
        <v>3</v>
      </c>
      <c r="HF1035" t="s">
        <v>3</v>
      </c>
      <c r="HM1035" t="s">
        <v>3</v>
      </c>
      <c r="IK1035">
        <v>0</v>
      </c>
    </row>
    <row r="1036" spans="1:245" x14ac:dyDescent="0.2">
      <c r="A1036">
        <v>18</v>
      </c>
      <c r="B1036">
        <v>1</v>
      </c>
      <c r="C1036">
        <v>548</v>
      </c>
      <c r="E1036" t="s">
        <v>1179</v>
      </c>
      <c r="F1036" t="s">
        <v>1180</v>
      </c>
      <c r="G1036" t="s">
        <v>1598</v>
      </c>
      <c r="H1036" t="s">
        <v>169</v>
      </c>
      <c r="I1036">
        <f>I1035*J1036</f>
        <v>4</v>
      </c>
      <c r="J1036">
        <v>1</v>
      </c>
      <c r="K1036">
        <v>1</v>
      </c>
      <c r="O1036">
        <f t="shared" si="866"/>
        <v>28941.59</v>
      </c>
      <c r="P1036">
        <f t="shared" si="867"/>
        <v>28941.59</v>
      </c>
      <c r="Q1036">
        <f>(ROUND((ROUND(((ET1036)*AV1036*I1036),2)*BB1036),2)+ROUND((ROUND(((AE1036-(EU1036))*AV1036*I1036),2)*BS1036),2))</f>
        <v>0</v>
      </c>
      <c r="R1036">
        <f t="shared" si="868"/>
        <v>0</v>
      </c>
      <c r="S1036">
        <f t="shared" si="869"/>
        <v>0</v>
      </c>
      <c r="T1036">
        <f t="shared" si="870"/>
        <v>0</v>
      </c>
      <c r="U1036">
        <f t="shared" si="871"/>
        <v>0</v>
      </c>
      <c r="V1036">
        <f t="shared" si="872"/>
        <v>0</v>
      </c>
      <c r="W1036">
        <f t="shared" si="873"/>
        <v>0</v>
      </c>
      <c r="X1036">
        <f t="shared" si="874"/>
        <v>0</v>
      </c>
      <c r="Y1036">
        <f t="shared" si="875"/>
        <v>0</v>
      </c>
      <c r="AA1036">
        <v>42938047</v>
      </c>
      <c r="AB1036">
        <f t="shared" si="876"/>
        <v>1141.23</v>
      </c>
      <c r="AC1036">
        <f t="shared" si="899"/>
        <v>1141.23</v>
      </c>
      <c r="AD1036">
        <f>ROUND((((ET1036)-(EU1036))+AE1036),6)</f>
        <v>0</v>
      </c>
      <c r="AE1036">
        <f>ROUND((EU1036),6)</f>
        <v>0</v>
      </c>
      <c r="AF1036">
        <f>ROUND((EV1036),6)</f>
        <v>0</v>
      </c>
      <c r="AG1036">
        <f t="shared" si="878"/>
        <v>0</v>
      </c>
      <c r="AH1036">
        <f>(EW1036)</f>
        <v>0</v>
      </c>
      <c r="AI1036">
        <f>(EX1036)</f>
        <v>0</v>
      </c>
      <c r="AJ1036">
        <f t="shared" si="879"/>
        <v>0</v>
      </c>
      <c r="AK1036">
        <v>1141.23</v>
      </c>
      <c r="AL1036">
        <v>1141.23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1</v>
      </c>
      <c r="AW1036">
        <v>1</v>
      </c>
      <c r="AZ1036">
        <v>1</v>
      </c>
      <c r="BA1036">
        <v>1</v>
      </c>
      <c r="BB1036">
        <v>1</v>
      </c>
      <c r="BC1036">
        <v>6.34</v>
      </c>
      <c r="BD1036" t="s">
        <v>3</v>
      </c>
      <c r="BE1036" t="s">
        <v>3</v>
      </c>
      <c r="BF1036" t="s">
        <v>3</v>
      </c>
      <c r="BG1036" t="s">
        <v>3</v>
      </c>
      <c r="BH1036">
        <v>3</v>
      </c>
      <c r="BI1036">
        <v>2</v>
      </c>
      <c r="BJ1036" t="s">
        <v>1181</v>
      </c>
      <c r="BM1036">
        <v>329</v>
      </c>
      <c r="BN1036">
        <v>0</v>
      </c>
      <c r="BO1036" t="s">
        <v>3</v>
      </c>
      <c r="BP1036">
        <v>0</v>
      </c>
      <c r="BQ1036">
        <v>40</v>
      </c>
      <c r="BR1036">
        <v>0</v>
      </c>
      <c r="BS1036">
        <v>1</v>
      </c>
      <c r="BT1036">
        <v>1</v>
      </c>
      <c r="BU1036">
        <v>1</v>
      </c>
      <c r="BV1036">
        <v>1</v>
      </c>
      <c r="BW1036">
        <v>1</v>
      </c>
      <c r="BX1036">
        <v>1</v>
      </c>
      <c r="BY1036" t="s">
        <v>3</v>
      </c>
      <c r="BZ1036">
        <v>0</v>
      </c>
      <c r="CA1036">
        <v>0</v>
      </c>
      <c r="CB1036" t="s">
        <v>3</v>
      </c>
      <c r="CE1036">
        <v>30</v>
      </c>
      <c r="CF1036">
        <v>0</v>
      </c>
      <c r="CG1036">
        <v>0</v>
      </c>
      <c r="CM1036">
        <v>0</v>
      </c>
      <c r="CN1036" t="s">
        <v>3</v>
      </c>
      <c r="CO1036">
        <v>0</v>
      </c>
      <c r="CP1036">
        <f t="shared" si="880"/>
        <v>28941.59</v>
      </c>
      <c r="CQ1036">
        <f t="shared" si="881"/>
        <v>7235.4</v>
      </c>
      <c r="CR1036">
        <f>(ROUND((ROUND(((ET1036)*AV1036*1),2)*BB1036),2)+ROUND((ROUND(((AE1036-(EU1036))*AV1036*1),2)*BS1036),2))</f>
        <v>0</v>
      </c>
      <c r="CS1036">
        <f t="shared" si="882"/>
        <v>0</v>
      </c>
      <c r="CT1036">
        <f t="shared" si="883"/>
        <v>0</v>
      </c>
      <c r="CU1036">
        <f t="shared" si="884"/>
        <v>0</v>
      </c>
      <c r="CV1036">
        <f t="shared" si="885"/>
        <v>0</v>
      </c>
      <c r="CW1036">
        <f t="shared" si="886"/>
        <v>0</v>
      </c>
      <c r="CX1036">
        <f t="shared" si="887"/>
        <v>0</v>
      </c>
      <c r="CY1036">
        <f t="shared" si="888"/>
        <v>0</v>
      </c>
      <c r="CZ1036">
        <f t="shared" si="889"/>
        <v>0</v>
      </c>
      <c r="DC1036" t="s">
        <v>3</v>
      </c>
      <c r="DD1036" t="s">
        <v>3</v>
      </c>
      <c r="DE1036" t="s">
        <v>3</v>
      </c>
      <c r="DF1036" t="s">
        <v>3</v>
      </c>
      <c r="DG1036" t="s">
        <v>3</v>
      </c>
      <c r="DH1036" t="s">
        <v>3</v>
      </c>
      <c r="DI1036" t="s">
        <v>3</v>
      </c>
      <c r="DJ1036" t="s">
        <v>3</v>
      </c>
      <c r="DK1036" t="s">
        <v>3</v>
      </c>
      <c r="DL1036" t="s">
        <v>3</v>
      </c>
      <c r="DM1036" t="s">
        <v>3</v>
      </c>
      <c r="DN1036">
        <v>114</v>
      </c>
      <c r="DO1036">
        <v>67</v>
      </c>
      <c r="DP1036">
        <v>1</v>
      </c>
      <c r="DQ1036">
        <v>1</v>
      </c>
      <c r="DU1036">
        <v>1010</v>
      </c>
      <c r="DV1036" t="s">
        <v>169</v>
      </c>
      <c r="DW1036" t="s">
        <v>169</v>
      </c>
      <c r="DX1036">
        <v>1</v>
      </c>
      <c r="DZ1036" t="s">
        <v>3</v>
      </c>
      <c r="EA1036" t="s">
        <v>3</v>
      </c>
      <c r="EB1036" t="s">
        <v>3</v>
      </c>
      <c r="EC1036" t="s">
        <v>3</v>
      </c>
      <c r="EE1036">
        <v>43088407</v>
      </c>
      <c r="EF1036">
        <v>40</v>
      </c>
      <c r="EG1036" t="s">
        <v>553</v>
      </c>
      <c r="EH1036">
        <v>0</v>
      </c>
      <c r="EI1036" t="s">
        <v>3</v>
      </c>
      <c r="EJ1036">
        <v>2</v>
      </c>
      <c r="EK1036">
        <v>329</v>
      </c>
      <c r="EL1036" t="s">
        <v>1177</v>
      </c>
      <c r="EM1036" t="s">
        <v>1178</v>
      </c>
      <c r="EO1036" t="s">
        <v>3</v>
      </c>
      <c r="EQ1036">
        <v>0</v>
      </c>
      <c r="ER1036">
        <v>1141.23</v>
      </c>
      <c r="ES1036">
        <v>1141.23</v>
      </c>
      <c r="ET1036">
        <v>0</v>
      </c>
      <c r="EU1036">
        <v>0</v>
      </c>
      <c r="EV1036">
        <v>0</v>
      </c>
      <c r="EW1036">
        <v>0</v>
      </c>
      <c r="EX1036">
        <v>0</v>
      </c>
      <c r="FQ1036">
        <v>0</v>
      </c>
      <c r="FR1036">
        <f t="shared" si="890"/>
        <v>0</v>
      </c>
      <c r="FS1036">
        <v>0</v>
      </c>
      <c r="FX1036">
        <v>114</v>
      </c>
      <c r="FY1036">
        <v>67</v>
      </c>
      <c r="GA1036" t="s">
        <v>3</v>
      </c>
      <c r="GD1036">
        <v>0</v>
      </c>
      <c r="GF1036">
        <v>-1951459900</v>
      </c>
      <c r="GG1036">
        <v>2</v>
      </c>
      <c r="GH1036">
        <v>1</v>
      </c>
      <c r="GI1036">
        <v>3</v>
      </c>
      <c r="GJ1036">
        <v>0</v>
      </c>
      <c r="GK1036">
        <f>ROUND(R1036*(R12)/100,2)</f>
        <v>0</v>
      </c>
      <c r="GL1036">
        <f t="shared" si="891"/>
        <v>0</v>
      </c>
      <c r="GM1036">
        <f t="shared" si="892"/>
        <v>28941.59</v>
      </c>
      <c r="GN1036">
        <f t="shared" si="893"/>
        <v>0</v>
      </c>
      <c r="GO1036">
        <f t="shared" si="894"/>
        <v>28941.59</v>
      </c>
      <c r="GP1036">
        <f t="shared" si="895"/>
        <v>0</v>
      </c>
      <c r="GR1036">
        <v>0</v>
      </c>
      <c r="GS1036">
        <v>3</v>
      </c>
      <c r="GT1036">
        <v>0</v>
      </c>
      <c r="GU1036" t="s">
        <v>3</v>
      </c>
      <c r="GV1036">
        <f t="shared" si="896"/>
        <v>0</v>
      </c>
      <c r="GW1036">
        <v>1</v>
      </c>
      <c r="GX1036">
        <f t="shared" si="897"/>
        <v>0</v>
      </c>
      <c r="HA1036">
        <v>0</v>
      </c>
      <c r="HB1036">
        <v>0</v>
      </c>
      <c r="HC1036">
        <f t="shared" si="898"/>
        <v>0</v>
      </c>
      <c r="HE1036" t="s">
        <v>3</v>
      </c>
      <c r="HF1036" t="s">
        <v>3</v>
      </c>
      <c r="HM1036" t="s">
        <v>3</v>
      </c>
      <c r="IK1036">
        <v>0</v>
      </c>
    </row>
    <row r="1037" spans="1:245" x14ac:dyDescent="0.2">
      <c r="A1037">
        <v>17</v>
      </c>
      <c r="B1037">
        <v>1</v>
      </c>
      <c r="C1037">
        <f>ROW(SmtRes!A557)</f>
        <v>557</v>
      </c>
      <c r="D1037">
        <f>ROW(EtalonRes!A550)</f>
        <v>550</v>
      </c>
      <c r="E1037" t="s">
        <v>1182</v>
      </c>
      <c r="F1037" t="s">
        <v>1183</v>
      </c>
      <c r="G1037" t="s">
        <v>1184</v>
      </c>
      <c r="H1037" t="s">
        <v>162</v>
      </c>
      <c r="I1037">
        <v>8</v>
      </c>
      <c r="J1037">
        <v>0</v>
      </c>
      <c r="K1037">
        <v>8</v>
      </c>
      <c r="O1037">
        <f t="shared" si="866"/>
        <v>5286.44</v>
      </c>
      <c r="P1037">
        <f t="shared" si="867"/>
        <v>400.83</v>
      </c>
      <c r="Q1037">
        <f>(ROUND((ROUND((((ET1037*1.25))*AV1037*I1037),2)*BB1037),2)+ROUND((ROUND(((AE1037-((EU1037*1.25)))*AV1037*I1037),2)*BS1037),2))</f>
        <v>94.75</v>
      </c>
      <c r="R1037">
        <f t="shared" si="868"/>
        <v>43.25</v>
      </c>
      <c r="S1037">
        <f t="shared" si="869"/>
        <v>4790.8599999999997</v>
      </c>
      <c r="T1037">
        <f t="shared" si="870"/>
        <v>0</v>
      </c>
      <c r="U1037">
        <f t="shared" si="871"/>
        <v>14.995999999999999</v>
      </c>
      <c r="V1037">
        <f t="shared" si="872"/>
        <v>0</v>
      </c>
      <c r="W1037">
        <f t="shared" si="873"/>
        <v>0</v>
      </c>
      <c r="X1037">
        <f t="shared" si="874"/>
        <v>3688.96</v>
      </c>
      <c r="Y1037">
        <f t="shared" si="875"/>
        <v>1964.25</v>
      </c>
      <c r="AA1037">
        <v>42938047</v>
      </c>
      <c r="AB1037">
        <f t="shared" si="876"/>
        <v>31.720500000000001</v>
      </c>
      <c r="AC1037">
        <f t="shared" si="899"/>
        <v>6.78</v>
      </c>
      <c r="AD1037">
        <f>ROUND(((((ET1037*1.25))-((EU1037*1.25)))+AE1037),6)</f>
        <v>1.4</v>
      </c>
      <c r="AE1037">
        <f>ROUND(((EU1037*1.25)),6)</f>
        <v>0.21249999999999999</v>
      </c>
      <c r="AF1037">
        <f>ROUND(((EV1037*1.15)),6)</f>
        <v>23.540500000000002</v>
      </c>
      <c r="AG1037">
        <f t="shared" si="878"/>
        <v>0</v>
      </c>
      <c r="AH1037">
        <f>((EW1037*1.15))</f>
        <v>1.8744999999999998</v>
      </c>
      <c r="AI1037">
        <f>((EX1037*1.25))</f>
        <v>0</v>
      </c>
      <c r="AJ1037">
        <f t="shared" si="879"/>
        <v>0</v>
      </c>
      <c r="AK1037">
        <v>28.37</v>
      </c>
      <c r="AL1037">
        <v>6.78</v>
      </c>
      <c r="AM1037">
        <v>1.1200000000000001</v>
      </c>
      <c r="AN1037">
        <v>0.17</v>
      </c>
      <c r="AO1037">
        <v>20.47</v>
      </c>
      <c r="AP1037">
        <v>0</v>
      </c>
      <c r="AQ1037">
        <v>1.63</v>
      </c>
      <c r="AR1037">
        <v>0</v>
      </c>
      <c r="AS1037">
        <v>0</v>
      </c>
      <c r="AT1037">
        <v>77</v>
      </c>
      <c r="AU1037">
        <v>41</v>
      </c>
      <c r="AV1037">
        <v>1</v>
      </c>
      <c r="AW1037">
        <v>1</v>
      </c>
      <c r="AZ1037">
        <v>1</v>
      </c>
      <c r="BA1037">
        <v>25.44</v>
      </c>
      <c r="BB1037">
        <v>8.4600000000000009</v>
      </c>
      <c r="BC1037">
        <v>7.39</v>
      </c>
      <c r="BD1037" t="s">
        <v>3</v>
      </c>
      <c r="BE1037" t="s">
        <v>3</v>
      </c>
      <c r="BF1037" t="s">
        <v>3</v>
      </c>
      <c r="BG1037" t="s">
        <v>3</v>
      </c>
      <c r="BH1037">
        <v>0</v>
      </c>
      <c r="BI1037">
        <v>2</v>
      </c>
      <c r="BJ1037" t="s">
        <v>1185</v>
      </c>
      <c r="BM1037">
        <v>2164</v>
      </c>
      <c r="BN1037">
        <v>0</v>
      </c>
      <c r="BO1037" t="s">
        <v>1183</v>
      </c>
      <c r="BP1037">
        <v>1</v>
      </c>
      <c r="BQ1037">
        <v>40</v>
      </c>
      <c r="BR1037">
        <v>0</v>
      </c>
      <c r="BS1037">
        <v>25.44</v>
      </c>
      <c r="BT1037">
        <v>1</v>
      </c>
      <c r="BU1037">
        <v>1</v>
      </c>
      <c r="BV1037">
        <v>1</v>
      </c>
      <c r="BW1037">
        <v>1</v>
      </c>
      <c r="BX1037">
        <v>1</v>
      </c>
      <c r="BY1037" t="s">
        <v>3</v>
      </c>
      <c r="BZ1037">
        <v>77</v>
      </c>
      <c r="CA1037">
        <v>41</v>
      </c>
      <c r="CB1037" t="s">
        <v>3</v>
      </c>
      <c r="CE1037">
        <v>30</v>
      </c>
      <c r="CF1037">
        <v>0</v>
      </c>
      <c r="CG1037">
        <v>0</v>
      </c>
      <c r="CM1037">
        <v>0</v>
      </c>
      <c r="CN1037" t="s">
        <v>1118</v>
      </c>
      <c r="CO1037">
        <v>0</v>
      </c>
      <c r="CP1037">
        <f t="shared" si="880"/>
        <v>5286.44</v>
      </c>
      <c r="CQ1037">
        <f t="shared" si="881"/>
        <v>50.1</v>
      </c>
      <c r="CR1037">
        <f>(ROUND((ROUND((((ET1037*1.25))*AV1037*1),2)*BB1037),2)+ROUND((ROUND(((AE1037-((EU1037*1.25)))*AV1037*1),2)*BS1037),2))</f>
        <v>11.84</v>
      </c>
      <c r="CS1037">
        <f t="shared" si="882"/>
        <v>5.34</v>
      </c>
      <c r="CT1037">
        <f t="shared" si="883"/>
        <v>598.86</v>
      </c>
      <c r="CU1037">
        <f t="shared" si="884"/>
        <v>0</v>
      </c>
      <c r="CV1037">
        <f t="shared" si="885"/>
        <v>1.8744999999999998</v>
      </c>
      <c r="CW1037">
        <f t="shared" si="886"/>
        <v>0</v>
      </c>
      <c r="CX1037">
        <f t="shared" si="887"/>
        <v>0</v>
      </c>
      <c r="CY1037">
        <f t="shared" si="888"/>
        <v>3688.9621999999999</v>
      </c>
      <c r="CZ1037">
        <f t="shared" si="889"/>
        <v>1964.2525999999998</v>
      </c>
      <c r="DC1037" t="s">
        <v>3</v>
      </c>
      <c r="DD1037" t="s">
        <v>3</v>
      </c>
      <c r="DE1037" t="s">
        <v>20</v>
      </c>
      <c r="DF1037" t="s">
        <v>20</v>
      </c>
      <c r="DG1037" t="s">
        <v>21</v>
      </c>
      <c r="DH1037" t="s">
        <v>3</v>
      </c>
      <c r="DI1037" t="s">
        <v>21</v>
      </c>
      <c r="DJ1037" t="s">
        <v>20</v>
      </c>
      <c r="DK1037" t="s">
        <v>3</v>
      </c>
      <c r="DL1037" t="s">
        <v>3</v>
      </c>
      <c r="DM1037" t="s">
        <v>3</v>
      </c>
      <c r="DN1037">
        <v>114</v>
      </c>
      <c r="DO1037">
        <v>67</v>
      </c>
      <c r="DP1037">
        <v>1</v>
      </c>
      <c r="DQ1037">
        <v>1</v>
      </c>
      <c r="DU1037">
        <v>1013</v>
      </c>
      <c r="DV1037" t="s">
        <v>162</v>
      </c>
      <c r="DW1037" t="s">
        <v>162</v>
      </c>
      <c r="DX1037">
        <v>1</v>
      </c>
      <c r="DZ1037" t="s">
        <v>3</v>
      </c>
      <c r="EA1037" t="s">
        <v>3</v>
      </c>
      <c r="EB1037" t="s">
        <v>3</v>
      </c>
      <c r="EC1037" t="s">
        <v>3</v>
      </c>
      <c r="EE1037">
        <v>43090275</v>
      </c>
      <c r="EF1037">
        <v>40</v>
      </c>
      <c r="EG1037" t="s">
        <v>553</v>
      </c>
      <c r="EH1037">
        <v>0</v>
      </c>
      <c r="EI1037" t="s">
        <v>3</v>
      </c>
      <c r="EJ1037">
        <v>2</v>
      </c>
      <c r="EK1037">
        <v>2164</v>
      </c>
      <c r="EL1037" t="s">
        <v>1186</v>
      </c>
      <c r="EM1037" t="s">
        <v>1187</v>
      </c>
      <c r="EO1037" t="s">
        <v>1121</v>
      </c>
      <c r="EQ1037">
        <v>0</v>
      </c>
      <c r="ER1037">
        <v>28.37</v>
      </c>
      <c r="ES1037">
        <v>6.78</v>
      </c>
      <c r="ET1037">
        <v>1.1200000000000001</v>
      </c>
      <c r="EU1037">
        <v>0.17</v>
      </c>
      <c r="EV1037">
        <v>20.47</v>
      </c>
      <c r="EW1037">
        <v>1.63</v>
      </c>
      <c r="EX1037">
        <v>0</v>
      </c>
      <c r="EY1037">
        <v>0</v>
      </c>
      <c r="FQ1037">
        <v>0</v>
      </c>
      <c r="FR1037">
        <f t="shared" si="890"/>
        <v>0</v>
      </c>
      <c r="FS1037">
        <v>0</v>
      </c>
      <c r="FX1037">
        <v>114</v>
      </c>
      <c r="FY1037">
        <v>67</v>
      </c>
      <c r="GA1037" t="s">
        <v>3</v>
      </c>
      <c r="GD1037">
        <v>0</v>
      </c>
      <c r="GF1037">
        <v>-1057334355</v>
      </c>
      <c r="GG1037">
        <v>2</v>
      </c>
      <c r="GH1037">
        <v>1</v>
      </c>
      <c r="GI1037">
        <v>2</v>
      </c>
      <c r="GJ1037">
        <v>0</v>
      </c>
      <c r="GK1037">
        <f>ROUND(R1037*(R12)/100,2)</f>
        <v>67.900000000000006</v>
      </c>
      <c r="GL1037">
        <f t="shared" si="891"/>
        <v>0</v>
      </c>
      <c r="GM1037">
        <f t="shared" si="892"/>
        <v>11007.55</v>
      </c>
      <c r="GN1037">
        <f t="shared" si="893"/>
        <v>0</v>
      </c>
      <c r="GO1037">
        <f t="shared" si="894"/>
        <v>11007.55</v>
      </c>
      <c r="GP1037">
        <f t="shared" si="895"/>
        <v>0</v>
      </c>
      <c r="GR1037">
        <v>0</v>
      </c>
      <c r="GS1037">
        <v>3</v>
      </c>
      <c r="GT1037">
        <v>0</v>
      </c>
      <c r="GU1037" t="s">
        <v>3</v>
      </c>
      <c r="GV1037">
        <f t="shared" si="896"/>
        <v>0</v>
      </c>
      <c r="GW1037">
        <v>1</v>
      </c>
      <c r="GX1037">
        <f t="shared" si="897"/>
        <v>0</v>
      </c>
      <c r="HA1037">
        <v>0</v>
      </c>
      <c r="HB1037">
        <v>0</v>
      </c>
      <c r="HC1037">
        <f t="shared" si="898"/>
        <v>0</v>
      </c>
      <c r="HE1037" t="s">
        <v>3</v>
      </c>
      <c r="HF1037" t="s">
        <v>3</v>
      </c>
      <c r="HM1037" t="s">
        <v>3</v>
      </c>
      <c r="IK1037">
        <v>0</v>
      </c>
    </row>
    <row r="1038" spans="1:245" x14ac:dyDescent="0.2">
      <c r="A1038">
        <v>18</v>
      </c>
      <c r="B1038">
        <v>1</v>
      </c>
      <c r="C1038">
        <v>554</v>
      </c>
      <c r="E1038" t="s">
        <v>1188</v>
      </c>
      <c r="F1038" t="s">
        <v>1189</v>
      </c>
      <c r="G1038" t="s">
        <v>1599</v>
      </c>
      <c r="H1038" t="s">
        <v>169</v>
      </c>
      <c r="I1038">
        <f>I1037*J1038</f>
        <v>8</v>
      </c>
      <c r="J1038">
        <v>1</v>
      </c>
      <c r="K1038">
        <v>1</v>
      </c>
      <c r="O1038">
        <f t="shared" si="866"/>
        <v>12560.56</v>
      </c>
      <c r="P1038">
        <f t="shared" si="867"/>
        <v>12560.56</v>
      </c>
      <c r="Q1038">
        <f t="shared" ref="Q1038:Q1045" si="900">(ROUND((ROUND(((ET1038)*AV1038*I1038),2)*BB1038),2)+ROUND((ROUND(((AE1038-(EU1038))*AV1038*I1038),2)*BS1038),2))</f>
        <v>0</v>
      </c>
      <c r="R1038">
        <f t="shared" si="868"/>
        <v>0</v>
      </c>
      <c r="S1038">
        <f t="shared" si="869"/>
        <v>0</v>
      </c>
      <c r="T1038">
        <f t="shared" si="870"/>
        <v>0</v>
      </c>
      <c r="U1038">
        <f t="shared" si="871"/>
        <v>0</v>
      </c>
      <c r="V1038">
        <f t="shared" si="872"/>
        <v>0</v>
      </c>
      <c r="W1038">
        <f t="shared" si="873"/>
        <v>0</v>
      </c>
      <c r="X1038">
        <f t="shared" si="874"/>
        <v>0</v>
      </c>
      <c r="Y1038">
        <f t="shared" si="875"/>
        <v>0</v>
      </c>
      <c r="AA1038">
        <v>42938047</v>
      </c>
      <c r="AB1038">
        <f t="shared" si="876"/>
        <v>409.94</v>
      </c>
      <c r="AC1038">
        <f t="shared" si="899"/>
        <v>409.94</v>
      </c>
      <c r="AD1038">
        <f t="shared" ref="AD1038:AD1045" si="901">ROUND((((ET1038)-(EU1038))+AE1038),6)</f>
        <v>0</v>
      </c>
      <c r="AE1038">
        <f t="shared" ref="AE1038:AF1041" si="902">ROUND((EU1038),6)</f>
        <v>0</v>
      </c>
      <c r="AF1038">
        <f t="shared" si="902"/>
        <v>0</v>
      </c>
      <c r="AG1038">
        <f t="shared" si="878"/>
        <v>0</v>
      </c>
      <c r="AH1038">
        <f t="shared" ref="AH1038:AI1041" si="903">(EW1038)</f>
        <v>0</v>
      </c>
      <c r="AI1038">
        <f t="shared" si="903"/>
        <v>0</v>
      </c>
      <c r="AJ1038">
        <f t="shared" si="879"/>
        <v>0</v>
      </c>
      <c r="AK1038">
        <v>409.94</v>
      </c>
      <c r="AL1038">
        <v>409.94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1</v>
      </c>
      <c r="AW1038">
        <v>1</v>
      </c>
      <c r="AZ1038">
        <v>1</v>
      </c>
      <c r="BA1038">
        <v>1</v>
      </c>
      <c r="BB1038">
        <v>1</v>
      </c>
      <c r="BC1038">
        <v>3.83</v>
      </c>
      <c r="BD1038" t="s">
        <v>3</v>
      </c>
      <c r="BE1038" t="s">
        <v>3</v>
      </c>
      <c r="BF1038" t="s">
        <v>3</v>
      </c>
      <c r="BG1038" t="s">
        <v>3</v>
      </c>
      <c r="BH1038">
        <v>3</v>
      </c>
      <c r="BI1038">
        <v>2</v>
      </c>
      <c r="BJ1038" t="s">
        <v>1190</v>
      </c>
      <c r="BM1038">
        <v>2164</v>
      </c>
      <c r="BN1038">
        <v>0</v>
      </c>
      <c r="BO1038" t="s">
        <v>1189</v>
      </c>
      <c r="BP1038">
        <v>1</v>
      </c>
      <c r="BQ1038">
        <v>40</v>
      </c>
      <c r="BR1038">
        <v>0</v>
      </c>
      <c r="BS1038">
        <v>1</v>
      </c>
      <c r="BT1038">
        <v>1</v>
      </c>
      <c r="BU1038">
        <v>1</v>
      </c>
      <c r="BV1038">
        <v>1</v>
      </c>
      <c r="BW1038">
        <v>1</v>
      </c>
      <c r="BX1038">
        <v>1</v>
      </c>
      <c r="BY1038" t="s">
        <v>3</v>
      </c>
      <c r="BZ1038">
        <v>0</v>
      </c>
      <c r="CA1038">
        <v>0</v>
      </c>
      <c r="CB1038" t="s">
        <v>3</v>
      </c>
      <c r="CE1038">
        <v>30</v>
      </c>
      <c r="CF1038">
        <v>0</v>
      </c>
      <c r="CG1038">
        <v>0</v>
      </c>
      <c r="CM1038">
        <v>0</v>
      </c>
      <c r="CN1038" t="s">
        <v>3</v>
      </c>
      <c r="CO1038">
        <v>0</v>
      </c>
      <c r="CP1038">
        <f t="shared" si="880"/>
        <v>12560.56</v>
      </c>
      <c r="CQ1038">
        <f t="shared" si="881"/>
        <v>1570.07</v>
      </c>
      <c r="CR1038">
        <f t="shared" ref="CR1038:CR1045" si="904">(ROUND((ROUND(((ET1038)*AV1038*1),2)*BB1038),2)+ROUND((ROUND(((AE1038-(EU1038))*AV1038*1),2)*BS1038),2))</f>
        <v>0</v>
      </c>
      <c r="CS1038">
        <f t="shared" si="882"/>
        <v>0</v>
      </c>
      <c r="CT1038">
        <f t="shared" si="883"/>
        <v>0</v>
      </c>
      <c r="CU1038">
        <f t="shared" si="884"/>
        <v>0</v>
      </c>
      <c r="CV1038">
        <f t="shared" si="885"/>
        <v>0</v>
      </c>
      <c r="CW1038">
        <f t="shared" si="886"/>
        <v>0</v>
      </c>
      <c r="CX1038">
        <f t="shared" si="887"/>
        <v>0</v>
      </c>
      <c r="CY1038">
        <f t="shared" si="888"/>
        <v>0</v>
      </c>
      <c r="CZ1038">
        <f t="shared" si="889"/>
        <v>0</v>
      </c>
      <c r="DC1038" t="s">
        <v>3</v>
      </c>
      <c r="DD1038" t="s">
        <v>3</v>
      </c>
      <c r="DE1038" t="s">
        <v>3</v>
      </c>
      <c r="DF1038" t="s">
        <v>3</v>
      </c>
      <c r="DG1038" t="s">
        <v>3</v>
      </c>
      <c r="DH1038" t="s">
        <v>3</v>
      </c>
      <c r="DI1038" t="s">
        <v>3</v>
      </c>
      <c r="DJ1038" t="s">
        <v>3</v>
      </c>
      <c r="DK1038" t="s">
        <v>3</v>
      </c>
      <c r="DL1038" t="s">
        <v>3</v>
      </c>
      <c r="DM1038" t="s">
        <v>3</v>
      </c>
      <c r="DN1038">
        <v>114</v>
      </c>
      <c r="DO1038">
        <v>67</v>
      </c>
      <c r="DP1038">
        <v>1</v>
      </c>
      <c r="DQ1038">
        <v>1</v>
      </c>
      <c r="DU1038">
        <v>1010</v>
      </c>
      <c r="DV1038" t="s">
        <v>169</v>
      </c>
      <c r="DW1038" t="s">
        <v>169</v>
      </c>
      <c r="DX1038">
        <v>1</v>
      </c>
      <c r="DZ1038" t="s">
        <v>3</v>
      </c>
      <c r="EA1038" t="s">
        <v>3</v>
      </c>
      <c r="EB1038" t="s">
        <v>3</v>
      </c>
      <c r="EC1038" t="s">
        <v>3</v>
      </c>
      <c r="EE1038">
        <v>43090275</v>
      </c>
      <c r="EF1038">
        <v>40</v>
      </c>
      <c r="EG1038" t="s">
        <v>553</v>
      </c>
      <c r="EH1038">
        <v>0</v>
      </c>
      <c r="EI1038" t="s">
        <v>3</v>
      </c>
      <c r="EJ1038">
        <v>2</v>
      </c>
      <c r="EK1038">
        <v>2164</v>
      </c>
      <c r="EL1038" t="s">
        <v>1186</v>
      </c>
      <c r="EM1038" t="s">
        <v>1187</v>
      </c>
      <c r="EO1038" t="s">
        <v>3</v>
      </c>
      <c r="EQ1038">
        <v>0</v>
      </c>
      <c r="ER1038">
        <v>409.94</v>
      </c>
      <c r="ES1038">
        <v>409.94</v>
      </c>
      <c r="ET1038">
        <v>0</v>
      </c>
      <c r="EU1038">
        <v>0</v>
      </c>
      <c r="EV1038">
        <v>0</v>
      </c>
      <c r="EW1038">
        <v>0</v>
      </c>
      <c r="EX1038">
        <v>0</v>
      </c>
      <c r="FQ1038">
        <v>0</v>
      </c>
      <c r="FR1038">
        <f t="shared" si="890"/>
        <v>0</v>
      </c>
      <c r="FS1038">
        <v>0</v>
      </c>
      <c r="FX1038">
        <v>114</v>
      </c>
      <c r="FY1038">
        <v>67</v>
      </c>
      <c r="GA1038" t="s">
        <v>3</v>
      </c>
      <c r="GD1038">
        <v>0</v>
      </c>
      <c r="GF1038">
        <v>34621393</v>
      </c>
      <c r="GG1038">
        <v>2</v>
      </c>
      <c r="GH1038">
        <v>1</v>
      </c>
      <c r="GI1038">
        <v>2</v>
      </c>
      <c r="GJ1038">
        <v>0</v>
      </c>
      <c r="GK1038">
        <f>ROUND(R1038*(R12)/100,2)</f>
        <v>0</v>
      </c>
      <c r="GL1038">
        <f t="shared" si="891"/>
        <v>0</v>
      </c>
      <c r="GM1038">
        <f t="shared" si="892"/>
        <v>12560.56</v>
      </c>
      <c r="GN1038">
        <f t="shared" si="893"/>
        <v>0</v>
      </c>
      <c r="GO1038">
        <f t="shared" si="894"/>
        <v>12560.56</v>
      </c>
      <c r="GP1038">
        <f t="shared" si="895"/>
        <v>0</v>
      </c>
      <c r="GR1038">
        <v>0</v>
      </c>
      <c r="GS1038">
        <v>3</v>
      </c>
      <c r="GT1038">
        <v>0</v>
      </c>
      <c r="GU1038" t="s">
        <v>3</v>
      </c>
      <c r="GV1038">
        <f t="shared" si="896"/>
        <v>0</v>
      </c>
      <c r="GW1038">
        <v>1</v>
      </c>
      <c r="GX1038">
        <f t="shared" si="897"/>
        <v>0</v>
      </c>
      <c r="HA1038">
        <v>0</v>
      </c>
      <c r="HB1038">
        <v>0</v>
      </c>
      <c r="HC1038">
        <f t="shared" si="898"/>
        <v>0</v>
      </c>
      <c r="HE1038" t="s">
        <v>3</v>
      </c>
      <c r="HF1038" t="s">
        <v>3</v>
      </c>
      <c r="HM1038" t="s">
        <v>3</v>
      </c>
      <c r="IK1038">
        <v>0</v>
      </c>
    </row>
    <row r="1039" spans="1:245" x14ac:dyDescent="0.2">
      <c r="A1039">
        <v>18</v>
      </c>
      <c r="B1039">
        <v>1</v>
      </c>
      <c r="C1039">
        <v>556</v>
      </c>
      <c r="E1039" t="s">
        <v>1191</v>
      </c>
      <c r="F1039" t="s">
        <v>1192</v>
      </c>
      <c r="G1039" t="s">
        <v>1193</v>
      </c>
      <c r="H1039" t="s">
        <v>169</v>
      </c>
      <c r="I1039">
        <f>I1037*J1039</f>
        <v>8</v>
      </c>
      <c r="J1039">
        <v>1</v>
      </c>
      <c r="K1039">
        <v>1</v>
      </c>
      <c r="O1039">
        <f t="shared" si="866"/>
        <v>5728.32</v>
      </c>
      <c r="P1039">
        <f t="shared" si="867"/>
        <v>5728.32</v>
      </c>
      <c r="Q1039">
        <f t="shared" si="900"/>
        <v>0</v>
      </c>
      <c r="R1039">
        <f t="shared" si="868"/>
        <v>0</v>
      </c>
      <c r="S1039">
        <f t="shared" si="869"/>
        <v>0</v>
      </c>
      <c r="T1039">
        <f t="shared" si="870"/>
        <v>0</v>
      </c>
      <c r="U1039">
        <f t="shared" si="871"/>
        <v>0</v>
      </c>
      <c r="V1039">
        <f t="shared" si="872"/>
        <v>0</v>
      </c>
      <c r="W1039">
        <f t="shared" si="873"/>
        <v>0</v>
      </c>
      <c r="X1039">
        <f t="shared" si="874"/>
        <v>0</v>
      </c>
      <c r="Y1039">
        <f t="shared" si="875"/>
        <v>0</v>
      </c>
      <c r="AA1039">
        <v>42938047</v>
      </c>
      <c r="AB1039">
        <f t="shared" si="876"/>
        <v>112.94</v>
      </c>
      <c r="AC1039">
        <f t="shared" si="899"/>
        <v>112.94</v>
      </c>
      <c r="AD1039">
        <f t="shared" si="901"/>
        <v>0</v>
      </c>
      <c r="AE1039">
        <f t="shared" si="902"/>
        <v>0</v>
      </c>
      <c r="AF1039">
        <f t="shared" si="902"/>
        <v>0</v>
      </c>
      <c r="AG1039">
        <f t="shared" si="878"/>
        <v>0</v>
      </c>
      <c r="AH1039">
        <f t="shared" si="903"/>
        <v>0</v>
      </c>
      <c r="AI1039">
        <f t="shared" si="903"/>
        <v>0</v>
      </c>
      <c r="AJ1039">
        <f t="shared" si="879"/>
        <v>0</v>
      </c>
      <c r="AK1039">
        <v>112.94</v>
      </c>
      <c r="AL1039">
        <v>112.94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1</v>
      </c>
      <c r="AW1039">
        <v>1</v>
      </c>
      <c r="AZ1039">
        <v>1</v>
      </c>
      <c r="BA1039">
        <v>1</v>
      </c>
      <c r="BB1039">
        <v>1</v>
      </c>
      <c r="BC1039">
        <v>6.34</v>
      </c>
      <c r="BD1039" t="s">
        <v>3</v>
      </c>
      <c r="BE1039" t="s">
        <v>3</v>
      </c>
      <c r="BF1039" t="s">
        <v>3</v>
      </c>
      <c r="BG1039" t="s">
        <v>3</v>
      </c>
      <c r="BH1039">
        <v>3</v>
      </c>
      <c r="BI1039">
        <v>2</v>
      </c>
      <c r="BJ1039" t="s">
        <v>1194</v>
      </c>
      <c r="BM1039">
        <v>2164</v>
      </c>
      <c r="BN1039">
        <v>0</v>
      </c>
      <c r="BO1039" t="s">
        <v>3</v>
      </c>
      <c r="BP1039">
        <v>0</v>
      </c>
      <c r="BQ1039">
        <v>40</v>
      </c>
      <c r="BR1039">
        <v>0</v>
      </c>
      <c r="BS1039">
        <v>1</v>
      </c>
      <c r="BT1039">
        <v>1</v>
      </c>
      <c r="BU1039">
        <v>1</v>
      </c>
      <c r="BV1039">
        <v>1</v>
      </c>
      <c r="BW1039">
        <v>1</v>
      </c>
      <c r="BX1039">
        <v>1</v>
      </c>
      <c r="BY1039" t="s">
        <v>3</v>
      </c>
      <c r="BZ1039">
        <v>0</v>
      </c>
      <c r="CA1039">
        <v>0</v>
      </c>
      <c r="CB1039" t="s">
        <v>3</v>
      </c>
      <c r="CE1039">
        <v>30</v>
      </c>
      <c r="CF1039">
        <v>0</v>
      </c>
      <c r="CG1039">
        <v>0</v>
      </c>
      <c r="CM1039">
        <v>0</v>
      </c>
      <c r="CN1039" t="s">
        <v>3</v>
      </c>
      <c r="CO1039">
        <v>0</v>
      </c>
      <c r="CP1039">
        <f t="shared" si="880"/>
        <v>5728.32</v>
      </c>
      <c r="CQ1039">
        <f t="shared" si="881"/>
        <v>716.04</v>
      </c>
      <c r="CR1039">
        <f t="shared" si="904"/>
        <v>0</v>
      </c>
      <c r="CS1039">
        <f t="shared" si="882"/>
        <v>0</v>
      </c>
      <c r="CT1039">
        <f t="shared" si="883"/>
        <v>0</v>
      </c>
      <c r="CU1039">
        <f t="shared" si="884"/>
        <v>0</v>
      </c>
      <c r="CV1039">
        <f t="shared" si="885"/>
        <v>0</v>
      </c>
      <c r="CW1039">
        <f t="shared" si="886"/>
        <v>0</v>
      </c>
      <c r="CX1039">
        <f t="shared" si="887"/>
        <v>0</v>
      </c>
      <c r="CY1039">
        <f t="shared" si="888"/>
        <v>0</v>
      </c>
      <c r="CZ1039">
        <f t="shared" si="889"/>
        <v>0</v>
      </c>
      <c r="DC1039" t="s">
        <v>3</v>
      </c>
      <c r="DD1039" t="s">
        <v>3</v>
      </c>
      <c r="DE1039" t="s">
        <v>3</v>
      </c>
      <c r="DF1039" t="s">
        <v>3</v>
      </c>
      <c r="DG1039" t="s">
        <v>3</v>
      </c>
      <c r="DH1039" t="s">
        <v>3</v>
      </c>
      <c r="DI1039" t="s">
        <v>3</v>
      </c>
      <c r="DJ1039" t="s">
        <v>3</v>
      </c>
      <c r="DK1039" t="s">
        <v>3</v>
      </c>
      <c r="DL1039" t="s">
        <v>3</v>
      </c>
      <c r="DM1039" t="s">
        <v>3</v>
      </c>
      <c r="DN1039">
        <v>114</v>
      </c>
      <c r="DO1039">
        <v>67</v>
      </c>
      <c r="DP1039">
        <v>1</v>
      </c>
      <c r="DQ1039">
        <v>1</v>
      </c>
      <c r="DU1039">
        <v>1010</v>
      </c>
      <c r="DV1039" t="s">
        <v>169</v>
      </c>
      <c r="DW1039" t="s">
        <v>169</v>
      </c>
      <c r="DX1039">
        <v>1</v>
      </c>
      <c r="DZ1039" t="s">
        <v>3</v>
      </c>
      <c r="EA1039" t="s">
        <v>3</v>
      </c>
      <c r="EB1039" t="s">
        <v>3</v>
      </c>
      <c r="EC1039" t="s">
        <v>3</v>
      </c>
      <c r="EE1039">
        <v>43090275</v>
      </c>
      <c r="EF1039">
        <v>40</v>
      </c>
      <c r="EG1039" t="s">
        <v>553</v>
      </c>
      <c r="EH1039">
        <v>0</v>
      </c>
      <c r="EI1039" t="s">
        <v>3</v>
      </c>
      <c r="EJ1039">
        <v>2</v>
      </c>
      <c r="EK1039">
        <v>2164</v>
      </c>
      <c r="EL1039" t="s">
        <v>1186</v>
      </c>
      <c r="EM1039" t="s">
        <v>1187</v>
      </c>
      <c r="EO1039" t="s">
        <v>3</v>
      </c>
      <c r="EQ1039">
        <v>0</v>
      </c>
      <c r="ER1039">
        <v>112.94</v>
      </c>
      <c r="ES1039">
        <v>112.94</v>
      </c>
      <c r="ET1039">
        <v>0</v>
      </c>
      <c r="EU1039">
        <v>0</v>
      </c>
      <c r="EV1039">
        <v>0</v>
      </c>
      <c r="EW1039">
        <v>0</v>
      </c>
      <c r="EX1039">
        <v>0</v>
      </c>
      <c r="FQ1039">
        <v>0</v>
      </c>
      <c r="FR1039">
        <f t="shared" si="890"/>
        <v>0</v>
      </c>
      <c r="FS1039">
        <v>0</v>
      </c>
      <c r="FX1039">
        <v>114</v>
      </c>
      <c r="FY1039">
        <v>67</v>
      </c>
      <c r="GA1039" t="s">
        <v>3</v>
      </c>
      <c r="GD1039">
        <v>0</v>
      </c>
      <c r="GF1039">
        <v>1845202903</v>
      </c>
      <c r="GG1039">
        <v>2</v>
      </c>
      <c r="GH1039">
        <v>1</v>
      </c>
      <c r="GI1039">
        <v>3</v>
      </c>
      <c r="GJ1039">
        <v>0</v>
      </c>
      <c r="GK1039">
        <f>ROUND(R1039*(R12)/100,2)</f>
        <v>0</v>
      </c>
      <c r="GL1039">
        <f t="shared" si="891"/>
        <v>0</v>
      </c>
      <c r="GM1039">
        <f t="shared" si="892"/>
        <v>5728.32</v>
      </c>
      <c r="GN1039">
        <f t="shared" si="893"/>
        <v>0</v>
      </c>
      <c r="GO1039">
        <f t="shared" si="894"/>
        <v>5728.32</v>
      </c>
      <c r="GP1039">
        <f t="shared" si="895"/>
        <v>0</v>
      </c>
      <c r="GR1039">
        <v>0</v>
      </c>
      <c r="GS1039">
        <v>3</v>
      </c>
      <c r="GT1039">
        <v>0</v>
      </c>
      <c r="GU1039" t="s">
        <v>3</v>
      </c>
      <c r="GV1039">
        <f t="shared" si="896"/>
        <v>0</v>
      </c>
      <c r="GW1039">
        <v>1</v>
      </c>
      <c r="GX1039">
        <f t="shared" si="897"/>
        <v>0</v>
      </c>
      <c r="HA1039">
        <v>0</v>
      </c>
      <c r="HB1039">
        <v>0</v>
      </c>
      <c r="HC1039">
        <f t="shared" si="898"/>
        <v>0</v>
      </c>
      <c r="HE1039" t="s">
        <v>3</v>
      </c>
      <c r="HF1039" t="s">
        <v>3</v>
      </c>
      <c r="HM1039" t="s">
        <v>3</v>
      </c>
      <c r="IK1039">
        <v>0</v>
      </c>
    </row>
    <row r="1040" spans="1:245" x14ac:dyDescent="0.2">
      <c r="A1040">
        <v>18</v>
      </c>
      <c r="B1040">
        <v>1</v>
      </c>
      <c r="C1040">
        <v>555</v>
      </c>
      <c r="E1040" t="s">
        <v>1195</v>
      </c>
      <c r="F1040" t="s">
        <v>1196</v>
      </c>
      <c r="G1040" t="s">
        <v>1197</v>
      </c>
      <c r="H1040" t="s">
        <v>1062</v>
      </c>
      <c r="I1040">
        <f>I1037*J1040</f>
        <v>8</v>
      </c>
      <c r="J1040">
        <v>1</v>
      </c>
      <c r="K1040">
        <v>1</v>
      </c>
      <c r="O1040">
        <f t="shared" si="866"/>
        <v>5280.09</v>
      </c>
      <c r="P1040">
        <f t="shared" si="867"/>
        <v>5280.09</v>
      </c>
      <c r="Q1040">
        <f t="shared" si="900"/>
        <v>0</v>
      </c>
      <c r="R1040">
        <f t="shared" si="868"/>
        <v>0</v>
      </c>
      <c r="S1040">
        <f t="shared" si="869"/>
        <v>0</v>
      </c>
      <c r="T1040">
        <f t="shared" si="870"/>
        <v>0</v>
      </c>
      <c r="U1040">
        <f t="shared" si="871"/>
        <v>0</v>
      </c>
      <c r="V1040">
        <f t="shared" si="872"/>
        <v>0</v>
      </c>
      <c r="W1040">
        <f t="shared" si="873"/>
        <v>0</v>
      </c>
      <c r="X1040">
        <f t="shared" si="874"/>
        <v>0</v>
      </c>
      <c r="Y1040">
        <f t="shared" si="875"/>
        <v>0</v>
      </c>
      <c r="AA1040">
        <v>42938047</v>
      </c>
      <c r="AB1040">
        <f t="shared" si="876"/>
        <v>227.59</v>
      </c>
      <c r="AC1040">
        <f t="shared" si="899"/>
        <v>227.59</v>
      </c>
      <c r="AD1040">
        <f t="shared" si="901"/>
        <v>0</v>
      </c>
      <c r="AE1040">
        <f t="shared" si="902"/>
        <v>0</v>
      </c>
      <c r="AF1040">
        <f t="shared" si="902"/>
        <v>0</v>
      </c>
      <c r="AG1040">
        <f t="shared" si="878"/>
        <v>0</v>
      </c>
      <c r="AH1040">
        <f t="shared" si="903"/>
        <v>0</v>
      </c>
      <c r="AI1040">
        <f t="shared" si="903"/>
        <v>0</v>
      </c>
      <c r="AJ1040">
        <f t="shared" si="879"/>
        <v>0</v>
      </c>
      <c r="AK1040">
        <v>227.59</v>
      </c>
      <c r="AL1040">
        <v>227.59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1</v>
      </c>
      <c r="AW1040">
        <v>1</v>
      </c>
      <c r="AZ1040">
        <v>1</v>
      </c>
      <c r="BA1040">
        <v>1</v>
      </c>
      <c r="BB1040">
        <v>1</v>
      </c>
      <c r="BC1040">
        <v>2.9</v>
      </c>
      <c r="BD1040" t="s">
        <v>3</v>
      </c>
      <c r="BE1040" t="s">
        <v>3</v>
      </c>
      <c r="BF1040" t="s">
        <v>3</v>
      </c>
      <c r="BG1040" t="s">
        <v>3</v>
      </c>
      <c r="BH1040">
        <v>3</v>
      </c>
      <c r="BI1040">
        <v>2</v>
      </c>
      <c r="BJ1040" t="s">
        <v>1198</v>
      </c>
      <c r="BM1040">
        <v>2164</v>
      </c>
      <c r="BN1040">
        <v>0</v>
      </c>
      <c r="BO1040" t="s">
        <v>1196</v>
      </c>
      <c r="BP1040">
        <v>1</v>
      </c>
      <c r="BQ1040">
        <v>40</v>
      </c>
      <c r="BR1040">
        <v>0</v>
      </c>
      <c r="BS1040">
        <v>1</v>
      </c>
      <c r="BT1040">
        <v>1</v>
      </c>
      <c r="BU1040">
        <v>1</v>
      </c>
      <c r="BV1040">
        <v>1</v>
      </c>
      <c r="BW1040">
        <v>1</v>
      </c>
      <c r="BX1040">
        <v>1</v>
      </c>
      <c r="BY1040" t="s">
        <v>3</v>
      </c>
      <c r="BZ1040">
        <v>0</v>
      </c>
      <c r="CA1040">
        <v>0</v>
      </c>
      <c r="CB1040" t="s">
        <v>3</v>
      </c>
      <c r="CE1040">
        <v>30</v>
      </c>
      <c r="CF1040">
        <v>0</v>
      </c>
      <c r="CG1040">
        <v>0</v>
      </c>
      <c r="CM1040">
        <v>0</v>
      </c>
      <c r="CN1040" t="s">
        <v>3</v>
      </c>
      <c r="CO1040">
        <v>0</v>
      </c>
      <c r="CP1040">
        <f t="shared" si="880"/>
        <v>5280.09</v>
      </c>
      <c r="CQ1040">
        <f t="shared" si="881"/>
        <v>660.01</v>
      </c>
      <c r="CR1040">
        <f t="shared" si="904"/>
        <v>0</v>
      </c>
      <c r="CS1040">
        <f t="shared" si="882"/>
        <v>0</v>
      </c>
      <c r="CT1040">
        <f t="shared" si="883"/>
        <v>0</v>
      </c>
      <c r="CU1040">
        <f t="shared" si="884"/>
        <v>0</v>
      </c>
      <c r="CV1040">
        <f t="shared" si="885"/>
        <v>0</v>
      </c>
      <c r="CW1040">
        <f t="shared" si="886"/>
        <v>0</v>
      </c>
      <c r="CX1040">
        <f t="shared" si="887"/>
        <v>0</v>
      </c>
      <c r="CY1040">
        <f t="shared" si="888"/>
        <v>0</v>
      </c>
      <c r="CZ1040">
        <f t="shared" si="889"/>
        <v>0</v>
      </c>
      <c r="DC1040" t="s">
        <v>3</v>
      </c>
      <c r="DD1040" t="s">
        <v>3</v>
      </c>
      <c r="DE1040" t="s">
        <v>3</v>
      </c>
      <c r="DF1040" t="s">
        <v>3</v>
      </c>
      <c r="DG1040" t="s">
        <v>3</v>
      </c>
      <c r="DH1040" t="s">
        <v>3</v>
      </c>
      <c r="DI1040" t="s">
        <v>3</v>
      </c>
      <c r="DJ1040" t="s">
        <v>3</v>
      </c>
      <c r="DK1040" t="s">
        <v>3</v>
      </c>
      <c r="DL1040" t="s">
        <v>3</v>
      </c>
      <c r="DM1040" t="s">
        <v>3</v>
      </c>
      <c r="DN1040">
        <v>114</v>
      </c>
      <c r="DO1040">
        <v>67</v>
      </c>
      <c r="DP1040">
        <v>1</v>
      </c>
      <c r="DQ1040">
        <v>1</v>
      </c>
      <c r="DU1040">
        <v>1013</v>
      </c>
      <c r="DV1040" t="s">
        <v>1062</v>
      </c>
      <c r="DW1040" t="s">
        <v>1062</v>
      </c>
      <c r="DX1040">
        <v>1</v>
      </c>
      <c r="DZ1040" t="s">
        <v>3</v>
      </c>
      <c r="EA1040" t="s">
        <v>3</v>
      </c>
      <c r="EB1040" t="s">
        <v>3</v>
      </c>
      <c r="EC1040" t="s">
        <v>3</v>
      </c>
      <c r="EE1040">
        <v>43090275</v>
      </c>
      <c r="EF1040">
        <v>40</v>
      </c>
      <c r="EG1040" t="s">
        <v>553</v>
      </c>
      <c r="EH1040">
        <v>0</v>
      </c>
      <c r="EI1040" t="s">
        <v>3</v>
      </c>
      <c r="EJ1040">
        <v>2</v>
      </c>
      <c r="EK1040">
        <v>2164</v>
      </c>
      <c r="EL1040" t="s">
        <v>1186</v>
      </c>
      <c r="EM1040" t="s">
        <v>1187</v>
      </c>
      <c r="EO1040" t="s">
        <v>3</v>
      </c>
      <c r="EQ1040">
        <v>0</v>
      </c>
      <c r="ER1040">
        <v>227.59</v>
      </c>
      <c r="ES1040">
        <v>227.59</v>
      </c>
      <c r="ET1040">
        <v>0</v>
      </c>
      <c r="EU1040">
        <v>0</v>
      </c>
      <c r="EV1040">
        <v>0</v>
      </c>
      <c r="EW1040">
        <v>0</v>
      </c>
      <c r="EX1040">
        <v>0</v>
      </c>
      <c r="FQ1040">
        <v>0</v>
      </c>
      <c r="FR1040">
        <f t="shared" si="890"/>
        <v>0</v>
      </c>
      <c r="FS1040">
        <v>0</v>
      </c>
      <c r="FX1040">
        <v>114</v>
      </c>
      <c r="FY1040">
        <v>67</v>
      </c>
      <c r="GA1040" t="s">
        <v>3</v>
      </c>
      <c r="GD1040">
        <v>0</v>
      </c>
      <c r="GF1040">
        <v>-636669021</v>
      </c>
      <c r="GG1040">
        <v>2</v>
      </c>
      <c r="GH1040">
        <v>1</v>
      </c>
      <c r="GI1040">
        <v>2</v>
      </c>
      <c r="GJ1040">
        <v>0</v>
      </c>
      <c r="GK1040">
        <f>ROUND(R1040*(R12)/100,2)</f>
        <v>0</v>
      </c>
      <c r="GL1040">
        <f t="shared" si="891"/>
        <v>0</v>
      </c>
      <c r="GM1040">
        <f t="shared" si="892"/>
        <v>5280.09</v>
      </c>
      <c r="GN1040">
        <f t="shared" si="893"/>
        <v>0</v>
      </c>
      <c r="GO1040">
        <f t="shared" si="894"/>
        <v>5280.09</v>
      </c>
      <c r="GP1040">
        <f t="shared" si="895"/>
        <v>0</v>
      </c>
      <c r="GR1040">
        <v>0</v>
      </c>
      <c r="GS1040">
        <v>3</v>
      </c>
      <c r="GT1040">
        <v>0</v>
      </c>
      <c r="GU1040" t="s">
        <v>3</v>
      </c>
      <c r="GV1040">
        <f t="shared" si="896"/>
        <v>0</v>
      </c>
      <c r="GW1040">
        <v>1</v>
      </c>
      <c r="GX1040">
        <f t="shared" si="897"/>
        <v>0</v>
      </c>
      <c r="HA1040">
        <v>0</v>
      </c>
      <c r="HB1040">
        <v>0</v>
      </c>
      <c r="HC1040">
        <f t="shared" si="898"/>
        <v>0</v>
      </c>
      <c r="HE1040" t="s">
        <v>3</v>
      </c>
      <c r="HF1040" t="s">
        <v>3</v>
      </c>
      <c r="HM1040" t="s">
        <v>3</v>
      </c>
      <c r="IK1040">
        <v>0</v>
      </c>
    </row>
    <row r="1041" spans="1:245" x14ac:dyDescent="0.2">
      <c r="A1041">
        <v>18</v>
      </c>
      <c r="B1041">
        <v>1</v>
      </c>
      <c r="C1041">
        <v>557</v>
      </c>
      <c r="E1041" t="s">
        <v>1199</v>
      </c>
      <c r="F1041" t="s">
        <v>118</v>
      </c>
      <c r="G1041" t="s">
        <v>1200</v>
      </c>
      <c r="H1041" t="s">
        <v>169</v>
      </c>
      <c r="I1041">
        <f>I1037*J1041</f>
        <v>8</v>
      </c>
      <c r="J1041">
        <v>1</v>
      </c>
      <c r="K1041">
        <v>1</v>
      </c>
      <c r="O1041">
        <f t="shared" si="866"/>
        <v>409631.96</v>
      </c>
      <c r="P1041">
        <f t="shared" si="867"/>
        <v>409631.96</v>
      </c>
      <c r="Q1041">
        <f t="shared" si="900"/>
        <v>0</v>
      </c>
      <c r="R1041">
        <f t="shared" si="868"/>
        <v>0</v>
      </c>
      <c r="S1041">
        <f t="shared" si="869"/>
        <v>0</v>
      </c>
      <c r="T1041">
        <f t="shared" si="870"/>
        <v>0</v>
      </c>
      <c r="U1041">
        <f t="shared" si="871"/>
        <v>0</v>
      </c>
      <c r="V1041">
        <f t="shared" si="872"/>
        <v>0</v>
      </c>
      <c r="W1041">
        <f t="shared" si="873"/>
        <v>0</v>
      </c>
      <c r="X1041">
        <f t="shared" si="874"/>
        <v>0</v>
      </c>
      <c r="Y1041">
        <f t="shared" si="875"/>
        <v>0</v>
      </c>
      <c r="AA1041">
        <v>42938047</v>
      </c>
      <c r="AB1041">
        <f t="shared" si="876"/>
        <v>8076.34</v>
      </c>
      <c r="AC1041">
        <f t="shared" si="899"/>
        <v>8076.34</v>
      </c>
      <c r="AD1041">
        <f t="shared" si="901"/>
        <v>0</v>
      </c>
      <c r="AE1041">
        <f t="shared" si="902"/>
        <v>0</v>
      </c>
      <c r="AF1041">
        <f t="shared" si="902"/>
        <v>0</v>
      </c>
      <c r="AG1041">
        <f t="shared" si="878"/>
        <v>0</v>
      </c>
      <c r="AH1041">
        <f t="shared" si="903"/>
        <v>0</v>
      </c>
      <c r="AI1041">
        <f t="shared" si="903"/>
        <v>0</v>
      </c>
      <c r="AJ1041">
        <f t="shared" si="879"/>
        <v>0</v>
      </c>
      <c r="AK1041">
        <v>8076.3399999999992</v>
      </c>
      <c r="AL1041">
        <v>8076.3399999999992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1</v>
      </c>
      <c r="AW1041">
        <v>1</v>
      </c>
      <c r="AZ1041">
        <v>1</v>
      </c>
      <c r="BA1041">
        <v>1</v>
      </c>
      <c r="BB1041">
        <v>1</v>
      </c>
      <c r="BC1041">
        <v>6.34</v>
      </c>
      <c r="BD1041" t="s">
        <v>3</v>
      </c>
      <c r="BE1041" t="s">
        <v>3</v>
      </c>
      <c r="BF1041" t="s">
        <v>3</v>
      </c>
      <c r="BG1041" t="s">
        <v>3</v>
      </c>
      <c r="BH1041">
        <v>3</v>
      </c>
      <c r="BI1041">
        <v>2</v>
      </c>
      <c r="BJ1041" t="s">
        <v>3</v>
      </c>
      <c r="BM1041">
        <v>2164</v>
      </c>
      <c r="BN1041">
        <v>0</v>
      </c>
      <c r="BO1041" t="s">
        <v>3</v>
      </c>
      <c r="BP1041">
        <v>0</v>
      </c>
      <c r="BQ1041">
        <v>40</v>
      </c>
      <c r="BR1041">
        <v>0</v>
      </c>
      <c r="BS1041">
        <v>1</v>
      </c>
      <c r="BT1041">
        <v>1</v>
      </c>
      <c r="BU1041">
        <v>1</v>
      </c>
      <c r="BV1041">
        <v>1</v>
      </c>
      <c r="BW1041">
        <v>1</v>
      </c>
      <c r="BX1041">
        <v>1</v>
      </c>
      <c r="BY1041" t="s">
        <v>3</v>
      </c>
      <c r="BZ1041">
        <v>0</v>
      </c>
      <c r="CA1041">
        <v>0</v>
      </c>
      <c r="CB1041" t="s">
        <v>3</v>
      </c>
      <c r="CE1041">
        <v>30</v>
      </c>
      <c r="CF1041">
        <v>0</v>
      </c>
      <c r="CG1041">
        <v>0</v>
      </c>
      <c r="CM1041">
        <v>0</v>
      </c>
      <c r="CN1041" t="s">
        <v>3</v>
      </c>
      <c r="CO1041">
        <v>0</v>
      </c>
      <c r="CP1041">
        <f t="shared" si="880"/>
        <v>409631.96</v>
      </c>
      <c r="CQ1041">
        <f t="shared" si="881"/>
        <v>51204</v>
      </c>
      <c r="CR1041">
        <f t="shared" si="904"/>
        <v>0</v>
      </c>
      <c r="CS1041">
        <f t="shared" si="882"/>
        <v>0</v>
      </c>
      <c r="CT1041">
        <f t="shared" si="883"/>
        <v>0</v>
      </c>
      <c r="CU1041">
        <f t="shared" si="884"/>
        <v>0</v>
      </c>
      <c r="CV1041">
        <f t="shared" si="885"/>
        <v>0</v>
      </c>
      <c r="CW1041">
        <f t="shared" si="886"/>
        <v>0</v>
      </c>
      <c r="CX1041">
        <f t="shared" si="887"/>
        <v>0</v>
      </c>
      <c r="CY1041">
        <f t="shared" si="888"/>
        <v>0</v>
      </c>
      <c r="CZ1041">
        <f t="shared" si="889"/>
        <v>0</v>
      </c>
      <c r="DC1041" t="s">
        <v>3</v>
      </c>
      <c r="DD1041" t="s">
        <v>3</v>
      </c>
      <c r="DE1041" t="s">
        <v>3</v>
      </c>
      <c r="DF1041" t="s">
        <v>3</v>
      </c>
      <c r="DG1041" t="s">
        <v>3</v>
      </c>
      <c r="DH1041" t="s">
        <v>3</v>
      </c>
      <c r="DI1041" t="s">
        <v>3</v>
      </c>
      <c r="DJ1041" t="s">
        <v>3</v>
      </c>
      <c r="DK1041" t="s">
        <v>3</v>
      </c>
      <c r="DL1041" t="s">
        <v>3</v>
      </c>
      <c r="DM1041" t="s">
        <v>3</v>
      </c>
      <c r="DN1041">
        <v>114</v>
      </c>
      <c r="DO1041">
        <v>67</v>
      </c>
      <c r="DP1041">
        <v>1</v>
      </c>
      <c r="DQ1041">
        <v>1</v>
      </c>
      <c r="DU1041">
        <v>1010</v>
      </c>
      <c r="DV1041" t="s">
        <v>169</v>
      </c>
      <c r="DW1041" t="s">
        <v>169</v>
      </c>
      <c r="DX1041">
        <v>1</v>
      </c>
      <c r="DZ1041" t="s">
        <v>3</v>
      </c>
      <c r="EA1041" t="s">
        <v>3</v>
      </c>
      <c r="EB1041" t="s">
        <v>3</v>
      </c>
      <c r="EC1041" t="s">
        <v>3</v>
      </c>
      <c r="EE1041">
        <v>43090275</v>
      </c>
      <c r="EF1041">
        <v>40</v>
      </c>
      <c r="EG1041" t="s">
        <v>553</v>
      </c>
      <c r="EH1041">
        <v>0</v>
      </c>
      <c r="EI1041" t="s">
        <v>3</v>
      </c>
      <c r="EJ1041">
        <v>2</v>
      </c>
      <c r="EK1041">
        <v>2164</v>
      </c>
      <c r="EL1041" t="s">
        <v>1186</v>
      </c>
      <c r="EM1041" t="s">
        <v>1187</v>
      </c>
      <c r="EO1041" t="s">
        <v>3</v>
      </c>
      <c r="EQ1041">
        <v>0</v>
      </c>
      <c r="ER1041">
        <v>8076.3399999999992</v>
      </c>
      <c r="ES1041">
        <v>8076.3399999999992</v>
      </c>
      <c r="ET1041">
        <v>0</v>
      </c>
      <c r="EU1041">
        <v>0</v>
      </c>
      <c r="EV1041">
        <v>0</v>
      </c>
      <c r="EW1041">
        <v>0</v>
      </c>
      <c r="EX1041">
        <v>0</v>
      </c>
      <c r="EZ1041">
        <v>5</v>
      </c>
      <c r="FC1041">
        <v>1</v>
      </c>
      <c r="FD1041">
        <v>18</v>
      </c>
      <c r="FF1041">
        <v>60240</v>
      </c>
      <c r="FQ1041">
        <v>0</v>
      </c>
      <c r="FR1041">
        <f t="shared" si="890"/>
        <v>0</v>
      </c>
      <c r="FS1041">
        <v>0</v>
      </c>
      <c r="FX1041">
        <v>114</v>
      </c>
      <c r="FY1041">
        <v>67</v>
      </c>
      <c r="GA1041" t="s">
        <v>1201</v>
      </c>
      <c r="GD1041">
        <v>0</v>
      </c>
      <c r="GF1041">
        <v>2030200037</v>
      </c>
      <c r="GG1041">
        <v>2</v>
      </c>
      <c r="GH1041">
        <v>3</v>
      </c>
      <c r="GI1041">
        <v>3</v>
      </c>
      <c r="GJ1041">
        <v>0</v>
      </c>
      <c r="GK1041">
        <f>ROUND(R1041*(R12)/100,2)</f>
        <v>0</v>
      </c>
      <c r="GL1041">
        <f t="shared" si="891"/>
        <v>0</v>
      </c>
      <c r="GM1041">
        <f t="shared" si="892"/>
        <v>409631.96</v>
      </c>
      <c r="GN1041">
        <f t="shared" si="893"/>
        <v>0</v>
      </c>
      <c r="GO1041">
        <f t="shared" si="894"/>
        <v>409631.96</v>
      </c>
      <c r="GP1041">
        <f t="shared" si="895"/>
        <v>0</v>
      </c>
      <c r="GR1041">
        <v>1</v>
      </c>
      <c r="GS1041">
        <v>1</v>
      </c>
      <c r="GT1041">
        <v>0</v>
      </c>
      <c r="GU1041" t="s">
        <v>3</v>
      </c>
      <c r="GV1041">
        <f t="shared" si="896"/>
        <v>0</v>
      </c>
      <c r="GW1041">
        <v>1</v>
      </c>
      <c r="GX1041">
        <f t="shared" si="897"/>
        <v>0</v>
      </c>
      <c r="HA1041">
        <v>0</v>
      </c>
      <c r="HB1041">
        <v>0</v>
      </c>
      <c r="HC1041">
        <f t="shared" si="898"/>
        <v>0</v>
      </c>
      <c r="HE1041" t="s">
        <v>26</v>
      </c>
      <c r="HF1041" t="s">
        <v>122</v>
      </c>
      <c r="HM1041" t="s">
        <v>3</v>
      </c>
      <c r="IK1041">
        <v>0</v>
      </c>
    </row>
    <row r="1042" spans="1:245" x14ac:dyDescent="0.2">
      <c r="A1042">
        <v>17</v>
      </c>
      <c r="B1042">
        <v>1</v>
      </c>
      <c r="C1042">
        <f>ROW(SmtRes!A558)</f>
        <v>558</v>
      </c>
      <c r="D1042">
        <f>ROW(EtalonRes!A551)</f>
        <v>551</v>
      </c>
      <c r="E1042" t="s">
        <v>1202</v>
      </c>
      <c r="F1042" t="s">
        <v>1203</v>
      </c>
      <c r="G1042" t="s">
        <v>1204</v>
      </c>
      <c r="H1042" t="s">
        <v>1205</v>
      </c>
      <c r="I1042">
        <v>4</v>
      </c>
      <c r="J1042">
        <v>0</v>
      </c>
      <c r="K1042">
        <v>4</v>
      </c>
      <c r="O1042">
        <f t="shared" si="866"/>
        <v>10376.209999999999</v>
      </c>
      <c r="P1042">
        <f t="shared" si="867"/>
        <v>0</v>
      </c>
      <c r="Q1042">
        <f t="shared" si="900"/>
        <v>0</v>
      </c>
      <c r="R1042">
        <f t="shared" si="868"/>
        <v>0</v>
      </c>
      <c r="S1042">
        <f t="shared" si="869"/>
        <v>10376.209999999999</v>
      </c>
      <c r="T1042">
        <f t="shared" si="870"/>
        <v>0</v>
      </c>
      <c r="U1042">
        <f t="shared" si="871"/>
        <v>25.6</v>
      </c>
      <c r="V1042">
        <f t="shared" si="872"/>
        <v>0</v>
      </c>
      <c r="W1042">
        <f t="shared" si="873"/>
        <v>0</v>
      </c>
      <c r="X1042">
        <f t="shared" si="874"/>
        <v>7055.82</v>
      </c>
      <c r="Y1042">
        <f t="shared" si="875"/>
        <v>4254.25</v>
      </c>
      <c r="AA1042">
        <v>42938047</v>
      </c>
      <c r="AB1042">
        <f t="shared" si="876"/>
        <v>101.968</v>
      </c>
      <c r="AC1042">
        <f t="shared" si="899"/>
        <v>0</v>
      </c>
      <c r="AD1042">
        <f t="shared" si="901"/>
        <v>0</v>
      </c>
      <c r="AE1042">
        <f>ROUND((EU1042),6)</f>
        <v>0</v>
      </c>
      <c r="AF1042">
        <f>ROUND(((EV1042*0.8)),6)</f>
        <v>101.968</v>
      </c>
      <c r="AG1042">
        <f t="shared" si="878"/>
        <v>0</v>
      </c>
      <c r="AH1042">
        <f>((EW1042*0.8))</f>
        <v>6.4</v>
      </c>
      <c r="AI1042">
        <f>(EX1042)</f>
        <v>0</v>
      </c>
      <c r="AJ1042">
        <f t="shared" si="879"/>
        <v>0</v>
      </c>
      <c r="AK1042">
        <v>127.46</v>
      </c>
      <c r="AL1042">
        <v>0</v>
      </c>
      <c r="AM1042">
        <v>0</v>
      </c>
      <c r="AN1042">
        <v>0</v>
      </c>
      <c r="AO1042">
        <v>127.46</v>
      </c>
      <c r="AP1042">
        <v>0</v>
      </c>
      <c r="AQ1042">
        <v>8</v>
      </c>
      <c r="AR1042">
        <v>0</v>
      </c>
      <c r="AS1042">
        <v>0</v>
      </c>
      <c r="AT1042">
        <v>68</v>
      </c>
      <c r="AU1042">
        <v>41</v>
      </c>
      <c r="AV1042">
        <v>1</v>
      </c>
      <c r="AW1042">
        <v>1</v>
      </c>
      <c r="AZ1042">
        <v>1</v>
      </c>
      <c r="BA1042">
        <v>25.44</v>
      </c>
      <c r="BB1042">
        <v>1</v>
      </c>
      <c r="BC1042">
        <v>1</v>
      </c>
      <c r="BD1042" t="s">
        <v>3</v>
      </c>
      <c r="BE1042" t="s">
        <v>3</v>
      </c>
      <c r="BF1042" t="s">
        <v>3</v>
      </c>
      <c r="BG1042" t="s">
        <v>3</v>
      </c>
      <c r="BH1042">
        <v>0</v>
      </c>
      <c r="BI1042">
        <v>4</v>
      </c>
      <c r="BJ1042" t="s">
        <v>1206</v>
      </c>
      <c r="BM1042">
        <v>388</v>
      </c>
      <c r="BN1042">
        <v>0</v>
      </c>
      <c r="BO1042" t="s">
        <v>3</v>
      </c>
      <c r="BP1042">
        <v>0</v>
      </c>
      <c r="BQ1042">
        <v>50</v>
      </c>
      <c r="BR1042">
        <v>0</v>
      </c>
      <c r="BS1042">
        <v>1</v>
      </c>
      <c r="BT1042">
        <v>1</v>
      </c>
      <c r="BU1042">
        <v>1</v>
      </c>
      <c r="BV1042">
        <v>1</v>
      </c>
      <c r="BW1042">
        <v>1</v>
      </c>
      <c r="BX1042">
        <v>1</v>
      </c>
      <c r="BY1042" t="s">
        <v>3</v>
      </c>
      <c r="BZ1042">
        <v>68</v>
      </c>
      <c r="CA1042">
        <v>41</v>
      </c>
      <c r="CB1042" t="s">
        <v>3</v>
      </c>
      <c r="CE1042">
        <v>30</v>
      </c>
      <c r="CF1042">
        <v>0</v>
      </c>
      <c r="CG1042">
        <v>0</v>
      </c>
      <c r="CM1042">
        <v>0</v>
      </c>
      <c r="CN1042" t="s">
        <v>1207</v>
      </c>
      <c r="CO1042">
        <v>0</v>
      </c>
      <c r="CP1042">
        <f t="shared" si="880"/>
        <v>10376.209999999999</v>
      </c>
      <c r="CQ1042">
        <f t="shared" si="881"/>
        <v>0</v>
      </c>
      <c r="CR1042">
        <f t="shared" si="904"/>
        <v>0</v>
      </c>
      <c r="CS1042">
        <f t="shared" si="882"/>
        <v>0</v>
      </c>
      <c r="CT1042">
        <f t="shared" si="883"/>
        <v>2594.12</v>
      </c>
      <c r="CU1042">
        <f t="shared" si="884"/>
        <v>0</v>
      </c>
      <c r="CV1042">
        <f t="shared" si="885"/>
        <v>6.4</v>
      </c>
      <c r="CW1042">
        <f t="shared" si="886"/>
        <v>0</v>
      </c>
      <c r="CX1042">
        <f t="shared" si="887"/>
        <v>0</v>
      </c>
      <c r="CY1042">
        <f t="shared" si="888"/>
        <v>7055.8227999999999</v>
      </c>
      <c r="CZ1042">
        <f t="shared" si="889"/>
        <v>4254.2460999999994</v>
      </c>
      <c r="DC1042" t="s">
        <v>3</v>
      </c>
      <c r="DD1042" t="s">
        <v>3</v>
      </c>
      <c r="DE1042" t="s">
        <v>3</v>
      </c>
      <c r="DF1042" t="s">
        <v>3</v>
      </c>
      <c r="DG1042" t="s">
        <v>566</v>
      </c>
      <c r="DH1042" t="s">
        <v>3</v>
      </c>
      <c r="DI1042" t="s">
        <v>566</v>
      </c>
      <c r="DJ1042" t="s">
        <v>3</v>
      </c>
      <c r="DK1042" t="s">
        <v>3</v>
      </c>
      <c r="DL1042" t="s">
        <v>3</v>
      </c>
      <c r="DM1042" t="s">
        <v>3</v>
      </c>
      <c r="DN1042">
        <v>75</v>
      </c>
      <c r="DO1042">
        <v>70</v>
      </c>
      <c r="DP1042">
        <v>1</v>
      </c>
      <c r="DQ1042">
        <v>1</v>
      </c>
      <c r="DU1042">
        <v>1013</v>
      </c>
      <c r="DV1042" t="s">
        <v>1205</v>
      </c>
      <c r="DW1042" t="s">
        <v>1205</v>
      </c>
      <c r="DX1042">
        <v>1</v>
      </c>
      <c r="DZ1042" t="s">
        <v>3</v>
      </c>
      <c r="EA1042" t="s">
        <v>3</v>
      </c>
      <c r="EB1042" t="s">
        <v>3</v>
      </c>
      <c r="EC1042" t="s">
        <v>3</v>
      </c>
      <c r="EE1042">
        <v>43088466</v>
      </c>
      <c r="EF1042">
        <v>50</v>
      </c>
      <c r="EG1042" t="s">
        <v>1072</v>
      </c>
      <c r="EH1042">
        <v>0</v>
      </c>
      <c r="EI1042" t="s">
        <v>3</v>
      </c>
      <c r="EJ1042">
        <v>4</v>
      </c>
      <c r="EK1042">
        <v>388</v>
      </c>
      <c r="EL1042" t="s">
        <v>1208</v>
      </c>
      <c r="EM1042" t="s">
        <v>1209</v>
      </c>
      <c r="EO1042" t="s">
        <v>1210</v>
      </c>
      <c r="EQ1042">
        <v>0</v>
      </c>
      <c r="ER1042">
        <v>127.46</v>
      </c>
      <c r="ES1042">
        <v>0</v>
      </c>
      <c r="ET1042">
        <v>0</v>
      </c>
      <c r="EU1042">
        <v>0</v>
      </c>
      <c r="EV1042">
        <v>127.46</v>
      </c>
      <c r="EW1042">
        <v>8</v>
      </c>
      <c r="EX1042">
        <v>0</v>
      </c>
      <c r="EY1042">
        <v>0</v>
      </c>
      <c r="FQ1042">
        <v>0</v>
      </c>
      <c r="FR1042">
        <f t="shared" si="890"/>
        <v>0</v>
      </c>
      <c r="FS1042">
        <v>0</v>
      </c>
      <c r="FX1042">
        <v>75</v>
      </c>
      <c r="FY1042">
        <v>70</v>
      </c>
      <c r="GA1042" t="s">
        <v>3</v>
      </c>
      <c r="GD1042">
        <v>0</v>
      </c>
      <c r="GF1042">
        <v>-2016888578</v>
      </c>
      <c r="GG1042">
        <v>2</v>
      </c>
      <c r="GH1042">
        <v>1</v>
      </c>
      <c r="GI1042">
        <v>2</v>
      </c>
      <c r="GJ1042">
        <v>0</v>
      </c>
      <c r="GK1042">
        <f>ROUND(R1042*(R12)/100,2)</f>
        <v>0</v>
      </c>
      <c r="GL1042">
        <f t="shared" si="891"/>
        <v>0</v>
      </c>
      <c r="GM1042">
        <f t="shared" si="892"/>
        <v>21686.28</v>
      </c>
      <c r="GN1042">
        <f t="shared" si="893"/>
        <v>0</v>
      </c>
      <c r="GO1042">
        <f t="shared" si="894"/>
        <v>0</v>
      </c>
      <c r="GP1042">
        <f t="shared" si="895"/>
        <v>21686.28</v>
      </c>
      <c r="GR1042">
        <v>0</v>
      </c>
      <c r="GS1042">
        <v>3</v>
      </c>
      <c r="GT1042">
        <v>0</v>
      </c>
      <c r="GU1042" t="s">
        <v>3</v>
      </c>
      <c r="GV1042">
        <f t="shared" si="896"/>
        <v>0</v>
      </c>
      <c r="GW1042">
        <v>1</v>
      </c>
      <c r="GX1042">
        <f t="shared" si="897"/>
        <v>0</v>
      </c>
      <c r="HA1042">
        <v>0</v>
      </c>
      <c r="HB1042">
        <v>0</v>
      </c>
      <c r="HC1042">
        <f t="shared" si="898"/>
        <v>0</v>
      </c>
      <c r="HE1042" t="s">
        <v>3</v>
      </c>
      <c r="HF1042" t="s">
        <v>3</v>
      </c>
      <c r="HM1042" t="s">
        <v>3</v>
      </c>
      <c r="IK1042">
        <v>0</v>
      </c>
    </row>
    <row r="1043" spans="1:245" x14ac:dyDescent="0.2">
      <c r="A1043">
        <v>17</v>
      </c>
      <c r="B1043">
        <v>1</v>
      </c>
      <c r="C1043">
        <f>ROW(SmtRes!A559)</f>
        <v>559</v>
      </c>
      <c r="D1043">
        <f>ROW(EtalonRes!A552)</f>
        <v>552</v>
      </c>
      <c r="E1043" t="s">
        <v>1211</v>
      </c>
      <c r="F1043" t="s">
        <v>1068</v>
      </c>
      <c r="G1043" t="s">
        <v>1069</v>
      </c>
      <c r="H1043" t="s">
        <v>1070</v>
      </c>
      <c r="I1043">
        <v>1</v>
      </c>
      <c r="J1043">
        <v>0</v>
      </c>
      <c r="K1043">
        <v>1</v>
      </c>
      <c r="O1043">
        <f t="shared" si="866"/>
        <v>22114.99</v>
      </c>
      <c r="P1043">
        <f t="shared" si="867"/>
        <v>0</v>
      </c>
      <c r="Q1043">
        <f t="shared" si="900"/>
        <v>0</v>
      </c>
      <c r="R1043">
        <f t="shared" si="868"/>
        <v>0</v>
      </c>
      <c r="S1043">
        <f t="shared" si="869"/>
        <v>22114.99</v>
      </c>
      <c r="T1043">
        <f t="shared" si="870"/>
        <v>0</v>
      </c>
      <c r="U1043">
        <f t="shared" si="871"/>
        <v>44.800000000000004</v>
      </c>
      <c r="V1043">
        <f t="shared" si="872"/>
        <v>0</v>
      </c>
      <c r="W1043">
        <f t="shared" si="873"/>
        <v>0</v>
      </c>
      <c r="X1043">
        <f t="shared" si="874"/>
        <v>15038.19</v>
      </c>
      <c r="Y1043">
        <f t="shared" si="875"/>
        <v>9067.15</v>
      </c>
      <c r="AA1043">
        <v>42938047</v>
      </c>
      <c r="AB1043">
        <f t="shared" si="876"/>
        <v>869.29600000000005</v>
      </c>
      <c r="AC1043">
        <f t="shared" si="899"/>
        <v>0</v>
      </c>
      <c r="AD1043">
        <f t="shared" si="901"/>
        <v>0</v>
      </c>
      <c r="AE1043">
        <f>ROUND((EU1043),6)</f>
        <v>0</v>
      </c>
      <c r="AF1043">
        <f>ROUND(((EV1043*0.8)),6)</f>
        <v>869.29600000000005</v>
      </c>
      <c r="AG1043">
        <f t="shared" si="878"/>
        <v>0</v>
      </c>
      <c r="AH1043">
        <f>((EW1043*0.8))</f>
        <v>44.800000000000004</v>
      </c>
      <c r="AI1043">
        <f>(EX1043)</f>
        <v>0</v>
      </c>
      <c r="AJ1043">
        <f t="shared" si="879"/>
        <v>0</v>
      </c>
      <c r="AK1043">
        <v>1086.6199999999999</v>
      </c>
      <c r="AL1043">
        <v>0</v>
      </c>
      <c r="AM1043">
        <v>0</v>
      </c>
      <c r="AN1043">
        <v>0</v>
      </c>
      <c r="AO1043">
        <v>1086.6199999999999</v>
      </c>
      <c r="AP1043">
        <v>0</v>
      </c>
      <c r="AQ1043">
        <v>56</v>
      </c>
      <c r="AR1043">
        <v>0</v>
      </c>
      <c r="AS1043">
        <v>0</v>
      </c>
      <c r="AT1043">
        <v>68</v>
      </c>
      <c r="AU1043">
        <v>41</v>
      </c>
      <c r="AV1043">
        <v>1</v>
      </c>
      <c r="AW1043">
        <v>1</v>
      </c>
      <c r="AZ1043">
        <v>1</v>
      </c>
      <c r="BA1043">
        <v>25.44</v>
      </c>
      <c r="BB1043">
        <v>1</v>
      </c>
      <c r="BC1043">
        <v>1</v>
      </c>
      <c r="BD1043" t="s">
        <v>3</v>
      </c>
      <c r="BE1043" t="s">
        <v>3</v>
      </c>
      <c r="BF1043" t="s">
        <v>3</v>
      </c>
      <c r="BG1043" t="s">
        <v>3</v>
      </c>
      <c r="BH1043">
        <v>0</v>
      </c>
      <c r="BI1043">
        <v>4</v>
      </c>
      <c r="BJ1043" t="s">
        <v>1071</v>
      </c>
      <c r="BM1043">
        <v>382</v>
      </c>
      <c r="BN1043">
        <v>0</v>
      </c>
      <c r="BO1043" t="s">
        <v>3</v>
      </c>
      <c r="BP1043">
        <v>0</v>
      </c>
      <c r="BQ1043">
        <v>50</v>
      </c>
      <c r="BR1043">
        <v>0</v>
      </c>
      <c r="BS1043">
        <v>1</v>
      </c>
      <c r="BT1043">
        <v>1</v>
      </c>
      <c r="BU1043">
        <v>1</v>
      </c>
      <c r="BV1043">
        <v>1</v>
      </c>
      <c r="BW1043">
        <v>1</v>
      </c>
      <c r="BX1043">
        <v>1</v>
      </c>
      <c r="BY1043" t="s">
        <v>3</v>
      </c>
      <c r="BZ1043">
        <v>68</v>
      </c>
      <c r="CA1043">
        <v>41</v>
      </c>
      <c r="CB1043" t="s">
        <v>3</v>
      </c>
      <c r="CE1043">
        <v>30</v>
      </c>
      <c r="CF1043">
        <v>0</v>
      </c>
      <c r="CG1043">
        <v>0</v>
      </c>
      <c r="CM1043">
        <v>0</v>
      </c>
      <c r="CN1043" t="s">
        <v>1600</v>
      </c>
      <c r="CO1043">
        <v>0</v>
      </c>
      <c r="CP1043">
        <f t="shared" si="880"/>
        <v>22114.99</v>
      </c>
      <c r="CQ1043">
        <f t="shared" si="881"/>
        <v>0</v>
      </c>
      <c r="CR1043">
        <f t="shared" si="904"/>
        <v>0</v>
      </c>
      <c r="CS1043">
        <f t="shared" si="882"/>
        <v>0</v>
      </c>
      <c r="CT1043">
        <f t="shared" si="883"/>
        <v>22114.99</v>
      </c>
      <c r="CU1043">
        <f t="shared" si="884"/>
        <v>0</v>
      </c>
      <c r="CV1043">
        <f t="shared" si="885"/>
        <v>44.800000000000004</v>
      </c>
      <c r="CW1043">
        <f t="shared" si="886"/>
        <v>0</v>
      </c>
      <c r="CX1043">
        <f t="shared" si="887"/>
        <v>0</v>
      </c>
      <c r="CY1043">
        <f t="shared" si="888"/>
        <v>15038.193200000002</v>
      </c>
      <c r="CZ1043">
        <f t="shared" si="889"/>
        <v>9067.1458999999995</v>
      </c>
      <c r="DC1043" t="s">
        <v>3</v>
      </c>
      <c r="DD1043" t="s">
        <v>3</v>
      </c>
      <c r="DE1043" t="s">
        <v>3</v>
      </c>
      <c r="DF1043" t="s">
        <v>3</v>
      </c>
      <c r="DG1043" t="s">
        <v>566</v>
      </c>
      <c r="DH1043" t="s">
        <v>3</v>
      </c>
      <c r="DI1043" t="s">
        <v>566</v>
      </c>
      <c r="DJ1043" t="s">
        <v>3</v>
      </c>
      <c r="DK1043" t="s">
        <v>3</v>
      </c>
      <c r="DL1043" t="s">
        <v>3</v>
      </c>
      <c r="DM1043" t="s">
        <v>3</v>
      </c>
      <c r="DN1043">
        <v>75</v>
      </c>
      <c r="DO1043">
        <v>70</v>
      </c>
      <c r="DP1043">
        <v>1</v>
      </c>
      <c r="DQ1043">
        <v>1</v>
      </c>
      <c r="DU1043">
        <v>1013</v>
      </c>
      <c r="DV1043" t="s">
        <v>1070</v>
      </c>
      <c r="DW1043" t="s">
        <v>1070</v>
      </c>
      <c r="DX1043">
        <v>1</v>
      </c>
      <c r="DZ1043" t="s">
        <v>3</v>
      </c>
      <c r="EA1043" t="s">
        <v>3</v>
      </c>
      <c r="EB1043" t="s">
        <v>3</v>
      </c>
      <c r="EC1043" t="s">
        <v>3</v>
      </c>
      <c r="EE1043">
        <v>43088460</v>
      </c>
      <c r="EF1043">
        <v>50</v>
      </c>
      <c r="EG1043" t="s">
        <v>1072</v>
      </c>
      <c r="EH1043">
        <v>0</v>
      </c>
      <c r="EI1043" t="s">
        <v>3</v>
      </c>
      <c r="EJ1043">
        <v>4</v>
      </c>
      <c r="EK1043">
        <v>382</v>
      </c>
      <c r="EL1043" t="s">
        <v>1073</v>
      </c>
      <c r="EM1043" t="s">
        <v>1074</v>
      </c>
      <c r="EO1043" t="s">
        <v>1212</v>
      </c>
      <c r="EQ1043">
        <v>0</v>
      </c>
      <c r="ER1043">
        <v>1086.6199999999999</v>
      </c>
      <c r="ES1043">
        <v>0</v>
      </c>
      <c r="ET1043">
        <v>0</v>
      </c>
      <c r="EU1043">
        <v>0</v>
      </c>
      <c r="EV1043">
        <v>1086.6199999999999</v>
      </c>
      <c r="EW1043">
        <v>56</v>
      </c>
      <c r="EX1043">
        <v>0</v>
      </c>
      <c r="EY1043">
        <v>0</v>
      </c>
      <c r="FQ1043">
        <v>0</v>
      </c>
      <c r="FR1043">
        <f t="shared" si="890"/>
        <v>0</v>
      </c>
      <c r="FS1043">
        <v>0</v>
      </c>
      <c r="FX1043">
        <v>75</v>
      </c>
      <c r="FY1043">
        <v>70</v>
      </c>
      <c r="GA1043" t="s">
        <v>3</v>
      </c>
      <c r="GD1043">
        <v>0</v>
      </c>
      <c r="GF1043">
        <v>-1711702085</v>
      </c>
      <c r="GG1043">
        <v>2</v>
      </c>
      <c r="GH1043">
        <v>1</v>
      </c>
      <c r="GI1043">
        <v>2</v>
      </c>
      <c r="GJ1043">
        <v>0</v>
      </c>
      <c r="GK1043">
        <f>ROUND(R1043*(R12)/100,2)</f>
        <v>0</v>
      </c>
      <c r="GL1043">
        <f t="shared" si="891"/>
        <v>0</v>
      </c>
      <c r="GM1043">
        <f t="shared" si="892"/>
        <v>46220.33</v>
      </c>
      <c r="GN1043">
        <f t="shared" si="893"/>
        <v>0</v>
      </c>
      <c r="GO1043">
        <f t="shared" si="894"/>
        <v>0</v>
      </c>
      <c r="GP1043">
        <f t="shared" si="895"/>
        <v>46220.33</v>
      </c>
      <c r="GR1043">
        <v>0</v>
      </c>
      <c r="GS1043">
        <v>3</v>
      </c>
      <c r="GT1043">
        <v>0</v>
      </c>
      <c r="GU1043" t="s">
        <v>3</v>
      </c>
      <c r="GV1043">
        <f t="shared" si="896"/>
        <v>0</v>
      </c>
      <c r="GW1043">
        <v>1</v>
      </c>
      <c r="GX1043">
        <f t="shared" si="897"/>
        <v>0</v>
      </c>
      <c r="HA1043">
        <v>0</v>
      </c>
      <c r="HB1043">
        <v>0</v>
      </c>
      <c r="HC1043">
        <f t="shared" si="898"/>
        <v>0</v>
      </c>
      <c r="HE1043" t="s">
        <v>3</v>
      </c>
      <c r="HF1043" t="s">
        <v>3</v>
      </c>
      <c r="HM1043" t="s">
        <v>3</v>
      </c>
      <c r="IK1043">
        <v>0</v>
      </c>
    </row>
    <row r="1044" spans="1:245" x14ac:dyDescent="0.2">
      <c r="A1044">
        <v>17</v>
      </c>
      <c r="B1044">
        <v>1</v>
      </c>
      <c r="C1044">
        <f>ROW(SmtRes!A560)</f>
        <v>560</v>
      </c>
      <c r="D1044">
        <f>ROW(EtalonRes!A553)</f>
        <v>553</v>
      </c>
      <c r="E1044" t="s">
        <v>1213</v>
      </c>
      <c r="F1044" t="s">
        <v>204</v>
      </c>
      <c r="G1044" t="s">
        <v>205</v>
      </c>
      <c r="H1044" t="s">
        <v>104</v>
      </c>
      <c r="I1044">
        <v>24.9</v>
      </c>
      <c r="J1044">
        <v>0</v>
      </c>
      <c r="K1044">
        <v>24.9</v>
      </c>
      <c r="O1044">
        <f t="shared" si="866"/>
        <v>13985.33</v>
      </c>
      <c r="P1044">
        <f t="shared" si="867"/>
        <v>0</v>
      </c>
      <c r="Q1044">
        <f t="shared" si="900"/>
        <v>13985.33</v>
      </c>
      <c r="R1044">
        <f t="shared" si="868"/>
        <v>0</v>
      </c>
      <c r="S1044">
        <f t="shared" si="869"/>
        <v>0</v>
      </c>
      <c r="T1044">
        <f t="shared" si="870"/>
        <v>0</v>
      </c>
      <c r="U1044">
        <f t="shared" si="871"/>
        <v>0</v>
      </c>
      <c r="V1044">
        <f t="shared" si="872"/>
        <v>0</v>
      </c>
      <c r="W1044">
        <f t="shared" si="873"/>
        <v>0</v>
      </c>
      <c r="X1044">
        <f t="shared" si="874"/>
        <v>0</v>
      </c>
      <c r="Y1044">
        <f t="shared" si="875"/>
        <v>0</v>
      </c>
      <c r="AA1044">
        <v>42938047</v>
      </c>
      <c r="AB1044">
        <f t="shared" si="876"/>
        <v>46</v>
      </c>
      <c r="AC1044">
        <f t="shared" si="899"/>
        <v>0</v>
      </c>
      <c r="AD1044">
        <f t="shared" si="901"/>
        <v>46</v>
      </c>
      <c r="AE1044">
        <f>ROUND((EU1044),6)</f>
        <v>0</v>
      </c>
      <c r="AF1044">
        <f>ROUND((EV1044),6)</f>
        <v>0</v>
      </c>
      <c r="AG1044">
        <f t="shared" si="878"/>
        <v>0</v>
      </c>
      <c r="AH1044">
        <f>(EW1044)</f>
        <v>0</v>
      </c>
      <c r="AI1044">
        <f>(EX1044)</f>
        <v>0</v>
      </c>
      <c r="AJ1044">
        <f t="shared" si="879"/>
        <v>0</v>
      </c>
      <c r="AK1044">
        <v>46</v>
      </c>
      <c r="AL1044">
        <v>0</v>
      </c>
      <c r="AM1044">
        <v>46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93</v>
      </c>
      <c r="AU1044">
        <v>64</v>
      </c>
      <c r="AV1044">
        <v>1</v>
      </c>
      <c r="AW1044">
        <v>1</v>
      </c>
      <c r="AZ1044">
        <v>1</v>
      </c>
      <c r="BA1044">
        <v>1</v>
      </c>
      <c r="BB1044">
        <v>12.21</v>
      </c>
      <c r="BC1044">
        <v>1</v>
      </c>
      <c r="BD1044" t="s">
        <v>3</v>
      </c>
      <c r="BE1044" t="s">
        <v>3</v>
      </c>
      <c r="BF1044" t="s">
        <v>3</v>
      </c>
      <c r="BG1044" t="s">
        <v>3</v>
      </c>
      <c r="BH1044">
        <v>0</v>
      </c>
      <c r="BI1044">
        <v>4</v>
      </c>
      <c r="BJ1044" t="s">
        <v>206</v>
      </c>
      <c r="BM1044">
        <v>1111</v>
      </c>
      <c r="BN1044">
        <v>0</v>
      </c>
      <c r="BO1044" t="s">
        <v>204</v>
      </c>
      <c r="BP1044">
        <v>1</v>
      </c>
      <c r="BQ1044">
        <v>150</v>
      </c>
      <c r="BR1044">
        <v>0</v>
      </c>
      <c r="BS1044">
        <v>1</v>
      </c>
      <c r="BT1044">
        <v>1</v>
      </c>
      <c r="BU1044">
        <v>1</v>
      </c>
      <c r="BV1044">
        <v>1</v>
      </c>
      <c r="BW1044">
        <v>1</v>
      </c>
      <c r="BX1044">
        <v>1</v>
      </c>
      <c r="BY1044" t="s">
        <v>3</v>
      </c>
      <c r="BZ1044">
        <v>93</v>
      </c>
      <c r="CA1044">
        <v>64</v>
      </c>
      <c r="CB1044" t="s">
        <v>3</v>
      </c>
      <c r="CE1044">
        <v>30</v>
      </c>
      <c r="CF1044">
        <v>0</v>
      </c>
      <c r="CG1044">
        <v>0</v>
      </c>
      <c r="CM1044">
        <v>0</v>
      </c>
      <c r="CN1044" t="s">
        <v>3</v>
      </c>
      <c r="CO1044">
        <v>0</v>
      </c>
      <c r="CP1044">
        <f t="shared" si="880"/>
        <v>13985.33</v>
      </c>
      <c r="CQ1044">
        <f t="shared" si="881"/>
        <v>0</v>
      </c>
      <c r="CR1044">
        <f t="shared" si="904"/>
        <v>561.66</v>
      </c>
      <c r="CS1044">
        <f t="shared" si="882"/>
        <v>0</v>
      </c>
      <c r="CT1044">
        <f t="shared" si="883"/>
        <v>0</v>
      </c>
      <c r="CU1044">
        <f t="shared" si="884"/>
        <v>0</v>
      </c>
      <c r="CV1044">
        <f t="shared" si="885"/>
        <v>0</v>
      </c>
      <c r="CW1044">
        <f t="shared" si="886"/>
        <v>0</v>
      </c>
      <c r="CX1044">
        <f t="shared" si="887"/>
        <v>0</v>
      </c>
      <c r="CY1044">
        <f t="shared" si="888"/>
        <v>0</v>
      </c>
      <c r="CZ1044">
        <f t="shared" si="889"/>
        <v>0</v>
      </c>
      <c r="DC1044" t="s">
        <v>3</v>
      </c>
      <c r="DD1044" t="s">
        <v>3</v>
      </c>
      <c r="DE1044" t="s">
        <v>3</v>
      </c>
      <c r="DF1044" t="s">
        <v>3</v>
      </c>
      <c r="DG1044" t="s">
        <v>3</v>
      </c>
      <c r="DH1044" t="s">
        <v>3</v>
      </c>
      <c r="DI1044" t="s">
        <v>3</v>
      </c>
      <c r="DJ1044" t="s">
        <v>3</v>
      </c>
      <c r="DK1044" t="s">
        <v>3</v>
      </c>
      <c r="DL1044" t="s">
        <v>3</v>
      </c>
      <c r="DM1044" t="s">
        <v>3</v>
      </c>
      <c r="DN1044">
        <v>0</v>
      </c>
      <c r="DO1044">
        <v>0</v>
      </c>
      <c r="DP1044">
        <v>1</v>
      </c>
      <c r="DQ1044">
        <v>1</v>
      </c>
      <c r="DU1044">
        <v>1009</v>
      </c>
      <c r="DV1044" t="s">
        <v>104</v>
      </c>
      <c r="DW1044" t="s">
        <v>104</v>
      </c>
      <c r="DX1044">
        <v>1000</v>
      </c>
      <c r="DZ1044" t="s">
        <v>3</v>
      </c>
      <c r="EA1044" t="s">
        <v>3</v>
      </c>
      <c r="EB1044" t="s">
        <v>3</v>
      </c>
      <c r="EC1044" t="s">
        <v>3</v>
      </c>
      <c r="EE1044">
        <v>43089189</v>
      </c>
      <c r="EF1044">
        <v>150</v>
      </c>
      <c r="EG1044" t="s">
        <v>190</v>
      </c>
      <c r="EH1044">
        <v>0</v>
      </c>
      <c r="EI1044" t="s">
        <v>3</v>
      </c>
      <c r="EJ1044">
        <v>4</v>
      </c>
      <c r="EK1044">
        <v>1111</v>
      </c>
      <c r="EL1044" t="s">
        <v>207</v>
      </c>
      <c r="EM1044" t="s">
        <v>208</v>
      </c>
      <c r="EO1044" t="s">
        <v>3</v>
      </c>
      <c r="EQ1044">
        <v>0</v>
      </c>
      <c r="ER1044">
        <v>46</v>
      </c>
      <c r="ES1044">
        <v>0</v>
      </c>
      <c r="ET1044">
        <v>46</v>
      </c>
      <c r="EU1044">
        <v>0</v>
      </c>
      <c r="EV1044">
        <v>0</v>
      </c>
      <c r="EW1044">
        <v>0</v>
      </c>
      <c r="EX1044">
        <v>0</v>
      </c>
      <c r="EY1044">
        <v>0</v>
      </c>
      <c r="FQ1044">
        <v>0</v>
      </c>
      <c r="FR1044">
        <f t="shared" si="890"/>
        <v>0</v>
      </c>
      <c r="FS1044">
        <v>0</v>
      </c>
      <c r="FX1044">
        <v>0</v>
      </c>
      <c r="FY1044">
        <v>0</v>
      </c>
      <c r="GA1044" t="s">
        <v>3</v>
      </c>
      <c r="GD1044">
        <v>0</v>
      </c>
      <c r="GF1044">
        <v>1570066743</v>
      </c>
      <c r="GG1044">
        <v>2</v>
      </c>
      <c r="GH1044">
        <v>1</v>
      </c>
      <c r="GI1044">
        <v>2</v>
      </c>
      <c r="GJ1044">
        <v>0</v>
      </c>
      <c r="GK1044">
        <f>ROUND(R1044*(R12)/100,2)</f>
        <v>0</v>
      </c>
      <c r="GL1044">
        <f t="shared" si="891"/>
        <v>0</v>
      </c>
      <c r="GM1044">
        <f t="shared" si="892"/>
        <v>13985.33</v>
      </c>
      <c r="GN1044">
        <f t="shared" si="893"/>
        <v>0</v>
      </c>
      <c r="GO1044">
        <f t="shared" si="894"/>
        <v>0</v>
      </c>
      <c r="GP1044">
        <f t="shared" si="895"/>
        <v>13985.33</v>
      </c>
      <c r="GR1044">
        <v>0</v>
      </c>
      <c r="GS1044">
        <v>3</v>
      </c>
      <c r="GT1044">
        <v>0</v>
      </c>
      <c r="GU1044" t="s">
        <v>3</v>
      </c>
      <c r="GV1044">
        <f t="shared" si="896"/>
        <v>0</v>
      </c>
      <c r="GW1044">
        <v>1</v>
      </c>
      <c r="GX1044">
        <f t="shared" si="897"/>
        <v>0</v>
      </c>
      <c r="HA1044">
        <v>0</v>
      </c>
      <c r="HB1044">
        <v>0</v>
      </c>
      <c r="HC1044">
        <f t="shared" si="898"/>
        <v>0</v>
      </c>
      <c r="HE1044" t="s">
        <v>3</v>
      </c>
      <c r="HF1044" t="s">
        <v>3</v>
      </c>
      <c r="HM1044" t="s">
        <v>3</v>
      </c>
      <c r="IK1044">
        <v>0</v>
      </c>
    </row>
    <row r="1045" spans="1:245" x14ac:dyDescent="0.2">
      <c r="A1045">
        <v>17</v>
      </c>
      <c r="B1045">
        <v>1</v>
      </c>
      <c r="C1045">
        <f>ROW(SmtRes!A561)</f>
        <v>561</v>
      </c>
      <c r="D1045">
        <f>ROW(EtalonRes!A554)</f>
        <v>554</v>
      </c>
      <c r="E1045" t="s">
        <v>1214</v>
      </c>
      <c r="F1045" t="s">
        <v>204</v>
      </c>
      <c r="G1045" t="s">
        <v>205</v>
      </c>
      <c r="H1045" t="s">
        <v>104</v>
      </c>
      <c r="I1045">
        <v>24.9</v>
      </c>
      <c r="J1045">
        <v>0</v>
      </c>
      <c r="K1045">
        <v>24.9</v>
      </c>
      <c r="O1045">
        <f t="shared" si="866"/>
        <v>13985.33</v>
      </c>
      <c r="P1045">
        <f t="shared" si="867"/>
        <v>0</v>
      </c>
      <c r="Q1045">
        <f t="shared" si="900"/>
        <v>13985.33</v>
      </c>
      <c r="R1045">
        <f t="shared" si="868"/>
        <v>0</v>
      </c>
      <c r="S1045">
        <f t="shared" si="869"/>
        <v>0</v>
      </c>
      <c r="T1045">
        <f t="shared" si="870"/>
        <v>0</v>
      </c>
      <c r="U1045">
        <f t="shared" si="871"/>
        <v>0</v>
      </c>
      <c r="V1045">
        <f t="shared" si="872"/>
        <v>0</v>
      </c>
      <c r="W1045">
        <f t="shared" si="873"/>
        <v>0</v>
      </c>
      <c r="X1045">
        <f t="shared" si="874"/>
        <v>0</v>
      </c>
      <c r="Y1045">
        <f t="shared" si="875"/>
        <v>0</v>
      </c>
      <c r="AA1045">
        <v>42938047</v>
      </c>
      <c r="AB1045">
        <f t="shared" si="876"/>
        <v>46</v>
      </c>
      <c r="AC1045">
        <f t="shared" si="899"/>
        <v>0</v>
      </c>
      <c r="AD1045">
        <f t="shared" si="901"/>
        <v>46</v>
      </c>
      <c r="AE1045">
        <f>ROUND((EU1045),6)</f>
        <v>0</v>
      </c>
      <c r="AF1045">
        <f>ROUND((EV1045),6)</f>
        <v>0</v>
      </c>
      <c r="AG1045">
        <f t="shared" si="878"/>
        <v>0</v>
      </c>
      <c r="AH1045">
        <f>(EW1045)</f>
        <v>0</v>
      </c>
      <c r="AI1045">
        <f>(EX1045)</f>
        <v>0</v>
      </c>
      <c r="AJ1045">
        <f t="shared" si="879"/>
        <v>0</v>
      </c>
      <c r="AK1045">
        <v>46</v>
      </c>
      <c r="AL1045">
        <v>0</v>
      </c>
      <c r="AM1045">
        <v>46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93</v>
      </c>
      <c r="AU1045">
        <v>64</v>
      </c>
      <c r="AV1045">
        <v>1</v>
      </c>
      <c r="AW1045">
        <v>1</v>
      </c>
      <c r="AZ1045">
        <v>1</v>
      </c>
      <c r="BA1045">
        <v>1</v>
      </c>
      <c r="BB1045">
        <v>12.21</v>
      </c>
      <c r="BC1045">
        <v>1</v>
      </c>
      <c r="BD1045" t="s">
        <v>3</v>
      </c>
      <c r="BE1045" t="s">
        <v>3</v>
      </c>
      <c r="BF1045" t="s">
        <v>3</v>
      </c>
      <c r="BG1045" t="s">
        <v>3</v>
      </c>
      <c r="BH1045">
        <v>0</v>
      </c>
      <c r="BI1045">
        <v>4</v>
      </c>
      <c r="BJ1045" t="s">
        <v>206</v>
      </c>
      <c r="BM1045">
        <v>1111</v>
      </c>
      <c r="BN1045">
        <v>0</v>
      </c>
      <c r="BO1045" t="s">
        <v>204</v>
      </c>
      <c r="BP1045">
        <v>1</v>
      </c>
      <c r="BQ1045">
        <v>150</v>
      </c>
      <c r="BR1045">
        <v>0</v>
      </c>
      <c r="BS1045">
        <v>1</v>
      </c>
      <c r="BT1045">
        <v>1</v>
      </c>
      <c r="BU1045">
        <v>1</v>
      </c>
      <c r="BV1045">
        <v>1</v>
      </c>
      <c r="BW1045">
        <v>1</v>
      </c>
      <c r="BX1045">
        <v>1</v>
      </c>
      <c r="BY1045" t="s">
        <v>3</v>
      </c>
      <c r="BZ1045">
        <v>93</v>
      </c>
      <c r="CA1045">
        <v>64</v>
      </c>
      <c r="CB1045" t="s">
        <v>3</v>
      </c>
      <c r="CE1045">
        <v>30</v>
      </c>
      <c r="CF1045">
        <v>0</v>
      </c>
      <c r="CG1045">
        <v>0</v>
      </c>
      <c r="CM1045">
        <v>0</v>
      </c>
      <c r="CN1045" t="s">
        <v>3</v>
      </c>
      <c r="CO1045">
        <v>0</v>
      </c>
      <c r="CP1045">
        <f t="shared" si="880"/>
        <v>13985.33</v>
      </c>
      <c r="CQ1045">
        <f t="shared" si="881"/>
        <v>0</v>
      </c>
      <c r="CR1045">
        <f t="shared" si="904"/>
        <v>561.66</v>
      </c>
      <c r="CS1045">
        <f t="shared" si="882"/>
        <v>0</v>
      </c>
      <c r="CT1045">
        <f t="shared" si="883"/>
        <v>0</v>
      </c>
      <c r="CU1045">
        <f t="shared" si="884"/>
        <v>0</v>
      </c>
      <c r="CV1045">
        <f t="shared" si="885"/>
        <v>0</v>
      </c>
      <c r="CW1045">
        <f t="shared" si="886"/>
        <v>0</v>
      </c>
      <c r="CX1045">
        <f t="shared" si="887"/>
        <v>0</v>
      </c>
      <c r="CY1045">
        <f t="shared" si="888"/>
        <v>0</v>
      </c>
      <c r="CZ1045">
        <f t="shared" si="889"/>
        <v>0</v>
      </c>
      <c r="DC1045" t="s">
        <v>3</v>
      </c>
      <c r="DD1045" t="s">
        <v>3</v>
      </c>
      <c r="DE1045" t="s">
        <v>3</v>
      </c>
      <c r="DF1045" t="s">
        <v>3</v>
      </c>
      <c r="DG1045" t="s">
        <v>3</v>
      </c>
      <c r="DH1045" t="s">
        <v>3</v>
      </c>
      <c r="DI1045" t="s">
        <v>3</v>
      </c>
      <c r="DJ1045" t="s">
        <v>3</v>
      </c>
      <c r="DK1045" t="s">
        <v>3</v>
      </c>
      <c r="DL1045" t="s">
        <v>3</v>
      </c>
      <c r="DM1045" t="s">
        <v>3</v>
      </c>
      <c r="DN1045">
        <v>0</v>
      </c>
      <c r="DO1045">
        <v>0</v>
      </c>
      <c r="DP1045">
        <v>1</v>
      </c>
      <c r="DQ1045">
        <v>1</v>
      </c>
      <c r="DU1045">
        <v>1009</v>
      </c>
      <c r="DV1045" t="s">
        <v>104</v>
      </c>
      <c r="DW1045" t="s">
        <v>104</v>
      </c>
      <c r="DX1045">
        <v>1000</v>
      </c>
      <c r="DZ1045" t="s">
        <v>3</v>
      </c>
      <c r="EA1045" t="s">
        <v>3</v>
      </c>
      <c r="EB1045" t="s">
        <v>3</v>
      </c>
      <c r="EC1045" t="s">
        <v>3</v>
      </c>
      <c r="EE1045">
        <v>43089189</v>
      </c>
      <c r="EF1045">
        <v>150</v>
      </c>
      <c r="EG1045" t="s">
        <v>190</v>
      </c>
      <c r="EH1045">
        <v>0</v>
      </c>
      <c r="EI1045" t="s">
        <v>3</v>
      </c>
      <c r="EJ1045">
        <v>4</v>
      </c>
      <c r="EK1045">
        <v>1111</v>
      </c>
      <c r="EL1045" t="s">
        <v>207</v>
      </c>
      <c r="EM1045" t="s">
        <v>208</v>
      </c>
      <c r="EO1045" t="s">
        <v>3</v>
      </c>
      <c r="EQ1045">
        <v>0</v>
      </c>
      <c r="ER1045">
        <v>46</v>
      </c>
      <c r="ES1045">
        <v>0</v>
      </c>
      <c r="ET1045">
        <v>46</v>
      </c>
      <c r="EU1045">
        <v>0</v>
      </c>
      <c r="EV1045">
        <v>0</v>
      </c>
      <c r="EW1045">
        <v>0</v>
      </c>
      <c r="EX1045">
        <v>0</v>
      </c>
      <c r="EY1045">
        <v>0</v>
      </c>
      <c r="FQ1045">
        <v>0</v>
      </c>
      <c r="FR1045">
        <f t="shared" si="890"/>
        <v>0</v>
      </c>
      <c r="FS1045">
        <v>0</v>
      </c>
      <c r="FX1045">
        <v>0</v>
      </c>
      <c r="FY1045">
        <v>0</v>
      </c>
      <c r="GA1045" t="s">
        <v>3</v>
      </c>
      <c r="GD1045">
        <v>0</v>
      </c>
      <c r="GF1045">
        <v>1570066743</v>
      </c>
      <c r="GG1045">
        <v>2</v>
      </c>
      <c r="GH1045">
        <v>1</v>
      </c>
      <c r="GI1045">
        <v>2</v>
      </c>
      <c r="GJ1045">
        <v>0</v>
      </c>
      <c r="GK1045">
        <f>ROUND(R1045*(R12)/100,2)</f>
        <v>0</v>
      </c>
      <c r="GL1045">
        <f t="shared" si="891"/>
        <v>0</v>
      </c>
      <c r="GM1045">
        <f t="shared" si="892"/>
        <v>13985.33</v>
      </c>
      <c r="GN1045">
        <f t="shared" si="893"/>
        <v>0</v>
      </c>
      <c r="GO1045">
        <f t="shared" si="894"/>
        <v>0</v>
      </c>
      <c r="GP1045">
        <f t="shared" si="895"/>
        <v>13985.33</v>
      </c>
      <c r="GR1045">
        <v>0</v>
      </c>
      <c r="GS1045">
        <v>3</v>
      </c>
      <c r="GT1045">
        <v>0</v>
      </c>
      <c r="GU1045" t="s">
        <v>3</v>
      </c>
      <c r="GV1045">
        <f t="shared" si="896"/>
        <v>0</v>
      </c>
      <c r="GW1045">
        <v>1</v>
      </c>
      <c r="GX1045">
        <f t="shared" si="897"/>
        <v>0</v>
      </c>
      <c r="HA1045">
        <v>0</v>
      </c>
      <c r="HB1045">
        <v>0</v>
      </c>
      <c r="HC1045">
        <f t="shared" si="898"/>
        <v>0</v>
      </c>
      <c r="HE1045" t="s">
        <v>3</v>
      </c>
      <c r="HF1045" t="s">
        <v>3</v>
      </c>
      <c r="HM1045" t="s">
        <v>3</v>
      </c>
      <c r="IK1045">
        <v>0</v>
      </c>
    </row>
    <row r="1047" spans="1:245" x14ac:dyDescent="0.2">
      <c r="A1047" s="2">
        <v>51</v>
      </c>
      <c r="B1047" s="2">
        <f>B1009</f>
        <v>1</v>
      </c>
      <c r="C1047" s="2">
        <f>A1009</f>
        <v>5</v>
      </c>
      <c r="D1047" s="2">
        <f>ROW(A1009)</f>
        <v>1009</v>
      </c>
      <c r="E1047" s="2"/>
      <c r="F1047" s="2" t="str">
        <f>IF(F1009&lt;&gt;"",F1009,"")</f>
        <v>Новый подраздел</v>
      </c>
      <c r="G1047" s="2" t="str">
        <f>IF(G1009&lt;&gt;"",G1009,"")</f>
        <v>Замена существующих опор и сетей до ШНО</v>
      </c>
      <c r="H1047" s="2">
        <v>0</v>
      </c>
      <c r="I1047" s="2"/>
      <c r="J1047" s="2"/>
      <c r="K1047" s="2"/>
      <c r="L1047" s="2"/>
      <c r="M1047" s="2"/>
      <c r="N1047" s="2"/>
      <c r="O1047" s="2">
        <f t="shared" ref="O1047:T1047" si="905">ROUND(AB1047,2)</f>
        <v>1399380.47</v>
      </c>
      <c r="P1047" s="2">
        <f t="shared" si="905"/>
        <v>1212654.6599999999</v>
      </c>
      <c r="Q1047" s="2">
        <f t="shared" si="905"/>
        <v>107897.67</v>
      </c>
      <c r="R1047" s="2">
        <f t="shared" si="905"/>
        <v>8443.2900000000009</v>
      </c>
      <c r="S1047" s="2">
        <f t="shared" si="905"/>
        <v>78828.14</v>
      </c>
      <c r="T1047" s="2">
        <f t="shared" si="905"/>
        <v>0</v>
      </c>
      <c r="U1047" s="2">
        <f>AH1047</f>
        <v>217.08641</v>
      </c>
      <c r="V1047" s="2">
        <f>AI1047</f>
        <v>0</v>
      </c>
      <c r="W1047" s="2">
        <f>ROUND(AJ1047,2)</f>
        <v>0</v>
      </c>
      <c r="X1047" s="2">
        <f>ROUND(AK1047,2)</f>
        <v>60595.38</v>
      </c>
      <c r="Y1047" s="2">
        <f>ROUND(AL1047,2)</f>
        <v>32360.66</v>
      </c>
      <c r="Z1047" s="2"/>
      <c r="AA1047" s="2"/>
      <c r="AB1047" s="2">
        <f>ROUND(SUMIF(AA1013:AA1045,"=42938047",O1013:O1045),2)</f>
        <v>1399380.47</v>
      </c>
      <c r="AC1047" s="2">
        <f>ROUND(SUMIF(AA1013:AA1045,"=42938047",P1013:P1045),2)</f>
        <v>1212654.6599999999</v>
      </c>
      <c r="AD1047" s="2">
        <f>ROUND(SUMIF(AA1013:AA1045,"=42938047",Q1013:Q1045),2)</f>
        <v>107897.67</v>
      </c>
      <c r="AE1047" s="2">
        <f>ROUND(SUMIF(AA1013:AA1045,"=42938047",R1013:R1045),2)</f>
        <v>8443.2900000000009</v>
      </c>
      <c r="AF1047" s="2">
        <f>ROUND(SUMIF(AA1013:AA1045,"=42938047",S1013:S1045),2)</f>
        <v>78828.14</v>
      </c>
      <c r="AG1047" s="2">
        <f>ROUND(SUMIF(AA1013:AA1045,"=42938047",T1013:T1045),2)</f>
        <v>0</v>
      </c>
      <c r="AH1047" s="2">
        <f>SUMIF(AA1013:AA1045,"=42938047",U1013:U1045)</f>
        <v>217.08641</v>
      </c>
      <c r="AI1047" s="2">
        <f>SUMIF(AA1013:AA1045,"=42938047",V1013:V1045)</f>
        <v>0</v>
      </c>
      <c r="AJ1047" s="2">
        <f>ROUND(SUMIF(AA1013:AA1045,"=42938047",W1013:W1045),2)</f>
        <v>0</v>
      </c>
      <c r="AK1047" s="2">
        <f>ROUND(SUMIF(AA1013:AA1045,"=42938047",X1013:X1045),2)</f>
        <v>60595.38</v>
      </c>
      <c r="AL1047" s="2">
        <f>ROUND(SUMIF(AA1013:AA1045,"=42938047",Y1013:Y1045),2)</f>
        <v>32360.66</v>
      </c>
      <c r="AM1047" s="2"/>
      <c r="AN1047" s="2"/>
      <c r="AO1047" s="2">
        <f t="shared" ref="AO1047:BD1047" si="906">ROUND(BX1047,2)</f>
        <v>0</v>
      </c>
      <c r="AP1047" s="2">
        <f t="shared" si="906"/>
        <v>0</v>
      </c>
      <c r="AQ1047" s="2">
        <f t="shared" si="906"/>
        <v>0</v>
      </c>
      <c r="AR1047" s="2">
        <f t="shared" si="906"/>
        <v>1505592.48</v>
      </c>
      <c r="AS1047" s="2">
        <f t="shared" si="906"/>
        <v>597057.15</v>
      </c>
      <c r="AT1047" s="2">
        <f t="shared" si="906"/>
        <v>752753.98</v>
      </c>
      <c r="AU1047" s="2">
        <f t="shared" si="906"/>
        <v>155781.35</v>
      </c>
      <c r="AV1047" s="2">
        <f t="shared" si="906"/>
        <v>1212654.6599999999</v>
      </c>
      <c r="AW1047" s="2">
        <f t="shared" si="906"/>
        <v>1212654.6599999999</v>
      </c>
      <c r="AX1047" s="2">
        <f t="shared" si="906"/>
        <v>0</v>
      </c>
      <c r="AY1047" s="2">
        <f t="shared" si="906"/>
        <v>1212654.6599999999</v>
      </c>
      <c r="AZ1047" s="2">
        <f t="shared" si="906"/>
        <v>0</v>
      </c>
      <c r="BA1047" s="2">
        <f t="shared" si="906"/>
        <v>0</v>
      </c>
      <c r="BB1047" s="2">
        <f t="shared" si="906"/>
        <v>0</v>
      </c>
      <c r="BC1047" s="2">
        <f t="shared" si="906"/>
        <v>0</v>
      </c>
      <c r="BD1047" s="2">
        <f t="shared" si="906"/>
        <v>0</v>
      </c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>
        <f>ROUND(SUMIF(AA1013:AA1045,"=42938047",FQ1013:FQ1045),2)</f>
        <v>0</v>
      </c>
      <c r="BY1047" s="2">
        <f>ROUND(SUMIF(AA1013:AA1045,"=42938047",FR1013:FR1045),2)</f>
        <v>0</v>
      </c>
      <c r="BZ1047" s="2">
        <f>ROUND(SUMIF(AA1013:AA1045,"=42938047",GL1013:GL1045),2)</f>
        <v>0</v>
      </c>
      <c r="CA1047" s="2">
        <f>ROUND(SUMIF(AA1013:AA1045,"=42938047",GM1013:GM1045),2)</f>
        <v>1505592.48</v>
      </c>
      <c r="CB1047" s="2">
        <f>ROUND(SUMIF(AA1013:AA1045,"=42938047",GN1013:GN1045),2)</f>
        <v>597057.15</v>
      </c>
      <c r="CC1047" s="2">
        <f>ROUND(SUMIF(AA1013:AA1045,"=42938047",GO1013:GO1045),2)</f>
        <v>752753.98</v>
      </c>
      <c r="CD1047" s="2">
        <f>ROUND(SUMIF(AA1013:AA1045,"=42938047",GP1013:GP1045),2)</f>
        <v>155781.35</v>
      </c>
      <c r="CE1047" s="2">
        <f>AC1047-BX1047</f>
        <v>1212654.6599999999</v>
      </c>
      <c r="CF1047" s="2">
        <f>AC1047-BY1047</f>
        <v>1212654.6599999999</v>
      </c>
      <c r="CG1047" s="2">
        <f>BX1047-BZ1047</f>
        <v>0</v>
      </c>
      <c r="CH1047" s="2">
        <f>AC1047-BX1047-BY1047+BZ1047</f>
        <v>1212654.6599999999</v>
      </c>
      <c r="CI1047" s="2">
        <f>BY1047-BZ1047</f>
        <v>0</v>
      </c>
      <c r="CJ1047" s="2">
        <f>ROUND(SUMIF(AA1013:AA1045,"=42938047",GX1013:GX1045),2)</f>
        <v>0</v>
      </c>
      <c r="CK1047" s="2">
        <f>ROUND(SUMIF(AA1013:AA1045,"=42938047",GY1013:GY1045),2)</f>
        <v>0</v>
      </c>
      <c r="CL1047" s="2">
        <f>ROUND(SUMIF(AA1013:AA1045,"=42938047",GZ1013:GZ1045),2)</f>
        <v>0</v>
      </c>
      <c r="CM1047" s="2">
        <f>ROUND(SUMIF(AA1013:AA1045,"=42938047",HD1013:HD1045),2)</f>
        <v>0</v>
      </c>
      <c r="CN1047" s="2"/>
      <c r="CO1047" s="2"/>
      <c r="CP1047" s="2"/>
      <c r="CQ1047" s="2"/>
      <c r="CR1047" s="2"/>
      <c r="CS1047" s="2"/>
      <c r="CT1047" s="2"/>
      <c r="CU1047" s="2"/>
      <c r="CV1047" s="2"/>
      <c r="CW1047" s="2"/>
      <c r="CX1047" s="2"/>
      <c r="CY1047" s="2"/>
      <c r="CZ1047" s="2"/>
      <c r="DA1047" s="2"/>
      <c r="DB1047" s="2"/>
      <c r="DC1047" s="2"/>
      <c r="DD1047" s="2"/>
      <c r="DE1047" s="2"/>
      <c r="DF1047" s="2"/>
      <c r="DG1047" s="3"/>
      <c r="DH1047" s="3"/>
      <c r="DI1047" s="3"/>
      <c r="DJ1047" s="3"/>
      <c r="DK1047" s="3"/>
      <c r="DL1047" s="3"/>
      <c r="DM1047" s="3"/>
      <c r="DN1047" s="3"/>
      <c r="DO1047" s="3"/>
      <c r="DP1047" s="3"/>
      <c r="DQ1047" s="3"/>
      <c r="DR1047" s="3"/>
      <c r="DS1047" s="3"/>
      <c r="DT1047" s="3"/>
      <c r="DU1047" s="3"/>
      <c r="DV1047" s="3"/>
      <c r="DW1047" s="3"/>
      <c r="DX1047" s="3"/>
      <c r="DY1047" s="3"/>
      <c r="DZ1047" s="3"/>
      <c r="EA1047" s="3"/>
      <c r="EB1047" s="3"/>
      <c r="EC1047" s="3"/>
      <c r="ED1047" s="3"/>
      <c r="EE1047" s="3"/>
      <c r="EF1047" s="3"/>
      <c r="EG1047" s="3"/>
      <c r="EH1047" s="3"/>
      <c r="EI1047" s="3"/>
      <c r="EJ1047" s="3"/>
      <c r="EK1047" s="3"/>
      <c r="EL1047" s="3"/>
      <c r="EM1047" s="3"/>
      <c r="EN1047" s="3"/>
      <c r="EO1047" s="3"/>
      <c r="EP1047" s="3"/>
      <c r="EQ1047" s="3"/>
      <c r="ER1047" s="3"/>
      <c r="ES1047" s="3"/>
      <c r="ET1047" s="3"/>
      <c r="EU1047" s="3"/>
      <c r="EV1047" s="3"/>
      <c r="EW1047" s="3"/>
      <c r="EX1047" s="3"/>
      <c r="EY1047" s="3"/>
      <c r="EZ1047" s="3"/>
      <c r="FA1047" s="3"/>
      <c r="FB1047" s="3"/>
      <c r="FC1047" s="3"/>
      <c r="FD1047" s="3"/>
      <c r="FE1047" s="3"/>
      <c r="FF1047" s="3"/>
      <c r="FG1047" s="3"/>
      <c r="FH1047" s="3"/>
      <c r="FI1047" s="3"/>
      <c r="FJ1047" s="3"/>
      <c r="FK1047" s="3"/>
      <c r="FL1047" s="3"/>
      <c r="FM1047" s="3"/>
      <c r="FN1047" s="3"/>
      <c r="FO1047" s="3"/>
      <c r="FP1047" s="3"/>
      <c r="FQ1047" s="3"/>
      <c r="FR1047" s="3"/>
      <c r="FS1047" s="3"/>
      <c r="FT1047" s="3"/>
      <c r="FU1047" s="3"/>
      <c r="FV1047" s="3"/>
      <c r="FW1047" s="3"/>
      <c r="FX1047" s="3"/>
      <c r="FY1047" s="3"/>
      <c r="FZ1047" s="3"/>
      <c r="GA1047" s="3"/>
      <c r="GB1047" s="3"/>
      <c r="GC1047" s="3"/>
      <c r="GD1047" s="3"/>
      <c r="GE1047" s="3"/>
      <c r="GF1047" s="3"/>
      <c r="GG1047" s="3"/>
      <c r="GH1047" s="3"/>
      <c r="GI1047" s="3"/>
      <c r="GJ1047" s="3"/>
      <c r="GK1047" s="3"/>
      <c r="GL1047" s="3"/>
      <c r="GM1047" s="3"/>
      <c r="GN1047" s="3"/>
      <c r="GO1047" s="3"/>
      <c r="GP1047" s="3"/>
      <c r="GQ1047" s="3"/>
      <c r="GR1047" s="3"/>
      <c r="GS1047" s="3"/>
      <c r="GT1047" s="3"/>
      <c r="GU1047" s="3"/>
      <c r="GV1047" s="3"/>
      <c r="GW1047" s="3"/>
      <c r="GX1047" s="3">
        <v>0</v>
      </c>
    </row>
    <row r="1049" spans="1:245" x14ac:dyDescent="0.2">
      <c r="A1049" s="4">
        <v>50</v>
      </c>
      <c r="B1049" s="4">
        <v>0</v>
      </c>
      <c r="C1049" s="4">
        <v>0</v>
      </c>
      <c r="D1049" s="4">
        <v>1</v>
      </c>
      <c r="E1049" s="4">
        <v>201</v>
      </c>
      <c r="F1049" s="4">
        <f>ROUND(Source!O1047,O1049)</f>
        <v>1399380.47</v>
      </c>
      <c r="G1049" s="4" t="s">
        <v>213</v>
      </c>
      <c r="H1049" s="4" t="s">
        <v>214</v>
      </c>
      <c r="I1049" s="4"/>
      <c r="J1049" s="4"/>
      <c r="K1049" s="4">
        <v>201</v>
      </c>
      <c r="L1049" s="4">
        <v>1</v>
      </c>
      <c r="M1049" s="4">
        <v>3</v>
      </c>
      <c r="N1049" s="4" t="s">
        <v>3</v>
      </c>
      <c r="O1049" s="4">
        <v>2</v>
      </c>
      <c r="P1049" s="4"/>
      <c r="Q1049" s="4"/>
      <c r="R1049" s="4"/>
      <c r="S1049" s="4"/>
      <c r="T1049" s="4"/>
      <c r="U1049" s="4"/>
      <c r="V1049" s="4"/>
      <c r="W1049" s="4"/>
    </row>
    <row r="1050" spans="1:245" x14ac:dyDescent="0.2">
      <c r="A1050" s="4">
        <v>50</v>
      </c>
      <c r="B1050" s="4">
        <v>0</v>
      </c>
      <c r="C1050" s="4">
        <v>0</v>
      </c>
      <c r="D1050" s="4">
        <v>1</v>
      </c>
      <c r="E1050" s="4">
        <v>202</v>
      </c>
      <c r="F1050" s="4">
        <f>ROUND(Source!P1047,O1050)</f>
        <v>1212654.6599999999</v>
      </c>
      <c r="G1050" s="4" t="s">
        <v>215</v>
      </c>
      <c r="H1050" s="4" t="s">
        <v>216</v>
      </c>
      <c r="I1050" s="4"/>
      <c r="J1050" s="4"/>
      <c r="K1050" s="4">
        <v>202</v>
      </c>
      <c r="L1050" s="4">
        <v>2</v>
      </c>
      <c r="M1050" s="4">
        <v>3</v>
      </c>
      <c r="N1050" s="4" t="s">
        <v>3</v>
      </c>
      <c r="O1050" s="4">
        <v>2</v>
      </c>
      <c r="P1050" s="4"/>
      <c r="Q1050" s="4"/>
      <c r="R1050" s="4"/>
      <c r="S1050" s="4"/>
      <c r="T1050" s="4"/>
      <c r="U1050" s="4"/>
      <c r="V1050" s="4"/>
      <c r="W1050" s="4"/>
    </row>
    <row r="1051" spans="1:245" x14ac:dyDescent="0.2">
      <c r="A1051" s="4">
        <v>50</v>
      </c>
      <c r="B1051" s="4">
        <v>0</v>
      </c>
      <c r="C1051" s="4">
        <v>0</v>
      </c>
      <c r="D1051" s="4">
        <v>1</v>
      </c>
      <c r="E1051" s="4">
        <v>222</v>
      </c>
      <c r="F1051" s="4">
        <f>ROUND(Source!AO1047,O1051)</f>
        <v>0</v>
      </c>
      <c r="G1051" s="4" t="s">
        <v>217</v>
      </c>
      <c r="H1051" s="4" t="s">
        <v>218</v>
      </c>
      <c r="I1051" s="4"/>
      <c r="J1051" s="4"/>
      <c r="K1051" s="4">
        <v>222</v>
      </c>
      <c r="L1051" s="4">
        <v>3</v>
      </c>
      <c r="M1051" s="4">
        <v>3</v>
      </c>
      <c r="N1051" s="4" t="s">
        <v>3</v>
      </c>
      <c r="O1051" s="4">
        <v>2</v>
      </c>
      <c r="P1051" s="4"/>
      <c r="Q1051" s="4"/>
      <c r="R1051" s="4"/>
      <c r="S1051" s="4"/>
      <c r="T1051" s="4"/>
      <c r="U1051" s="4"/>
      <c r="V1051" s="4"/>
      <c r="W1051" s="4"/>
    </row>
    <row r="1052" spans="1:245" x14ac:dyDescent="0.2">
      <c r="A1052" s="4">
        <v>50</v>
      </c>
      <c r="B1052" s="4">
        <v>0</v>
      </c>
      <c r="C1052" s="4">
        <v>0</v>
      </c>
      <c r="D1052" s="4">
        <v>1</v>
      </c>
      <c r="E1052" s="4">
        <v>225</v>
      </c>
      <c r="F1052" s="4">
        <f>ROUND(Source!AV1047,O1052)</f>
        <v>1212654.6599999999</v>
      </c>
      <c r="G1052" s="4" t="s">
        <v>219</v>
      </c>
      <c r="H1052" s="4" t="s">
        <v>220</v>
      </c>
      <c r="I1052" s="4"/>
      <c r="J1052" s="4"/>
      <c r="K1052" s="4">
        <v>225</v>
      </c>
      <c r="L1052" s="4">
        <v>4</v>
      </c>
      <c r="M1052" s="4">
        <v>3</v>
      </c>
      <c r="N1052" s="4" t="s">
        <v>3</v>
      </c>
      <c r="O1052" s="4">
        <v>2</v>
      </c>
      <c r="P1052" s="4"/>
      <c r="Q1052" s="4"/>
      <c r="R1052" s="4"/>
      <c r="S1052" s="4"/>
      <c r="T1052" s="4"/>
      <c r="U1052" s="4"/>
      <c r="V1052" s="4"/>
      <c r="W1052" s="4"/>
    </row>
    <row r="1053" spans="1:245" x14ac:dyDescent="0.2">
      <c r="A1053" s="4">
        <v>50</v>
      </c>
      <c r="B1053" s="4">
        <v>0</v>
      </c>
      <c r="C1053" s="4">
        <v>0</v>
      </c>
      <c r="D1053" s="4">
        <v>1</v>
      </c>
      <c r="E1053" s="4">
        <v>226</v>
      </c>
      <c r="F1053" s="4">
        <f>ROUND(Source!AW1047,O1053)</f>
        <v>1212654.6599999999</v>
      </c>
      <c r="G1053" s="4" t="s">
        <v>221</v>
      </c>
      <c r="H1053" s="4" t="s">
        <v>222</v>
      </c>
      <c r="I1053" s="4"/>
      <c r="J1053" s="4"/>
      <c r="K1053" s="4">
        <v>226</v>
      </c>
      <c r="L1053" s="4">
        <v>5</v>
      </c>
      <c r="M1053" s="4">
        <v>3</v>
      </c>
      <c r="N1053" s="4" t="s">
        <v>3</v>
      </c>
      <c r="O1053" s="4">
        <v>2</v>
      </c>
      <c r="P1053" s="4"/>
      <c r="Q1053" s="4"/>
      <c r="R1053" s="4"/>
      <c r="S1053" s="4"/>
      <c r="T1053" s="4"/>
      <c r="U1053" s="4"/>
      <c r="V1053" s="4"/>
      <c r="W1053" s="4"/>
    </row>
    <row r="1054" spans="1:245" x14ac:dyDescent="0.2">
      <c r="A1054" s="4">
        <v>50</v>
      </c>
      <c r="B1054" s="4">
        <v>0</v>
      </c>
      <c r="C1054" s="4">
        <v>0</v>
      </c>
      <c r="D1054" s="4">
        <v>1</v>
      </c>
      <c r="E1054" s="4">
        <v>227</v>
      </c>
      <c r="F1054" s="4">
        <f>ROUND(Source!AX1047,O1054)</f>
        <v>0</v>
      </c>
      <c r="G1054" s="4" t="s">
        <v>223</v>
      </c>
      <c r="H1054" s="4" t="s">
        <v>224</v>
      </c>
      <c r="I1054" s="4"/>
      <c r="J1054" s="4"/>
      <c r="K1054" s="4">
        <v>227</v>
      </c>
      <c r="L1054" s="4">
        <v>6</v>
      </c>
      <c r="M1054" s="4">
        <v>3</v>
      </c>
      <c r="N1054" s="4" t="s">
        <v>3</v>
      </c>
      <c r="O1054" s="4">
        <v>2</v>
      </c>
      <c r="P1054" s="4"/>
      <c r="Q1054" s="4"/>
      <c r="R1054" s="4"/>
      <c r="S1054" s="4"/>
      <c r="T1054" s="4"/>
      <c r="U1054" s="4"/>
      <c r="V1054" s="4"/>
      <c r="W1054" s="4"/>
    </row>
    <row r="1055" spans="1:245" x14ac:dyDescent="0.2">
      <c r="A1055" s="4">
        <v>50</v>
      </c>
      <c r="B1055" s="4">
        <v>0</v>
      </c>
      <c r="C1055" s="4">
        <v>0</v>
      </c>
      <c r="D1055" s="4">
        <v>1</v>
      </c>
      <c r="E1055" s="4">
        <v>228</v>
      </c>
      <c r="F1055" s="4">
        <f>ROUND(Source!AY1047,O1055)</f>
        <v>1212654.6599999999</v>
      </c>
      <c r="G1055" s="4" t="s">
        <v>225</v>
      </c>
      <c r="H1055" s="4" t="s">
        <v>226</v>
      </c>
      <c r="I1055" s="4"/>
      <c r="J1055" s="4"/>
      <c r="K1055" s="4">
        <v>228</v>
      </c>
      <c r="L1055" s="4">
        <v>7</v>
      </c>
      <c r="M1055" s="4">
        <v>3</v>
      </c>
      <c r="N1055" s="4" t="s">
        <v>3</v>
      </c>
      <c r="O1055" s="4">
        <v>2</v>
      </c>
      <c r="P1055" s="4"/>
      <c r="Q1055" s="4"/>
      <c r="R1055" s="4"/>
      <c r="S1055" s="4"/>
      <c r="T1055" s="4"/>
      <c r="U1055" s="4"/>
      <c r="V1055" s="4"/>
      <c r="W1055" s="4"/>
    </row>
    <row r="1056" spans="1:245" x14ac:dyDescent="0.2">
      <c r="A1056" s="4">
        <v>50</v>
      </c>
      <c r="B1056" s="4">
        <v>0</v>
      </c>
      <c r="C1056" s="4">
        <v>0</v>
      </c>
      <c r="D1056" s="4">
        <v>1</v>
      </c>
      <c r="E1056" s="4">
        <v>216</v>
      </c>
      <c r="F1056" s="4">
        <f>ROUND(Source!AP1047,O1056)</f>
        <v>0</v>
      </c>
      <c r="G1056" s="4" t="s">
        <v>227</v>
      </c>
      <c r="H1056" s="4" t="s">
        <v>228</v>
      </c>
      <c r="I1056" s="4"/>
      <c r="J1056" s="4"/>
      <c r="K1056" s="4">
        <v>216</v>
      </c>
      <c r="L1056" s="4">
        <v>8</v>
      </c>
      <c r="M1056" s="4">
        <v>3</v>
      </c>
      <c r="N1056" s="4" t="s">
        <v>3</v>
      </c>
      <c r="O1056" s="4">
        <v>2</v>
      </c>
      <c r="P1056" s="4"/>
      <c r="Q1056" s="4"/>
      <c r="R1056" s="4"/>
      <c r="S1056" s="4"/>
      <c r="T1056" s="4"/>
      <c r="U1056" s="4"/>
      <c r="V1056" s="4"/>
      <c r="W1056" s="4"/>
    </row>
    <row r="1057" spans="1:23" x14ac:dyDescent="0.2">
      <c r="A1057" s="4">
        <v>50</v>
      </c>
      <c r="B1057" s="4">
        <v>0</v>
      </c>
      <c r="C1057" s="4">
        <v>0</v>
      </c>
      <c r="D1057" s="4">
        <v>1</v>
      </c>
      <c r="E1057" s="4">
        <v>223</v>
      </c>
      <c r="F1057" s="4">
        <f>ROUND(Source!AQ1047,O1057)</f>
        <v>0</v>
      </c>
      <c r="G1057" s="4" t="s">
        <v>229</v>
      </c>
      <c r="H1057" s="4" t="s">
        <v>230</v>
      </c>
      <c r="I1057" s="4"/>
      <c r="J1057" s="4"/>
      <c r="K1057" s="4">
        <v>223</v>
      </c>
      <c r="L1057" s="4">
        <v>9</v>
      </c>
      <c r="M1057" s="4">
        <v>3</v>
      </c>
      <c r="N1057" s="4" t="s">
        <v>3</v>
      </c>
      <c r="O1057" s="4">
        <v>2</v>
      </c>
      <c r="P1057" s="4"/>
      <c r="Q1057" s="4"/>
      <c r="R1057" s="4"/>
      <c r="S1057" s="4"/>
      <c r="T1057" s="4"/>
      <c r="U1057" s="4"/>
      <c r="V1057" s="4"/>
      <c r="W1057" s="4"/>
    </row>
    <row r="1058" spans="1:23" x14ac:dyDescent="0.2">
      <c r="A1058" s="4">
        <v>50</v>
      </c>
      <c r="B1058" s="4">
        <v>0</v>
      </c>
      <c r="C1058" s="4">
        <v>0</v>
      </c>
      <c r="D1058" s="4">
        <v>1</v>
      </c>
      <c r="E1058" s="4">
        <v>229</v>
      </c>
      <c r="F1058" s="4">
        <f>ROUND(Source!AZ1047,O1058)</f>
        <v>0</v>
      </c>
      <c r="G1058" s="4" t="s">
        <v>231</v>
      </c>
      <c r="H1058" s="4" t="s">
        <v>232</v>
      </c>
      <c r="I1058" s="4"/>
      <c r="J1058" s="4"/>
      <c r="K1058" s="4">
        <v>229</v>
      </c>
      <c r="L1058" s="4">
        <v>10</v>
      </c>
      <c r="M1058" s="4">
        <v>3</v>
      </c>
      <c r="N1058" s="4" t="s">
        <v>3</v>
      </c>
      <c r="O1058" s="4">
        <v>2</v>
      </c>
      <c r="P1058" s="4"/>
      <c r="Q1058" s="4"/>
      <c r="R1058" s="4"/>
      <c r="S1058" s="4"/>
      <c r="T1058" s="4"/>
      <c r="U1058" s="4"/>
      <c r="V1058" s="4"/>
      <c r="W1058" s="4"/>
    </row>
    <row r="1059" spans="1:23" x14ac:dyDescent="0.2">
      <c r="A1059" s="4">
        <v>50</v>
      </c>
      <c r="B1059" s="4">
        <v>0</v>
      </c>
      <c r="C1059" s="4">
        <v>0</v>
      </c>
      <c r="D1059" s="4">
        <v>1</v>
      </c>
      <c r="E1059" s="4">
        <v>203</v>
      </c>
      <c r="F1059" s="4">
        <f>ROUND(Source!Q1047,O1059)</f>
        <v>107897.67</v>
      </c>
      <c r="G1059" s="4" t="s">
        <v>233</v>
      </c>
      <c r="H1059" s="4" t="s">
        <v>234</v>
      </c>
      <c r="I1059" s="4"/>
      <c r="J1059" s="4"/>
      <c r="K1059" s="4">
        <v>203</v>
      </c>
      <c r="L1059" s="4">
        <v>11</v>
      </c>
      <c r="M1059" s="4">
        <v>3</v>
      </c>
      <c r="N1059" s="4" t="s">
        <v>3</v>
      </c>
      <c r="O1059" s="4">
        <v>2</v>
      </c>
      <c r="P1059" s="4"/>
      <c r="Q1059" s="4"/>
      <c r="R1059" s="4"/>
      <c r="S1059" s="4"/>
      <c r="T1059" s="4"/>
      <c r="U1059" s="4"/>
      <c r="V1059" s="4"/>
      <c r="W1059" s="4"/>
    </row>
    <row r="1060" spans="1:23" x14ac:dyDescent="0.2">
      <c r="A1060" s="4">
        <v>50</v>
      </c>
      <c r="B1060" s="4">
        <v>0</v>
      </c>
      <c r="C1060" s="4">
        <v>0</v>
      </c>
      <c r="D1060" s="4">
        <v>1</v>
      </c>
      <c r="E1060" s="4">
        <v>231</v>
      </c>
      <c r="F1060" s="4">
        <f>ROUND(Source!BB1047,O1060)</f>
        <v>0</v>
      </c>
      <c r="G1060" s="4" t="s">
        <v>235</v>
      </c>
      <c r="H1060" s="4" t="s">
        <v>236</v>
      </c>
      <c r="I1060" s="4"/>
      <c r="J1060" s="4"/>
      <c r="K1060" s="4">
        <v>231</v>
      </c>
      <c r="L1060" s="4">
        <v>12</v>
      </c>
      <c r="M1060" s="4">
        <v>3</v>
      </c>
      <c r="N1060" s="4" t="s">
        <v>3</v>
      </c>
      <c r="O1060" s="4">
        <v>2</v>
      </c>
      <c r="P1060" s="4"/>
      <c r="Q1060" s="4"/>
      <c r="R1060" s="4"/>
      <c r="S1060" s="4"/>
      <c r="T1060" s="4"/>
      <c r="U1060" s="4"/>
      <c r="V1060" s="4"/>
      <c r="W1060" s="4"/>
    </row>
    <row r="1061" spans="1:23" x14ac:dyDescent="0.2">
      <c r="A1061" s="4">
        <v>50</v>
      </c>
      <c r="B1061" s="4">
        <v>0</v>
      </c>
      <c r="C1061" s="4">
        <v>0</v>
      </c>
      <c r="D1061" s="4">
        <v>1</v>
      </c>
      <c r="E1061" s="4">
        <v>204</v>
      </c>
      <c r="F1061" s="4">
        <f>ROUND(Source!R1047,O1061)</f>
        <v>8443.2900000000009</v>
      </c>
      <c r="G1061" s="4" t="s">
        <v>237</v>
      </c>
      <c r="H1061" s="4" t="s">
        <v>238</v>
      </c>
      <c r="I1061" s="4"/>
      <c r="J1061" s="4"/>
      <c r="K1061" s="4">
        <v>204</v>
      </c>
      <c r="L1061" s="4">
        <v>13</v>
      </c>
      <c r="M1061" s="4">
        <v>3</v>
      </c>
      <c r="N1061" s="4" t="s">
        <v>3</v>
      </c>
      <c r="O1061" s="4">
        <v>2</v>
      </c>
      <c r="P1061" s="4"/>
      <c r="Q1061" s="4"/>
      <c r="R1061" s="4"/>
      <c r="S1061" s="4"/>
      <c r="T1061" s="4"/>
      <c r="U1061" s="4"/>
      <c r="V1061" s="4"/>
      <c r="W1061" s="4"/>
    </row>
    <row r="1062" spans="1:23" x14ac:dyDescent="0.2">
      <c r="A1062" s="4">
        <v>50</v>
      </c>
      <c r="B1062" s="4">
        <v>0</v>
      </c>
      <c r="C1062" s="4">
        <v>0</v>
      </c>
      <c r="D1062" s="4">
        <v>1</v>
      </c>
      <c r="E1062" s="4">
        <v>205</v>
      </c>
      <c r="F1062" s="4">
        <f>ROUND(Source!S1047,O1062)</f>
        <v>78828.14</v>
      </c>
      <c r="G1062" s="4" t="s">
        <v>239</v>
      </c>
      <c r="H1062" s="4" t="s">
        <v>240</v>
      </c>
      <c r="I1062" s="4"/>
      <c r="J1062" s="4"/>
      <c r="K1062" s="4">
        <v>205</v>
      </c>
      <c r="L1062" s="4">
        <v>14</v>
      </c>
      <c r="M1062" s="4">
        <v>3</v>
      </c>
      <c r="N1062" s="4" t="s">
        <v>3</v>
      </c>
      <c r="O1062" s="4">
        <v>2</v>
      </c>
      <c r="P1062" s="4"/>
      <c r="Q1062" s="4"/>
      <c r="R1062" s="4"/>
      <c r="S1062" s="4"/>
      <c r="T1062" s="4"/>
      <c r="U1062" s="4"/>
      <c r="V1062" s="4"/>
      <c r="W1062" s="4"/>
    </row>
    <row r="1063" spans="1:23" x14ac:dyDescent="0.2">
      <c r="A1063" s="4">
        <v>50</v>
      </c>
      <c r="B1063" s="4">
        <v>0</v>
      </c>
      <c r="C1063" s="4">
        <v>0</v>
      </c>
      <c r="D1063" s="4">
        <v>1</v>
      </c>
      <c r="E1063" s="4">
        <v>232</v>
      </c>
      <c r="F1063" s="4">
        <f>ROUND(Source!BC1047,O1063)</f>
        <v>0</v>
      </c>
      <c r="G1063" s="4" t="s">
        <v>241</v>
      </c>
      <c r="H1063" s="4" t="s">
        <v>242</v>
      </c>
      <c r="I1063" s="4"/>
      <c r="J1063" s="4"/>
      <c r="K1063" s="4">
        <v>232</v>
      </c>
      <c r="L1063" s="4">
        <v>15</v>
      </c>
      <c r="M1063" s="4">
        <v>3</v>
      </c>
      <c r="N1063" s="4" t="s">
        <v>3</v>
      </c>
      <c r="O1063" s="4">
        <v>2</v>
      </c>
      <c r="P1063" s="4"/>
      <c r="Q1063" s="4"/>
      <c r="R1063" s="4"/>
      <c r="S1063" s="4"/>
      <c r="T1063" s="4"/>
      <c r="U1063" s="4"/>
      <c r="V1063" s="4"/>
      <c r="W1063" s="4"/>
    </row>
    <row r="1064" spans="1:23" x14ac:dyDescent="0.2">
      <c r="A1064" s="4">
        <v>50</v>
      </c>
      <c r="B1064" s="4">
        <v>0</v>
      </c>
      <c r="C1064" s="4">
        <v>0</v>
      </c>
      <c r="D1064" s="4">
        <v>1</v>
      </c>
      <c r="E1064" s="4">
        <v>214</v>
      </c>
      <c r="F1064" s="4">
        <f>ROUND(Source!AS1047,O1064)</f>
        <v>597057.15</v>
      </c>
      <c r="G1064" s="4" t="s">
        <v>243</v>
      </c>
      <c r="H1064" s="4" t="s">
        <v>244</v>
      </c>
      <c r="I1064" s="4"/>
      <c r="J1064" s="4"/>
      <c r="K1064" s="4">
        <v>214</v>
      </c>
      <c r="L1064" s="4">
        <v>16</v>
      </c>
      <c r="M1064" s="4">
        <v>3</v>
      </c>
      <c r="N1064" s="4" t="s">
        <v>3</v>
      </c>
      <c r="O1064" s="4">
        <v>2</v>
      </c>
      <c r="P1064" s="4"/>
      <c r="Q1064" s="4"/>
      <c r="R1064" s="4"/>
      <c r="S1064" s="4"/>
      <c r="T1064" s="4"/>
      <c r="U1064" s="4"/>
      <c r="V1064" s="4"/>
      <c r="W1064" s="4"/>
    </row>
    <row r="1065" spans="1:23" x14ac:dyDescent="0.2">
      <c r="A1065" s="4">
        <v>50</v>
      </c>
      <c r="B1065" s="4">
        <v>0</v>
      </c>
      <c r="C1065" s="4">
        <v>0</v>
      </c>
      <c r="D1065" s="4">
        <v>1</v>
      </c>
      <c r="E1065" s="4">
        <v>215</v>
      </c>
      <c r="F1065" s="4">
        <f>ROUND(Source!AT1047,O1065)</f>
        <v>752753.98</v>
      </c>
      <c r="G1065" s="4" t="s">
        <v>245</v>
      </c>
      <c r="H1065" s="4" t="s">
        <v>246</v>
      </c>
      <c r="I1065" s="4"/>
      <c r="J1065" s="4"/>
      <c r="K1065" s="4">
        <v>215</v>
      </c>
      <c r="L1065" s="4">
        <v>17</v>
      </c>
      <c r="M1065" s="4">
        <v>3</v>
      </c>
      <c r="N1065" s="4" t="s">
        <v>3</v>
      </c>
      <c r="O1065" s="4">
        <v>2</v>
      </c>
      <c r="P1065" s="4"/>
      <c r="Q1065" s="4"/>
      <c r="R1065" s="4"/>
      <c r="S1065" s="4"/>
      <c r="T1065" s="4"/>
      <c r="U1065" s="4"/>
      <c r="V1065" s="4"/>
      <c r="W1065" s="4"/>
    </row>
    <row r="1066" spans="1:23" x14ac:dyDescent="0.2">
      <c r="A1066" s="4">
        <v>50</v>
      </c>
      <c r="B1066" s="4">
        <v>0</v>
      </c>
      <c r="C1066" s="4">
        <v>0</v>
      </c>
      <c r="D1066" s="4">
        <v>1</v>
      </c>
      <c r="E1066" s="4">
        <v>217</v>
      </c>
      <c r="F1066" s="4">
        <f>ROUND(Source!AU1047,O1066)</f>
        <v>155781.35</v>
      </c>
      <c r="G1066" s="4" t="s">
        <v>247</v>
      </c>
      <c r="H1066" s="4" t="s">
        <v>248</v>
      </c>
      <c r="I1066" s="4"/>
      <c r="J1066" s="4"/>
      <c r="K1066" s="4">
        <v>217</v>
      </c>
      <c r="L1066" s="4">
        <v>18</v>
      </c>
      <c r="M1066" s="4">
        <v>3</v>
      </c>
      <c r="N1066" s="4" t="s">
        <v>3</v>
      </c>
      <c r="O1066" s="4">
        <v>2</v>
      </c>
      <c r="P1066" s="4"/>
      <c r="Q1066" s="4"/>
      <c r="R1066" s="4"/>
      <c r="S1066" s="4"/>
      <c r="T1066" s="4"/>
      <c r="U1066" s="4"/>
      <c r="V1066" s="4"/>
      <c r="W1066" s="4"/>
    </row>
    <row r="1067" spans="1:23" x14ac:dyDescent="0.2">
      <c r="A1067" s="4">
        <v>50</v>
      </c>
      <c r="B1067" s="4">
        <v>0</v>
      </c>
      <c r="C1067" s="4">
        <v>0</v>
      </c>
      <c r="D1067" s="4">
        <v>1</v>
      </c>
      <c r="E1067" s="4">
        <v>230</v>
      </c>
      <c r="F1067" s="4">
        <f>ROUND(Source!BA1047,O1067)</f>
        <v>0</v>
      </c>
      <c r="G1067" s="4" t="s">
        <v>249</v>
      </c>
      <c r="H1067" s="4" t="s">
        <v>250</v>
      </c>
      <c r="I1067" s="4"/>
      <c r="J1067" s="4"/>
      <c r="K1067" s="4">
        <v>230</v>
      </c>
      <c r="L1067" s="4">
        <v>19</v>
      </c>
      <c r="M1067" s="4">
        <v>3</v>
      </c>
      <c r="N1067" s="4" t="s">
        <v>3</v>
      </c>
      <c r="O1067" s="4">
        <v>2</v>
      </c>
      <c r="P1067" s="4"/>
      <c r="Q1067" s="4"/>
      <c r="R1067" s="4"/>
      <c r="S1067" s="4"/>
      <c r="T1067" s="4"/>
      <c r="U1067" s="4"/>
      <c r="V1067" s="4"/>
      <c r="W1067" s="4"/>
    </row>
    <row r="1068" spans="1:23" x14ac:dyDescent="0.2">
      <c r="A1068" s="4">
        <v>50</v>
      </c>
      <c r="B1068" s="4">
        <v>0</v>
      </c>
      <c r="C1068" s="4">
        <v>0</v>
      </c>
      <c r="D1068" s="4">
        <v>1</v>
      </c>
      <c r="E1068" s="4">
        <v>206</v>
      </c>
      <c r="F1068" s="4">
        <f>ROUND(Source!T1047,O1068)</f>
        <v>0</v>
      </c>
      <c r="G1068" s="4" t="s">
        <v>251</v>
      </c>
      <c r="H1068" s="4" t="s">
        <v>252</v>
      </c>
      <c r="I1068" s="4"/>
      <c r="J1068" s="4"/>
      <c r="K1068" s="4">
        <v>206</v>
      </c>
      <c r="L1068" s="4">
        <v>20</v>
      </c>
      <c r="M1068" s="4">
        <v>3</v>
      </c>
      <c r="N1068" s="4" t="s">
        <v>3</v>
      </c>
      <c r="O1068" s="4">
        <v>2</v>
      </c>
      <c r="P1068" s="4"/>
      <c r="Q1068" s="4"/>
      <c r="R1068" s="4"/>
      <c r="S1068" s="4"/>
      <c r="T1068" s="4"/>
      <c r="U1068" s="4"/>
      <c r="V1068" s="4"/>
      <c r="W1068" s="4"/>
    </row>
    <row r="1069" spans="1:23" x14ac:dyDescent="0.2">
      <c r="A1069" s="4">
        <v>50</v>
      </c>
      <c r="B1069" s="4">
        <v>0</v>
      </c>
      <c r="C1069" s="4">
        <v>0</v>
      </c>
      <c r="D1069" s="4">
        <v>1</v>
      </c>
      <c r="E1069" s="4">
        <v>207</v>
      </c>
      <c r="F1069" s="4">
        <f>Source!U1047</f>
        <v>217.08641</v>
      </c>
      <c r="G1069" s="4" t="s">
        <v>253</v>
      </c>
      <c r="H1069" s="4" t="s">
        <v>254</v>
      </c>
      <c r="I1069" s="4"/>
      <c r="J1069" s="4"/>
      <c r="K1069" s="4">
        <v>207</v>
      </c>
      <c r="L1069" s="4">
        <v>21</v>
      </c>
      <c r="M1069" s="4">
        <v>3</v>
      </c>
      <c r="N1069" s="4" t="s">
        <v>3</v>
      </c>
      <c r="O1069" s="4">
        <v>-1</v>
      </c>
      <c r="P1069" s="4"/>
      <c r="Q1069" s="4"/>
      <c r="R1069" s="4"/>
      <c r="S1069" s="4"/>
      <c r="T1069" s="4"/>
      <c r="U1069" s="4"/>
      <c r="V1069" s="4"/>
      <c r="W1069" s="4"/>
    </row>
    <row r="1070" spans="1:23" x14ac:dyDescent="0.2">
      <c r="A1070" s="4">
        <v>50</v>
      </c>
      <c r="B1070" s="4">
        <v>0</v>
      </c>
      <c r="C1070" s="4">
        <v>0</v>
      </c>
      <c r="D1070" s="4">
        <v>1</v>
      </c>
      <c r="E1070" s="4">
        <v>208</v>
      </c>
      <c r="F1070" s="4">
        <f>Source!V1047</f>
        <v>0</v>
      </c>
      <c r="G1070" s="4" t="s">
        <v>255</v>
      </c>
      <c r="H1070" s="4" t="s">
        <v>256</v>
      </c>
      <c r="I1070" s="4"/>
      <c r="J1070" s="4"/>
      <c r="K1070" s="4">
        <v>208</v>
      </c>
      <c r="L1070" s="4">
        <v>22</v>
      </c>
      <c r="M1070" s="4">
        <v>3</v>
      </c>
      <c r="N1070" s="4" t="s">
        <v>3</v>
      </c>
      <c r="O1070" s="4">
        <v>-1</v>
      </c>
      <c r="P1070" s="4"/>
      <c r="Q1070" s="4"/>
      <c r="R1070" s="4"/>
      <c r="S1070" s="4"/>
      <c r="T1070" s="4"/>
      <c r="U1070" s="4"/>
      <c r="V1070" s="4"/>
      <c r="W1070" s="4"/>
    </row>
    <row r="1071" spans="1:23" x14ac:dyDescent="0.2">
      <c r="A1071" s="4">
        <v>50</v>
      </c>
      <c r="B1071" s="4">
        <v>0</v>
      </c>
      <c r="C1071" s="4">
        <v>0</v>
      </c>
      <c r="D1071" s="4">
        <v>1</v>
      </c>
      <c r="E1071" s="4">
        <v>209</v>
      </c>
      <c r="F1071" s="4">
        <f>ROUND(Source!W1047,O1071)</f>
        <v>0</v>
      </c>
      <c r="G1071" s="4" t="s">
        <v>257</v>
      </c>
      <c r="H1071" s="4" t="s">
        <v>258</v>
      </c>
      <c r="I1071" s="4"/>
      <c r="J1071" s="4"/>
      <c r="K1071" s="4">
        <v>209</v>
      </c>
      <c r="L1071" s="4">
        <v>23</v>
      </c>
      <c r="M1071" s="4">
        <v>3</v>
      </c>
      <c r="N1071" s="4" t="s">
        <v>3</v>
      </c>
      <c r="O1071" s="4">
        <v>2</v>
      </c>
      <c r="P1071" s="4"/>
      <c r="Q1071" s="4"/>
      <c r="R1071" s="4"/>
      <c r="S1071" s="4"/>
      <c r="T1071" s="4"/>
      <c r="U1071" s="4"/>
      <c r="V1071" s="4"/>
      <c r="W1071" s="4"/>
    </row>
    <row r="1072" spans="1:23" x14ac:dyDescent="0.2">
      <c r="A1072" s="4">
        <v>50</v>
      </c>
      <c r="B1072" s="4">
        <v>0</v>
      </c>
      <c r="C1072" s="4">
        <v>0</v>
      </c>
      <c r="D1072" s="4">
        <v>1</v>
      </c>
      <c r="E1072" s="4">
        <v>233</v>
      </c>
      <c r="F1072" s="4">
        <f>ROUND(Source!BD1047,O1072)</f>
        <v>0</v>
      </c>
      <c r="G1072" s="4" t="s">
        <v>259</v>
      </c>
      <c r="H1072" s="4" t="s">
        <v>260</v>
      </c>
      <c r="I1072" s="4"/>
      <c r="J1072" s="4"/>
      <c r="K1072" s="4">
        <v>233</v>
      </c>
      <c r="L1072" s="4">
        <v>24</v>
      </c>
      <c r="M1072" s="4">
        <v>3</v>
      </c>
      <c r="N1072" s="4" t="s">
        <v>3</v>
      </c>
      <c r="O1072" s="4">
        <v>2</v>
      </c>
      <c r="P1072" s="4"/>
      <c r="Q1072" s="4"/>
      <c r="R1072" s="4"/>
      <c r="S1072" s="4"/>
      <c r="T1072" s="4"/>
      <c r="U1072" s="4"/>
      <c r="V1072" s="4"/>
      <c r="W1072" s="4"/>
    </row>
    <row r="1073" spans="1:206" x14ac:dyDescent="0.2">
      <c r="A1073" s="4">
        <v>50</v>
      </c>
      <c r="B1073" s="4">
        <v>0</v>
      </c>
      <c r="C1073" s="4">
        <v>0</v>
      </c>
      <c r="D1073" s="4">
        <v>1</v>
      </c>
      <c r="E1073" s="4">
        <v>210</v>
      </c>
      <c r="F1073" s="4">
        <f>ROUND(Source!X1047,O1073)</f>
        <v>60595.38</v>
      </c>
      <c r="G1073" s="4" t="s">
        <v>261</v>
      </c>
      <c r="H1073" s="4" t="s">
        <v>262</v>
      </c>
      <c r="I1073" s="4"/>
      <c r="J1073" s="4"/>
      <c r="K1073" s="4">
        <v>210</v>
      </c>
      <c r="L1073" s="4">
        <v>25</v>
      </c>
      <c r="M1073" s="4">
        <v>3</v>
      </c>
      <c r="N1073" s="4" t="s">
        <v>3</v>
      </c>
      <c r="O1073" s="4">
        <v>2</v>
      </c>
      <c r="P1073" s="4"/>
      <c r="Q1073" s="4"/>
      <c r="R1073" s="4"/>
      <c r="S1073" s="4"/>
      <c r="T1073" s="4"/>
      <c r="U1073" s="4"/>
      <c r="V1073" s="4"/>
      <c r="W1073" s="4"/>
    </row>
    <row r="1074" spans="1:206" x14ac:dyDescent="0.2">
      <c r="A1074" s="4">
        <v>50</v>
      </c>
      <c r="B1074" s="4">
        <v>0</v>
      </c>
      <c r="C1074" s="4">
        <v>0</v>
      </c>
      <c r="D1074" s="4">
        <v>1</v>
      </c>
      <c r="E1074" s="4">
        <v>211</v>
      </c>
      <c r="F1074" s="4">
        <f>ROUND(Source!Y1047,O1074)</f>
        <v>32360.66</v>
      </c>
      <c r="G1074" s="4" t="s">
        <v>263</v>
      </c>
      <c r="H1074" s="4" t="s">
        <v>264</v>
      </c>
      <c r="I1074" s="4"/>
      <c r="J1074" s="4"/>
      <c r="K1074" s="4">
        <v>211</v>
      </c>
      <c r="L1074" s="4">
        <v>26</v>
      </c>
      <c r="M1074" s="4">
        <v>3</v>
      </c>
      <c r="N1074" s="4" t="s">
        <v>3</v>
      </c>
      <c r="O1074" s="4">
        <v>2</v>
      </c>
      <c r="P1074" s="4"/>
      <c r="Q1074" s="4"/>
      <c r="R1074" s="4"/>
      <c r="S1074" s="4"/>
      <c r="T1074" s="4"/>
      <c r="U1074" s="4"/>
      <c r="V1074" s="4"/>
      <c r="W1074" s="4"/>
    </row>
    <row r="1075" spans="1:206" x14ac:dyDescent="0.2">
      <c r="A1075" s="4">
        <v>50</v>
      </c>
      <c r="B1075" s="4">
        <v>0</v>
      </c>
      <c r="C1075" s="4">
        <v>0</v>
      </c>
      <c r="D1075" s="4">
        <v>1</v>
      </c>
      <c r="E1075" s="4">
        <v>224</v>
      </c>
      <c r="F1075" s="4">
        <f>ROUND(Source!AR1047,O1075)</f>
        <v>1505592.48</v>
      </c>
      <c r="G1075" s="4" t="s">
        <v>265</v>
      </c>
      <c r="H1075" s="4" t="s">
        <v>266</v>
      </c>
      <c r="I1075" s="4"/>
      <c r="J1075" s="4"/>
      <c r="K1075" s="4">
        <v>224</v>
      </c>
      <c r="L1075" s="4">
        <v>27</v>
      </c>
      <c r="M1075" s="4">
        <v>3</v>
      </c>
      <c r="N1075" s="4" t="s">
        <v>3</v>
      </c>
      <c r="O1075" s="4">
        <v>2</v>
      </c>
      <c r="P1075" s="4"/>
      <c r="Q1075" s="4"/>
      <c r="R1075" s="4"/>
      <c r="S1075" s="4"/>
      <c r="T1075" s="4"/>
      <c r="U1075" s="4"/>
      <c r="V1075" s="4"/>
      <c r="W1075" s="4"/>
    </row>
    <row r="1077" spans="1:206" x14ac:dyDescent="0.2">
      <c r="A1077" s="2">
        <v>51</v>
      </c>
      <c r="B1077" s="2">
        <f>B1005</f>
        <v>1</v>
      </c>
      <c r="C1077" s="2">
        <f>A1005</f>
        <v>4</v>
      </c>
      <c r="D1077" s="2">
        <f>ROW(A1005)</f>
        <v>1005</v>
      </c>
      <c r="E1077" s="2"/>
      <c r="F1077" s="2" t="str">
        <f>IF(F1005&lt;&gt;"",F1005,"")</f>
        <v>Новый раздел</v>
      </c>
      <c r="G1077" s="2" t="str">
        <f>IF(G1005&lt;&gt;"",G1005,"")</f>
        <v>Замена опор освещения</v>
      </c>
      <c r="H1077" s="2">
        <v>0</v>
      </c>
      <c r="I1077" s="2"/>
      <c r="J1077" s="2"/>
      <c r="K1077" s="2"/>
      <c r="L1077" s="2"/>
      <c r="M1077" s="2"/>
      <c r="N1077" s="2"/>
      <c r="O1077" s="2">
        <f t="shared" ref="O1077:T1077" si="907">ROUND(O1047+AB1077,2)</f>
        <v>1399380.47</v>
      </c>
      <c r="P1077" s="2">
        <f t="shared" si="907"/>
        <v>1212654.6599999999</v>
      </c>
      <c r="Q1077" s="2">
        <f t="shared" si="907"/>
        <v>107897.67</v>
      </c>
      <c r="R1077" s="2">
        <f t="shared" si="907"/>
        <v>8443.2900000000009</v>
      </c>
      <c r="S1077" s="2">
        <f t="shared" si="907"/>
        <v>78828.14</v>
      </c>
      <c r="T1077" s="2">
        <f t="shared" si="907"/>
        <v>0</v>
      </c>
      <c r="U1077" s="2">
        <f>U1047+AH1077</f>
        <v>217.08641</v>
      </c>
      <c r="V1077" s="2">
        <f>V1047+AI1077</f>
        <v>0</v>
      </c>
      <c r="W1077" s="2">
        <f>ROUND(W1047+AJ1077,2)</f>
        <v>0</v>
      </c>
      <c r="X1077" s="2">
        <f>ROUND(X1047+AK1077,2)</f>
        <v>60595.38</v>
      </c>
      <c r="Y1077" s="2">
        <f>ROUND(Y1047+AL1077,2)</f>
        <v>32360.66</v>
      </c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>
        <f t="shared" ref="AO1077:BD1077" si="908">ROUND(AO1047+BX1077,2)</f>
        <v>0</v>
      </c>
      <c r="AP1077" s="2">
        <f t="shared" si="908"/>
        <v>0</v>
      </c>
      <c r="AQ1077" s="2">
        <f t="shared" si="908"/>
        <v>0</v>
      </c>
      <c r="AR1077" s="2">
        <f t="shared" si="908"/>
        <v>1505592.48</v>
      </c>
      <c r="AS1077" s="2">
        <f t="shared" si="908"/>
        <v>597057.15</v>
      </c>
      <c r="AT1077" s="2">
        <f t="shared" si="908"/>
        <v>752753.98</v>
      </c>
      <c r="AU1077" s="2">
        <f t="shared" si="908"/>
        <v>155781.35</v>
      </c>
      <c r="AV1077" s="2">
        <f t="shared" si="908"/>
        <v>1212654.6599999999</v>
      </c>
      <c r="AW1077" s="2">
        <f t="shared" si="908"/>
        <v>1212654.6599999999</v>
      </c>
      <c r="AX1077" s="2">
        <f t="shared" si="908"/>
        <v>0</v>
      </c>
      <c r="AY1077" s="2">
        <f t="shared" si="908"/>
        <v>1212654.6599999999</v>
      </c>
      <c r="AZ1077" s="2">
        <f t="shared" si="908"/>
        <v>0</v>
      </c>
      <c r="BA1077" s="2">
        <f t="shared" si="908"/>
        <v>0</v>
      </c>
      <c r="BB1077" s="2">
        <f t="shared" si="908"/>
        <v>0</v>
      </c>
      <c r="BC1077" s="2">
        <f t="shared" si="908"/>
        <v>0</v>
      </c>
      <c r="BD1077" s="2">
        <f t="shared" si="908"/>
        <v>0</v>
      </c>
      <c r="BE1077" s="2"/>
      <c r="BF1077" s="2"/>
      <c r="BG1077" s="2"/>
      <c r="BH1077" s="2"/>
      <c r="BI1077" s="2"/>
      <c r="BJ1077" s="2"/>
      <c r="BK1077" s="2"/>
      <c r="BL1077" s="2"/>
      <c r="BM1077" s="2"/>
      <c r="BN1077" s="2"/>
      <c r="BO1077" s="2"/>
      <c r="BP1077" s="2"/>
      <c r="BQ1077" s="2"/>
      <c r="BR1077" s="2"/>
      <c r="BS1077" s="2"/>
      <c r="BT1077" s="2"/>
      <c r="BU1077" s="2"/>
      <c r="BV1077" s="2"/>
      <c r="BW1077" s="2"/>
      <c r="BX1077" s="2"/>
      <c r="BY1077" s="2"/>
      <c r="BZ1077" s="2"/>
      <c r="CA1077" s="2"/>
      <c r="CB1077" s="2"/>
      <c r="CC1077" s="2"/>
      <c r="CD1077" s="2"/>
      <c r="CE1077" s="2"/>
      <c r="CF1077" s="2"/>
      <c r="CG1077" s="2"/>
      <c r="CH1077" s="2"/>
      <c r="CI1077" s="2"/>
      <c r="CJ1077" s="2"/>
      <c r="CK1077" s="2"/>
      <c r="CL1077" s="2"/>
      <c r="CM1077" s="2"/>
      <c r="CN1077" s="2"/>
      <c r="CO1077" s="2"/>
      <c r="CP1077" s="2"/>
      <c r="CQ1077" s="2"/>
      <c r="CR1077" s="2"/>
      <c r="CS1077" s="2"/>
      <c r="CT1077" s="2"/>
      <c r="CU1077" s="2"/>
      <c r="CV1077" s="2"/>
      <c r="CW1077" s="2"/>
      <c r="CX1077" s="2"/>
      <c r="CY1077" s="2"/>
      <c r="CZ1077" s="2"/>
      <c r="DA1077" s="2"/>
      <c r="DB1077" s="2"/>
      <c r="DC1077" s="2"/>
      <c r="DD1077" s="2"/>
      <c r="DE1077" s="2"/>
      <c r="DF1077" s="2"/>
      <c r="DG1077" s="3"/>
      <c r="DH1077" s="3"/>
      <c r="DI1077" s="3"/>
      <c r="DJ1077" s="3"/>
      <c r="DK1077" s="3"/>
      <c r="DL1077" s="3"/>
      <c r="DM1077" s="3"/>
      <c r="DN1077" s="3"/>
      <c r="DO1077" s="3"/>
      <c r="DP1077" s="3"/>
      <c r="DQ1077" s="3"/>
      <c r="DR1077" s="3"/>
      <c r="DS1077" s="3"/>
      <c r="DT1077" s="3"/>
      <c r="DU1077" s="3"/>
      <c r="DV1077" s="3"/>
      <c r="DW1077" s="3"/>
      <c r="DX1077" s="3"/>
      <c r="DY1077" s="3"/>
      <c r="DZ1077" s="3"/>
      <c r="EA1077" s="3"/>
      <c r="EB1077" s="3"/>
      <c r="EC1077" s="3"/>
      <c r="ED1077" s="3"/>
      <c r="EE1077" s="3"/>
      <c r="EF1077" s="3"/>
      <c r="EG1077" s="3"/>
      <c r="EH1077" s="3"/>
      <c r="EI1077" s="3"/>
      <c r="EJ1077" s="3"/>
      <c r="EK1077" s="3"/>
      <c r="EL1077" s="3"/>
      <c r="EM1077" s="3"/>
      <c r="EN1077" s="3"/>
      <c r="EO1077" s="3"/>
      <c r="EP1077" s="3"/>
      <c r="EQ1077" s="3"/>
      <c r="ER1077" s="3"/>
      <c r="ES1077" s="3"/>
      <c r="ET1077" s="3"/>
      <c r="EU1077" s="3"/>
      <c r="EV1077" s="3"/>
      <c r="EW1077" s="3"/>
      <c r="EX1077" s="3"/>
      <c r="EY1077" s="3"/>
      <c r="EZ1077" s="3"/>
      <c r="FA1077" s="3"/>
      <c r="FB1077" s="3"/>
      <c r="FC1077" s="3"/>
      <c r="FD1077" s="3"/>
      <c r="FE1077" s="3"/>
      <c r="FF1077" s="3"/>
      <c r="FG1077" s="3"/>
      <c r="FH1077" s="3"/>
      <c r="FI1077" s="3"/>
      <c r="FJ1077" s="3"/>
      <c r="FK1077" s="3"/>
      <c r="FL1077" s="3"/>
      <c r="FM1077" s="3"/>
      <c r="FN1077" s="3"/>
      <c r="FO1077" s="3"/>
      <c r="FP1077" s="3"/>
      <c r="FQ1077" s="3"/>
      <c r="FR1077" s="3"/>
      <c r="FS1077" s="3"/>
      <c r="FT1077" s="3"/>
      <c r="FU1077" s="3"/>
      <c r="FV1077" s="3"/>
      <c r="FW1077" s="3"/>
      <c r="FX1077" s="3"/>
      <c r="FY1077" s="3"/>
      <c r="FZ1077" s="3"/>
      <c r="GA1077" s="3"/>
      <c r="GB1077" s="3"/>
      <c r="GC1077" s="3"/>
      <c r="GD1077" s="3"/>
      <c r="GE1077" s="3"/>
      <c r="GF1077" s="3"/>
      <c r="GG1077" s="3"/>
      <c r="GH1077" s="3"/>
      <c r="GI1077" s="3"/>
      <c r="GJ1077" s="3"/>
      <c r="GK1077" s="3"/>
      <c r="GL1077" s="3"/>
      <c r="GM1077" s="3"/>
      <c r="GN1077" s="3"/>
      <c r="GO1077" s="3"/>
      <c r="GP1077" s="3"/>
      <c r="GQ1077" s="3"/>
      <c r="GR1077" s="3"/>
      <c r="GS1077" s="3"/>
      <c r="GT1077" s="3"/>
      <c r="GU1077" s="3"/>
      <c r="GV1077" s="3"/>
      <c r="GW1077" s="3"/>
      <c r="GX1077" s="3">
        <v>0</v>
      </c>
    </row>
    <row r="1079" spans="1:206" x14ac:dyDescent="0.2">
      <c r="A1079" s="4">
        <v>50</v>
      </c>
      <c r="B1079" s="4">
        <v>0</v>
      </c>
      <c r="C1079" s="4">
        <v>0</v>
      </c>
      <c r="D1079" s="4">
        <v>1</v>
      </c>
      <c r="E1079" s="4">
        <v>201</v>
      </c>
      <c r="F1079" s="4">
        <f>ROUND(Source!O1077,O1079)</f>
        <v>1399380.47</v>
      </c>
      <c r="G1079" s="4" t="s">
        <v>213</v>
      </c>
      <c r="H1079" s="4" t="s">
        <v>214</v>
      </c>
      <c r="I1079" s="4"/>
      <c r="J1079" s="4"/>
      <c r="K1079" s="4">
        <v>201</v>
      </c>
      <c r="L1079" s="4">
        <v>1</v>
      </c>
      <c r="M1079" s="4">
        <v>3</v>
      </c>
      <c r="N1079" s="4" t="s">
        <v>3</v>
      </c>
      <c r="O1079" s="4">
        <v>2</v>
      </c>
      <c r="P1079" s="4"/>
      <c r="Q1079" s="4"/>
      <c r="R1079" s="4"/>
      <c r="S1079" s="4"/>
      <c r="T1079" s="4"/>
      <c r="U1079" s="4"/>
      <c r="V1079" s="4"/>
      <c r="W1079" s="4"/>
    </row>
    <row r="1080" spans="1:206" x14ac:dyDescent="0.2">
      <c r="A1080" s="4">
        <v>50</v>
      </c>
      <c r="B1080" s="4">
        <v>0</v>
      </c>
      <c r="C1080" s="4">
        <v>0</v>
      </c>
      <c r="D1080" s="4">
        <v>1</v>
      </c>
      <c r="E1080" s="4">
        <v>202</v>
      </c>
      <c r="F1080" s="4">
        <f>ROUND(Source!P1077,O1080)</f>
        <v>1212654.6599999999</v>
      </c>
      <c r="G1080" s="4" t="s">
        <v>215</v>
      </c>
      <c r="H1080" s="4" t="s">
        <v>216</v>
      </c>
      <c r="I1080" s="4"/>
      <c r="J1080" s="4"/>
      <c r="K1080" s="4">
        <v>202</v>
      </c>
      <c r="L1080" s="4">
        <v>2</v>
      </c>
      <c r="M1080" s="4">
        <v>3</v>
      </c>
      <c r="N1080" s="4" t="s">
        <v>3</v>
      </c>
      <c r="O1080" s="4">
        <v>2</v>
      </c>
      <c r="P1080" s="4"/>
      <c r="Q1080" s="4"/>
      <c r="R1080" s="4"/>
      <c r="S1080" s="4"/>
      <c r="T1080" s="4"/>
      <c r="U1080" s="4"/>
      <c r="V1080" s="4"/>
      <c r="W1080" s="4"/>
    </row>
    <row r="1081" spans="1:206" x14ac:dyDescent="0.2">
      <c r="A1081" s="4">
        <v>50</v>
      </c>
      <c r="B1081" s="4">
        <v>0</v>
      </c>
      <c r="C1081" s="4">
        <v>0</v>
      </c>
      <c r="D1081" s="4">
        <v>1</v>
      </c>
      <c r="E1081" s="4">
        <v>222</v>
      </c>
      <c r="F1081" s="4">
        <f>ROUND(Source!AO1077,O1081)</f>
        <v>0</v>
      </c>
      <c r="G1081" s="4" t="s">
        <v>217</v>
      </c>
      <c r="H1081" s="4" t="s">
        <v>218</v>
      </c>
      <c r="I1081" s="4"/>
      <c r="J1081" s="4"/>
      <c r="K1081" s="4">
        <v>222</v>
      </c>
      <c r="L1081" s="4">
        <v>3</v>
      </c>
      <c r="M1081" s="4">
        <v>3</v>
      </c>
      <c r="N1081" s="4" t="s">
        <v>3</v>
      </c>
      <c r="O1081" s="4">
        <v>2</v>
      </c>
      <c r="P1081" s="4"/>
      <c r="Q1081" s="4"/>
      <c r="R1081" s="4"/>
      <c r="S1081" s="4"/>
      <c r="T1081" s="4"/>
      <c r="U1081" s="4"/>
      <c r="V1081" s="4"/>
      <c r="W1081" s="4"/>
    </row>
    <row r="1082" spans="1:206" x14ac:dyDescent="0.2">
      <c r="A1082" s="4">
        <v>50</v>
      </c>
      <c r="B1082" s="4">
        <v>0</v>
      </c>
      <c r="C1082" s="4">
        <v>0</v>
      </c>
      <c r="D1082" s="4">
        <v>1</v>
      </c>
      <c r="E1082" s="4">
        <v>225</v>
      </c>
      <c r="F1082" s="4">
        <f>ROUND(Source!AV1077,O1082)</f>
        <v>1212654.6599999999</v>
      </c>
      <c r="G1082" s="4" t="s">
        <v>219</v>
      </c>
      <c r="H1082" s="4" t="s">
        <v>220</v>
      </c>
      <c r="I1082" s="4"/>
      <c r="J1082" s="4"/>
      <c r="K1082" s="4">
        <v>225</v>
      </c>
      <c r="L1082" s="4">
        <v>4</v>
      </c>
      <c r="M1082" s="4">
        <v>3</v>
      </c>
      <c r="N1082" s="4" t="s">
        <v>3</v>
      </c>
      <c r="O1082" s="4">
        <v>2</v>
      </c>
      <c r="P1082" s="4"/>
      <c r="Q1082" s="4"/>
      <c r="R1082" s="4"/>
      <c r="S1082" s="4"/>
      <c r="T1082" s="4"/>
      <c r="U1082" s="4"/>
      <c r="V1082" s="4"/>
      <c r="W1082" s="4"/>
    </row>
    <row r="1083" spans="1:206" x14ac:dyDescent="0.2">
      <c r="A1083" s="4">
        <v>50</v>
      </c>
      <c r="B1083" s="4">
        <v>0</v>
      </c>
      <c r="C1083" s="4">
        <v>0</v>
      </c>
      <c r="D1083" s="4">
        <v>1</v>
      </c>
      <c r="E1083" s="4">
        <v>226</v>
      </c>
      <c r="F1083" s="4">
        <f>ROUND(Source!AW1077,O1083)</f>
        <v>1212654.6599999999</v>
      </c>
      <c r="G1083" s="4" t="s">
        <v>221</v>
      </c>
      <c r="H1083" s="4" t="s">
        <v>222</v>
      </c>
      <c r="I1083" s="4"/>
      <c r="J1083" s="4"/>
      <c r="K1083" s="4">
        <v>226</v>
      </c>
      <c r="L1083" s="4">
        <v>5</v>
      </c>
      <c r="M1083" s="4">
        <v>3</v>
      </c>
      <c r="N1083" s="4" t="s">
        <v>3</v>
      </c>
      <c r="O1083" s="4">
        <v>2</v>
      </c>
      <c r="P1083" s="4"/>
      <c r="Q1083" s="4"/>
      <c r="R1083" s="4"/>
      <c r="S1083" s="4"/>
      <c r="T1083" s="4"/>
      <c r="U1083" s="4"/>
      <c r="V1083" s="4"/>
      <c r="W1083" s="4"/>
    </row>
    <row r="1084" spans="1:206" x14ac:dyDescent="0.2">
      <c r="A1084" s="4">
        <v>50</v>
      </c>
      <c r="B1084" s="4">
        <v>0</v>
      </c>
      <c r="C1084" s="4">
        <v>0</v>
      </c>
      <c r="D1084" s="4">
        <v>1</v>
      </c>
      <c r="E1084" s="4">
        <v>227</v>
      </c>
      <c r="F1084" s="4">
        <f>ROUND(Source!AX1077,O1084)</f>
        <v>0</v>
      </c>
      <c r="G1084" s="4" t="s">
        <v>223</v>
      </c>
      <c r="H1084" s="4" t="s">
        <v>224</v>
      </c>
      <c r="I1084" s="4"/>
      <c r="J1084" s="4"/>
      <c r="K1084" s="4">
        <v>227</v>
      </c>
      <c r="L1084" s="4">
        <v>6</v>
      </c>
      <c r="M1084" s="4">
        <v>3</v>
      </c>
      <c r="N1084" s="4" t="s">
        <v>3</v>
      </c>
      <c r="O1084" s="4">
        <v>2</v>
      </c>
      <c r="P1084" s="4"/>
      <c r="Q1084" s="4"/>
      <c r="R1084" s="4"/>
      <c r="S1084" s="4"/>
      <c r="T1084" s="4"/>
      <c r="U1084" s="4"/>
      <c r="V1084" s="4"/>
      <c r="W1084" s="4"/>
    </row>
    <row r="1085" spans="1:206" x14ac:dyDescent="0.2">
      <c r="A1085" s="4">
        <v>50</v>
      </c>
      <c r="B1085" s="4">
        <v>0</v>
      </c>
      <c r="C1085" s="4">
        <v>0</v>
      </c>
      <c r="D1085" s="4">
        <v>1</v>
      </c>
      <c r="E1085" s="4">
        <v>228</v>
      </c>
      <c r="F1085" s="4">
        <f>ROUND(Source!AY1077,O1085)</f>
        <v>1212654.6599999999</v>
      </c>
      <c r="G1085" s="4" t="s">
        <v>225</v>
      </c>
      <c r="H1085" s="4" t="s">
        <v>226</v>
      </c>
      <c r="I1085" s="4"/>
      <c r="J1085" s="4"/>
      <c r="K1085" s="4">
        <v>228</v>
      </c>
      <c r="L1085" s="4">
        <v>7</v>
      </c>
      <c r="M1085" s="4">
        <v>3</v>
      </c>
      <c r="N1085" s="4" t="s">
        <v>3</v>
      </c>
      <c r="O1085" s="4">
        <v>2</v>
      </c>
      <c r="P1085" s="4"/>
      <c r="Q1085" s="4"/>
      <c r="R1085" s="4"/>
      <c r="S1085" s="4"/>
      <c r="T1085" s="4"/>
      <c r="U1085" s="4"/>
      <c r="V1085" s="4"/>
      <c r="W1085" s="4"/>
    </row>
    <row r="1086" spans="1:206" x14ac:dyDescent="0.2">
      <c r="A1086" s="4">
        <v>50</v>
      </c>
      <c r="B1086" s="4">
        <v>0</v>
      </c>
      <c r="C1086" s="4">
        <v>0</v>
      </c>
      <c r="D1086" s="4">
        <v>1</v>
      </c>
      <c r="E1086" s="4">
        <v>216</v>
      </c>
      <c r="F1086" s="4">
        <f>ROUND(Source!AP1077,O1086)</f>
        <v>0</v>
      </c>
      <c r="G1086" s="4" t="s">
        <v>227</v>
      </c>
      <c r="H1086" s="4" t="s">
        <v>228</v>
      </c>
      <c r="I1086" s="4"/>
      <c r="J1086" s="4"/>
      <c r="K1086" s="4">
        <v>216</v>
      </c>
      <c r="L1086" s="4">
        <v>8</v>
      </c>
      <c r="M1086" s="4">
        <v>3</v>
      </c>
      <c r="N1086" s="4" t="s">
        <v>3</v>
      </c>
      <c r="O1086" s="4">
        <v>2</v>
      </c>
      <c r="P1086" s="4"/>
      <c r="Q1086" s="4"/>
      <c r="R1086" s="4"/>
      <c r="S1086" s="4"/>
      <c r="T1086" s="4"/>
      <c r="U1086" s="4"/>
      <c r="V1086" s="4"/>
      <c r="W1086" s="4"/>
    </row>
    <row r="1087" spans="1:206" x14ac:dyDescent="0.2">
      <c r="A1087" s="4">
        <v>50</v>
      </c>
      <c r="B1087" s="4">
        <v>0</v>
      </c>
      <c r="C1087" s="4">
        <v>0</v>
      </c>
      <c r="D1087" s="4">
        <v>1</v>
      </c>
      <c r="E1087" s="4">
        <v>223</v>
      </c>
      <c r="F1087" s="4">
        <f>ROUND(Source!AQ1077,O1087)</f>
        <v>0</v>
      </c>
      <c r="G1087" s="4" t="s">
        <v>229</v>
      </c>
      <c r="H1087" s="4" t="s">
        <v>230</v>
      </c>
      <c r="I1087" s="4"/>
      <c r="J1087" s="4"/>
      <c r="K1087" s="4">
        <v>223</v>
      </c>
      <c r="L1087" s="4">
        <v>9</v>
      </c>
      <c r="M1087" s="4">
        <v>3</v>
      </c>
      <c r="N1087" s="4" t="s">
        <v>3</v>
      </c>
      <c r="O1087" s="4">
        <v>2</v>
      </c>
      <c r="P1087" s="4"/>
      <c r="Q1087" s="4"/>
      <c r="R1087" s="4"/>
      <c r="S1087" s="4"/>
      <c r="T1087" s="4"/>
      <c r="U1087" s="4"/>
      <c r="V1087" s="4"/>
      <c r="W1087" s="4"/>
    </row>
    <row r="1088" spans="1:206" x14ac:dyDescent="0.2">
      <c r="A1088" s="4">
        <v>50</v>
      </c>
      <c r="B1088" s="4">
        <v>0</v>
      </c>
      <c r="C1088" s="4">
        <v>0</v>
      </c>
      <c r="D1088" s="4">
        <v>1</v>
      </c>
      <c r="E1088" s="4">
        <v>229</v>
      </c>
      <c r="F1088" s="4">
        <f>ROUND(Source!AZ1077,O1088)</f>
        <v>0</v>
      </c>
      <c r="G1088" s="4" t="s">
        <v>231</v>
      </c>
      <c r="H1088" s="4" t="s">
        <v>232</v>
      </c>
      <c r="I1088" s="4"/>
      <c r="J1088" s="4"/>
      <c r="K1088" s="4">
        <v>229</v>
      </c>
      <c r="L1088" s="4">
        <v>10</v>
      </c>
      <c r="M1088" s="4">
        <v>3</v>
      </c>
      <c r="N1088" s="4" t="s">
        <v>3</v>
      </c>
      <c r="O1088" s="4">
        <v>2</v>
      </c>
      <c r="P1088" s="4"/>
      <c r="Q1088" s="4"/>
      <c r="R1088" s="4"/>
      <c r="S1088" s="4"/>
      <c r="T1088" s="4"/>
      <c r="U1088" s="4"/>
      <c r="V1088" s="4"/>
      <c r="W1088" s="4"/>
    </row>
    <row r="1089" spans="1:23" x14ac:dyDescent="0.2">
      <c r="A1089" s="4">
        <v>50</v>
      </c>
      <c r="B1089" s="4">
        <v>0</v>
      </c>
      <c r="C1089" s="4">
        <v>0</v>
      </c>
      <c r="D1089" s="4">
        <v>1</v>
      </c>
      <c r="E1089" s="4">
        <v>203</v>
      </c>
      <c r="F1089" s="4">
        <f>ROUND(Source!Q1077,O1089)</f>
        <v>107897.67</v>
      </c>
      <c r="G1089" s="4" t="s">
        <v>233</v>
      </c>
      <c r="H1089" s="4" t="s">
        <v>234</v>
      </c>
      <c r="I1089" s="4"/>
      <c r="J1089" s="4"/>
      <c r="K1089" s="4">
        <v>203</v>
      </c>
      <c r="L1089" s="4">
        <v>11</v>
      </c>
      <c r="M1089" s="4">
        <v>3</v>
      </c>
      <c r="N1089" s="4" t="s">
        <v>3</v>
      </c>
      <c r="O1089" s="4">
        <v>2</v>
      </c>
      <c r="P1089" s="4"/>
      <c r="Q1089" s="4"/>
      <c r="R1089" s="4"/>
      <c r="S1089" s="4"/>
      <c r="T1089" s="4"/>
      <c r="U1089" s="4"/>
      <c r="V1089" s="4"/>
      <c r="W1089" s="4"/>
    </row>
    <row r="1090" spans="1:23" x14ac:dyDescent="0.2">
      <c r="A1090" s="4">
        <v>50</v>
      </c>
      <c r="B1090" s="4">
        <v>0</v>
      </c>
      <c r="C1090" s="4">
        <v>0</v>
      </c>
      <c r="D1090" s="4">
        <v>1</v>
      </c>
      <c r="E1090" s="4">
        <v>231</v>
      </c>
      <c r="F1090" s="4">
        <f>ROUND(Source!BB1077,O1090)</f>
        <v>0</v>
      </c>
      <c r="G1090" s="4" t="s">
        <v>235</v>
      </c>
      <c r="H1090" s="4" t="s">
        <v>236</v>
      </c>
      <c r="I1090" s="4"/>
      <c r="J1090" s="4"/>
      <c r="K1090" s="4">
        <v>231</v>
      </c>
      <c r="L1090" s="4">
        <v>12</v>
      </c>
      <c r="M1090" s="4">
        <v>3</v>
      </c>
      <c r="N1090" s="4" t="s">
        <v>3</v>
      </c>
      <c r="O1090" s="4">
        <v>2</v>
      </c>
      <c r="P1090" s="4"/>
      <c r="Q1090" s="4"/>
      <c r="R1090" s="4"/>
      <c r="S1090" s="4"/>
      <c r="T1090" s="4"/>
      <c r="U1090" s="4"/>
      <c r="V1090" s="4"/>
      <c r="W1090" s="4"/>
    </row>
    <row r="1091" spans="1:23" x14ac:dyDescent="0.2">
      <c r="A1091" s="4">
        <v>50</v>
      </c>
      <c r="B1091" s="4">
        <v>0</v>
      </c>
      <c r="C1091" s="4">
        <v>0</v>
      </c>
      <c r="D1091" s="4">
        <v>1</v>
      </c>
      <c r="E1091" s="4">
        <v>204</v>
      </c>
      <c r="F1091" s="4">
        <f>ROUND(Source!R1077,O1091)</f>
        <v>8443.2900000000009</v>
      </c>
      <c r="G1091" s="4" t="s">
        <v>237</v>
      </c>
      <c r="H1091" s="4" t="s">
        <v>238</v>
      </c>
      <c r="I1091" s="4"/>
      <c r="J1091" s="4"/>
      <c r="K1091" s="4">
        <v>204</v>
      </c>
      <c r="L1091" s="4">
        <v>13</v>
      </c>
      <c r="M1091" s="4">
        <v>3</v>
      </c>
      <c r="N1091" s="4" t="s">
        <v>3</v>
      </c>
      <c r="O1091" s="4">
        <v>2</v>
      </c>
      <c r="P1091" s="4"/>
      <c r="Q1091" s="4"/>
      <c r="R1091" s="4"/>
      <c r="S1091" s="4"/>
      <c r="T1091" s="4"/>
      <c r="U1091" s="4"/>
      <c r="V1091" s="4"/>
      <c r="W1091" s="4"/>
    </row>
    <row r="1092" spans="1:23" x14ac:dyDescent="0.2">
      <c r="A1092" s="4">
        <v>50</v>
      </c>
      <c r="B1092" s="4">
        <v>0</v>
      </c>
      <c r="C1092" s="4">
        <v>0</v>
      </c>
      <c r="D1092" s="4">
        <v>1</v>
      </c>
      <c r="E1092" s="4">
        <v>205</v>
      </c>
      <c r="F1092" s="4">
        <f>ROUND(Source!S1077,O1092)</f>
        <v>78828.14</v>
      </c>
      <c r="G1092" s="4" t="s">
        <v>239</v>
      </c>
      <c r="H1092" s="4" t="s">
        <v>240</v>
      </c>
      <c r="I1092" s="4"/>
      <c r="J1092" s="4"/>
      <c r="K1092" s="4">
        <v>205</v>
      </c>
      <c r="L1092" s="4">
        <v>14</v>
      </c>
      <c r="M1092" s="4">
        <v>3</v>
      </c>
      <c r="N1092" s="4" t="s">
        <v>3</v>
      </c>
      <c r="O1092" s="4">
        <v>2</v>
      </c>
      <c r="P1092" s="4"/>
      <c r="Q1092" s="4"/>
      <c r="R1092" s="4"/>
      <c r="S1092" s="4"/>
      <c r="T1092" s="4"/>
      <c r="U1092" s="4"/>
      <c r="V1092" s="4"/>
      <c r="W1092" s="4"/>
    </row>
    <row r="1093" spans="1:23" x14ac:dyDescent="0.2">
      <c r="A1093" s="4">
        <v>50</v>
      </c>
      <c r="B1093" s="4">
        <v>0</v>
      </c>
      <c r="C1093" s="4">
        <v>0</v>
      </c>
      <c r="D1093" s="4">
        <v>1</v>
      </c>
      <c r="E1093" s="4">
        <v>232</v>
      </c>
      <c r="F1093" s="4">
        <f>ROUND(Source!BC1077,O1093)</f>
        <v>0</v>
      </c>
      <c r="G1093" s="4" t="s">
        <v>241</v>
      </c>
      <c r="H1093" s="4" t="s">
        <v>242</v>
      </c>
      <c r="I1093" s="4"/>
      <c r="J1093" s="4"/>
      <c r="K1093" s="4">
        <v>232</v>
      </c>
      <c r="L1093" s="4">
        <v>15</v>
      </c>
      <c r="M1093" s="4">
        <v>3</v>
      </c>
      <c r="N1093" s="4" t="s">
        <v>3</v>
      </c>
      <c r="O1093" s="4">
        <v>2</v>
      </c>
      <c r="P1093" s="4"/>
      <c r="Q1093" s="4"/>
      <c r="R1093" s="4"/>
      <c r="S1093" s="4"/>
      <c r="T1093" s="4"/>
      <c r="U1093" s="4"/>
      <c r="V1093" s="4"/>
      <c r="W1093" s="4"/>
    </row>
    <row r="1094" spans="1:23" x14ac:dyDescent="0.2">
      <c r="A1094" s="4">
        <v>50</v>
      </c>
      <c r="B1094" s="4">
        <v>0</v>
      </c>
      <c r="C1094" s="4">
        <v>0</v>
      </c>
      <c r="D1094" s="4">
        <v>1</v>
      </c>
      <c r="E1094" s="4">
        <v>214</v>
      </c>
      <c r="F1094" s="4">
        <f>ROUND(Source!AS1077,O1094)</f>
        <v>597057.15</v>
      </c>
      <c r="G1094" s="4" t="s">
        <v>243</v>
      </c>
      <c r="H1094" s="4" t="s">
        <v>244</v>
      </c>
      <c r="I1094" s="4"/>
      <c r="J1094" s="4"/>
      <c r="K1094" s="4">
        <v>214</v>
      </c>
      <c r="L1094" s="4">
        <v>16</v>
      </c>
      <c r="M1094" s="4">
        <v>3</v>
      </c>
      <c r="N1094" s="4" t="s">
        <v>3</v>
      </c>
      <c r="O1094" s="4">
        <v>2</v>
      </c>
      <c r="P1094" s="4"/>
      <c r="Q1094" s="4"/>
      <c r="R1094" s="4"/>
      <c r="S1094" s="4"/>
      <c r="T1094" s="4"/>
      <c r="U1094" s="4"/>
      <c r="V1094" s="4"/>
      <c r="W1094" s="4"/>
    </row>
    <row r="1095" spans="1:23" x14ac:dyDescent="0.2">
      <c r="A1095" s="4">
        <v>50</v>
      </c>
      <c r="B1095" s="4">
        <v>0</v>
      </c>
      <c r="C1095" s="4">
        <v>0</v>
      </c>
      <c r="D1095" s="4">
        <v>1</v>
      </c>
      <c r="E1095" s="4">
        <v>215</v>
      </c>
      <c r="F1095" s="4">
        <f>ROUND(Source!AT1077,O1095)</f>
        <v>752753.98</v>
      </c>
      <c r="G1095" s="4" t="s">
        <v>245</v>
      </c>
      <c r="H1095" s="4" t="s">
        <v>246</v>
      </c>
      <c r="I1095" s="4"/>
      <c r="J1095" s="4"/>
      <c r="K1095" s="4">
        <v>215</v>
      </c>
      <c r="L1095" s="4">
        <v>17</v>
      </c>
      <c r="M1095" s="4">
        <v>3</v>
      </c>
      <c r="N1095" s="4" t="s">
        <v>3</v>
      </c>
      <c r="O1095" s="4">
        <v>2</v>
      </c>
      <c r="P1095" s="4"/>
      <c r="Q1095" s="4"/>
      <c r="R1095" s="4"/>
      <c r="S1095" s="4"/>
      <c r="T1095" s="4"/>
      <c r="U1095" s="4"/>
      <c r="V1095" s="4"/>
      <c r="W1095" s="4"/>
    </row>
    <row r="1096" spans="1:23" x14ac:dyDescent="0.2">
      <c r="A1096" s="4">
        <v>50</v>
      </c>
      <c r="B1096" s="4">
        <v>0</v>
      </c>
      <c r="C1096" s="4">
        <v>0</v>
      </c>
      <c r="D1096" s="4">
        <v>1</v>
      </c>
      <c r="E1096" s="4">
        <v>217</v>
      </c>
      <c r="F1096" s="4">
        <f>ROUND(Source!AU1077,O1096)</f>
        <v>155781.35</v>
      </c>
      <c r="G1096" s="4" t="s">
        <v>247</v>
      </c>
      <c r="H1096" s="4" t="s">
        <v>248</v>
      </c>
      <c r="I1096" s="4"/>
      <c r="J1096" s="4"/>
      <c r="K1096" s="4">
        <v>217</v>
      </c>
      <c r="L1096" s="4">
        <v>18</v>
      </c>
      <c r="M1096" s="4">
        <v>3</v>
      </c>
      <c r="N1096" s="4" t="s">
        <v>3</v>
      </c>
      <c r="O1096" s="4">
        <v>2</v>
      </c>
      <c r="P1096" s="4"/>
      <c r="Q1096" s="4"/>
      <c r="R1096" s="4"/>
      <c r="S1096" s="4"/>
      <c r="T1096" s="4"/>
      <c r="U1096" s="4"/>
      <c r="V1096" s="4"/>
      <c r="W1096" s="4"/>
    </row>
    <row r="1097" spans="1:23" x14ac:dyDescent="0.2">
      <c r="A1097" s="4">
        <v>50</v>
      </c>
      <c r="B1097" s="4">
        <v>0</v>
      </c>
      <c r="C1097" s="4">
        <v>0</v>
      </c>
      <c r="D1097" s="4">
        <v>1</v>
      </c>
      <c r="E1097" s="4">
        <v>230</v>
      </c>
      <c r="F1097" s="4">
        <f>ROUND(Source!BA1077,O1097)</f>
        <v>0</v>
      </c>
      <c r="G1097" s="4" t="s">
        <v>249</v>
      </c>
      <c r="H1097" s="4" t="s">
        <v>250</v>
      </c>
      <c r="I1097" s="4"/>
      <c r="J1097" s="4"/>
      <c r="K1097" s="4">
        <v>230</v>
      </c>
      <c r="L1097" s="4">
        <v>19</v>
      </c>
      <c r="M1097" s="4">
        <v>3</v>
      </c>
      <c r="N1097" s="4" t="s">
        <v>3</v>
      </c>
      <c r="O1097" s="4">
        <v>2</v>
      </c>
      <c r="P1097" s="4"/>
      <c r="Q1097" s="4"/>
      <c r="R1097" s="4"/>
      <c r="S1097" s="4"/>
      <c r="T1097" s="4"/>
      <c r="U1097" s="4"/>
      <c r="V1097" s="4"/>
      <c r="W1097" s="4"/>
    </row>
    <row r="1098" spans="1:23" x14ac:dyDescent="0.2">
      <c r="A1098" s="4">
        <v>50</v>
      </c>
      <c r="B1098" s="4">
        <v>0</v>
      </c>
      <c r="C1098" s="4">
        <v>0</v>
      </c>
      <c r="D1098" s="4">
        <v>1</v>
      </c>
      <c r="E1098" s="4">
        <v>206</v>
      </c>
      <c r="F1098" s="4">
        <f>ROUND(Source!T1077,O1098)</f>
        <v>0</v>
      </c>
      <c r="G1098" s="4" t="s">
        <v>251</v>
      </c>
      <c r="H1098" s="4" t="s">
        <v>252</v>
      </c>
      <c r="I1098" s="4"/>
      <c r="J1098" s="4"/>
      <c r="K1098" s="4">
        <v>206</v>
      </c>
      <c r="L1098" s="4">
        <v>20</v>
      </c>
      <c r="M1098" s="4">
        <v>3</v>
      </c>
      <c r="N1098" s="4" t="s">
        <v>3</v>
      </c>
      <c r="O1098" s="4">
        <v>2</v>
      </c>
      <c r="P1098" s="4"/>
      <c r="Q1098" s="4"/>
      <c r="R1098" s="4"/>
      <c r="S1098" s="4"/>
      <c r="T1098" s="4"/>
      <c r="U1098" s="4"/>
      <c r="V1098" s="4"/>
      <c r="W1098" s="4"/>
    </row>
    <row r="1099" spans="1:23" x14ac:dyDescent="0.2">
      <c r="A1099" s="4">
        <v>50</v>
      </c>
      <c r="B1099" s="4">
        <v>0</v>
      </c>
      <c r="C1099" s="4">
        <v>0</v>
      </c>
      <c r="D1099" s="4">
        <v>1</v>
      </c>
      <c r="E1099" s="4">
        <v>207</v>
      </c>
      <c r="F1099" s="4">
        <f>Source!U1077</f>
        <v>217.08641</v>
      </c>
      <c r="G1099" s="4" t="s">
        <v>253</v>
      </c>
      <c r="H1099" s="4" t="s">
        <v>254</v>
      </c>
      <c r="I1099" s="4"/>
      <c r="J1099" s="4"/>
      <c r="K1099" s="4">
        <v>207</v>
      </c>
      <c r="L1099" s="4">
        <v>21</v>
      </c>
      <c r="M1099" s="4">
        <v>3</v>
      </c>
      <c r="N1099" s="4" t="s">
        <v>3</v>
      </c>
      <c r="O1099" s="4">
        <v>-1</v>
      </c>
      <c r="P1099" s="4"/>
      <c r="Q1099" s="4"/>
      <c r="R1099" s="4"/>
      <c r="S1099" s="4"/>
      <c r="T1099" s="4"/>
      <c r="U1099" s="4"/>
      <c r="V1099" s="4"/>
      <c r="W1099" s="4"/>
    </row>
    <row r="1100" spans="1:23" x14ac:dyDescent="0.2">
      <c r="A1100" s="4">
        <v>50</v>
      </c>
      <c r="B1100" s="4">
        <v>0</v>
      </c>
      <c r="C1100" s="4">
        <v>0</v>
      </c>
      <c r="D1100" s="4">
        <v>1</v>
      </c>
      <c r="E1100" s="4">
        <v>208</v>
      </c>
      <c r="F1100" s="4">
        <f>Source!V1077</f>
        <v>0</v>
      </c>
      <c r="G1100" s="4" t="s">
        <v>255</v>
      </c>
      <c r="H1100" s="4" t="s">
        <v>256</v>
      </c>
      <c r="I1100" s="4"/>
      <c r="J1100" s="4"/>
      <c r="K1100" s="4">
        <v>208</v>
      </c>
      <c r="L1100" s="4">
        <v>22</v>
      </c>
      <c r="M1100" s="4">
        <v>3</v>
      </c>
      <c r="N1100" s="4" t="s">
        <v>3</v>
      </c>
      <c r="O1100" s="4">
        <v>-1</v>
      </c>
      <c r="P1100" s="4"/>
      <c r="Q1100" s="4"/>
      <c r="R1100" s="4"/>
      <c r="S1100" s="4"/>
      <c r="T1100" s="4"/>
      <c r="U1100" s="4"/>
      <c r="V1100" s="4"/>
      <c r="W1100" s="4"/>
    </row>
    <row r="1101" spans="1:23" x14ac:dyDescent="0.2">
      <c r="A1101" s="4">
        <v>50</v>
      </c>
      <c r="B1101" s="4">
        <v>0</v>
      </c>
      <c r="C1101" s="4">
        <v>0</v>
      </c>
      <c r="D1101" s="4">
        <v>1</v>
      </c>
      <c r="E1101" s="4">
        <v>209</v>
      </c>
      <c r="F1101" s="4">
        <f>ROUND(Source!W1077,O1101)</f>
        <v>0</v>
      </c>
      <c r="G1101" s="4" t="s">
        <v>257</v>
      </c>
      <c r="H1101" s="4" t="s">
        <v>258</v>
      </c>
      <c r="I1101" s="4"/>
      <c r="J1101" s="4"/>
      <c r="K1101" s="4">
        <v>209</v>
      </c>
      <c r="L1101" s="4">
        <v>23</v>
      </c>
      <c r="M1101" s="4">
        <v>3</v>
      </c>
      <c r="N1101" s="4" t="s">
        <v>3</v>
      </c>
      <c r="O1101" s="4">
        <v>2</v>
      </c>
      <c r="P1101" s="4"/>
      <c r="Q1101" s="4"/>
      <c r="R1101" s="4"/>
      <c r="S1101" s="4"/>
      <c r="T1101" s="4"/>
      <c r="U1101" s="4"/>
      <c r="V1101" s="4"/>
      <c r="W1101" s="4"/>
    </row>
    <row r="1102" spans="1:23" x14ac:dyDescent="0.2">
      <c r="A1102" s="4">
        <v>50</v>
      </c>
      <c r="B1102" s="4">
        <v>0</v>
      </c>
      <c r="C1102" s="4">
        <v>0</v>
      </c>
      <c r="D1102" s="4">
        <v>1</v>
      </c>
      <c r="E1102" s="4">
        <v>233</v>
      </c>
      <c r="F1102" s="4">
        <f>ROUND(Source!BD1077,O1102)</f>
        <v>0</v>
      </c>
      <c r="G1102" s="4" t="s">
        <v>259</v>
      </c>
      <c r="H1102" s="4" t="s">
        <v>260</v>
      </c>
      <c r="I1102" s="4"/>
      <c r="J1102" s="4"/>
      <c r="K1102" s="4">
        <v>233</v>
      </c>
      <c r="L1102" s="4">
        <v>24</v>
      </c>
      <c r="M1102" s="4">
        <v>3</v>
      </c>
      <c r="N1102" s="4" t="s">
        <v>3</v>
      </c>
      <c r="O1102" s="4">
        <v>2</v>
      </c>
      <c r="P1102" s="4"/>
      <c r="Q1102" s="4"/>
      <c r="R1102" s="4"/>
      <c r="S1102" s="4"/>
      <c r="T1102" s="4"/>
      <c r="U1102" s="4"/>
      <c r="V1102" s="4"/>
      <c r="W1102" s="4"/>
    </row>
    <row r="1103" spans="1:23" x14ac:dyDescent="0.2">
      <c r="A1103" s="4">
        <v>50</v>
      </c>
      <c r="B1103" s="4">
        <v>0</v>
      </c>
      <c r="C1103" s="4">
        <v>0</v>
      </c>
      <c r="D1103" s="4">
        <v>1</v>
      </c>
      <c r="E1103" s="4">
        <v>210</v>
      </c>
      <c r="F1103" s="4">
        <f>ROUND(Source!X1077,O1103)</f>
        <v>60595.38</v>
      </c>
      <c r="G1103" s="4" t="s">
        <v>261</v>
      </c>
      <c r="H1103" s="4" t="s">
        <v>262</v>
      </c>
      <c r="I1103" s="4"/>
      <c r="J1103" s="4"/>
      <c r="K1103" s="4">
        <v>210</v>
      </c>
      <c r="L1103" s="4">
        <v>25</v>
      </c>
      <c r="M1103" s="4">
        <v>3</v>
      </c>
      <c r="N1103" s="4" t="s">
        <v>3</v>
      </c>
      <c r="O1103" s="4">
        <v>2</v>
      </c>
      <c r="P1103" s="4"/>
      <c r="Q1103" s="4"/>
      <c r="R1103" s="4"/>
      <c r="S1103" s="4"/>
      <c r="T1103" s="4"/>
      <c r="U1103" s="4"/>
      <c r="V1103" s="4"/>
      <c r="W1103" s="4"/>
    </row>
    <row r="1104" spans="1:23" x14ac:dyDescent="0.2">
      <c r="A1104" s="4">
        <v>50</v>
      </c>
      <c r="B1104" s="4">
        <v>0</v>
      </c>
      <c r="C1104" s="4">
        <v>0</v>
      </c>
      <c r="D1104" s="4">
        <v>1</v>
      </c>
      <c r="E1104" s="4">
        <v>211</v>
      </c>
      <c r="F1104" s="4">
        <f>ROUND(Source!Y1077,O1104)</f>
        <v>32360.66</v>
      </c>
      <c r="G1104" s="4" t="s">
        <v>263</v>
      </c>
      <c r="H1104" s="4" t="s">
        <v>264</v>
      </c>
      <c r="I1104" s="4"/>
      <c r="J1104" s="4"/>
      <c r="K1104" s="4">
        <v>211</v>
      </c>
      <c r="L1104" s="4">
        <v>26</v>
      </c>
      <c r="M1104" s="4">
        <v>3</v>
      </c>
      <c r="N1104" s="4" t="s">
        <v>3</v>
      </c>
      <c r="O1104" s="4">
        <v>2</v>
      </c>
      <c r="P1104" s="4"/>
      <c r="Q1104" s="4"/>
      <c r="R1104" s="4"/>
      <c r="S1104" s="4"/>
      <c r="T1104" s="4"/>
      <c r="U1104" s="4"/>
      <c r="V1104" s="4"/>
      <c r="W1104" s="4"/>
    </row>
    <row r="1105" spans="1:206" x14ac:dyDescent="0.2">
      <c r="A1105" s="4">
        <v>50</v>
      </c>
      <c r="B1105" s="4">
        <v>0</v>
      </c>
      <c r="C1105" s="4">
        <v>0</v>
      </c>
      <c r="D1105" s="4">
        <v>1</v>
      </c>
      <c r="E1105" s="4">
        <v>224</v>
      </c>
      <c r="F1105" s="4">
        <f>ROUND(Source!AR1077,O1105)</f>
        <v>1505592.48</v>
      </c>
      <c r="G1105" s="4" t="s">
        <v>265</v>
      </c>
      <c r="H1105" s="4" t="s">
        <v>266</v>
      </c>
      <c r="I1105" s="4"/>
      <c r="J1105" s="4"/>
      <c r="K1105" s="4">
        <v>224</v>
      </c>
      <c r="L1105" s="4">
        <v>27</v>
      </c>
      <c r="M1105" s="4">
        <v>3</v>
      </c>
      <c r="N1105" s="4" t="s">
        <v>3</v>
      </c>
      <c r="O1105" s="4">
        <v>2</v>
      </c>
      <c r="P1105" s="4"/>
      <c r="Q1105" s="4"/>
      <c r="R1105" s="4"/>
      <c r="S1105" s="4"/>
      <c r="T1105" s="4"/>
      <c r="U1105" s="4"/>
      <c r="V1105" s="4"/>
      <c r="W1105" s="4"/>
    </row>
    <row r="1107" spans="1:206" x14ac:dyDescent="0.2">
      <c r="A1107" s="2">
        <v>51</v>
      </c>
      <c r="B1107" s="2">
        <f>B20</f>
        <v>1</v>
      </c>
      <c r="C1107" s="2">
        <f>A20</f>
        <v>3</v>
      </c>
      <c r="D1107" s="2">
        <f>ROW(A20)</f>
        <v>20</v>
      </c>
      <c r="E1107" s="2"/>
      <c r="F1107" s="2" t="str">
        <f>IF(F20&lt;&gt;"",F20,"")</f>
        <v>Новая локальная смета</v>
      </c>
      <c r="G1107" s="2" t="str">
        <f>IF(G20&lt;&gt;"",G20,"")</f>
        <v>Новая локальная смета</v>
      </c>
      <c r="H1107" s="2">
        <v>0</v>
      </c>
      <c r="I1107" s="2"/>
      <c r="J1107" s="2"/>
      <c r="K1107" s="2"/>
      <c r="L1107" s="2"/>
      <c r="M1107" s="2"/>
      <c r="N1107" s="2"/>
      <c r="O1107" s="2">
        <f t="shared" ref="O1107:T1107" si="909">ROUND(O64+O118+O165+O215+O264+O305+O348+O443+O507+O552+O732+O781+O872+O936+O975+O1077+AB1107,2)</f>
        <v>26222910.100000001</v>
      </c>
      <c r="P1107" s="2">
        <f t="shared" si="909"/>
        <v>19673623.34</v>
      </c>
      <c r="Q1107" s="2">
        <f t="shared" si="909"/>
        <v>3133352.63</v>
      </c>
      <c r="R1107" s="2">
        <f t="shared" si="909"/>
        <v>450372.98</v>
      </c>
      <c r="S1107" s="2">
        <f t="shared" si="909"/>
        <v>3415934.13</v>
      </c>
      <c r="T1107" s="2">
        <f t="shared" si="909"/>
        <v>0</v>
      </c>
      <c r="U1107" s="2">
        <f>U64+U118+U165+U215+U264+U305+U348+U443+U507+U552+U732+U781+U872+U936+U975+U1077+AH1107</f>
        <v>12181.96579255</v>
      </c>
      <c r="V1107" s="2">
        <f>V64+V118+V165+V215+V264+V305+V348+V443+V507+V552+V732+V781+V872+V936+V975+V1077+AI1107</f>
        <v>0</v>
      </c>
      <c r="W1107" s="2">
        <f>ROUND(W64+W118+W165+W215+W264+W305+W348+W443+W507+W552+W732+W781+W872+W936+W975+W1077+AJ1107,2)</f>
        <v>0</v>
      </c>
      <c r="X1107" s="2">
        <f>ROUND(X64+X118+X165+X215+X264+X305+X348+X443+X507+X552+X732+X781+X872+X936+X975+X1077+AK1107,2)</f>
        <v>2800638.96</v>
      </c>
      <c r="Y1107" s="2">
        <f>ROUND(Y64+Y118+Y165+Y215+Y264+Y305+Y348+Y443+Y507+Y552+Y732+Y781+Y872+Y936+Y975+Y1077+AL1107,2)</f>
        <v>1424615.33</v>
      </c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>
        <f t="shared" ref="AO1107:BD1107" si="910">ROUND(AO64+AO118+AO165+AO215+AO264+AO305+AO348+AO443+AO507+AO552+AO732+AO781+AO872+AO936+AO975+AO1077+BX1107,2)</f>
        <v>0</v>
      </c>
      <c r="AP1107" s="2">
        <f t="shared" si="910"/>
        <v>170267.15</v>
      </c>
      <c r="AQ1107" s="2">
        <f t="shared" si="910"/>
        <v>0</v>
      </c>
      <c r="AR1107" s="2">
        <f t="shared" si="910"/>
        <v>31155250.010000002</v>
      </c>
      <c r="AS1107" s="2">
        <f t="shared" si="910"/>
        <v>27612134.350000001</v>
      </c>
      <c r="AT1107" s="2">
        <f t="shared" si="910"/>
        <v>1020197.21</v>
      </c>
      <c r="AU1107" s="2">
        <f t="shared" si="910"/>
        <v>2352651.2999999998</v>
      </c>
      <c r="AV1107" s="2">
        <f t="shared" si="910"/>
        <v>19673623.34</v>
      </c>
      <c r="AW1107" s="2">
        <f t="shared" si="910"/>
        <v>19503356.190000001</v>
      </c>
      <c r="AX1107" s="2">
        <f t="shared" si="910"/>
        <v>0</v>
      </c>
      <c r="AY1107" s="2">
        <f t="shared" si="910"/>
        <v>19503356.190000001</v>
      </c>
      <c r="AZ1107" s="2">
        <f t="shared" si="910"/>
        <v>170267.15</v>
      </c>
      <c r="BA1107" s="2">
        <f t="shared" si="910"/>
        <v>0</v>
      </c>
      <c r="BB1107" s="2">
        <f t="shared" si="910"/>
        <v>0</v>
      </c>
      <c r="BC1107" s="2">
        <f t="shared" si="910"/>
        <v>0</v>
      </c>
      <c r="BD1107" s="2">
        <f t="shared" si="910"/>
        <v>0</v>
      </c>
      <c r="BE1107" s="2"/>
      <c r="BF1107" s="2"/>
      <c r="BG1107" s="2"/>
      <c r="BH1107" s="2"/>
      <c r="BI1107" s="2"/>
      <c r="BJ1107" s="2"/>
      <c r="BK1107" s="2"/>
      <c r="BL1107" s="2"/>
      <c r="BM1107" s="2"/>
      <c r="BN1107" s="2"/>
      <c r="BO1107" s="2"/>
      <c r="BP1107" s="2"/>
      <c r="BQ1107" s="2"/>
      <c r="BR1107" s="2"/>
      <c r="BS1107" s="2"/>
      <c r="BT1107" s="2"/>
      <c r="BU1107" s="2"/>
      <c r="BV1107" s="2"/>
      <c r="BW1107" s="2"/>
      <c r="BX1107" s="2"/>
      <c r="BY1107" s="2"/>
      <c r="BZ1107" s="2"/>
      <c r="CA1107" s="2"/>
      <c r="CB1107" s="2"/>
      <c r="CC1107" s="2"/>
      <c r="CD1107" s="2"/>
      <c r="CE1107" s="2"/>
      <c r="CF1107" s="2"/>
      <c r="CG1107" s="2"/>
      <c r="CH1107" s="2"/>
      <c r="CI1107" s="2"/>
      <c r="CJ1107" s="2"/>
      <c r="CK1107" s="2"/>
      <c r="CL1107" s="2"/>
      <c r="CM1107" s="2"/>
      <c r="CN1107" s="2"/>
      <c r="CO1107" s="2"/>
      <c r="CP1107" s="2"/>
      <c r="CQ1107" s="2"/>
      <c r="CR1107" s="2"/>
      <c r="CS1107" s="2"/>
      <c r="CT1107" s="2"/>
      <c r="CU1107" s="2"/>
      <c r="CV1107" s="2"/>
      <c r="CW1107" s="2"/>
      <c r="CX1107" s="2"/>
      <c r="CY1107" s="2"/>
      <c r="CZ1107" s="2"/>
      <c r="DA1107" s="2"/>
      <c r="DB1107" s="2"/>
      <c r="DC1107" s="2"/>
      <c r="DD1107" s="2"/>
      <c r="DE1107" s="2"/>
      <c r="DF1107" s="2"/>
      <c r="DG1107" s="3"/>
      <c r="DH1107" s="3"/>
      <c r="DI1107" s="3"/>
      <c r="DJ1107" s="3"/>
      <c r="DK1107" s="3"/>
      <c r="DL1107" s="3"/>
      <c r="DM1107" s="3"/>
      <c r="DN1107" s="3"/>
      <c r="DO1107" s="3"/>
      <c r="DP1107" s="3"/>
      <c r="DQ1107" s="3"/>
      <c r="DR1107" s="3"/>
      <c r="DS1107" s="3"/>
      <c r="DT1107" s="3"/>
      <c r="DU1107" s="3"/>
      <c r="DV1107" s="3"/>
      <c r="DW1107" s="3"/>
      <c r="DX1107" s="3"/>
      <c r="DY1107" s="3"/>
      <c r="DZ1107" s="3"/>
      <c r="EA1107" s="3"/>
      <c r="EB1107" s="3"/>
      <c r="EC1107" s="3"/>
      <c r="ED1107" s="3"/>
      <c r="EE1107" s="3"/>
      <c r="EF1107" s="3"/>
      <c r="EG1107" s="3"/>
      <c r="EH1107" s="3"/>
      <c r="EI1107" s="3"/>
      <c r="EJ1107" s="3"/>
      <c r="EK1107" s="3"/>
      <c r="EL1107" s="3"/>
      <c r="EM1107" s="3"/>
      <c r="EN1107" s="3"/>
      <c r="EO1107" s="3"/>
      <c r="EP1107" s="3"/>
      <c r="EQ1107" s="3"/>
      <c r="ER1107" s="3"/>
      <c r="ES1107" s="3"/>
      <c r="ET1107" s="3"/>
      <c r="EU1107" s="3"/>
      <c r="EV1107" s="3"/>
      <c r="EW1107" s="3"/>
      <c r="EX1107" s="3"/>
      <c r="EY1107" s="3"/>
      <c r="EZ1107" s="3"/>
      <c r="FA1107" s="3"/>
      <c r="FB1107" s="3"/>
      <c r="FC1107" s="3"/>
      <c r="FD1107" s="3"/>
      <c r="FE1107" s="3"/>
      <c r="FF1107" s="3"/>
      <c r="FG1107" s="3"/>
      <c r="FH1107" s="3"/>
      <c r="FI1107" s="3"/>
      <c r="FJ1107" s="3"/>
      <c r="FK1107" s="3"/>
      <c r="FL1107" s="3"/>
      <c r="FM1107" s="3"/>
      <c r="FN1107" s="3"/>
      <c r="FO1107" s="3"/>
      <c r="FP1107" s="3"/>
      <c r="FQ1107" s="3"/>
      <c r="FR1107" s="3"/>
      <c r="FS1107" s="3"/>
      <c r="FT1107" s="3"/>
      <c r="FU1107" s="3"/>
      <c r="FV1107" s="3"/>
      <c r="FW1107" s="3"/>
      <c r="FX1107" s="3"/>
      <c r="FY1107" s="3"/>
      <c r="FZ1107" s="3"/>
      <c r="GA1107" s="3"/>
      <c r="GB1107" s="3"/>
      <c r="GC1107" s="3"/>
      <c r="GD1107" s="3"/>
      <c r="GE1107" s="3"/>
      <c r="GF1107" s="3"/>
      <c r="GG1107" s="3"/>
      <c r="GH1107" s="3"/>
      <c r="GI1107" s="3"/>
      <c r="GJ1107" s="3"/>
      <c r="GK1107" s="3"/>
      <c r="GL1107" s="3"/>
      <c r="GM1107" s="3"/>
      <c r="GN1107" s="3"/>
      <c r="GO1107" s="3"/>
      <c r="GP1107" s="3"/>
      <c r="GQ1107" s="3"/>
      <c r="GR1107" s="3"/>
      <c r="GS1107" s="3"/>
      <c r="GT1107" s="3"/>
      <c r="GU1107" s="3"/>
      <c r="GV1107" s="3"/>
      <c r="GW1107" s="3"/>
      <c r="GX1107" s="3">
        <v>0</v>
      </c>
    </row>
    <row r="1109" spans="1:206" x14ac:dyDescent="0.2">
      <c r="A1109" s="4">
        <v>50</v>
      </c>
      <c r="B1109" s="4">
        <v>0</v>
      </c>
      <c r="C1109" s="4">
        <v>0</v>
      </c>
      <c r="D1109" s="4">
        <v>1</v>
      </c>
      <c r="E1109" s="4">
        <v>201</v>
      </c>
      <c r="F1109" s="4">
        <f>ROUND(Source!O1107,O1109)</f>
        <v>26222910.100000001</v>
      </c>
      <c r="G1109" s="4" t="s">
        <v>213</v>
      </c>
      <c r="H1109" s="4" t="s">
        <v>214</v>
      </c>
      <c r="I1109" s="4"/>
      <c r="J1109" s="4"/>
      <c r="K1109" s="4">
        <v>201</v>
      </c>
      <c r="L1109" s="4">
        <v>1</v>
      </c>
      <c r="M1109" s="4">
        <v>3</v>
      </c>
      <c r="N1109" s="4" t="s">
        <v>3</v>
      </c>
      <c r="O1109" s="4">
        <v>2</v>
      </c>
      <c r="P1109" s="4"/>
      <c r="Q1109" s="4"/>
      <c r="R1109" s="4"/>
      <c r="S1109" s="4"/>
      <c r="T1109" s="4"/>
      <c r="U1109" s="4"/>
      <c r="V1109" s="4"/>
      <c r="W1109" s="4"/>
    </row>
    <row r="1110" spans="1:206" x14ac:dyDescent="0.2">
      <c r="A1110" s="4">
        <v>50</v>
      </c>
      <c r="B1110" s="4">
        <v>0</v>
      </c>
      <c r="C1110" s="4">
        <v>0</v>
      </c>
      <c r="D1110" s="4">
        <v>1</v>
      </c>
      <c r="E1110" s="4">
        <v>202</v>
      </c>
      <c r="F1110" s="4">
        <f>ROUND(Source!P1107,O1110)</f>
        <v>19673623.34</v>
      </c>
      <c r="G1110" s="4" t="s">
        <v>215</v>
      </c>
      <c r="H1110" s="4" t="s">
        <v>216</v>
      </c>
      <c r="I1110" s="4"/>
      <c r="J1110" s="4"/>
      <c r="K1110" s="4">
        <v>202</v>
      </c>
      <c r="L1110" s="4">
        <v>2</v>
      </c>
      <c r="M1110" s="4">
        <v>3</v>
      </c>
      <c r="N1110" s="4" t="s">
        <v>3</v>
      </c>
      <c r="O1110" s="4">
        <v>2</v>
      </c>
      <c r="P1110" s="4"/>
      <c r="Q1110" s="4"/>
      <c r="R1110" s="4"/>
      <c r="S1110" s="4"/>
      <c r="T1110" s="4"/>
      <c r="U1110" s="4"/>
      <c r="V1110" s="4"/>
      <c r="W1110" s="4"/>
    </row>
    <row r="1111" spans="1:206" x14ac:dyDescent="0.2">
      <c r="A1111" s="4">
        <v>50</v>
      </c>
      <c r="B1111" s="4">
        <v>0</v>
      </c>
      <c r="C1111" s="4">
        <v>0</v>
      </c>
      <c r="D1111" s="4">
        <v>1</v>
      </c>
      <c r="E1111" s="4">
        <v>222</v>
      </c>
      <c r="F1111" s="4">
        <f>ROUND(Source!AO1107,O1111)</f>
        <v>0</v>
      </c>
      <c r="G1111" s="4" t="s">
        <v>217</v>
      </c>
      <c r="H1111" s="4" t="s">
        <v>218</v>
      </c>
      <c r="I1111" s="4"/>
      <c r="J1111" s="4"/>
      <c r="K1111" s="4">
        <v>222</v>
      </c>
      <c r="L1111" s="4">
        <v>3</v>
      </c>
      <c r="M1111" s="4">
        <v>3</v>
      </c>
      <c r="N1111" s="4" t="s">
        <v>3</v>
      </c>
      <c r="O1111" s="4">
        <v>2</v>
      </c>
      <c r="P1111" s="4"/>
      <c r="Q1111" s="4"/>
      <c r="R1111" s="4"/>
      <c r="S1111" s="4"/>
      <c r="T1111" s="4"/>
      <c r="U1111" s="4"/>
      <c r="V1111" s="4"/>
      <c r="W1111" s="4"/>
    </row>
    <row r="1112" spans="1:206" x14ac:dyDescent="0.2">
      <c r="A1112" s="4">
        <v>50</v>
      </c>
      <c r="B1112" s="4">
        <v>0</v>
      </c>
      <c r="C1112" s="4">
        <v>0</v>
      </c>
      <c r="D1112" s="4">
        <v>1</v>
      </c>
      <c r="E1112" s="4">
        <v>225</v>
      </c>
      <c r="F1112" s="4">
        <f>ROUND(Source!AV1107,O1112)</f>
        <v>19673623.34</v>
      </c>
      <c r="G1112" s="4" t="s">
        <v>219</v>
      </c>
      <c r="H1112" s="4" t="s">
        <v>220</v>
      </c>
      <c r="I1112" s="4"/>
      <c r="J1112" s="4"/>
      <c r="K1112" s="4">
        <v>225</v>
      </c>
      <c r="L1112" s="4">
        <v>4</v>
      </c>
      <c r="M1112" s="4">
        <v>3</v>
      </c>
      <c r="N1112" s="4" t="s">
        <v>3</v>
      </c>
      <c r="O1112" s="4">
        <v>2</v>
      </c>
      <c r="P1112" s="4"/>
      <c r="Q1112" s="4"/>
      <c r="R1112" s="4"/>
      <c r="S1112" s="4"/>
      <c r="T1112" s="4"/>
      <c r="U1112" s="4"/>
      <c r="V1112" s="4"/>
      <c r="W1112" s="4"/>
    </row>
    <row r="1113" spans="1:206" x14ac:dyDescent="0.2">
      <c r="A1113" s="4">
        <v>50</v>
      </c>
      <c r="B1113" s="4">
        <v>0</v>
      </c>
      <c r="C1113" s="4">
        <v>0</v>
      </c>
      <c r="D1113" s="4">
        <v>1</v>
      </c>
      <c r="E1113" s="4">
        <v>226</v>
      </c>
      <c r="F1113" s="4">
        <f>ROUND(Source!AW1107,O1113)</f>
        <v>19503356.190000001</v>
      </c>
      <c r="G1113" s="4" t="s">
        <v>221</v>
      </c>
      <c r="H1113" s="4" t="s">
        <v>222</v>
      </c>
      <c r="I1113" s="4"/>
      <c r="J1113" s="4"/>
      <c r="K1113" s="4">
        <v>226</v>
      </c>
      <c r="L1113" s="4">
        <v>5</v>
      </c>
      <c r="M1113" s="4">
        <v>3</v>
      </c>
      <c r="N1113" s="4" t="s">
        <v>3</v>
      </c>
      <c r="O1113" s="4">
        <v>2</v>
      </c>
      <c r="P1113" s="4"/>
      <c r="Q1113" s="4"/>
      <c r="R1113" s="4"/>
      <c r="S1113" s="4"/>
      <c r="T1113" s="4"/>
      <c r="U1113" s="4"/>
      <c r="V1113" s="4"/>
      <c r="W1113" s="4"/>
    </row>
    <row r="1114" spans="1:206" x14ac:dyDescent="0.2">
      <c r="A1114" s="4">
        <v>50</v>
      </c>
      <c r="B1114" s="4">
        <v>0</v>
      </c>
      <c r="C1114" s="4">
        <v>0</v>
      </c>
      <c r="D1114" s="4">
        <v>1</v>
      </c>
      <c r="E1114" s="4">
        <v>227</v>
      </c>
      <c r="F1114" s="4">
        <f>ROUND(Source!AX1107,O1114)</f>
        <v>0</v>
      </c>
      <c r="G1114" s="4" t="s">
        <v>223</v>
      </c>
      <c r="H1114" s="4" t="s">
        <v>224</v>
      </c>
      <c r="I1114" s="4"/>
      <c r="J1114" s="4"/>
      <c r="K1114" s="4">
        <v>227</v>
      </c>
      <c r="L1114" s="4">
        <v>6</v>
      </c>
      <c r="M1114" s="4">
        <v>3</v>
      </c>
      <c r="N1114" s="4" t="s">
        <v>3</v>
      </c>
      <c r="O1114" s="4">
        <v>2</v>
      </c>
      <c r="P1114" s="4"/>
      <c r="Q1114" s="4"/>
      <c r="R1114" s="4"/>
      <c r="S1114" s="4"/>
      <c r="T1114" s="4"/>
      <c r="U1114" s="4"/>
      <c r="V1114" s="4"/>
      <c r="W1114" s="4"/>
    </row>
    <row r="1115" spans="1:206" x14ac:dyDescent="0.2">
      <c r="A1115" s="4">
        <v>50</v>
      </c>
      <c r="B1115" s="4">
        <v>0</v>
      </c>
      <c r="C1115" s="4">
        <v>0</v>
      </c>
      <c r="D1115" s="4">
        <v>1</v>
      </c>
      <c r="E1115" s="4">
        <v>228</v>
      </c>
      <c r="F1115" s="4">
        <f>ROUND(Source!AY1107,O1115)</f>
        <v>19503356.190000001</v>
      </c>
      <c r="G1115" s="4" t="s">
        <v>225</v>
      </c>
      <c r="H1115" s="4" t="s">
        <v>226</v>
      </c>
      <c r="I1115" s="4"/>
      <c r="J1115" s="4"/>
      <c r="K1115" s="4">
        <v>228</v>
      </c>
      <c r="L1115" s="4">
        <v>7</v>
      </c>
      <c r="M1115" s="4">
        <v>3</v>
      </c>
      <c r="N1115" s="4" t="s">
        <v>3</v>
      </c>
      <c r="O1115" s="4">
        <v>2</v>
      </c>
      <c r="P1115" s="4"/>
      <c r="Q1115" s="4"/>
      <c r="R1115" s="4"/>
      <c r="S1115" s="4"/>
      <c r="T1115" s="4"/>
      <c r="U1115" s="4"/>
      <c r="V1115" s="4"/>
      <c r="W1115" s="4"/>
    </row>
    <row r="1116" spans="1:206" x14ac:dyDescent="0.2">
      <c r="A1116" s="4">
        <v>50</v>
      </c>
      <c r="B1116" s="4">
        <v>0</v>
      </c>
      <c r="C1116" s="4">
        <v>0</v>
      </c>
      <c r="D1116" s="4">
        <v>1</v>
      </c>
      <c r="E1116" s="4">
        <v>216</v>
      </c>
      <c r="F1116" s="4">
        <f>ROUND(Source!AP1107,O1116)</f>
        <v>170267.15</v>
      </c>
      <c r="G1116" s="4" t="s">
        <v>227</v>
      </c>
      <c r="H1116" s="4" t="s">
        <v>228</v>
      </c>
      <c r="I1116" s="4"/>
      <c r="J1116" s="4"/>
      <c r="K1116" s="4">
        <v>216</v>
      </c>
      <c r="L1116" s="4">
        <v>8</v>
      </c>
      <c r="M1116" s="4">
        <v>3</v>
      </c>
      <c r="N1116" s="4" t="s">
        <v>3</v>
      </c>
      <c r="O1116" s="4">
        <v>2</v>
      </c>
      <c r="P1116" s="4"/>
      <c r="Q1116" s="4"/>
      <c r="R1116" s="4"/>
      <c r="S1116" s="4"/>
      <c r="T1116" s="4"/>
      <c r="U1116" s="4"/>
      <c r="V1116" s="4"/>
      <c r="W1116" s="4"/>
    </row>
    <row r="1117" spans="1:206" x14ac:dyDescent="0.2">
      <c r="A1117" s="4">
        <v>50</v>
      </c>
      <c r="B1117" s="4">
        <v>0</v>
      </c>
      <c r="C1117" s="4">
        <v>0</v>
      </c>
      <c r="D1117" s="4">
        <v>1</v>
      </c>
      <c r="E1117" s="4">
        <v>223</v>
      </c>
      <c r="F1117" s="4">
        <f>ROUND(Source!AQ1107,O1117)</f>
        <v>0</v>
      </c>
      <c r="G1117" s="4" t="s">
        <v>229</v>
      </c>
      <c r="H1117" s="4" t="s">
        <v>230</v>
      </c>
      <c r="I1117" s="4"/>
      <c r="J1117" s="4"/>
      <c r="K1117" s="4">
        <v>223</v>
      </c>
      <c r="L1117" s="4">
        <v>9</v>
      </c>
      <c r="M1117" s="4">
        <v>3</v>
      </c>
      <c r="N1117" s="4" t="s">
        <v>3</v>
      </c>
      <c r="O1117" s="4">
        <v>2</v>
      </c>
      <c r="P1117" s="4"/>
      <c r="Q1117" s="4"/>
      <c r="R1117" s="4"/>
      <c r="S1117" s="4"/>
      <c r="T1117" s="4"/>
      <c r="U1117" s="4"/>
      <c r="V1117" s="4"/>
      <c r="W1117" s="4"/>
    </row>
    <row r="1118" spans="1:206" x14ac:dyDescent="0.2">
      <c r="A1118" s="4">
        <v>50</v>
      </c>
      <c r="B1118" s="4">
        <v>0</v>
      </c>
      <c r="C1118" s="4">
        <v>0</v>
      </c>
      <c r="D1118" s="4">
        <v>1</v>
      </c>
      <c r="E1118" s="4">
        <v>229</v>
      </c>
      <c r="F1118" s="4">
        <f>ROUND(Source!AZ1107,O1118)</f>
        <v>170267.15</v>
      </c>
      <c r="G1118" s="4" t="s">
        <v>231</v>
      </c>
      <c r="H1118" s="4" t="s">
        <v>232</v>
      </c>
      <c r="I1118" s="4"/>
      <c r="J1118" s="4"/>
      <c r="K1118" s="4">
        <v>229</v>
      </c>
      <c r="L1118" s="4">
        <v>10</v>
      </c>
      <c r="M1118" s="4">
        <v>3</v>
      </c>
      <c r="N1118" s="4" t="s">
        <v>3</v>
      </c>
      <c r="O1118" s="4">
        <v>2</v>
      </c>
      <c r="P1118" s="4"/>
      <c r="Q1118" s="4"/>
      <c r="R1118" s="4"/>
      <c r="S1118" s="4"/>
      <c r="T1118" s="4"/>
      <c r="U1118" s="4"/>
      <c r="V1118" s="4"/>
      <c r="W1118" s="4"/>
    </row>
    <row r="1119" spans="1:206" x14ac:dyDescent="0.2">
      <c r="A1119" s="4">
        <v>50</v>
      </c>
      <c r="B1119" s="4">
        <v>0</v>
      </c>
      <c r="C1119" s="4">
        <v>0</v>
      </c>
      <c r="D1119" s="4">
        <v>1</v>
      </c>
      <c r="E1119" s="4">
        <v>203</v>
      </c>
      <c r="F1119" s="4">
        <f>ROUND(Source!Q1107,O1119)</f>
        <v>3133352.63</v>
      </c>
      <c r="G1119" s="4" t="s">
        <v>233</v>
      </c>
      <c r="H1119" s="4" t="s">
        <v>234</v>
      </c>
      <c r="I1119" s="4"/>
      <c r="J1119" s="4"/>
      <c r="K1119" s="4">
        <v>203</v>
      </c>
      <c r="L1119" s="4">
        <v>11</v>
      </c>
      <c r="M1119" s="4">
        <v>3</v>
      </c>
      <c r="N1119" s="4" t="s">
        <v>3</v>
      </c>
      <c r="O1119" s="4">
        <v>2</v>
      </c>
      <c r="P1119" s="4"/>
      <c r="Q1119" s="4"/>
      <c r="R1119" s="4"/>
      <c r="S1119" s="4"/>
      <c r="T1119" s="4"/>
      <c r="U1119" s="4"/>
      <c r="V1119" s="4"/>
      <c r="W1119" s="4"/>
    </row>
    <row r="1120" spans="1:206" x14ac:dyDescent="0.2">
      <c r="A1120" s="4">
        <v>50</v>
      </c>
      <c r="B1120" s="4">
        <v>0</v>
      </c>
      <c r="C1120" s="4">
        <v>0</v>
      </c>
      <c r="D1120" s="4">
        <v>1</v>
      </c>
      <c r="E1120" s="4">
        <v>231</v>
      </c>
      <c r="F1120" s="4">
        <f>ROUND(Source!BB1107,O1120)</f>
        <v>0</v>
      </c>
      <c r="G1120" s="4" t="s">
        <v>235</v>
      </c>
      <c r="H1120" s="4" t="s">
        <v>236</v>
      </c>
      <c r="I1120" s="4"/>
      <c r="J1120" s="4"/>
      <c r="K1120" s="4">
        <v>231</v>
      </c>
      <c r="L1120" s="4">
        <v>12</v>
      </c>
      <c r="M1120" s="4">
        <v>3</v>
      </c>
      <c r="N1120" s="4" t="s">
        <v>3</v>
      </c>
      <c r="O1120" s="4">
        <v>2</v>
      </c>
      <c r="P1120" s="4"/>
      <c r="Q1120" s="4"/>
      <c r="R1120" s="4"/>
      <c r="S1120" s="4"/>
      <c r="T1120" s="4"/>
      <c r="U1120" s="4"/>
      <c r="V1120" s="4"/>
      <c r="W1120" s="4"/>
    </row>
    <row r="1121" spans="1:23" x14ac:dyDescent="0.2">
      <c r="A1121" s="4">
        <v>50</v>
      </c>
      <c r="B1121" s="4">
        <v>0</v>
      </c>
      <c r="C1121" s="4">
        <v>0</v>
      </c>
      <c r="D1121" s="4">
        <v>1</v>
      </c>
      <c r="E1121" s="4">
        <v>204</v>
      </c>
      <c r="F1121" s="4">
        <f>ROUND(Source!R1107,O1121)</f>
        <v>450372.98</v>
      </c>
      <c r="G1121" s="4" t="s">
        <v>237</v>
      </c>
      <c r="H1121" s="4" t="s">
        <v>238</v>
      </c>
      <c r="I1121" s="4"/>
      <c r="J1121" s="4"/>
      <c r="K1121" s="4">
        <v>204</v>
      </c>
      <c r="L1121" s="4">
        <v>13</v>
      </c>
      <c r="M1121" s="4">
        <v>3</v>
      </c>
      <c r="N1121" s="4" t="s">
        <v>3</v>
      </c>
      <c r="O1121" s="4">
        <v>2</v>
      </c>
      <c r="P1121" s="4"/>
      <c r="Q1121" s="4"/>
      <c r="R1121" s="4"/>
      <c r="S1121" s="4"/>
      <c r="T1121" s="4"/>
      <c r="U1121" s="4"/>
      <c r="V1121" s="4"/>
      <c r="W1121" s="4"/>
    </row>
    <row r="1122" spans="1:23" x14ac:dyDescent="0.2">
      <c r="A1122" s="4">
        <v>50</v>
      </c>
      <c r="B1122" s="4">
        <v>0</v>
      </c>
      <c r="C1122" s="4">
        <v>0</v>
      </c>
      <c r="D1122" s="4">
        <v>1</v>
      </c>
      <c r="E1122" s="4">
        <v>205</v>
      </c>
      <c r="F1122" s="4">
        <f>ROUND(Source!S1107,O1122)</f>
        <v>3415934.13</v>
      </c>
      <c r="G1122" s="4" t="s">
        <v>239</v>
      </c>
      <c r="H1122" s="4" t="s">
        <v>240</v>
      </c>
      <c r="I1122" s="4"/>
      <c r="J1122" s="4"/>
      <c r="K1122" s="4">
        <v>205</v>
      </c>
      <c r="L1122" s="4">
        <v>14</v>
      </c>
      <c r="M1122" s="4">
        <v>3</v>
      </c>
      <c r="N1122" s="4" t="s">
        <v>3</v>
      </c>
      <c r="O1122" s="4">
        <v>2</v>
      </c>
      <c r="P1122" s="4"/>
      <c r="Q1122" s="4"/>
      <c r="R1122" s="4"/>
      <c r="S1122" s="4"/>
      <c r="T1122" s="4"/>
      <c r="U1122" s="4"/>
      <c r="V1122" s="4"/>
      <c r="W1122" s="4"/>
    </row>
    <row r="1123" spans="1:23" x14ac:dyDescent="0.2">
      <c r="A1123" s="4">
        <v>50</v>
      </c>
      <c r="B1123" s="4">
        <v>0</v>
      </c>
      <c r="C1123" s="4">
        <v>0</v>
      </c>
      <c r="D1123" s="4">
        <v>1</v>
      </c>
      <c r="E1123" s="4">
        <v>232</v>
      </c>
      <c r="F1123" s="4">
        <f>ROUND(Source!BC1107,O1123)</f>
        <v>0</v>
      </c>
      <c r="G1123" s="4" t="s">
        <v>241</v>
      </c>
      <c r="H1123" s="4" t="s">
        <v>242</v>
      </c>
      <c r="I1123" s="4"/>
      <c r="J1123" s="4"/>
      <c r="K1123" s="4">
        <v>232</v>
      </c>
      <c r="L1123" s="4">
        <v>15</v>
      </c>
      <c r="M1123" s="4">
        <v>3</v>
      </c>
      <c r="N1123" s="4" t="s">
        <v>3</v>
      </c>
      <c r="O1123" s="4">
        <v>2</v>
      </c>
      <c r="P1123" s="4"/>
      <c r="Q1123" s="4"/>
      <c r="R1123" s="4"/>
      <c r="S1123" s="4"/>
      <c r="T1123" s="4"/>
      <c r="U1123" s="4"/>
      <c r="V1123" s="4"/>
      <c r="W1123" s="4"/>
    </row>
    <row r="1124" spans="1:23" x14ac:dyDescent="0.2">
      <c r="A1124" s="4">
        <v>50</v>
      </c>
      <c r="B1124" s="4">
        <v>0</v>
      </c>
      <c r="C1124" s="4">
        <v>0</v>
      </c>
      <c r="D1124" s="4">
        <v>1</v>
      </c>
      <c r="E1124" s="4">
        <v>214</v>
      </c>
      <c r="F1124" s="4">
        <f>ROUND(Source!AS1107,O1124)</f>
        <v>27612134.350000001</v>
      </c>
      <c r="G1124" s="4" t="s">
        <v>243</v>
      </c>
      <c r="H1124" s="4" t="s">
        <v>244</v>
      </c>
      <c r="I1124" s="4"/>
      <c r="J1124" s="4"/>
      <c r="K1124" s="4">
        <v>214</v>
      </c>
      <c r="L1124" s="4">
        <v>16</v>
      </c>
      <c r="M1124" s="4">
        <v>3</v>
      </c>
      <c r="N1124" s="4" t="s">
        <v>3</v>
      </c>
      <c r="O1124" s="4">
        <v>2</v>
      </c>
      <c r="P1124" s="4"/>
      <c r="Q1124" s="4"/>
      <c r="R1124" s="4"/>
      <c r="S1124" s="4"/>
      <c r="T1124" s="4"/>
      <c r="U1124" s="4"/>
      <c r="V1124" s="4"/>
      <c r="W1124" s="4"/>
    </row>
    <row r="1125" spans="1:23" x14ac:dyDescent="0.2">
      <c r="A1125" s="4">
        <v>50</v>
      </c>
      <c r="B1125" s="4">
        <v>0</v>
      </c>
      <c r="C1125" s="4">
        <v>0</v>
      </c>
      <c r="D1125" s="4">
        <v>1</v>
      </c>
      <c r="E1125" s="4">
        <v>215</v>
      </c>
      <c r="F1125" s="4">
        <f>ROUND(Source!AT1107,O1125)</f>
        <v>1020197.21</v>
      </c>
      <c r="G1125" s="4" t="s">
        <v>245</v>
      </c>
      <c r="H1125" s="4" t="s">
        <v>246</v>
      </c>
      <c r="I1125" s="4"/>
      <c r="J1125" s="4"/>
      <c r="K1125" s="4">
        <v>215</v>
      </c>
      <c r="L1125" s="4">
        <v>17</v>
      </c>
      <c r="M1125" s="4">
        <v>3</v>
      </c>
      <c r="N1125" s="4" t="s">
        <v>3</v>
      </c>
      <c r="O1125" s="4">
        <v>2</v>
      </c>
      <c r="P1125" s="4"/>
      <c r="Q1125" s="4"/>
      <c r="R1125" s="4"/>
      <c r="S1125" s="4"/>
      <c r="T1125" s="4"/>
      <c r="U1125" s="4"/>
      <c r="V1125" s="4"/>
      <c r="W1125" s="4"/>
    </row>
    <row r="1126" spans="1:23" x14ac:dyDescent="0.2">
      <c r="A1126" s="4">
        <v>50</v>
      </c>
      <c r="B1126" s="4">
        <v>0</v>
      </c>
      <c r="C1126" s="4">
        <v>0</v>
      </c>
      <c r="D1126" s="4">
        <v>1</v>
      </c>
      <c r="E1126" s="4">
        <v>217</v>
      </c>
      <c r="F1126" s="4">
        <f>ROUND(Source!AU1107,O1126)</f>
        <v>2352651.2999999998</v>
      </c>
      <c r="G1126" s="4" t="s">
        <v>247</v>
      </c>
      <c r="H1126" s="4" t="s">
        <v>248</v>
      </c>
      <c r="I1126" s="4"/>
      <c r="J1126" s="4"/>
      <c r="K1126" s="4">
        <v>217</v>
      </c>
      <c r="L1126" s="4">
        <v>18</v>
      </c>
      <c r="M1126" s="4">
        <v>3</v>
      </c>
      <c r="N1126" s="4" t="s">
        <v>3</v>
      </c>
      <c r="O1126" s="4">
        <v>2</v>
      </c>
      <c r="P1126" s="4"/>
      <c r="Q1126" s="4"/>
      <c r="R1126" s="4"/>
      <c r="S1126" s="4"/>
      <c r="T1126" s="4"/>
      <c r="U1126" s="4"/>
      <c r="V1126" s="4"/>
      <c r="W1126" s="4"/>
    </row>
    <row r="1127" spans="1:23" x14ac:dyDescent="0.2">
      <c r="A1127" s="4">
        <v>50</v>
      </c>
      <c r="B1127" s="4">
        <v>0</v>
      </c>
      <c r="C1127" s="4">
        <v>0</v>
      </c>
      <c r="D1127" s="4">
        <v>1</v>
      </c>
      <c r="E1127" s="4">
        <v>230</v>
      </c>
      <c r="F1127" s="4">
        <f>ROUND(Source!BA1107,O1127)</f>
        <v>0</v>
      </c>
      <c r="G1127" s="4" t="s">
        <v>249</v>
      </c>
      <c r="H1127" s="4" t="s">
        <v>250</v>
      </c>
      <c r="I1127" s="4"/>
      <c r="J1127" s="4"/>
      <c r="K1127" s="4">
        <v>230</v>
      </c>
      <c r="L1127" s="4">
        <v>19</v>
      </c>
      <c r="M1127" s="4">
        <v>3</v>
      </c>
      <c r="N1127" s="4" t="s">
        <v>3</v>
      </c>
      <c r="O1127" s="4">
        <v>2</v>
      </c>
      <c r="P1127" s="4"/>
      <c r="Q1127" s="4"/>
      <c r="R1127" s="4"/>
      <c r="S1127" s="4"/>
      <c r="T1127" s="4"/>
      <c r="U1127" s="4"/>
      <c r="V1127" s="4"/>
      <c r="W1127" s="4"/>
    </row>
    <row r="1128" spans="1:23" x14ac:dyDescent="0.2">
      <c r="A1128" s="4">
        <v>50</v>
      </c>
      <c r="B1128" s="4">
        <v>0</v>
      </c>
      <c r="C1128" s="4">
        <v>0</v>
      </c>
      <c r="D1128" s="4">
        <v>1</v>
      </c>
      <c r="E1128" s="4">
        <v>206</v>
      </c>
      <c r="F1128" s="4">
        <f>ROUND(Source!T1107,O1128)</f>
        <v>0</v>
      </c>
      <c r="G1128" s="4" t="s">
        <v>251</v>
      </c>
      <c r="H1128" s="4" t="s">
        <v>252</v>
      </c>
      <c r="I1128" s="4"/>
      <c r="J1128" s="4"/>
      <c r="K1128" s="4">
        <v>206</v>
      </c>
      <c r="L1128" s="4">
        <v>20</v>
      </c>
      <c r="M1128" s="4">
        <v>3</v>
      </c>
      <c r="N1128" s="4" t="s">
        <v>3</v>
      </c>
      <c r="O1128" s="4">
        <v>2</v>
      </c>
      <c r="P1128" s="4"/>
      <c r="Q1128" s="4"/>
      <c r="R1128" s="4"/>
      <c r="S1128" s="4"/>
      <c r="T1128" s="4"/>
      <c r="U1128" s="4"/>
      <c r="V1128" s="4"/>
      <c r="W1128" s="4"/>
    </row>
    <row r="1129" spans="1:23" x14ac:dyDescent="0.2">
      <c r="A1129" s="4">
        <v>50</v>
      </c>
      <c r="B1129" s="4">
        <v>0</v>
      </c>
      <c r="C1129" s="4">
        <v>0</v>
      </c>
      <c r="D1129" s="4">
        <v>1</v>
      </c>
      <c r="E1129" s="4">
        <v>207</v>
      </c>
      <c r="F1129" s="4">
        <f>Source!U1107</f>
        <v>12181.96579255</v>
      </c>
      <c r="G1129" s="4" t="s">
        <v>253</v>
      </c>
      <c r="H1129" s="4" t="s">
        <v>254</v>
      </c>
      <c r="I1129" s="4"/>
      <c r="J1129" s="4"/>
      <c r="K1129" s="4">
        <v>207</v>
      </c>
      <c r="L1129" s="4">
        <v>21</v>
      </c>
      <c r="M1129" s="4">
        <v>3</v>
      </c>
      <c r="N1129" s="4" t="s">
        <v>3</v>
      </c>
      <c r="O1129" s="4">
        <v>-1</v>
      </c>
      <c r="P1129" s="4"/>
      <c r="Q1129" s="4"/>
      <c r="R1129" s="4"/>
      <c r="S1129" s="4"/>
      <c r="T1129" s="4"/>
      <c r="U1129" s="4"/>
      <c r="V1129" s="4"/>
      <c r="W1129" s="4"/>
    </row>
    <row r="1130" spans="1:23" x14ac:dyDescent="0.2">
      <c r="A1130" s="4">
        <v>50</v>
      </c>
      <c r="B1130" s="4">
        <v>0</v>
      </c>
      <c r="C1130" s="4">
        <v>0</v>
      </c>
      <c r="D1130" s="4">
        <v>1</v>
      </c>
      <c r="E1130" s="4">
        <v>208</v>
      </c>
      <c r="F1130" s="4">
        <f>Source!V1107</f>
        <v>0</v>
      </c>
      <c r="G1130" s="4" t="s">
        <v>255</v>
      </c>
      <c r="H1130" s="4" t="s">
        <v>256</v>
      </c>
      <c r="I1130" s="4"/>
      <c r="J1130" s="4"/>
      <c r="K1130" s="4">
        <v>208</v>
      </c>
      <c r="L1130" s="4">
        <v>22</v>
      </c>
      <c r="M1130" s="4">
        <v>3</v>
      </c>
      <c r="N1130" s="4" t="s">
        <v>3</v>
      </c>
      <c r="O1130" s="4">
        <v>-1</v>
      </c>
      <c r="P1130" s="4"/>
      <c r="Q1130" s="4"/>
      <c r="R1130" s="4"/>
      <c r="S1130" s="4"/>
      <c r="T1130" s="4"/>
      <c r="U1130" s="4"/>
      <c r="V1130" s="4"/>
      <c r="W1130" s="4"/>
    </row>
    <row r="1131" spans="1:23" x14ac:dyDescent="0.2">
      <c r="A1131" s="4">
        <v>50</v>
      </c>
      <c r="B1131" s="4">
        <v>0</v>
      </c>
      <c r="C1131" s="4">
        <v>0</v>
      </c>
      <c r="D1131" s="4">
        <v>1</v>
      </c>
      <c r="E1131" s="4">
        <v>209</v>
      </c>
      <c r="F1131" s="4">
        <f>ROUND(Source!W1107,O1131)</f>
        <v>0</v>
      </c>
      <c r="G1131" s="4" t="s">
        <v>257</v>
      </c>
      <c r="H1131" s="4" t="s">
        <v>258</v>
      </c>
      <c r="I1131" s="4"/>
      <c r="J1131" s="4"/>
      <c r="K1131" s="4">
        <v>209</v>
      </c>
      <c r="L1131" s="4">
        <v>23</v>
      </c>
      <c r="M1131" s="4">
        <v>3</v>
      </c>
      <c r="N1131" s="4" t="s">
        <v>3</v>
      </c>
      <c r="O1131" s="4">
        <v>2</v>
      </c>
      <c r="P1131" s="4"/>
      <c r="Q1131" s="4"/>
      <c r="R1131" s="4"/>
      <c r="S1131" s="4"/>
      <c r="T1131" s="4"/>
      <c r="U1131" s="4"/>
      <c r="V1131" s="4"/>
      <c r="W1131" s="4"/>
    </row>
    <row r="1132" spans="1:23" x14ac:dyDescent="0.2">
      <c r="A1132" s="4">
        <v>50</v>
      </c>
      <c r="B1132" s="4">
        <v>0</v>
      </c>
      <c r="C1132" s="4">
        <v>0</v>
      </c>
      <c r="D1132" s="4">
        <v>1</v>
      </c>
      <c r="E1132" s="4">
        <v>233</v>
      </c>
      <c r="F1132" s="4">
        <f>ROUND(Source!BD1107,O1132)</f>
        <v>0</v>
      </c>
      <c r="G1132" s="4" t="s">
        <v>259</v>
      </c>
      <c r="H1132" s="4" t="s">
        <v>260</v>
      </c>
      <c r="I1132" s="4"/>
      <c r="J1132" s="4"/>
      <c r="K1132" s="4">
        <v>233</v>
      </c>
      <c r="L1132" s="4">
        <v>24</v>
      </c>
      <c r="M1132" s="4">
        <v>3</v>
      </c>
      <c r="N1132" s="4" t="s">
        <v>3</v>
      </c>
      <c r="O1132" s="4">
        <v>2</v>
      </c>
      <c r="P1132" s="4"/>
      <c r="Q1132" s="4"/>
      <c r="R1132" s="4"/>
      <c r="S1132" s="4"/>
      <c r="T1132" s="4"/>
      <c r="U1132" s="4"/>
      <c r="V1132" s="4"/>
      <c r="W1132" s="4"/>
    </row>
    <row r="1133" spans="1:23" x14ac:dyDescent="0.2">
      <c r="A1133" s="4">
        <v>50</v>
      </c>
      <c r="B1133" s="4">
        <v>0</v>
      </c>
      <c r="C1133" s="4">
        <v>0</v>
      </c>
      <c r="D1133" s="4">
        <v>1</v>
      </c>
      <c r="E1133" s="4">
        <v>210</v>
      </c>
      <c r="F1133" s="4">
        <f>ROUND(Source!X1107,O1133)</f>
        <v>2800638.96</v>
      </c>
      <c r="G1133" s="4" t="s">
        <v>261</v>
      </c>
      <c r="H1133" s="4" t="s">
        <v>262</v>
      </c>
      <c r="I1133" s="4"/>
      <c r="J1133" s="4"/>
      <c r="K1133" s="4">
        <v>210</v>
      </c>
      <c r="L1133" s="4">
        <v>25</v>
      </c>
      <c r="M1133" s="4">
        <v>3</v>
      </c>
      <c r="N1133" s="4" t="s">
        <v>3</v>
      </c>
      <c r="O1133" s="4">
        <v>2</v>
      </c>
      <c r="P1133" s="4"/>
      <c r="Q1133" s="4"/>
      <c r="R1133" s="4"/>
      <c r="S1133" s="4"/>
      <c r="T1133" s="4"/>
      <c r="U1133" s="4"/>
      <c r="V1133" s="4"/>
      <c r="W1133" s="4"/>
    </row>
    <row r="1134" spans="1:23" x14ac:dyDescent="0.2">
      <c r="A1134" s="4">
        <v>50</v>
      </c>
      <c r="B1134" s="4">
        <v>0</v>
      </c>
      <c r="C1134" s="4">
        <v>0</v>
      </c>
      <c r="D1134" s="4">
        <v>1</v>
      </c>
      <c r="E1134" s="4">
        <v>211</v>
      </c>
      <c r="F1134" s="4">
        <f>ROUND(Source!Y1107,O1134)</f>
        <v>1424615.33</v>
      </c>
      <c r="G1134" s="4" t="s">
        <v>263</v>
      </c>
      <c r="H1134" s="4" t="s">
        <v>264</v>
      </c>
      <c r="I1134" s="4"/>
      <c r="J1134" s="4"/>
      <c r="K1134" s="4">
        <v>211</v>
      </c>
      <c r="L1134" s="4">
        <v>26</v>
      </c>
      <c r="M1134" s="4">
        <v>3</v>
      </c>
      <c r="N1134" s="4" t="s">
        <v>3</v>
      </c>
      <c r="O1134" s="4">
        <v>2</v>
      </c>
      <c r="P1134" s="4"/>
      <c r="Q1134" s="4"/>
      <c r="R1134" s="4"/>
      <c r="S1134" s="4"/>
      <c r="T1134" s="4"/>
      <c r="U1134" s="4"/>
      <c r="V1134" s="4"/>
      <c r="W1134" s="4"/>
    </row>
    <row r="1135" spans="1:23" x14ac:dyDescent="0.2">
      <c r="A1135" s="4">
        <v>50</v>
      </c>
      <c r="B1135" s="4">
        <v>0</v>
      </c>
      <c r="C1135" s="4">
        <v>0</v>
      </c>
      <c r="D1135" s="4">
        <v>1</v>
      </c>
      <c r="E1135" s="4">
        <v>224</v>
      </c>
      <c r="F1135" s="4">
        <f>ROUND(Source!AR1107,O1135)</f>
        <v>31155250.010000002</v>
      </c>
      <c r="G1135" s="4" t="s">
        <v>265</v>
      </c>
      <c r="H1135" s="4" t="s">
        <v>266</v>
      </c>
      <c r="I1135" s="4"/>
      <c r="J1135" s="4"/>
      <c r="K1135" s="4">
        <v>224</v>
      </c>
      <c r="L1135" s="4">
        <v>27</v>
      </c>
      <c r="M1135" s="4">
        <v>3</v>
      </c>
      <c r="N1135" s="4" t="s">
        <v>3</v>
      </c>
      <c r="O1135" s="4">
        <v>2</v>
      </c>
      <c r="P1135" s="4"/>
      <c r="Q1135" s="4"/>
      <c r="R1135" s="4"/>
      <c r="S1135" s="4"/>
      <c r="T1135" s="4"/>
      <c r="U1135" s="4"/>
      <c r="V1135" s="4"/>
      <c r="W1135" s="4"/>
    </row>
    <row r="1137" spans="1:206" x14ac:dyDescent="0.2">
      <c r="A1137" s="2">
        <v>51</v>
      </c>
      <c r="B1137" s="2">
        <f>B12</f>
        <v>1177</v>
      </c>
      <c r="C1137" s="2">
        <f>A12</f>
        <v>1</v>
      </c>
      <c r="D1137" s="2">
        <f>ROW(A12)</f>
        <v>12</v>
      </c>
      <c r="E1137" s="2"/>
      <c r="F1137" s="2" t="str">
        <f>IF(F12&lt;&gt;"",F12,"")</f>
        <v>Новый объект</v>
      </c>
      <c r="G1137" s="2" t="str">
        <f>IF(G12&lt;&gt;"",G12,"")</f>
        <v>Ремонт гольфполя Химки-2</v>
      </c>
      <c r="H1137" s="2">
        <v>0</v>
      </c>
      <c r="I1137" s="2"/>
      <c r="J1137" s="2"/>
      <c r="K1137" s="2"/>
      <c r="L1137" s="2"/>
      <c r="M1137" s="2"/>
      <c r="N1137" s="2"/>
      <c r="O1137" s="2">
        <f t="shared" ref="O1137:T1137" si="911">ROUND(O1107,2)</f>
        <v>26222910.100000001</v>
      </c>
      <c r="P1137" s="2">
        <f t="shared" si="911"/>
        <v>19673623.34</v>
      </c>
      <c r="Q1137" s="2">
        <f t="shared" si="911"/>
        <v>3133352.63</v>
      </c>
      <c r="R1137" s="2">
        <f t="shared" si="911"/>
        <v>450372.98</v>
      </c>
      <c r="S1137" s="2">
        <f t="shared" si="911"/>
        <v>3415934.13</v>
      </c>
      <c r="T1137" s="2">
        <f t="shared" si="911"/>
        <v>0</v>
      </c>
      <c r="U1137" s="2">
        <f>U1107</f>
        <v>12181.96579255</v>
      </c>
      <c r="V1137" s="2">
        <f>V1107</f>
        <v>0</v>
      </c>
      <c r="W1137" s="2">
        <f>ROUND(W1107,2)</f>
        <v>0</v>
      </c>
      <c r="X1137" s="2">
        <f>ROUND(X1107,2)</f>
        <v>2800638.96</v>
      </c>
      <c r="Y1137" s="2">
        <f>ROUND(Y1107,2)</f>
        <v>1424615.33</v>
      </c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>
        <f t="shared" ref="AO1137:BD1137" si="912">ROUND(AO1107,2)</f>
        <v>0</v>
      </c>
      <c r="AP1137" s="2">
        <f t="shared" si="912"/>
        <v>170267.15</v>
      </c>
      <c r="AQ1137" s="2">
        <f t="shared" si="912"/>
        <v>0</v>
      </c>
      <c r="AR1137" s="2">
        <f t="shared" si="912"/>
        <v>31155250.010000002</v>
      </c>
      <c r="AS1137" s="2">
        <f t="shared" si="912"/>
        <v>27612134.350000001</v>
      </c>
      <c r="AT1137" s="2">
        <f t="shared" si="912"/>
        <v>1020197.21</v>
      </c>
      <c r="AU1137" s="2">
        <f t="shared" si="912"/>
        <v>2352651.2999999998</v>
      </c>
      <c r="AV1137" s="2">
        <f t="shared" si="912"/>
        <v>19673623.34</v>
      </c>
      <c r="AW1137" s="2">
        <f t="shared" si="912"/>
        <v>19503356.190000001</v>
      </c>
      <c r="AX1137" s="2">
        <f t="shared" si="912"/>
        <v>0</v>
      </c>
      <c r="AY1137" s="2">
        <f t="shared" si="912"/>
        <v>19503356.190000001</v>
      </c>
      <c r="AZ1137" s="2">
        <f t="shared" si="912"/>
        <v>170267.15</v>
      </c>
      <c r="BA1137" s="2">
        <f t="shared" si="912"/>
        <v>0</v>
      </c>
      <c r="BB1137" s="2">
        <f t="shared" si="912"/>
        <v>0</v>
      </c>
      <c r="BC1137" s="2">
        <f t="shared" si="912"/>
        <v>0</v>
      </c>
      <c r="BD1137" s="2">
        <f t="shared" si="912"/>
        <v>0</v>
      </c>
      <c r="BE1137" s="2"/>
      <c r="BF1137" s="2"/>
      <c r="BG1137" s="2"/>
      <c r="BH1137" s="2"/>
      <c r="BI1137" s="2"/>
      <c r="BJ1137" s="2"/>
      <c r="BK1137" s="2"/>
      <c r="BL1137" s="2"/>
      <c r="BM1137" s="2"/>
      <c r="BN1137" s="2"/>
      <c r="BO1137" s="2"/>
      <c r="BP1137" s="2"/>
      <c r="BQ1137" s="2"/>
      <c r="BR1137" s="2"/>
      <c r="BS1137" s="2"/>
      <c r="BT1137" s="2"/>
      <c r="BU1137" s="2"/>
      <c r="BV1137" s="2"/>
      <c r="BW1137" s="2"/>
      <c r="BX1137" s="2"/>
      <c r="BY1137" s="2"/>
      <c r="BZ1137" s="2"/>
      <c r="CA1137" s="2"/>
      <c r="CB1137" s="2"/>
      <c r="CC1137" s="2"/>
      <c r="CD1137" s="2"/>
      <c r="CE1137" s="2"/>
      <c r="CF1137" s="2"/>
      <c r="CG1137" s="2"/>
      <c r="CH1137" s="2"/>
      <c r="CI1137" s="2"/>
      <c r="CJ1137" s="2"/>
      <c r="CK1137" s="2"/>
      <c r="CL1137" s="2"/>
      <c r="CM1137" s="2"/>
      <c r="CN1137" s="2"/>
      <c r="CO1137" s="2"/>
      <c r="CP1137" s="2"/>
      <c r="CQ1137" s="2"/>
      <c r="CR1137" s="2"/>
      <c r="CS1137" s="2"/>
      <c r="CT1137" s="2"/>
      <c r="CU1137" s="2"/>
      <c r="CV1137" s="2"/>
      <c r="CW1137" s="2"/>
      <c r="CX1137" s="2"/>
      <c r="CY1137" s="2"/>
      <c r="CZ1137" s="2"/>
      <c r="DA1137" s="2"/>
      <c r="DB1137" s="2"/>
      <c r="DC1137" s="2"/>
      <c r="DD1137" s="2"/>
      <c r="DE1137" s="2"/>
      <c r="DF1137" s="2"/>
      <c r="DG1137" s="3"/>
      <c r="DH1137" s="3"/>
      <c r="DI1137" s="3"/>
      <c r="DJ1137" s="3"/>
      <c r="DK1137" s="3"/>
      <c r="DL1137" s="3"/>
      <c r="DM1137" s="3"/>
      <c r="DN1137" s="3"/>
      <c r="DO1137" s="3"/>
      <c r="DP1137" s="3"/>
      <c r="DQ1137" s="3"/>
      <c r="DR1137" s="3"/>
      <c r="DS1137" s="3"/>
      <c r="DT1137" s="3"/>
      <c r="DU1137" s="3"/>
      <c r="DV1137" s="3"/>
      <c r="DW1137" s="3"/>
      <c r="DX1137" s="3"/>
      <c r="DY1137" s="3"/>
      <c r="DZ1137" s="3"/>
      <c r="EA1137" s="3"/>
      <c r="EB1137" s="3"/>
      <c r="EC1137" s="3"/>
      <c r="ED1137" s="3"/>
      <c r="EE1137" s="3"/>
      <c r="EF1137" s="3"/>
      <c r="EG1137" s="3"/>
      <c r="EH1137" s="3"/>
      <c r="EI1137" s="3"/>
      <c r="EJ1137" s="3"/>
      <c r="EK1137" s="3"/>
      <c r="EL1137" s="3"/>
      <c r="EM1137" s="3"/>
      <c r="EN1137" s="3"/>
      <c r="EO1137" s="3"/>
      <c r="EP1137" s="3"/>
      <c r="EQ1137" s="3"/>
      <c r="ER1137" s="3"/>
      <c r="ES1137" s="3"/>
      <c r="ET1137" s="3"/>
      <c r="EU1137" s="3"/>
      <c r="EV1137" s="3"/>
      <c r="EW1137" s="3"/>
      <c r="EX1137" s="3"/>
      <c r="EY1137" s="3"/>
      <c r="EZ1137" s="3"/>
      <c r="FA1137" s="3"/>
      <c r="FB1137" s="3"/>
      <c r="FC1137" s="3"/>
      <c r="FD1137" s="3"/>
      <c r="FE1137" s="3"/>
      <c r="FF1137" s="3"/>
      <c r="FG1137" s="3"/>
      <c r="FH1137" s="3"/>
      <c r="FI1137" s="3"/>
      <c r="FJ1137" s="3"/>
      <c r="FK1137" s="3"/>
      <c r="FL1137" s="3"/>
      <c r="FM1137" s="3"/>
      <c r="FN1137" s="3"/>
      <c r="FO1137" s="3"/>
      <c r="FP1137" s="3"/>
      <c r="FQ1137" s="3"/>
      <c r="FR1137" s="3"/>
      <c r="FS1137" s="3"/>
      <c r="FT1137" s="3"/>
      <c r="FU1137" s="3"/>
      <c r="FV1137" s="3"/>
      <c r="FW1137" s="3"/>
      <c r="FX1137" s="3"/>
      <c r="FY1137" s="3"/>
      <c r="FZ1137" s="3"/>
      <c r="GA1137" s="3"/>
      <c r="GB1137" s="3"/>
      <c r="GC1137" s="3"/>
      <c r="GD1137" s="3"/>
      <c r="GE1137" s="3"/>
      <c r="GF1137" s="3"/>
      <c r="GG1137" s="3"/>
      <c r="GH1137" s="3"/>
      <c r="GI1137" s="3"/>
      <c r="GJ1137" s="3"/>
      <c r="GK1137" s="3"/>
      <c r="GL1137" s="3"/>
      <c r="GM1137" s="3"/>
      <c r="GN1137" s="3"/>
      <c r="GO1137" s="3"/>
      <c r="GP1137" s="3"/>
      <c r="GQ1137" s="3"/>
      <c r="GR1137" s="3"/>
      <c r="GS1137" s="3"/>
      <c r="GT1137" s="3"/>
      <c r="GU1137" s="3"/>
      <c r="GV1137" s="3"/>
      <c r="GW1137" s="3"/>
      <c r="GX1137" s="3">
        <v>0</v>
      </c>
    </row>
    <row r="1139" spans="1:206" x14ac:dyDescent="0.2">
      <c r="A1139" s="4">
        <v>50</v>
      </c>
      <c r="B1139" s="4">
        <v>0</v>
      </c>
      <c r="C1139" s="4">
        <v>0</v>
      </c>
      <c r="D1139" s="4">
        <v>1</v>
      </c>
      <c r="E1139" s="4">
        <v>201</v>
      </c>
      <c r="F1139" s="4">
        <f>ROUND(Source!O1137,O1139)</f>
        <v>26222910.100000001</v>
      </c>
      <c r="G1139" s="4" t="s">
        <v>213</v>
      </c>
      <c r="H1139" s="4" t="s">
        <v>214</v>
      </c>
      <c r="I1139" s="4"/>
      <c r="J1139" s="4"/>
      <c r="K1139" s="4">
        <v>201</v>
      </c>
      <c r="L1139" s="4">
        <v>1</v>
      </c>
      <c r="M1139" s="4">
        <v>3</v>
      </c>
      <c r="N1139" s="4" t="s">
        <v>3</v>
      </c>
      <c r="O1139" s="4">
        <v>2</v>
      </c>
      <c r="P1139" s="4"/>
      <c r="Q1139" s="4"/>
      <c r="R1139" s="4"/>
      <c r="S1139" s="4"/>
      <c r="T1139" s="4"/>
      <c r="U1139" s="4"/>
      <c r="V1139" s="4"/>
      <c r="W1139" s="4"/>
    </row>
    <row r="1140" spans="1:206" x14ac:dyDescent="0.2">
      <c r="A1140" s="4">
        <v>50</v>
      </c>
      <c r="B1140" s="4">
        <v>0</v>
      </c>
      <c r="C1140" s="4">
        <v>0</v>
      </c>
      <c r="D1140" s="4">
        <v>1</v>
      </c>
      <c r="E1140" s="4">
        <v>202</v>
      </c>
      <c r="F1140" s="4">
        <f>ROUND(Source!P1137,O1140)</f>
        <v>19673623.34</v>
      </c>
      <c r="G1140" s="4" t="s">
        <v>215</v>
      </c>
      <c r="H1140" s="4" t="s">
        <v>216</v>
      </c>
      <c r="I1140" s="4"/>
      <c r="J1140" s="4"/>
      <c r="K1140" s="4">
        <v>202</v>
      </c>
      <c r="L1140" s="4">
        <v>2</v>
      </c>
      <c r="M1140" s="4">
        <v>3</v>
      </c>
      <c r="N1140" s="4" t="s">
        <v>3</v>
      </c>
      <c r="O1140" s="4">
        <v>2</v>
      </c>
      <c r="P1140" s="4"/>
      <c r="Q1140" s="4"/>
      <c r="R1140" s="4"/>
      <c r="S1140" s="4"/>
      <c r="T1140" s="4"/>
      <c r="U1140" s="4"/>
      <c r="V1140" s="4"/>
      <c r="W1140" s="4"/>
    </row>
    <row r="1141" spans="1:206" x14ac:dyDescent="0.2">
      <c r="A1141" s="4">
        <v>50</v>
      </c>
      <c r="B1141" s="4">
        <v>0</v>
      </c>
      <c r="C1141" s="4">
        <v>0</v>
      </c>
      <c r="D1141" s="4">
        <v>1</v>
      </c>
      <c r="E1141" s="4">
        <v>222</v>
      </c>
      <c r="F1141" s="4">
        <f>ROUND(Source!AO1137,O1141)</f>
        <v>0</v>
      </c>
      <c r="G1141" s="4" t="s">
        <v>217</v>
      </c>
      <c r="H1141" s="4" t="s">
        <v>218</v>
      </c>
      <c r="I1141" s="4"/>
      <c r="J1141" s="4"/>
      <c r="K1141" s="4">
        <v>222</v>
      </c>
      <c r="L1141" s="4">
        <v>3</v>
      </c>
      <c r="M1141" s="4">
        <v>3</v>
      </c>
      <c r="N1141" s="4" t="s">
        <v>3</v>
      </c>
      <c r="O1141" s="4">
        <v>2</v>
      </c>
      <c r="P1141" s="4"/>
      <c r="Q1141" s="4"/>
      <c r="R1141" s="4"/>
      <c r="S1141" s="4"/>
      <c r="T1141" s="4"/>
      <c r="U1141" s="4"/>
      <c r="V1141" s="4"/>
      <c r="W1141" s="4"/>
    </row>
    <row r="1142" spans="1:206" x14ac:dyDescent="0.2">
      <c r="A1142" s="4">
        <v>50</v>
      </c>
      <c r="B1142" s="4">
        <v>0</v>
      </c>
      <c r="C1142" s="4">
        <v>0</v>
      </c>
      <c r="D1142" s="4">
        <v>1</v>
      </c>
      <c r="E1142" s="4">
        <v>225</v>
      </c>
      <c r="F1142" s="4">
        <f>ROUND(Source!AV1137,O1142)</f>
        <v>19673623.34</v>
      </c>
      <c r="G1142" s="4" t="s">
        <v>219</v>
      </c>
      <c r="H1142" s="4" t="s">
        <v>220</v>
      </c>
      <c r="I1142" s="4"/>
      <c r="J1142" s="4"/>
      <c r="K1142" s="4">
        <v>225</v>
      </c>
      <c r="L1142" s="4">
        <v>4</v>
      </c>
      <c r="M1142" s="4">
        <v>3</v>
      </c>
      <c r="N1142" s="4" t="s">
        <v>3</v>
      </c>
      <c r="O1142" s="4">
        <v>2</v>
      </c>
      <c r="P1142" s="4"/>
      <c r="Q1142" s="4"/>
      <c r="R1142" s="4"/>
      <c r="S1142" s="4"/>
      <c r="T1142" s="4"/>
      <c r="U1142" s="4"/>
      <c r="V1142" s="4"/>
      <c r="W1142" s="4"/>
    </row>
    <row r="1143" spans="1:206" x14ac:dyDescent="0.2">
      <c r="A1143" s="4">
        <v>50</v>
      </c>
      <c r="B1143" s="4">
        <v>0</v>
      </c>
      <c r="C1143" s="4">
        <v>0</v>
      </c>
      <c r="D1143" s="4">
        <v>1</v>
      </c>
      <c r="E1143" s="4">
        <v>226</v>
      </c>
      <c r="F1143" s="4">
        <f>ROUND(Source!AW1137,O1143)</f>
        <v>19503356.190000001</v>
      </c>
      <c r="G1143" s="4" t="s">
        <v>221</v>
      </c>
      <c r="H1143" s="4" t="s">
        <v>222</v>
      </c>
      <c r="I1143" s="4"/>
      <c r="J1143" s="4"/>
      <c r="K1143" s="4">
        <v>226</v>
      </c>
      <c r="L1143" s="4">
        <v>5</v>
      </c>
      <c r="M1143" s="4">
        <v>3</v>
      </c>
      <c r="N1143" s="4" t="s">
        <v>3</v>
      </c>
      <c r="O1143" s="4">
        <v>2</v>
      </c>
      <c r="P1143" s="4"/>
      <c r="Q1143" s="4"/>
      <c r="R1143" s="4"/>
      <c r="S1143" s="4"/>
      <c r="T1143" s="4"/>
      <c r="U1143" s="4"/>
      <c r="V1143" s="4"/>
      <c r="W1143" s="4"/>
    </row>
    <row r="1144" spans="1:206" x14ac:dyDescent="0.2">
      <c r="A1144" s="4">
        <v>50</v>
      </c>
      <c r="B1144" s="4">
        <v>0</v>
      </c>
      <c r="C1144" s="4">
        <v>0</v>
      </c>
      <c r="D1144" s="4">
        <v>1</v>
      </c>
      <c r="E1144" s="4">
        <v>227</v>
      </c>
      <c r="F1144" s="4">
        <f>ROUND(Source!AX1137,O1144)</f>
        <v>0</v>
      </c>
      <c r="G1144" s="4" t="s">
        <v>223</v>
      </c>
      <c r="H1144" s="4" t="s">
        <v>224</v>
      </c>
      <c r="I1144" s="4"/>
      <c r="J1144" s="4"/>
      <c r="K1144" s="4">
        <v>227</v>
      </c>
      <c r="L1144" s="4">
        <v>6</v>
      </c>
      <c r="M1144" s="4">
        <v>3</v>
      </c>
      <c r="N1144" s="4" t="s">
        <v>3</v>
      </c>
      <c r="O1144" s="4">
        <v>2</v>
      </c>
      <c r="P1144" s="4"/>
      <c r="Q1144" s="4"/>
      <c r="R1144" s="4"/>
      <c r="S1144" s="4"/>
      <c r="T1144" s="4"/>
      <c r="U1144" s="4"/>
      <c r="V1144" s="4"/>
      <c r="W1144" s="4"/>
    </row>
    <row r="1145" spans="1:206" x14ac:dyDescent="0.2">
      <c r="A1145" s="4">
        <v>50</v>
      </c>
      <c r="B1145" s="4">
        <v>0</v>
      </c>
      <c r="C1145" s="4">
        <v>0</v>
      </c>
      <c r="D1145" s="4">
        <v>1</v>
      </c>
      <c r="E1145" s="4">
        <v>228</v>
      </c>
      <c r="F1145" s="4">
        <f>ROUND(Source!AY1137,O1145)</f>
        <v>19503356.190000001</v>
      </c>
      <c r="G1145" s="4" t="s">
        <v>225</v>
      </c>
      <c r="H1145" s="4" t="s">
        <v>226</v>
      </c>
      <c r="I1145" s="4"/>
      <c r="J1145" s="4"/>
      <c r="K1145" s="4">
        <v>228</v>
      </c>
      <c r="L1145" s="4">
        <v>7</v>
      </c>
      <c r="M1145" s="4">
        <v>3</v>
      </c>
      <c r="N1145" s="4" t="s">
        <v>3</v>
      </c>
      <c r="O1145" s="4">
        <v>2</v>
      </c>
      <c r="P1145" s="4"/>
      <c r="Q1145" s="4"/>
      <c r="R1145" s="4"/>
      <c r="S1145" s="4"/>
      <c r="T1145" s="4"/>
      <c r="U1145" s="4"/>
      <c r="V1145" s="4"/>
      <c r="W1145" s="4"/>
    </row>
    <row r="1146" spans="1:206" x14ac:dyDescent="0.2">
      <c r="A1146" s="4">
        <v>50</v>
      </c>
      <c r="B1146" s="4">
        <v>0</v>
      </c>
      <c r="C1146" s="4">
        <v>0</v>
      </c>
      <c r="D1146" s="4">
        <v>1</v>
      </c>
      <c r="E1146" s="4">
        <v>216</v>
      </c>
      <c r="F1146" s="4">
        <f>ROUND(Source!AP1137,O1146)</f>
        <v>170267.15</v>
      </c>
      <c r="G1146" s="4" t="s">
        <v>227</v>
      </c>
      <c r="H1146" s="4" t="s">
        <v>228</v>
      </c>
      <c r="I1146" s="4"/>
      <c r="J1146" s="4"/>
      <c r="K1146" s="4">
        <v>216</v>
      </c>
      <c r="L1146" s="4">
        <v>8</v>
      </c>
      <c r="M1146" s="4">
        <v>3</v>
      </c>
      <c r="N1146" s="4" t="s">
        <v>3</v>
      </c>
      <c r="O1146" s="4">
        <v>2</v>
      </c>
      <c r="P1146" s="4"/>
      <c r="Q1146" s="4"/>
      <c r="R1146" s="4"/>
      <c r="S1146" s="4"/>
      <c r="T1146" s="4"/>
      <c r="U1146" s="4"/>
      <c r="V1146" s="4"/>
      <c r="W1146" s="4"/>
    </row>
    <row r="1147" spans="1:206" x14ac:dyDescent="0.2">
      <c r="A1147" s="4">
        <v>50</v>
      </c>
      <c r="B1147" s="4">
        <v>0</v>
      </c>
      <c r="C1147" s="4">
        <v>0</v>
      </c>
      <c r="D1147" s="4">
        <v>1</v>
      </c>
      <c r="E1147" s="4">
        <v>223</v>
      </c>
      <c r="F1147" s="4">
        <f>ROUND(Source!AQ1137,O1147)</f>
        <v>0</v>
      </c>
      <c r="G1147" s="4" t="s">
        <v>229</v>
      </c>
      <c r="H1147" s="4" t="s">
        <v>230</v>
      </c>
      <c r="I1147" s="4"/>
      <c r="J1147" s="4"/>
      <c r="K1147" s="4">
        <v>223</v>
      </c>
      <c r="L1147" s="4">
        <v>9</v>
      </c>
      <c r="M1147" s="4">
        <v>3</v>
      </c>
      <c r="N1147" s="4" t="s">
        <v>3</v>
      </c>
      <c r="O1147" s="4">
        <v>2</v>
      </c>
      <c r="P1147" s="4"/>
      <c r="Q1147" s="4"/>
      <c r="R1147" s="4"/>
      <c r="S1147" s="4"/>
      <c r="T1147" s="4"/>
      <c r="U1147" s="4"/>
      <c r="V1147" s="4"/>
      <c r="W1147" s="4"/>
    </row>
    <row r="1148" spans="1:206" x14ac:dyDescent="0.2">
      <c r="A1148" s="4">
        <v>50</v>
      </c>
      <c r="B1148" s="4">
        <v>0</v>
      </c>
      <c r="C1148" s="4">
        <v>0</v>
      </c>
      <c r="D1148" s="4">
        <v>1</v>
      </c>
      <c r="E1148" s="4">
        <v>229</v>
      </c>
      <c r="F1148" s="4">
        <f>ROUND(Source!AZ1137,O1148)</f>
        <v>170267.15</v>
      </c>
      <c r="G1148" s="4" t="s">
        <v>231</v>
      </c>
      <c r="H1148" s="4" t="s">
        <v>232</v>
      </c>
      <c r="I1148" s="4"/>
      <c r="J1148" s="4"/>
      <c r="K1148" s="4">
        <v>229</v>
      </c>
      <c r="L1148" s="4">
        <v>10</v>
      </c>
      <c r="M1148" s="4">
        <v>3</v>
      </c>
      <c r="N1148" s="4" t="s">
        <v>3</v>
      </c>
      <c r="O1148" s="4">
        <v>2</v>
      </c>
      <c r="P1148" s="4"/>
      <c r="Q1148" s="4"/>
      <c r="R1148" s="4"/>
      <c r="S1148" s="4"/>
      <c r="T1148" s="4"/>
      <c r="U1148" s="4"/>
      <c r="V1148" s="4"/>
      <c r="W1148" s="4"/>
    </row>
    <row r="1149" spans="1:206" x14ac:dyDescent="0.2">
      <c r="A1149" s="4">
        <v>50</v>
      </c>
      <c r="B1149" s="4">
        <v>0</v>
      </c>
      <c r="C1149" s="4">
        <v>0</v>
      </c>
      <c r="D1149" s="4">
        <v>1</v>
      </c>
      <c r="E1149" s="4">
        <v>203</v>
      </c>
      <c r="F1149" s="4">
        <f>ROUND(Source!Q1137,O1149)</f>
        <v>3133352.63</v>
      </c>
      <c r="G1149" s="4" t="s">
        <v>233</v>
      </c>
      <c r="H1149" s="4" t="s">
        <v>234</v>
      </c>
      <c r="I1149" s="4"/>
      <c r="J1149" s="4"/>
      <c r="K1149" s="4">
        <v>203</v>
      </c>
      <c r="L1149" s="4">
        <v>11</v>
      </c>
      <c r="M1149" s="4">
        <v>3</v>
      </c>
      <c r="N1149" s="4" t="s">
        <v>3</v>
      </c>
      <c r="O1149" s="4">
        <v>2</v>
      </c>
      <c r="P1149" s="4"/>
      <c r="Q1149" s="4"/>
      <c r="R1149" s="4"/>
      <c r="S1149" s="4"/>
      <c r="T1149" s="4"/>
      <c r="U1149" s="4"/>
      <c r="V1149" s="4"/>
      <c r="W1149" s="4"/>
    </row>
    <row r="1150" spans="1:206" x14ac:dyDescent="0.2">
      <c r="A1150" s="4">
        <v>50</v>
      </c>
      <c r="B1150" s="4">
        <v>0</v>
      </c>
      <c r="C1150" s="4">
        <v>0</v>
      </c>
      <c r="D1150" s="4">
        <v>1</v>
      </c>
      <c r="E1150" s="4">
        <v>231</v>
      </c>
      <c r="F1150" s="4">
        <f>ROUND(Source!BB1137,O1150)</f>
        <v>0</v>
      </c>
      <c r="G1150" s="4" t="s">
        <v>235</v>
      </c>
      <c r="H1150" s="4" t="s">
        <v>236</v>
      </c>
      <c r="I1150" s="4"/>
      <c r="J1150" s="4"/>
      <c r="K1150" s="4">
        <v>231</v>
      </c>
      <c r="L1150" s="4">
        <v>12</v>
      </c>
      <c r="M1150" s="4">
        <v>3</v>
      </c>
      <c r="N1150" s="4" t="s">
        <v>3</v>
      </c>
      <c r="O1150" s="4">
        <v>2</v>
      </c>
      <c r="P1150" s="4"/>
      <c r="Q1150" s="4"/>
      <c r="R1150" s="4"/>
      <c r="S1150" s="4"/>
      <c r="T1150" s="4"/>
      <c r="U1150" s="4"/>
      <c r="V1150" s="4"/>
      <c r="W1150" s="4"/>
    </row>
    <row r="1151" spans="1:206" x14ac:dyDescent="0.2">
      <c r="A1151" s="4">
        <v>50</v>
      </c>
      <c r="B1151" s="4">
        <v>0</v>
      </c>
      <c r="C1151" s="4">
        <v>0</v>
      </c>
      <c r="D1151" s="4">
        <v>1</v>
      </c>
      <c r="E1151" s="4">
        <v>204</v>
      </c>
      <c r="F1151" s="4">
        <f>ROUND(Source!R1137,O1151)</f>
        <v>450372.98</v>
      </c>
      <c r="G1151" s="4" t="s">
        <v>237</v>
      </c>
      <c r="H1151" s="4" t="s">
        <v>238</v>
      </c>
      <c r="I1151" s="4"/>
      <c r="J1151" s="4"/>
      <c r="K1151" s="4">
        <v>204</v>
      </c>
      <c r="L1151" s="4">
        <v>13</v>
      </c>
      <c r="M1151" s="4">
        <v>3</v>
      </c>
      <c r="N1151" s="4" t="s">
        <v>3</v>
      </c>
      <c r="O1151" s="4">
        <v>2</v>
      </c>
      <c r="P1151" s="4"/>
      <c r="Q1151" s="4"/>
      <c r="R1151" s="4"/>
      <c r="S1151" s="4"/>
      <c r="T1151" s="4"/>
      <c r="U1151" s="4"/>
      <c r="V1151" s="4"/>
      <c r="W1151" s="4"/>
    </row>
    <row r="1152" spans="1:206" x14ac:dyDescent="0.2">
      <c r="A1152" s="4">
        <v>50</v>
      </c>
      <c r="B1152" s="4">
        <v>0</v>
      </c>
      <c r="C1152" s="4">
        <v>0</v>
      </c>
      <c r="D1152" s="4">
        <v>1</v>
      </c>
      <c r="E1152" s="4">
        <v>205</v>
      </c>
      <c r="F1152" s="4">
        <f>ROUND(Source!S1137,O1152)</f>
        <v>3415934.13</v>
      </c>
      <c r="G1152" s="4" t="s">
        <v>239</v>
      </c>
      <c r="H1152" s="4" t="s">
        <v>240</v>
      </c>
      <c r="I1152" s="4"/>
      <c r="J1152" s="4"/>
      <c r="K1152" s="4">
        <v>205</v>
      </c>
      <c r="L1152" s="4">
        <v>14</v>
      </c>
      <c r="M1152" s="4">
        <v>3</v>
      </c>
      <c r="N1152" s="4" t="s">
        <v>3</v>
      </c>
      <c r="O1152" s="4">
        <v>2</v>
      </c>
      <c r="P1152" s="4"/>
      <c r="Q1152" s="4"/>
      <c r="R1152" s="4"/>
      <c r="S1152" s="4"/>
      <c r="T1152" s="4"/>
      <c r="U1152" s="4"/>
      <c r="V1152" s="4"/>
      <c r="W1152" s="4"/>
    </row>
    <row r="1153" spans="1:23" x14ac:dyDescent="0.2">
      <c r="A1153" s="4">
        <v>50</v>
      </c>
      <c r="B1153" s="4">
        <v>0</v>
      </c>
      <c r="C1153" s="4">
        <v>0</v>
      </c>
      <c r="D1153" s="4">
        <v>1</v>
      </c>
      <c r="E1153" s="4">
        <v>232</v>
      </c>
      <c r="F1153" s="4">
        <f>ROUND(Source!BC1137,O1153)</f>
        <v>0</v>
      </c>
      <c r="G1153" s="4" t="s">
        <v>241</v>
      </c>
      <c r="H1153" s="4" t="s">
        <v>242</v>
      </c>
      <c r="I1153" s="4"/>
      <c r="J1153" s="4"/>
      <c r="K1153" s="4">
        <v>232</v>
      </c>
      <c r="L1153" s="4">
        <v>15</v>
      </c>
      <c r="M1153" s="4">
        <v>3</v>
      </c>
      <c r="N1153" s="4" t="s">
        <v>3</v>
      </c>
      <c r="O1153" s="4">
        <v>2</v>
      </c>
      <c r="P1153" s="4"/>
      <c r="Q1153" s="4"/>
      <c r="R1153" s="4"/>
      <c r="S1153" s="4"/>
      <c r="T1153" s="4"/>
      <c r="U1153" s="4"/>
      <c r="V1153" s="4"/>
      <c r="W1153" s="4"/>
    </row>
    <row r="1154" spans="1:23" x14ac:dyDescent="0.2">
      <c r="A1154" s="4">
        <v>50</v>
      </c>
      <c r="B1154" s="4">
        <v>0</v>
      </c>
      <c r="C1154" s="4">
        <v>0</v>
      </c>
      <c r="D1154" s="4">
        <v>1</v>
      </c>
      <c r="E1154" s="4">
        <v>214</v>
      </c>
      <c r="F1154" s="4">
        <f>ROUND(Source!AS1137,O1154)</f>
        <v>27612134.350000001</v>
      </c>
      <c r="G1154" s="4" t="s">
        <v>243</v>
      </c>
      <c r="H1154" s="4" t="s">
        <v>244</v>
      </c>
      <c r="I1154" s="4"/>
      <c r="J1154" s="4"/>
      <c r="K1154" s="4">
        <v>214</v>
      </c>
      <c r="L1154" s="4">
        <v>16</v>
      </c>
      <c r="M1154" s="4">
        <v>3</v>
      </c>
      <c r="N1154" s="4" t="s">
        <v>3</v>
      </c>
      <c r="O1154" s="4">
        <v>2</v>
      </c>
      <c r="P1154" s="4"/>
      <c r="Q1154" s="4"/>
      <c r="R1154" s="4"/>
      <c r="S1154" s="4"/>
      <c r="T1154" s="4"/>
      <c r="U1154" s="4"/>
      <c r="V1154" s="4"/>
      <c r="W1154" s="4"/>
    </row>
    <row r="1155" spans="1:23" x14ac:dyDescent="0.2">
      <c r="A1155" s="4">
        <v>50</v>
      </c>
      <c r="B1155" s="4">
        <v>0</v>
      </c>
      <c r="C1155" s="4">
        <v>0</v>
      </c>
      <c r="D1155" s="4">
        <v>1</v>
      </c>
      <c r="E1155" s="4">
        <v>215</v>
      </c>
      <c r="F1155" s="4">
        <f>ROUND(Source!AT1137,O1155)</f>
        <v>1020197.21</v>
      </c>
      <c r="G1155" s="4" t="s">
        <v>245</v>
      </c>
      <c r="H1155" s="4" t="s">
        <v>246</v>
      </c>
      <c r="I1155" s="4"/>
      <c r="J1155" s="4"/>
      <c r="K1155" s="4">
        <v>215</v>
      </c>
      <c r="L1155" s="4">
        <v>17</v>
      </c>
      <c r="M1155" s="4">
        <v>3</v>
      </c>
      <c r="N1155" s="4" t="s">
        <v>3</v>
      </c>
      <c r="O1155" s="4">
        <v>2</v>
      </c>
      <c r="P1155" s="4"/>
      <c r="Q1155" s="4"/>
      <c r="R1155" s="4"/>
      <c r="S1155" s="4"/>
      <c r="T1155" s="4"/>
      <c r="U1155" s="4"/>
      <c r="V1155" s="4"/>
      <c r="W1155" s="4"/>
    </row>
    <row r="1156" spans="1:23" x14ac:dyDescent="0.2">
      <c r="A1156" s="4">
        <v>50</v>
      </c>
      <c r="B1156" s="4">
        <v>0</v>
      </c>
      <c r="C1156" s="4">
        <v>0</v>
      </c>
      <c r="D1156" s="4">
        <v>1</v>
      </c>
      <c r="E1156" s="4">
        <v>217</v>
      </c>
      <c r="F1156" s="4">
        <f>ROUND(Source!AU1137,O1156)</f>
        <v>2352651.2999999998</v>
      </c>
      <c r="G1156" s="4" t="s">
        <v>247</v>
      </c>
      <c r="H1156" s="4" t="s">
        <v>248</v>
      </c>
      <c r="I1156" s="4"/>
      <c r="J1156" s="4"/>
      <c r="K1156" s="4">
        <v>217</v>
      </c>
      <c r="L1156" s="4">
        <v>18</v>
      </c>
      <c r="M1156" s="4">
        <v>3</v>
      </c>
      <c r="N1156" s="4" t="s">
        <v>3</v>
      </c>
      <c r="O1156" s="4">
        <v>2</v>
      </c>
      <c r="P1156" s="4"/>
      <c r="Q1156" s="4"/>
      <c r="R1156" s="4"/>
      <c r="S1156" s="4"/>
      <c r="T1156" s="4"/>
      <c r="U1156" s="4"/>
      <c r="V1156" s="4"/>
      <c r="W1156" s="4"/>
    </row>
    <row r="1157" spans="1:23" x14ac:dyDescent="0.2">
      <c r="A1157" s="4">
        <v>50</v>
      </c>
      <c r="B1157" s="4">
        <v>0</v>
      </c>
      <c r="C1157" s="4">
        <v>0</v>
      </c>
      <c r="D1157" s="4">
        <v>1</v>
      </c>
      <c r="E1157" s="4">
        <v>230</v>
      </c>
      <c r="F1157" s="4">
        <f>ROUND(Source!BA1137,O1157)</f>
        <v>0</v>
      </c>
      <c r="G1157" s="4" t="s">
        <v>249</v>
      </c>
      <c r="H1157" s="4" t="s">
        <v>250</v>
      </c>
      <c r="I1157" s="4"/>
      <c r="J1157" s="4"/>
      <c r="K1157" s="4">
        <v>230</v>
      </c>
      <c r="L1157" s="4">
        <v>19</v>
      </c>
      <c r="M1157" s="4">
        <v>3</v>
      </c>
      <c r="N1157" s="4" t="s">
        <v>3</v>
      </c>
      <c r="O1157" s="4">
        <v>2</v>
      </c>
      <c r="P1157" s="4"/>
      <c r="Q1157" s="4"/>
      <c r="R1157" s="4"/>
      <c r="S1157" s="4"/>
      <c r="T1157" s="4"/>
      <c r="U1157" s="4"/>
      <c r="V1157" s="4"/>
      <c r="W1157" s="4"/>
    </row>
    <row r="1158" spans="1:23" x14ac:dyDescent="0.2">
      <c r="A1158" s="4">
        <v>50</v>
      </c>
      <c r="B1158" s="4">
        <v>0</v>
      </c>
      <c r="C1158" s="4">
        <v>0</v>
      </c>
      <c r="D1158" s="4">
        <v>1</v>
      </c>
      <c r="E1158" s="4">
        <v>206</v>
      </c>
      <c r="F1158" s="4">
        <f>ROUND(Source!T1137,O1158)</f>
        <v>0</v>
      </c>
      <c r="G1158" s="4" t="s">
        <v>251</v>
      </c>
      <c r="H1158" s="4" t="s">
        <v>252</v>
      </c>
      <c r="I1158" s="4"/>
      <c r="J1158" s="4"/>
      <c r="K1158" s="4">
        <v>206</v>
      </c>
      <c r="L1158" s="4">
        <v>20</v>
      </c>
      <c r="M1158" s="4">
        <v>3</v>
      </c>
      <c r="N1158" s="4" t="s">
        <v>3</v>
      </c>
      <c r="O1158" s="4">
        <v>2</v>
      </c>
      <c r="P1158" s="4"/>
      <c r="Q1158" s="4"/>
      <c r="R1158" s="4"/>
      <c r="S1158" s="4"/>
      <c r="T1158" s="4"/>
      <c r="U1158" s="4"/>
      <c r="V1158" s="4"/>
      <c r="W1158" s="4"/>
    </row>
    <row r="1159" spans="1:23" x14ac:dyDescent="0.2">
      <c r="A1159" s="4">
        <v>50</v>
      </c>
      <c r="B1159" s="4">
        <v>0</v>
      </c>
      <c r="C1159" s="4">
        <v>0</v>
      </c>
      <c r="D1159" s="4">
        <v>1</v>
      </c>
      <c r="E1159" s="4">
        <v>207</v>
      </c>
      <c r="F1159" s="4">
        <f>Source!U1137</f>
        <v>12181.96579255</v>
      </c>
      <c r="G1159" s="4" t="s">
        <v>253</v>
      </c>
      <c r="H1159" s="4" t="s">
        <v>254</v>
      </c>
      <c r="I1159" s="4"/>
      <c r="J1159" s="4"/>
      <c r="K1159" s="4">
        <v>207</v>
      </c>
      <c r="L1159" s="4">
        <v>21</v>
      </c>
      <c r="M1159" s="4">
        <v>3</v>
      </c>
      <c r="N1159" s="4" t="s">
        <v>3</v>
      </c>
      <c r="O1159" s="4">
        <v>-1</v>
      </c>
      <c r="P1159" s="4"/>
      <c r="Q1159" s="4"/>
      <c r="R1159" s="4"/>
      <c r="S1159" s="4"/>
      <c r="T1159" s="4"/>
      <c r="U1159" s="4"/>
      <c r="V1159" s="4"/>
      <c r="W1159" s="4"/>
    </row>
    <row r="1160" spans="1:23" x14ac:dyDescent="0.2">
      <c r="A1160" s="4">
        <v>50</v>
      </c>
      <c r="B1160" s="4">
        <v>0</v>
      </c>
      <c r="C1160" s="4">
        <v>0</v>
      </c>
      <c r="D1160" s="4">
        <v>1</v>
      </c>
      <c r="E1160" s="4">
        <v>208</v>
      </c>
      <c r="F1160" s="4">
        <f>Source!V1137</f>
        <v>0</v>
      </c>
      <c r="G1160" s="4" t="s">
        <v>255</v>
      </c>
      <c r="H1160" s="4" t="s">
        <v>256</v>
      </c>
      <c r="I1160" s="4"/>
      <c r="J1160" s="4"/>
      <c r="K1160" s="4">
        <v>208</v>
      </c>
      <c r="L1160" s="4">
        <v>22</v>
      </c>
      <c r="M1160" s="4">
        <v>3</v>
      </c>
      <c r="N1160" s="4" t="s">
        <v>3</v>
      </c>
      <c r="O1160" s="4">
        <v>-1</v>
      </c>
      <c r="P1160" s="4"/>
      <c r="Q1160" s="4"/>
      <c r="R1160" s="4"/>
      <c r="S1160" s="4"/>
      <c r="T1160" s="4"/>
      <c r="U1160" s="4"/>
      <c r="V1160" s="4"/>
      <c r="W1160" s="4"/>
    </row>
    <row r="1161" spans="1:23" x14ac:dyDescent="0.2">
      <c r="A1161" s="4">
        <v>50</v>
      </c>
      <c r="B1161" s="4">
        <v>0</v>
      </c>
      <c r="C1161" s="4">
        <v>0</v>
      </c>
      <c r="D1161" s="4">
        <v>1</v>
      </c>
      <c r="E1161" s="4">
        <v>209</v>
      </c>
      <c r="F1161" s="4">
        <f>ROUND(Source!W1137,O1161)</f>
        <v>0</v>
      </c>
      <c r="G1161" s="4" t="s">
        <v>257</v>
      </c>
      <c r="H1161" s="4" t="s">
        <v>258</v>
      </c>
      <c r="I1161" s="4"/>
      <c r="J1161" s="4"/>
      <c r="K1161" s="4">
        <v>209</v>
      </c>
      <c r="L1161" s="4">
        <v>23</v>
      </c>
      <c r="M1161" s="4">
        <v>3</v>
      </c>
      <c r="N1161" s="4" t="s">
        <v>3</v>
      </c>
      <c r="O1161" s="4">
        <v>2</v>
      </c>
      <c r="P1161" s="4"/>
      <c r="Q1161" s="4"/>
      <c r="R1161" s="4"/>
      <c r="S1161" s="4"/>
      <c r="T1161" s="4"/>
      <c r="U1161" s="4"/>
      <c r="V1161" s="4"/>
      <c r="W1161" s="4"/>
    </row>
    <row r="1162" spans="1:23" x14ac:dyDescent="0.2">
      <c r="A1162" s="4">
        <v>50</v>
      </c>
      <c r="B1162" s="4">
        <v>0</v>
      </c>
      <c r="C1162" s="4">
        <v>0</v>
      </c>
      <c r="D1162" s="4">
        <v>1</v>
      </c>
      <c r="E1162" s="4">
        <v>233</v>
      </c>
      <c r="F1162" s="4">
        <f>ROUND(Source!BD1137,O1162)</f>
        <v>0</v>
      </c>
      <c r="G1162" s="4" t="s">
        <v>259</v>
      </c>
      <c r="H1162" s="4" t="s">
        <v>260</v>
      </c>
      <c r="I1162" s="4"/>
      <c r="J1162" s="4"/>
      <c r="K1162" s="4">
        <v>233</v>
      </c>
      <c r="L1162" s="4">
        <v>24</v>
      </c>
      <c r="M1162" s="4">
        <v>3</v>
      </c>
      <c r="N1162" s="4" t="s">
        <v>3</v>
      </c>
      <c r="O1162" s="4">
        <v>2</v>
      </c>
      <c r="P1162" s="4"/>
      <c r="Q1162" s="4"/>
      <c r="R1162" s="4"/>
      <c r="S1162" s="4"/>
      <c r="T1162" s="4"/>
      <c r="U1162" s="4"/>
      <c r="V1162" s="4"/>
      <c r="W1162" s="4"/>
    </row>
    <row r="1163" spans="1:23" x14ac:dyDescent="0.2">
      <c r="A1163" s="4">
        <v>50</v>
      </c>
      <c r="B1163" s="4">
        <v>0</v>
      </c>
      <c r="C1163" s="4">
        <v>0</v>
      </c>
      <c r="D1163" s="4">
        <v>1</v>
      </c>
      <c r="E1163" s="4">
        <v>210</v>
      </c>
      <c r="F1163" s="4">
        <f>ROUND(Source!X1137,O1163)</f>
        <v>2800638.96</v>
      </c>
      <c r="G1163" s="4" t="s">
        <v>261</v>
      </c>
      <c r="H1163" s="4" t="s">
        <v>262</v>
      </c>
      <c r="I1163" s="4"/>
      <c r="J1163" s="4"/>
      <c r="K1163" s="4">
        <v>210</v>
      </c>
      <c r="L1163" s="4">
        <v>25</v>
      </c>
      <c r="M1163" s="4">
        <v>3</v>
      </c>
      <c r="N1163" s="4" t="s">
        <v>3</v>
      </c>
      <c r="O1163" s="4">
        <v>2</v>
      </c>
      <c r="P1163" s="4"/>
      <c r="Q1163" s="4"/>
      <c r="R1163" s="4"/>
      <c r="S1163" s="4"/>
      <c r="T1163" s="4"/>
      <c r="U1163" s="4"/>
      <c r="V1163" s="4"/>
      <c r="W1163" s="4"/>
    </row>
    <row r="1164" spans="1:23" x14ac:dyDescent="0.2">
      <c r="A1164" s="4">
        <v>50</v>
      </c>
      <c r="B1164" s="4">
        <v>0</v>
      </c>
      <c r="C1164" s="4">
        <v>0</v>
      </c>
      <c r="D1164" s="4">
        <v>1</v>
      </c>
      <c r="E1164" s="4">
        <v>211</v>
      </c>
      <c r="F1164" s="4">
        <f>ROUND(Source!Y1137,O1164)</f>
        <v>1424615.33</v>
      </c>
      <c r="G1164" s="4" t="s">
        <v>263</v>
      </c>
      <c r="H1164" s="4" t="s">
        <v>264</v>
      </c>
      <c r="I1164" s="4"/>
      <c r="J1164" s="4"/>
      <c r="K1164" s="4">
        <v>211</v>
      </c>
      <c r="L1164" s="4">
        <v>26</v>
      </c>
      <c r="M1164" s="4">
        <v>3</v>
      </c>
      <c r="N1164" s="4" t="s">
        <v>3</v>
      </c>
      <c r="O1164" s="4">
        <v>2</v>
      </c>
      <c r="P1164" s="4"/>
      <c r="Q1164" s="4"/>
      <c r="R1164" s="4"/>
      <c r="S1164" s="4"/>
      <c r="T1164" s="4"/>
      <c r="U1164" s="4"/>
      <c r="V1164" s="4"/>
      <c r="W1164" s="4"/>
    </row>
    <row r="1165" spans="1:23" x14ac:dyDescent="0.2">
      <c r="A1165" s="4">
        <v>50</v>
      </c>
      <c r="B1165" s="4">
        <v>0</v>
      </c>
      <c r="C1165" s="4">
        <v>0</v>
      </c>
      <c r="D1165" s="4">
        <v>1</v>
      </c>
      <c r="E1165" s="4">
        <v>224</v>
      </c>
      <c r="F1165" s="4">
        <f>ROUND(Source!AR1137,O1165)</f>
        <v>31155250.010000002</v>
      </c>
      <c r="G1165" s="4" t="s">
        <v>265</v>
      </c>
      <c r="H1165" s="4" t="s">
        <v>266</v>
      </c>
      <c r="I1165" s="4"/>
      <c r="J1165" s="4"/>
      <c r="K1165" s="4">
        <v>224</v>
      </c>
      <c r="L1165" s="4">
        <v>27</v>
      </c>
      <c r="M1165" s="4">
        <v>3</v>
      </c>
      <c r="N1165" s="4" t="s">
        <v>3</v>
      </c>
      <c r="O1165" s="4">
        <v>2</v>
      </c>
      <c r="P1165" s="4"/>
      <c r="Q1165" s="4"/>
      <c r="R1165" s="4"/>
      <c r="S1165" s="4"/>
      <c r="T1165" s="4"/>
      <c r="U1165" s="4"/>
      <c r="V1165" s="4"/>
      <c r="W1165" s="4"/>
    </row>
    <row r="1166" spans="1:23" x14ac:dyDescent="0.2">
      <c r="A1166" s="4">
        <v>50</v>
      </c>
      <c r="B1166" s="4">
        <v>1</v>
      </c>
      <c r="C1166" s="4">
        <v>0</v>
      </c>
      <c r="D1166" s="4">
        <v>2</v>
      </c>
      <c r="E1166" s="4">
        <v>0</v>
      </c>
      <c r="F1166" s="4">
        <f>ROUND(F1165,O1166)</f>
        <v>31155250.010000002</v>
      </c>
      <c r="G1166" s="4" t="s">
        <v>1215</v>
      </c>
      <c r="H1166" s="4" t="s">
        <v>1216</v>
      </c>
      <c r="I1166" s="4"/>
      <c r="J1166" s="4"/>
      <c r="K1166" s="4">
        <v>212</v>
      </c>
      <c r="L1166" s="4">
        <v>28</v>
      </c>
      <c r="M1166" s="4">
        <v>0</v>
      </c>
      <c r="N1166" s="4" t="s">
        <v>3</v>
      </c>
      <c r="O1166" s="4">
        <v>2</v>
      </c>
      <c r="P1166" s="4"/>
      <c r="Q1166" s="4"/>
      <c r="R1166" s="4"/>
      <c r="S1166" s="4"/>
      <c r="T1166" s="4"/>
      <c r="U1166" s="4"/>
      <c r="V1166" s="4"/>
      <c r="W1166" s="4"/>
    </row>
    <row r="1167" spans="1:23" x14ac:dyDescent="0.2">
      <c r="A1167" s="4">
        <v>50</v>
      </c>
      <c r="B1167" s="4">
        <v>1</v>
      </c>
      <c r="C1167" s="4">
        <v>0</v>
      </c>
      <c r="D1167" s="4">
        <v>2</v>
      </c>
      <c r="E1167" s="4">
        <v>0</v>
      </c>
      <c r="F1167" s="4">
        <f>ROUND(F1166*0.2,O1167)</f>
        <v>6231050</v>
      </c>
      <c r="G1167" s="4" t="s">
        <v>1217</v>
      </c>
      <c r="H1167" s="4" t="s">
        <v>1218</v>
      </c>
      <c r="I1167" s="4"/>
      <c r="J1167" s="4"/>
      <c r="K1167" s="4">
        <v>212</v>
      </c>
      <c r="L1167" s="4">
        <v>29</v>
      </c>
      <c r="M1167" s="4">
        <v>0</v>
      </c>
      <c r="N1167" s="4" t="s">
        <v>3</v>
      </c>
      <c r="O1167" s="4">
        <v>2</v>
      </c>
      <c r="P1167" s="4"/>
      <c r="Q1167" s="4"/>
      <c r="R1167" s="4"/>
      <c r="S1167" s="4"/>
      <c r="T1167" s="4"/>
      <c r="U1167" s="4"/>
      <c r="V1167" s="4"/>
      <c r="W1167" s="4"/>
    </row>
    <row r="1168" spans="1:23" x14ac:dyDescent="0.2">
      <c r="A1168" s="4">
        <v>50</v>
      </c>
      <c r="B1168" s="4">
        <v>1</v>
      </c>
      <c r="C1168" s="4">
        <v>0</v>
      </c>
      <c r="D1168" s="4">
        <v>2</v>
      </c>
      <c r="E1168" s="4">
        <v>0</v>
      </c>
      <c r="F1168" s="4">
        <f>ROUND(F1166+F1167,O1168)</f>
        <v>37386300.009999998</v>
      </c>
      <c r="G1168" s="4" t="s">
        <v>1219</v>
      </c>
      <c r="H1168" s="4" t="s">
        <v>1220</v>
      </c>
      <c r="I1168" s="4"/>
      <c r="J1168" s="4"/>
      <c r="K1168" s="4">
        <v>212</v>
      </c>
      <c r="L1168" s="4">
        <v>30</v>
      </c>
      <c r="M1168" s="4">
        <v>0</v>
      </c>
      <c r="N1168" s="4" t="s">
        <v>3</v>
      </c>
      <c r="O1168" s="4">
        <v>2</v>
      </c>
      <c r="P1168" s="4"/>
      <c r="Q1168" s="4"/>
      <c r="R1168" s="4"/>
      <c r="S1168" s="4"/>
      <c r="T1168" s="4"/>
      <c r="U1168" s="4"/>
      <c r="V1168" s="4"/>
      <c r="W1168" s="4"/>
    </row>
    <row r="1170" spans="1:40" x14ac:dyDescent="0.2">
      <c r="A1170" s="5">
        <v>61</v>
      </c>
      <c r="B1170" s="5"/>
      <c r="C1170" s="5"/>
      <c r="D1170" s="5"/>
      <c r="E1170" s="5"/>
      <c r="F1170" s="5">
        <v>3</v>
      </c>
      <c r="G1170" s="5" t="s">
        <v>732</v>
      </c>
      <c r="H1170" s="5" t="s">
        <v>1221</v>
      </c>
    </row>
    <row r="1171" spans="1:40" x14ac:dyDescent="0.2">
      <c r="A1171" s="5">
        <v>61</v>
      </c>
      <c r="B1171" s="5"/>
      <c r="C1171" s="5"/>
      <c r="D1171" s="5"/>
      <c r="E1171" s="5"/>
      <c r="F1171" s="5">
        <v>2</v>
      </c>
      <c r="G1171" s="5" t="s">
        <v>1222</v>
      </c>
      <c r="H1171" s="5" t="s">
        <v>1221</v>
      </c>
    </row>
    <row r="1172" spans="1:40" x14ac:dyDescent="0.2">
      <c r="A1172" s="5">
        <v>61</v>
      </c>
      <c r="B1172" s="5"/>
      <c r="C1172" s="5"/>
      <c r="D1172" s="5"/>
      <c r="E1172" s="5"/>
      <c r="F1172" s="5">
        <v>1</v>
      </c>
      <c r="G1172" s="5" t="s">
        <v>1223</v>
      </c>
      <c r="H1172" s="5" t="s">
        <v>1221</v>
      </c>
    </row>
    <row r="1175" spans="1:40" x14ac:dyDescent="0.2">
      <c r="A1175">
        <v>-1</v>
      </c>
    </row>
    <row r="1177" spans="1:40" x14ac:dyDescent="0.2">
      <c r="A1177" s="3">
        <v>75</v>
      </c>
      <c r="B1177" s="3" t="s">
        <v>1224</v>
      </c>
      <c r="C1177" s="3">
        <v>2021</v>
      </c>
      <c r="D1177" s="3">
        <v>0</v>
      </c>
      <c r="E1177" s="3">
        <v>8</v>
      </c>
      <c r="F1177" s="3"/>
      <c r="G1177" s="3">
        <v>0</v>
      </c>
      <c r="H1177" s="3">
        <v>2</v>
      </c>
      <c r="I1177" s="3">
        <v>1</v>
      </c>
      <c r="J1177" s="3">
        <v>1</v>
      </c>
      <c r="K1177" s="3">
        <v>93</v>
      </c>
      <c r="L1177" s="3">
        <v>64</v>
      </c>
      <c r="M1177" s="3">
        <v>0</v>
      </c>
      <c r="N1177" s="3">
        <v>42938047</v>
      </c>
      <c r="O1177" s="3">
        <v>1</v>
      </c>
    </row>
    <row r="1178" spans="1:40" x14ac:dyDescent="0.2">
      <c r="A1178" s="6">
        <v>1</v>
      </c>
      <c r="B1178" s="6" t="s">
        <v>1225</v>
      </c>
      <c r="C1178" s="6" t="s">
        <v>1226</v>
      </c>
      <c r="D1178" s="6">
        <v>2021</v>
      </c>
      <c r="E1178" s="6">
        <v>8</v>
      </c>
      <c r="F1178" s="6">
        <v>1</v>
      </c>
      <c r="G1178" s="6">
        <v>1</v>
      </c>
      <c r="H1178" s="6">
        <v>0</v>
      </c>
      <c r="I1178" s="6">
        <v>2</v>
      </c>
      <c r="J1178" s="6">
        <v>1</v>
      </c>
      <c r="K1178" s="6">
        <v>1</v>
      </c>
      <c r="L1178" s="6">
        <v>1</v>
      </c>
      <c r="M1178" s="6">
        <v>1</v>
      </c>
      <c r="N1178" s="6">
        <v>1</v>
      </c>
      <c r="O1178" s="6">
        <v>1</v>
      </c>
      <c r="P1178" s="6">
        <v>1</v>
      </c>
      <c r="Q1178" s="6">
        <v>1</v>
      </c>
      <c r="R1178" s="6" t="s">
        <v>3</v>
      </c>
      <c r="S1178" s="6" t="s">
        <v>3</v>
      </c>
      <c r="T1178" s="6" t="s">
        <v>3</v>
      </c>
      <c r="U1178" s="6" t="s">
        <v>3</v>
      </c>
      <c r="V1178" s="6" t="s">
        <v>3</v>
      </c>
      <c r="W1178" s="6" t="s">
        <v>3</v>
      </c>
      <c r="X1178" s="6" t="s">
        <v>3</v>
      </c>
      <c r="Y1178" s="6" t="s">
        <v>3</v>
      </c>
      <c r="Z1178" s="6" t="s">
        <v>3</v>
      </c>
      <c r="AA1178" s="6" t="s">
        <v>1098</v>
      </c>
      <c r="AB1178" s="6"/>
      <c r="AC1178" s="6"/>
      <c r="AD1178" s="6"/>
      <c r="AE1178" s="6"/>
      <c r="AF1178" s="6"/>
      <c r="AG1178" s="6"/>
      <c r="AH1178" s="6"/>
      <c r="AI1178" s="6"/>
      <c r="AJ1178" s="6"/>
      <c r="AK1178" s="6"/>
      <c r="AL1178" s="6"/>
      <c r="AM1178" s="6"/>
      <c r="AN1178" s="6">
        <v>43134847</v>
      </c>
    </row>
    <row r="1182" spans="1:40" x14ac:dyDescent="0.2">
      <c r="A1182">
        <v>65</v>
      </c>
      <c r="C1182">
        <v>1</v>
      </c>
      <c r="D1182">
        <v>0</v>
      </c>
      <c r="E1182">
        <v>245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55"/>
  <sheetViews>
    <sheetView workbookViewId="0"/>
  </sheetViews>
  <sheetFormatPr defaultColWidth="9.140625" defaultRowHeight="12.75" x14ac:dyDescent="0.2"/>
  <cols>
    <col min="1" max="256" width="9.140625" customWidth="1"/>
  </cols>
  <sheetData>
    <row r="1" spans="1:133" x14ac:dyDescent="0.2">
      <c r="A1">
        <v>0</v>
      </c>
      <c r="B1" t="s">
        <v>0</v>
      </c>
      <c r="D1" t="s">
        <v>1227</v>
      </c>
      <c r="F1">
        <v>0</v>
      </c>
      <c r="G1">
        <v>0</v>
      </c>
      <c r="H1">
        <v>0</v>
      </c>
      <c r="I1" t="s">
        <v>2</v>
      </c>
      <c r="J1" t="s">
        <v>3</v>
      </c>
      <c r="K1">
        <v>1</v>
      </c>
      <c r="L1">
        <v>66157</v>
      </c>
      <c r="M1">
        <v>10</v>
      </c>
      <c r="N1">
        <v>11</v>
      </c>
      <c r="O1">
        <v>3</v>
      </c>
      <c r="P1">
        <v>0</v>
      </c>
      <c r="Q1">
        <v>3</v>
      </c>
    </row>
    <row r="12" spans="1:133" x14ac:dyDescent="0.2">
      <c r="A12" s="1">
        <v>1</v>
      </c>
      <c r="B12" s="1">
        <v>54</v>
      </c>
      <c r="C12" s="1">
        <v>0</v>
      </c>
      <c r="D12" s="1"/>
      <c r="E12" s="1">
        <v>0</v>
      </c>
      <c r="F12" s="1" t="s">
        <v>4</v>
      </c>
      <c r="G12" s="1" t="s">
        <v>5</v>
      </c>
      <c r="H12" s="1" t="s">
        <v>3</v>
      </c>
      <c r="I12" s="1">
        <v>0</v>
      </c>
      <c r="J12" s="1" t="s">
        <v>3</v>
      </c>
      <c r="K12" s="1">
        <v>0</v>
      </c>
      <c r="L12" s="1">
        <v>0</v>
      </c>
      <c r="M12" s="1">
        <v>2</v>
      </c>
      <c r="N12" s="1"/>
      <c r="O12" s="1">
        <v>0</v>
      </c>
      <c r="P12" s="1">
        <v>0</v>
      </c>
      <c r="Q12" s="1">
        <v>0</v>
      </c>
      <c r="R12" s="1">
        <v>157</v>
      </c>
      <c r="S12" s="1"/>
      <c r="T12" s="1">
        <v>1</v>
      </c>
      <c r="U12" s="1" t="s">
        <v>3</v>
      </c>
      <c r="V12" s="1">
        <v>0</v>
      </c>
      <c r="W12" s="1" t="s">
        <v>3</v>
      </c>
      <c r="X12" s="1" t="s">
        <v>3</v>
      </c>
      <c r="Y12" s="1" t="s">
        <v>3</v>
      </c>
      <c r="Z12" s="1" t="s">
        <v>3</v>
      </c>
      <c r="AA12" s="1" t="s">
        <v>3</v>
      </c>
      <c r="AB12" s="1" t="s">
        <v>3</v>
      </c>
      <c r="AC12" s="1" t="s">
        <v>3</v>
      </c>
      <c r="AD12" s="1" t="s">
        <v>3</v>
      </c>
      <c r="AE12" s="1" t="s">
        <v>3</v>
      </c>
      <c r="AF12" s="1" t="s">
        <v>3</v>
      </c>
      <c r="AG12" s="1" t="s">
        <v>3</v>
      </c>
      <c r="AH12" s="1" t="s">
        <v>3</v>
      </c>
      <c r="AI12" s="1" t="s">
        <v>3</v>
      </c>
      <c r="AJ12" s="1" t="s">
        <v>3</v>
      </c>
      <c r="AK12" s="1"/>
      <c r="AL12" s="1" t="s">
        <v>3</v>
      </c>
      <c r="AM12" s="1" t="s">
        <v>3</v>
      </c>
      <c r="AN12" s="1" t="s">
        <v>3</v>
      </c>
      <c r="AO12" s="1"/>
      <c r="AP12" s="1" t="s">
        <v>3</v>
      </c>
      <c r="AQ12" s="1" t="s">
        <v>3</v>
      </c>
      <c r="AR12" s="1" t="s">
        <v>3</v>
      </c>
      <c r="AS12" s="1"/>
      <c r="AT12" s="1"/>
      <c r="AU12" s="1"/>
      <c r="AV12" s="1"/>
      <c r="AW12" s="1"/>
      <c r="AX12" s="1" t="s">
        <v>3</v>
      </c>
      <c r="AY12" s="1" t="s">
        <v>3</v>
      </c>
      <c r="AZ12" s="1" t="s">
        <v>3</v>
      </c>
      <c r="BA12" s="1"/>
      <c r="BB12" s="1">
        <v>0</v>
      </c>
      <c r="BC12" s="1"/>
      <c r="BD12" s="1"/>
      <c r="BE12" s="1"/>
      <c r="BF12" s="1"/>
      <c r="BG12" s="1"/>
      <c r="BH12" s="1" t="s">
        <v>6</v>
      </c>
      <c r="BI12" s="1" t="s">
        <v>7</v>
      </c>
      <c r="BJ12" s="1">
        <v>1</v>
      </c>
      <c r="BK12" s="1">
        <v>1</v>
      </c>
      <c r="BL12" s="1">
        <v>0</v>
      </c>
      <c r="BM12" s="1">
        <v>0</v>
      </c>
      <c r="BN12" s="1">
        <v>1</v>
      </c>
      <c r="BO12" s="1">
        <v>0</v>
      </c>
      <c r="BP12" s="1">
        <v>6</v>
      </c>
      <c r="BQ12" s="1">
        <v>2</v>
      </c>
      <c r="BR12" s="1">
        <v>1</v>
      </c>
      <c r="BS12" s="1">
        <v>1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 t="s">
        <v>8</v>
      </c>
      <c r="BZ12" s="1" t="s">
        <v>9</v>
      </c>
      <c r="CA12" s="1" t="s">
        <v>10</v>
      </c>
      <c r="CB12" s="1" t="s">
        <v>10</v>
      </c>
      <c r="CC12" s="1" t="s">
        <v>10</v>
      </c>
      <c r="CD12" s="1" t="s">
        <v>10</v>
      </c>
      <c r="CE12" s="1" t="s">
        <v>11</v>
      </c>
      <c r="CF12" s="1">
        <v>0</v>
      </c>
      <c r="CG12" s="1">
        <v>0</v>
      </c>
      <c r="CH12" s="1">
        <v>83886080</v>
      </c>
      <c r="CI12" s="1" t="s">
        <v>3</v>
      </c>
      <c r="CJ12" s="1" t="s">
        <v>3</v>
      </c>
      <c r="CK12" s="1">
        <v>61</v>
      </c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>
        <v>0</v>
      </c>
    </row>
    <row r="14" spans="1:133" x14ac:dyDescent="0.2">
      <c r="A14" s="1">
        <v>22</v>
      </c>
      <c r="B14" s="1">
        <v>0</v>
      </c>
      <c r="C14" s="1">
        <v>0</v>
      </c>
      <c r="D14" s="1">
        <v>42938047</v>
      </c>
      <c r="E14" s="1">
        <v>0</v>
      </c>
      <c r="F14" s="1">
        <v>3</v>
      </c>
      <c r="G14" s="1"/>
      <c r="H14" s="1"/>
      <c r="I14" s="1"/>
      <c r="J14" s="1"/>
      <c r="K14" s="1"/>
      <c r="L14" s="1"/>
      <c r="M14" s="1"/>
      <c r="N14" s="1"/>
      <c r="O14" s="1"/>
    </row>
    <row r="16" spans="1:133" x14ac:dyDescent="0.2">
      <c r="A16" s="7">
        <v>3</v>
      </c>
      <c r="B16" s="7">
        <v>1</v>
      </c>
      <c r="C16" s="7" t="s">
        <v>12</v>
      </c>
      <c r="D16" s="7" t="s">
        <v>12</v>
      </c>
      <c r="E16" s="8">
        <f>(Source!F1124)/1000</f>
        <v>27612.13435</v>
      </c>
      <c r="F16" s="8">
        <f>(Source!F1125)/1000</f>
        <v>1020.1972099999999</v>
      </c>
      <c r="G16" s="8">
        <f>(Source!F1116)/1000</f>
        <v>170.26714999999999</v>
      </c>
      <c r="H16" s="8">
        <f>(Source!F1126)/1000+(Source!F1127)/1000</f>
        <v>2352.6513</v>
      </c>
      <c r="I16" s="8">
        <f>E16+F16+G16+H16</f>
        <v>31155.25001</v>
      </c>
      <c r="J16" s="8">
        <f>(Source!F1122)/1000</f>
        <v>3415.9341300000001</v>
      </c>
      <c r="AI16" s="7">
        <v>0</v>
      </c>
      <c r="AJ16" s="7">
        <v>0</v>
      </c>
      <c r="AK16" s="7" t="s">
        <v>3</v>
      </c>
      <c r="AL16" s="7" t="s">
        <v>3</v>
      </c>
      <c r="AM16" s="7" t="s">
        <v>3</v>
      </c>
      <c r="AN16" s="7">
        <v>0</v>
      </c>
      <c r="AO16" s="7" t="s">
        <v>3</v>
      </c>
      <c r="AP16" s="7" t="s">
        <v>3</v>
      </c>
      <c r="AT16" s="8">
        <v>26222910.100000001</v>
      </c>
      <c r="AU16" s="8">
        <v>19673623.34</v>
      </c>
      <c r="AV16" s="8">
        <v>0</v>
      </c>
      <c r="AW16" s="8">
        <v>170267.15</v>
      </c>
      <c r="AX16" s="8">
        <v>0</v>
      </c>
      <c r="AY16" s="8">
        <v>3133352.63</v>
      </c>
      <c r="AZ16" s="8">
        <v>450372.98</v>
      </c>
      <c r="BA16" s="8">
        <v>3415934.13</v>
      </c>
      <c r="BB16" s="8">
        <v>27612134.350000001</v>
      </c>
      <c r="BC16" s="8">
        <v>1020197.21</v>
      </c>
      <c r="BD16" s="8">
        <v>2352651.2999999998</v>
      </c>
      <c r="BE16" s="8">
        <v>0</v>
      </c>
      <c r="BF16" s="8">
        <v>12181.965792549996</v>
      </c>
      <c r="BG16" s="8">
        <v>0</v>
      </c>
      <c r="BH16" s="8">
        <v>0</v>
      </c>
      <c r="BI16" s="8">
        <v>2800638.96</v>
      </c>
      <c r="BJ16" s="8">
        <v>1424615.33</v>
      </c>
      <c r="BK16" s="8">
        <v>31155250.010000002</v>
      </c>
    </row>
    <row r="18" spans="1:19" x14ac:dyDescent="0.2">
      <c r="A18">
        <v>51</v>
      </c>
      <c r="E18" s="5">
        <f>SUMIF(A16:A17,3,E16:E17)</f>
        <v>27612.13435</v>
      </c>
      <c r="F18" s="5">
        <f>SUMIF(A16:A17,3,F16:F17)</f>
        <v>1020.1972099999999</v>
      </c>
      <c r="G18" s="5">
        <f>SUMIF(A16:A17,3,G16:G17)</f>
        <v>170.26714999999999</v>
      </c>
      <c r="H18" s="5">
        <f>SUMIF(A16:A17,3,H16:H17)</f>
        <v>2352.6513</v>
      </c>
      <c r="I18" s="5">
        <f>SUMIF(A16:A17,3,I16:I17)</f>
        <v>31155.25001</v>
      </c>
      <c r="J18" s="5">
        <f>SUMIF(A16:A17,3,J16:J17)</f>
        <v>3415.9341300000001</v>
      </c>
      <c r="K18" s="5"/>
      <c r="L18" s="5"/>
      <c r="M18" s="5"/>
      <c r="N18" s="5"/>
      <c r="O18" s="5"/>
      <c r="P18" s="5"/>
      <c r="Q18" s="5"/>
      <c r="R18" s="5"/>
      <c r="S18" s="5"/>
    </row>
    <row r="20" spans="1:19" x14ac:dyDescent="0.2">
      <c r="A20" s="4">
        <v>50</v>
      </c>
      <c r="B20" s="4">
        <v>0</v>
      </c>
      <c r="C20" s="4">
        <v>0</v>
      </c>
      <c r="D20" s="4">
        <v>1</v>
      </c>
      <c r="E20" s="4">
        <v>201</v>
      </c>
      <c r="F20" s="4">
        <v>26222910.100000001</v>
      </c>
      <c r="G20" s="4" t="s">
        <v>213</v>
      </c>
      <c r="H20" s="4" t="s">
        <v>214</v>
      </c>
      <c r="I20" s="4"/>
      <c r="J20" s="4"/>
      <c r="K20" s="4">
        <v>201</v>
      </c>
      <c r="L20" s="4">
        <v>1</v>
      </c>
      <c r="M20" s="4">
        <v>3</v>
      </c>
      <c r="N20" s="4" t="s">
        <v>3</v>
      </c>
      <c r="O20" s="4">
        <v>2</v>
      </c>
      <c r="P20" s="4"/>
    </row>
    <row r="21" spans="1:19" x14ac:dyDescent="0.2">
      <c r="A21" s="4">
        <v>50</v>
      </c>
      <c r="B21" s="4">
        <v>0</v>
      </c>
      <c r="C21" s="4">
        <v>0</v>
      </c>
      <c r="D21" s="4">
        <v>1</v>
      </c>
      <c r="E21" s="4">
        <v>202</v>
      </c>
      <c r="F21" s="4">
        <v>19673623.34</v>
      </c>
      <c r="G21" s="4" t="s">
        <v>215</v>
      </c>
      <c r="H21" s="4" t="s">
        <v>216</v>
      </c>
      <c r="I21" s="4"/>
      <c r="J21" s="4"/>
      <c r="K21" s="4">
        <v>202</v>
      </c>
      <c r="L21" s="4">
        <v>2</v>
      </c>
      <c r="M21" s="4">
        <v>3</v>
      </c>
      <c r="N21" s="4" t="s">
        <v>3</v>
      </c>
      <c r="O21" s="4">
        <v>2</v>
      </c>
      <c r="P21" s="4"/>
    </row>
    <row r="22" spans="1:19" x14ac:dyDescent="0.2">
      <c r="A22" s="4">
        <v>50</v>
      </c>
      <c r="B22" s="4">
        <v>0</v>
      </c>
      <c r="C22" s="4">
        <v>0</v>
      </c>
      <c r="D22" s="4">
        <v>1</v>
      </c>
      <c r="E22" s="4">
        <v>222</v>
      </c>
      <c r="F22" s="4">
        <v>0</v>
      </c>
      <c r="G22" s="4" t="s">
        <v>217</v>
      </c>
      <c r="H22" s="4" t="s">
        <v>218</v>
      </c>
      <c r="I22" s="4"/>
      <c r="J22" s="4"/>
      <c r="K22" s="4">
        <v>222</v>
      </c>
      <c r="L22" s="4">
        <v>3</v>
      </c>
      <c r="M22" s="4">
        <v>3</v>
      </c>
      <c r="N22" s="4" t="s">
        <v>3</v>
      </c>
      <c r="O22" s="4">
        <v>2</v>
      </c>
      <c r="P22" s="4"/>
    </row>
    <row r="23" spans="1:19" x14ac:dyDescent="0.2">
      <c r="A23" s="4">
        <v>50</v>
      </c>
      <c r="B23" s="4">
        <v>0</v>
      </c>
      <c r="C23" s="4">
        <v>0</v>
      </c>
      <c r="D23" s="4">
        <v>1</v>
      </c>
      <c r="E23" s="4">
        <v>225</v>
      </c>
      <c r="F23" s="4">
        <v>19673623.34</v>
      </c>
      <c r="G23" s="4" t="s">
        <v>219</v>
      </c>
      <c r="H23" s="4" t="s">
        <v>220</v>
      </c>
      <c r="I23" s="4"/>
      <c r="J23" s="4"/>
      <c r="K23" s="4">
        <v>225</v>
      </c>
      <c r="L23" s="4">
        <v>4</v>
      </c>
      <c r="M23" s="4">
        <v>3</v>
      </c>
      <c r="N23" s="4" t="s">
        <v>3</v>
      </c>
      <c r="O23" s="4">
        <v>2</v>
      </c>
      <c r="P23" s="4"/>
    </row>
    <row r="24" spans="1:19" x14ac:dyDescent="0.2">
      <c r="A24" s="4">
        <v>50</v>
      </c>
      <c r="B24" s="4">
        <v>0</v>
      </c>
      <c r="C24" s="4">
        <v>0</v>
      </c>
      <c r="D24" s="4">
        <v>1</v>
      </c>
      <c r="E24" s="4">
        <v>226</v>
      </c>
      <c r="F24" s="4">
        <v>19503356.190000001</v>
      </c>
      <c r="G24" s="4" t="s">
        <v>221</v>
      </c>
      <c r="H24" s="4" t="s">
        <v>222</v>
      </c>
      <c r="I24" s="4"/>
      <c r="J24" s="4"/>
      <c r="K24" s="4">
        <v>226</v>
      </c>
      <c r="L24" s="4">
        <v>5</v>
      </c>
      <c r="M24" s="4">
        <v>3</v>
      </c>
      <c r="N24" s="4" t="s">
        <v>3</v>
      </c>
      <c r="O24" s="4">
        <v>2</v>
      </c>
      <c r="P24" s="4"/>
    </row>
    <row r="25" spans="1:19" x14ac:dyDescent="0.2">
      <c r="A25" s="4">
        <v>50</v>
      </c>
      <c r="B25" s="4">
        <v>0</v>
      </c>
      <c r="C25" s="4">
        <v>0</v>
      </c>
      <c r="D25" s="4">
        <v>1</v>
      </c>
      <c r="E25" s="4">
        <v>227</v>
      </c>
      <c r="F25" s="4">
        <v>0</v>
      </c>
      <c r="G25" s="4" t="s">
        <v>223</v>
      </c>
      <c r="H25" s="4" t="s">
        <v>224</v>
      </c>
      <c r="I25" s="4"/>
      <c r="J25" s="4"/>
      <c r="K25" s="4">
        <v>227</v>
      </c>
      <c r="L25" s="4">
        <v>6</v>
      </c>
      <c r="M25" s="4">
        <v>3</v>
      </c>
      <c r="N25" s="4" t="s">
        <v>3</v>
      </c>
      <c r="O25" s="4">
        <v>2</v>
      </c>
      <c r="P25" s="4"/>
    </row>
    <row r="26" spans="1:19" x14ac:dyDescent="0.2">
      <c r="A26" s="4">
        <v>50</v>
      </c>
      <c r="B26" s="4">
        <v>0</v>
      </c>
      <c r="C26" s="4">
        <v>0</v>
      </c>
      <c r="D26" s="4">
        <v>1</v>
      </c>
      <c r="E26" s="4">
        <v>228</v>
      </c>
      <c r="F26" s="4">
        <v>19503356.190000001</v>
      </c>
      <c r="G26" s="4" t="s">
        <v>225</v>
      </c>
      <c r="H26" s="4" t="s">
        <v>226</v>
      </c>
      <c r="I26" s="4"/>
      <c r="J26" s="4"/>
      <c r="K26" s="4">
        <v>228</v>
      </c>
      <c r="L26" s="4">
        <v>7</v>
      </c>
      <c r="M26" s="4">
        <v>3</v>
      </c>
      <c r="N26" s="4" t="s">
        <v>3</v>
      </c>
      <c r="O26" s="4">
        <v>2</v>
      </c>
      <c r="P26" s="4"/>
    </row>
    <row r="27" spans="1:19" x14ac:dyDescent="0.2">
      <c r="A27" s="4">
        <v>50</v>
      </c>
      <c r="B27" s="4">
        <v>0</v>
      </c>
      <c r="C27" s="4">
        <v>0</v>
      </c>
      <c r="D27" s="4">
        <v>1</v>
      </c>
      <c r="E27" s="4">
        <v>216</v>
      </c>
      <c r="F27" s="4">
        <v>170267.15</v>
      </c>
      <c r="G27" s="4" t="s">
        <v>227</v>
      </c>
      <c r="H27" s="4" t="s">
        <v>228</v>
      </c>
      <c r="I27" s="4"/>
      <c r="J27" s="4"/>
      <c r="K27" s="4">
        <v>216</v>
      </c>
      <c r="L27" s="4">
        <v>8</v>
      </c>
      <c r="M27" s="4">
        <v>3</v>
      </c>
      <c r="N27" s="4" t="s">
        <v>3</v>
      </c>
      <c r="O27" s="4">
        <v>2</v>
      </c>
      <c r="P27" s="4"/>
    </row>
    <row r="28" spans="1:19" x14ac:dyDescent="0.2">
      <c r="A28" s="4">
        <v>50</v>
      </c>
      <c r="B28" s="4">
        <v>0</v>
      </c>
      <c r="C28" s="4">
        <v>0</v>
      </c>
      <c r="D28" s="4">
        <v>1</v>
      </c>
      <c r="E28" s="4">
        <v>223</v>
      </c>
      <c r="F28" s="4">
        <v>0</v>
      </c>
      <c r="G28" s="4" t="s">
        <v>229</v>
      </c>
      <c r="H28" s="4" t="s">
        <v>230</v>
      </c>
      <c r="I28" s="4"/>
      <c r="J28" s="4"/>
      <c r="K28" s="4">
        <v>223</v>
      </c>
      <c r="L28" s="4">
        <v>9</v>
      </c>
      <c r="M28" s="4">
        <v>3</v>
      </c>
      <c r="N28" s="4" t="s">
        <v>3</v>
      </c>
      <c r="O28" s="4">
        <v>2</v>
      </c>
      <c r="P28" s="4"/>
    </row>
    <row r="29" spans="1:19" x14ac:dyDescent="0.2">
      <c r="A29" s="4">
        <v>50</v>
      </c>
      <c r="B29" s="4">
        <v>0</v>
      </c>
      <c r="C29" s="4">
        <v>0</v>
      </c>
      <c r="D29" s="4">
        <v>1</v>
      </c>
      <c r="E29" s="4">
        <v>229</v>
      </c>
      <c r="F29" s="4">
        <v>170267.15</v>
      </c>
      <c r="G29" s="4" t="s">
        <v>231</v>
      </c>
      <c r="H29" s="4" t="s">
        <v>232</v>
      </c>
      <c r="I29" s="4"/>
      <c r="J29" s="4"/>
      <c r="K29" s="4">
        <v>229</v>
      </c>
      <c r="L29" s="4">
        <v>10</v>
      </c>
      <c r="M29" s="4">
        <v>3</v>
      </c>
      <c r="N29" s="4" t="s">
        <v>3</v>
      </c>
      <c r="O29" s="4">
        <v>2</v>
      </c>
      <c r="P29" s="4"/>
    </row>
    <row r="30" spans="1:19" x14ac:dyDescent="0.2">
      <c r="A30" s="4">
        <v>50</v>
      </c>
      <c r="B30" s="4">
        <v>0</v>
      </c>
      <c r="C30" s="4">
        <v>0</v>
      </c>
      <c r="D30" s="4">
        <v>1</v>
      </c>
      <c r="E30" s="4">
        <v>203</v>
      </c>
      <c r="F30" s="4">
        <v>3133352.63</v>
      </c>
      <c r="G30" s="4" t="s">
        <v>233</v>
      </c>
      <c r="H30" s="4" t="s">
        <v>234</v>
      </c>
      <c r="I30" s="4"/>
      <c r="J30" s="4"/>
      <c r="K30" s="4">
        <v>203</v>
      </c>
      <c r="L30" s="4">
        <v>11</v>
      </c>
      <c r="M30" s="4">
        <v>3</v>
      </c>
      <c r="N30" s="4" t="s">
        <v>3</v>
      </c>
      <c r="O30" s="4">
        <v>2</v>
      </c>
      <c r="P30" s="4"/>
    </row>
    <row r="31" spans="1:19" x14ac:dyDescent="0.2">
      <c r="A31" s="4">
        <v>50</v>
      </c>
      <c r="B31" s="4">
        <v>0</v>
      </c>
      <c r="C31" s="4">
        <v>0</v>
      </c>
      <c r="D31" s="4">
        <v>1</v>
      </c>
      <c r="E31" s="4">
        <v>231</v>
      </c>
      <c r="F31" s="4">
        <v>0</v>
      </c>
      <c r="G31" s="4" t="s">
        <v>235</v>
      </c>
      <c r="H31" s="4" t="s">
        <v>236</v>
      </c>
      <c r="I31" s="4"/>
      <c r="J31" s="4"/>
      <c r="K31" s="4">
        <v>231</v>
      </c>
      <c r="L31" s="4">
        <v>12</v>
      </c>
      <c r="M31" s="4">
        <v>3</v>
      </c>
      <c r="N31" s="4" t="s">
        <v>3</v>
      </c>
      <c r="O31" s="4">
        <v>2</v>
      </c>
      <c r="P31" s="4"/>
    </row>
    <row r="32" spans="1:19" x14ac:dyDescent="0.2">
      <c r="A32" s="4">
        <v>50</v>
      </c>
      <c r="B32" s="4">
        <v>0</v>
      </c>
      <c r="C32" s="4">
        <v>0</v>
      </c>
      <c r="D32" s="4">
        <v>1</v>
      </c>
      <c r="E32" s="4">
        <v>204</v>
      </c>
      <c r="F32" s="4">
        <v>450372.98</v>
      </c>
      <c r="G32" s="4" t="s">
        <v>237</v>
      </c>
      <c r="H32" s="4" t="s">
        <v>238</v>
      </c>
      <c r="I32" s="4"/>
      <c r="J32" s="4"/>
      <c r="K32" s="4">
        <v>204</v>
      </c>
      <c r="L32" s="4">
        <v>13</v>
      </c>
      <c r="M32" s="4">
        <v>3</v>
      </c>
      <c r="N32" s="4" t="s">
        <v>3</v>
      </c>
      <c r="O32" s="4">
        <v>2</v>
      </c>
      <c r="P32" s="4"/>
    </row>
    <row r="33" spans="1:16" x14ac:dyDescent="0.2">
      <c r="A33" s="4">
        <v>50</v>
      </c>
      <c r="B33" s="4">
        <v>0</v>
      </c>
      <c r="C33" s="4">
        <v>0</v>
      </c>
      <c r="D33" s="4">
        <v>1</v>
      </c>
      <c r="E33" s="4">
        <v>205</v>
      </c>
      <c r="F33" s="4">
        <v>3415934.13</v>
      </c>
      <c r="G33" s="4" t="s">
        <v>239</v>
      </c>
      <c r="H33" s="4" t="s">
        <v>240</v>
      </c>
      <c r="I33" s="4"/>
      <c r="J33" s="4"/>
      <c r="K33" s="4">
        <v>205</v>
      </c>
      <c r="L33" s="4">
        <v>14</v>
      </c>
      <c r="M33" s="4">
        <v>3</v>
      </c>
      <c r="N33" s="4" t="s">
        <v>3</v>
      </c>
      <c r="O33" s="4">
        <v>2</v>
      </c>
      <c r="P33" s="4"/>
    </row>
    <row r="34" spans="1:16" x14ac:dyDescent="0.2">
      <c r="A34" s="4">
        <v>50</v>
      </c>
      <c r="B34" s="4">
        <v>0</v>
      </c>
      <c r="C34" s="4">
        <v>0</v>
      </c>
      <c r="D34" s="4">
        <v>1</v>
      </c>
      <c r="E34" s="4">
        <v>232</v>
      </c>
      <c r="F34" s="4">
        <v>0</v>
      </c>
      <c r="G34" s="4" t="s">
        <v>241</v>
      </c>
      <c r="H34" s="4" t="s">
        <v>242</v>
      </c>
      <c r="I34" s="4"/>
      <c r="J34" s="4"/>
      <c r="K34" s="4">
        <v>232</v>
      </c>
      <c r="L34" s="4">
        <v>15</v>
      </c>
      <c r="M34" s="4">
        <v>3</v>
      </c>
      <c r="N34" s="4" t="s">
        <v>3</v>
      </c>
      <c r="O34" s="4">
        <v>2</v>
      </c>
      <c r="P34" s="4"/>
    </row>
    <row r="35" spans="1:16" x14ac:dyDescent="0.2">
      <c r="A35" s="4">
        <v>50</v>
      </c>
      <c r="B35" s="4">
        <v>0</v>
      </c>
      <c r="C35" s="4">
        <v>0</v>
      </c>
      <c r="D35" s="4">
        <v>1</v>
      </c>
      <c r="E35" s="4">
        <v>214</v>
      </c>
      <c r="F35" s="4">
        <v>27612134.350000001</v>
      </c>
      <c r="G35" s="4" t="s">
        <v>243</v>
      </c>
      <c r="H35" s="4" t="s">
        <v>244</v>
      </c>
      <c r="I35" s="4"/>
      <c r="J35" s="4"/>
      <c r="K35" s="4">
        <v>214</v>
      </c>
      <c r="L35" s="4">
        <v>16</v>
      </c>
      <c r="M35" s="4">
        <v>3</v>
      </c>
      <c r="N35" s="4" t="s">
        <v>3</v>
      </c>
      <c r="O35" s="4">
        <v>2</v>
      </c>
      <c r="P35" s="4"/>
    </row>
    <row r="36" spans="1:16" x14ac:dyDescent="0.2">
      <c r="A36" s="4">
        <v>50</v>
      </c>
      <c r="B36" s="4">
        <v>0</v>
      </c>
      <c r="C36" s="4">
        <v>0</v>
      </c>
      <c r="D36" s="4">
        <v>1</v>
      </c>
      <c r="E36" s="4">
        <v>215</v>
      </c>
      <c r="F36" s="4">
        <v>1020197.21</v>
      </c>
      <c r="G36" s="4" t="s">
        <v>245</v>
      </c>
      <c r="H36" s="4" t="s">
        <v>246</v>
      </c>
      <c r="I36" s="4"/>
      <c r="J36" s="4"/>
      <c r="K36" s="4">
        <v>215</v>
      </c>
      <c r="L36" s="4">
        <v>17</v>
      </c>
      <c r="M36" s="4">
        <v>3</v>
      </c>
      <c r="N36" s="4" t="s">
        <v>3</v>
      </c>
      <c r="O36" s="4">
        <v>2</v>
      </c>
      <c r="P36" s="4"/>
    </row>
    <row r="37" spans="1:16" x14ac:dyDescent="0.2">
      <c r="A37" s="4">
        <v>50</v>
      </c>
      <c r="B37" s="4">
        <v>0</v>
      </c>
      <c r="C37" s="4">
        <v>0</v>
      </c>
      <c r="D37" s="4">
        <v>1</v>
      </c>
      <c r="E37" s="4">
        <v>217</v>
      </c>
      <c r="F37" s="4">
        <v>2352651.2999999998</v>
      </c>
      <c r="G37" s="4" t="s">
        <v>247</v>
      </c>
      <c r="H37" s="4" t="s">
        <v>248</v>
      </c>
      <c r="I37" s="4"/>
      <c r="J37" s="4"/>
      <c r="K37" s="4">
        <v>217</v>
      </c>
      <c r="L37" s="4">
        <v>18</v>
      </c>
      <c r="M37" s="4">
        <v>3</v>
      </c>
      <c r="N37" s="4" t="s">
        <v>3</v>
      </c>
      <c r="O37" s="4">
        <v>2</v>
      </c>
      <c r="P37" s="4"/>
    </row>
    <row r="38" spans="1:16" x14ac:dyDescent="0.2">
      <c r="A38" s="4">
        <v>50</v>
      </c>
      <c r="B38" s="4">
        <v>0</v>
      </c>
      <c r="C38" s="4">
        <v>0</v>
      </c>
      <c r="D38" s="4">
        <v>1</v>
      </c>
      <c r="E38" s="4">
        <v>230</v>
      </c>
      <c r="F38" s="4">
        <v>0</v>
      </c>
      <c r="G38" s="4" t="s">
        <v>249</v>
      </c>
      <c r="H38" s="4" t="s">
        <v>250</v>
      </c>
      <c r="I38" s="4"/>
      <c r="J38" s="4"/>
      <c r="K38" s="4">
        <v>230</v>
      </c>
      <c r="L38" s="4">
        <v>19</v>
      </c>
      <c r="M38" s="4">
        <v>3</v>
      </c>
      <c r="N38" s="4" t="s">
        <v>3</v>
      </c>
      <c r="O38" s="4">
        <v>2</v>
      </c>
      <c r="P38" s="4"/>
    </row>
    <row r="39" spans="1:16" x14ac:dyDescent="0.2">
      <c r="A39" s="4">
        <v>50</v>
      </c>
      <c r="B39" s="4">
        <v>0</v>
      </c>
      <c r="C39" s="4">
        <v>0</v>
      </c>
      <c r="D39" s="4">
        <v>1</v>
      </c>
      <c r="E39" s="4">
        <v>206</v>
      </c>
      <c r="F39" s="4">
        <v>0</v>
      </c>
      <c r="G39" s="4" t="s">
        <v>251</v>
      </c>
      <c r="H39" s="4" t="s">
        <v>252</v>
      </c>
      <c r="I39" s="4"/>
      <c r="J39" s="4"/>
      <c r="K39" s="4">
        <v>206</v>
      </c>
      <c r="L39" s="4">
        <v>20</v>
      </c>
      <c r="M39" s="4">
        <v>3</v>
      </c>
      <c r="N39" s="4" t="s">
        <v>3</v>
      </c>
      <c r="O39" s="4">
        <v>2</v>
      </c>
      <c r="P39" s="4"/>
    </row>
    <row r="40" spans="1:16" x14ac:dyDescent="0.2">
      <c r="A40" s="4">
        <v>50</v>
      </c>
      <c r="B40" s="4">
        <v>0</v>
      </c>
      <c r="C40" s="4">
        <v>0</v>
      </c>
      <c r="D40" s="4">
        <v>1</v>
      </c>
      <c r="E40" s="4">
        <v>207</v>
      </c>
      <c r="F40" s="4">
        <v>12181.965792549996</v>
      </c>
      <c r="G40" s="4" t="s">
        <v>253</v>
      </c>
      <c r="H40" s="4" t="s">
        <v>254</v>
      </c>
      <c r="I40" s="4"/>
      <c r="J40" s="4"/>
      <c r="K40" s="4">
        <v>207</v>
      </c>
      <c r="L40" s="4">
        <v>21</v>
      </c>
      <c r="M40" s="4">
        <v>3</v>
      </c>
      <c r="N40" s="4" t="s">
        <v>3</v>
      </c>
      <c r="O40" s="4">
        <v>-1</v>
      </c>
      <c r="P40" s="4"/>
    </row>
    <row r="41" spans="1:16" x14ac:dyDescent="0.2">
      <c r="A41" s="4">
        <v>50</v>
      </c>
      <c r="B41" s="4">
        <v>0</v>
      </c>
      <c r="C41" s="4">
        <v>0</v>
      </c>
      <c r="D41" s="4">
        <v>1</v>
      </c>
      <c r="E41" s="4">
        <v>208</v>
      </c>
      <c r="F41" s="4">
        <v>0</v>
      </c>
      <c r="G41" s="4" t="s">
        <v>255</v>
      </c>
      <c r="H41" s="4" t="s">
        <v>256</v>
      </c>
      <c r="I41" s="4"/>
      <c r="J41" s="4"/>
      <c r="K41" s="4">
        <v>208</v>
      </c>
      <c r="L41" s="4">
        <v>22</v>
      </c>
      <c r="M41" s="4">
        <v>3</v>
      </c>
      <c r="N41" s="4" t="s">
        <v>3</v>
      </c>
      <c r="O41" s="4">
        <v>-1</v>
      </c>
      <c r="P41" s="4"/>
    </row>
    <row r="42" spans="1:16" x14ac:dyDescent="0.2">
      <c r="A42" s="4">
        <v>50</v>
      </c>
      <c r="B42" s="4">
        <v>0</v>
      </c>
      <c r="C42" s="4">
        <v>0</v>
      </c>
      <c r="D42" s="4">
        <v>1</v>
      </c>
      <c r="E42" s="4">
        <v>209</v>
      </c>
      <c r="F42" s="4">
        <v>0</v>
      </c>
      <c r="G42" s="4" t="s">
        <v>257</v>
      </c>
      <c r="H42" s="4" t="s">
        <v>258</v>
      </c>
      <c r="I42" s="4"/>
      <c r="J42" s="4"/>
      <c r="K42" s="4">
        <v>209</v>
      </c>
      <c r="L42" s="4">
        <v>23</v>
      </c>
      <c r="M42" s="4">
        <v>3</v>
      </c>
      <c r="N42" s="4" t="s">
        <v>3</v>
      </c>
      <c r="O42" s="4">
        <v>2</v>
      </c>
      <c r="P42" s="4"/>
    </row>
    <row r="43" spans="1:16" x14ac:dyDescent="0.2">
      <c r="A43" s="4">
        <v>50</v>
      </c>
      <c r="B43" s="4">
        <v>0</v>
      </c>
      <c r="C43" s="4">
        <v>0</v>
      </c>
      <c r="D43" s="4">
        <v>1</v>
      </c>
      <c r="E43" s="4">
        <v>233</v>
      </c>
      <c r="F43" s="4">
        <v>0</v>
      </c>
      <c r="G43" s="4" t="s">
        <v>259</v>
      </c>
      <c r="H43" s="4" t="s">
        <v>260</v>
      </c>
      <c r="I43" s="4"/>
      <c r="J43" s="4"/>
      <c r="K43" s="4">
        <v>233</v>
      </c>
      <c r="L43" s="4">
        <v>24</v>
      </c>
      <c r="M43" s="4">
        <v>3</v>
      </c>
      <c r="N43" s="4" t="s">
        <v>3</v>
      </c>
      <c r="O43" s="4">
        <v>2</v>
      </c>
      <c r="P43" s="4"/>
    </row>
    <row r="44" spans="1:16" x14ac:dyDescent="0.2">
      <c r="A44" s="4">
        <v>50</v>
      </c>
      <c r="B44" s="4">
        <v>0</v>
      </c>
      <c r="C44" s="4">
        <v>0</v>
      </c>
      <c r="D44" s="4">
        <v>1</v>
      </c>
      <c r="E44" s="4">
        <v>210</v>
      </c>
      <c r="F44" s="4">
        <v>2800638.96</v>
      </c>
      <c r="G44" s="4" t="s">
        <v>261</v>
      </c>
      <c r="H44" s="4" t="s">
        <v>262</v>
      </c>
      <c r="I44" s="4"/>
      <c r="J44" s="4"/>
      <c r="K44" s="4">
        <v>210</v>
      </c>
      <c r="L44" s="4">
        <v>25</v>
      </c>
      <c r="M44" s="4">
        <v>3</v>
      </c>
      <c r="N44" s="4" t="s">
        <v>3</v>
      </c>
      <c r="O44" s="4">
        <v>2</v>
      </c>
      <c r="P44" s="4"/>
    </row>
    <row r="45" spans="1:16" x14ac:dyDescent="0.2">
      <c r="A45" s="4">
        <v>50</v>
      </c>
      <c r="B45" s="4">
        <v>0</v>
      </c>
      <c r="C45" s="4">
        <v>0</v>
      </c>
      <c r="D45" s="4">
        <v>1</v>
      </c>
      <c r="E45" s="4">
        <v>211</v>
      </c>
      <c r="F45" s="4">
        <v>1424615.33</v>
      </c>
      <c r="G45" s="4" t="s">
        <v>263</v>
      </c>
      <c r="H45" s="4" t="s">
        <v>264</v>
      </c>
      <c r="I45" s="4"/>
      <c r="J45" s="4"/>
      <c r="K45" s="4">
        <v>211</v>
      </c>
      <c r="L45" s="4">
        <v>26</v>
      </c>
      <c r="M45" s="4">
        <v>3</v>
      </c>
      <c r="N45" s="4" t="s">
        <v>3</v>
      </c>
      <c r="O45" s="4">
        <v>2</v>
      </c>
      <c r="P45" s="4"/>
    </row>
    <row r="46" spans="1:16" x14ac:dyDescent="0.2">
      <c r="A46" s="4">
        <v>50</v>
      </c>
      <c r="B46" s="4">
        <v>0</v>
      </c>
      <c r="C46" s="4">
        <v>0</v>
      </c>
      <c r="D46" s="4">
        <v>1</v>
      </c>
      <c r="E46" s="4">
        <v>224</v>
      </c>
      <c r="F46" s="4">
        <v>31155250.010000002</v>
      </c>
      <c r="G46" s="4" t="s">
        <v>265</v>
      </c>
      <c r="H46" s="4" t="s">
        <v>266</v>
      </c>
      <c r="I46" s="4"/>
      <c r="J46" s="4"/>
      <c r="K46" s="4">
        <v>224</v>
      </c>
      <c r="L46" s="4">
        <v>27</v>
      </c>
      <c r="M46" s="4">
        <v>3</v>
      </c>
      <c r="N46" s="4" t="s">
        <v>3</v>
      </c>
      <c r="O46" s="4">
        <v>2</v>
      </c>
      <c r="P46" s="4"/>
    </row>
    <row r="47" spans="1:16" x14ac:dyDescent="0.2">
      <c r="A47" s="4">
        <v>50</v>
      </c>
      <c r="B47" s="4">
        <v>1</v>
      </c>
      <c r="C47" s="4">
        <v>0</v>
      </c>
      <c r="D47" s="4">
        <v>2</v>
      </c>
      <c r="E47" s="4">
        <v>0</v>
      </c>
      <c r="F47" s="4">
        <v>31155250.010000002</v>
      </c>
      <c r="G47" s="4" t="s">
        <v>1215</v>
      </c>
      <c r="H47" s="4" t="s">
        <v>1216</v>
      </c>
      <c r="I47" s="4"/>
      <c r="J47" s="4"/>
      <c r="K47" s="4">
        <v>212</v>
      </c>
      <c r="L47" s="4">
        <v>28</v>
      </c>
      <c r="M47" s="4">
        <v>0</v>
      </c>
      <c r="N47" s="4" t="s">
        <v>3</v>
      </c>
      <c r="O47" s="4">
        <v>2</v>
      </c>
      <c r="P47" s="4"/>
    </row>
    <row r="48" spans="1:16" x14ac:dyDescent="0.2">
      <c r="A48" s="4">
        <v>50</v>
      </c>
      <c r="B48" s="4">
        <v>1</v>
      </c>
      <c r="C48" s="4">
        <v>0</v>
      </c>
      <c r="D48" s="4">
        <v>2</v>
      </c>
      <c r="E48" s="4">
        <v>0</v>
      </c>
      <c r="F48" s="4">
        <v>6231050</v>
      </c>
      <c r="G48" s="4" t="s">
        <v>1217</v>
      </c>
      <c r="H48" s="4" t="s">
        <v>1218</v>
      </c>
      <c r="I48" s="4"/>
      <c r="J48" s="4"/>
      <c r="K48" s="4">
        <v>212</v>
      </c>
      <c r="L48" s="4">
        <v>29</v>
      </c>
      <c r="M48" s="4">
        <v>0</v>
      </c>
      <c r="N48" s="4" t="s">
        <v>3</v>
      </c>
      <c r="O48" s="4">
        <v>2</v>
      </c>
      <c r="P48" s="4"/>
    </row>
    <row r="49" spans="1:40" x14ac:dyDescent="0.2">
      <c r="A49" s="4">
        <v>50</v>
      </c>
      <c r="B49" s="4">
        <v>1</v>
      </c>
      <c r="C49" s="4">
        <v>0</v>
      </c>
      <c r="D49" s="4">
        <v>2</v>
      </c>
      <c r="E49" s="4">
        <v>0</v>
      </c>
      <c r="F49" s="4">
        <v>37386300.009999998</v>
      </c>
      <c r="G49" s="4" t="s">
        <v>1219</v>
      </c>
      <c r="H49" s="4" t="s">
        <v>1220</v>
      </c>
      <c r="I49" s="4"/>
      <c r="J49" s="4"/>
      <c r="K49" s="4">
        <v>212</v>
      </c>
      <c r="L49" s="4">
        <v>30</v>
      </c>
      <c r="M49" s="4">
        <v>0</v>
      </c>
      <c r="N49" s="4" t="s">
        <v>3</v>
      </c>
      <c r="O49" s="4">
        <v>2</v>
      </c>
      <c r="P49" s="4"/>
    </row>
    <row r="51" spans="1:40" x14ac:dyDescent="0.2">
      <c r="A51">
        <v>-1</v>
      </c>
    </row>
    <row r="54" spans="1:40" x14ac:dyDescent="0.2">
      <c r="A54" s="3">
        <v>75</v>
      </c>
      <c r="B54" s="3" t="s">
        <v>1224</v>
      </c>
      <c r="C54" s="3">
        <v>2021</v>
      </c>
      <c r="D54" s="3">
        <v>0</v>
      </c>
      <c r="E54" s="3">
        <v>8</v>
      </c>
      <c r="F54" s="3"/>
      <c r="G54" s="3">
        <v>0</v>
      </c>
      <c r="H54" s="3">
        <v>2</v>
      </c>
      <c r="I54" s="3">
        <v>1</v>
      </c>
      <c r="J54" s="3">
        <v>1</v>
      </c>
      <c r="K54" s="3">
        <v>93</v>
      </c>
      <c r="L54" s="3">
        <v>64</v>
      </c>
      <c r="M54" s="3">
        <v>0</v>
      </c>
      <c r="N54" s="3">
        <v>42938047</v>
      </c>
      <c r="O54" s="3">
        <v>1</v>
      </c>
    </row>
    <row r="55" spans="1:40" x14ac:dyDescent="0.2">
      <c r="A55" s="6">
        <v>1</v>
      </c>
      <c r="B55" s="6" t="s">
        <v>1225</v>
      </c>
      <c r="C55" s="6" t="s">
        <v>1226</v>
      </c>
      <c r="D55" s="6">
        <v>2021</v>
      </c>
      <c r="E55" s="6">
        <v>8</v>
      </c>
      <c r="F55" s="6">
        <v>1</v>
      </c>
      <c r="G55" s="6">
        <v>1</v>
      </c>
      <c r="H55" s="6">
        <v>0</v>
      </c>
      <c r="I55" s="6">
        <v>2</v>
      </c>
      <c r="J55" s="6">
        <v>1</v>
      </c>
      <c r="K55" s="6">
        <v>1</v>
      </c>
      <c r="L55" s="6">
        <v>1</v>
      </c>
      <c r="M55" s="6">
        <v>1</v>
      </c>
      <c r="N55" s="6">
        <v>1</v>
      </c>
      <c r="O55" s="6">
        <v>1</v>
      </c>
      <c r="P55" s="6">
        <v>1</v>
      </c>
      <c r="Q55" s="6">
        <v>1</v>
      </c>
      <c r="R55" s="6" t="s">
        <v>3</v>
      </c>
      <c r="S55" s="6" t="s">
        <v>3</v>
      </c>
      <c r="T55" s="6" t="s">
        <v>3</v>
      </c>
      <c r="U55" s="6" t="s">
        <v>3</v>
      </c>
      <c r="V55" s="6" t="s">
        <v>3</v>
      </c>
      <c r="W55" s="6" t="s">
        <v>3</v>
      </c>
      <c r="X55" s="6" t="s">
        <v>3</v>
      </c>
      <c r="Y55" s="6" t="s">
        <v>3</v>
      </c>
      <c r="Z55" s="6" t="s">
        <v>3</v>
      </c>
      <c r="AA55" s="6" t="s">
        <v>1098</v>
      </c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>
        <v>43134847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561"/>
  <sheetViews>
    <sheetView workbookViewId="0"/>
  </sheetViews>
  <sheetFormatPr defaultColWidth="9.140625" defaultRowHeight="12.75" x14ac:dyDescent="0.2"/>
  <cols>
    <col min="1" max="256" width="9.140625" customWidth="1"/>
  </cols>
  <sheetData>
    <row r="1" spans="1:107" x14ac:dyDescent="0.2">
      <c r="A1">
        <f>ROW(Source!A28)</f>
        <v>28</v>
      </c>
      <c r="B1">
        <v>42938047</v>
      </c>
      <c r="C1">
        <v>43134810</v>
      </c>
      <c r="D1">
        <v>35973053</v>
      </c>
      <c r="E1">
        <v>35973048</v>
      </c>
      <c r="F1">
        <v>1</v>
      </c>
      <c r="G1">
        <v>35973048</v>
      </c>
      <c r="H1">
        <v>1</v>
      </c>
      <c r="I1" t="s">
        <v>1228</v>
      </c>
      <c r="J1" t="s">
        <v>3</v>
      </c>
      <c r="K1" t="s">
        <v>1229</v>
      </c>
      <c r="L1">
        <v>1191</v>
      </c>
      <c r="N1">
        <v>1013</v>
      </c>
      <c r="O1" t="s">
        <v>1230</v>
      </c>
      <c r="P1" t="s">
        <v>1230</v>
      </c>
      <c r="Q1">
        <v>1</v>
      </c>
      <c r="W1">
        <v>0</v>
      </c>
      <c r="X1">
        <v>476480486</v>
      </c>
      <c r="Y1">
        <v>8.5214999999999996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1</v>
      </c>
      <c r="AJ1">
        <v>1</v>
      </c>
      <c r="AK1">
        <v>1</v>
      </c>
      <c r="AL1">
        <v>25.44</v>
      </c>
      <c r="AN1">
        <v>0</v>
      </c>
      <c r="AO1">
        <v>1</v>
      </c>
      <c r="AP1">
        <v>1</v>
      </c>
      <c r="AQ1">
        <v>0</v>
      </c>
      <c r="AR1">
        <v>0</v>
      </c>
      <c r="AS1" t="s">
        <v>3</v>
      </c>
      <c r="AT1">
        <v>7.41</v>
      </c>
      <c r="AU1" t="s">
        <v>21</v>
      </c>
      <c r="AV1">
        <v>1</v>
      </c>
      <c r="AW1">
        <v>2</v>
      </c>
      <c r="AX1">
        <v>43134811</v>
      </c>
      <c r="AY1">
        <v>1</v>
      </c>
      <c r="AZ1">
        <v>0</v>
      </c>
      <c r="BA1">
        <v>1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CX1">
        <f>Y1*Source!I28</f>
        <v>67.064205000000001</v>
      </c>
      <c r="CY1">
        <f>AD1</f>
        <v>0</v>
      </c>
      <c r="CZ1">
        <f>AH1</f>
        <v>0</v>
      </c>
      <c r="DA1">
        <f>AL1</f>
        <v>25.44</v>
      </c>
      <c r="DB1">
        <f>ROUND((ROUND(AT1*CZ1,2)*1.15),6)</f>
        <v>0</v>
      </c>
      <c r="DC1">
        <f>ROUND((ROUND(AT1*AG1,2)*1.15),6)</f>
        <v>0</v>
      </c>
    </row>
    <row r="2" spans="1:107" x14ac:dyDescent="0.2">
      <c r="A2">
        <f>ROW(Source!A29)</f>
        <v>29</v>
      </c>
      <c r="B2">
        <v>42938047</v>
      </c>
      <c r="C2">
        <v>43135298</v>
      </c>
      <c r="D2">
        <v>35973053</v>
      </c>
      <c r="E2">
        <v>35973048</v>
      </c>
      <c r="F2">
        <v>1</v>
      </c>
      <c r="G2">
        <v>35973048</v>
      </c>
      <c r="H2">
        <v>1</v>
      </c>
      <c r="I2" t="s">
        <v>1228</v>
      </c>
      <c r="J2" t="s">
        <v>3</v>
      </c>
      <c r="K2" t="s">
        <v>1229</v>
      </c>
      <c r="L2">
        <v>1191</v>
      </c>
      <c r="N2">
        <v>1013</v>
      </c>
      <c r="O2" t="s">
        <v>1230</v>
      </c>
      <c r="P2" t="s">
        <v>1230</v>
      </c>
      <c r="Q2">
        <v>1</v>
      </c>
      <c r="W2">
        <v>0</v>
      </c>
      <c r="X2">
        <v>476480486</v>
      </c>
      <c r="Y2">
        <v>6.5039999999999996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1</v>
      </c>
      <c r="AJ2">
        <v>1</v>
      </c>
      <c r="AK2">
        <v>1</v>
      </c>
      <c r="AL2">
        <v>25.44</v>
      </c>
      <c r="AN2">
        <v>0</v>
      </c>
      <c r="AO2">
        <v>1</v>
      </c>
      <c r="AP2">
        <v>1</v>
      </c>
      <c r="AQ2">
        <v>0</v>
      </c>
      <c r="AR2">
        <v>0</v>
      </c>
      <c r="AS2" t="s">
        <v>3</v>
      </c>
      <c r="AT2">
        <v>8.1300000000000008</v>
      </c>
      <c r="AU2" t="s">
        <v>31</v>
      </c>
      <c r="AV2">
        <v>1</v>
      </c>
      <c r="AW2">
        <v>2</v>
      </c>
      <c r="AX2">
        <v>43135299</v>
      </c>
      <c r="AY2">
        <v>1</v>
      </c>
      <c r="AZ2">
        <v>2048</v>
      </c>
      <c r="BA2">
        <v>2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CX2">
        <f>Y2*Source!I29</f>
        <v>51.186479999999996</v>
      </c>
      <c r="CY2">
        <f>AD2</f>
        <v>0</v>
      </c>
      <c r="CZ2">
        <f>AH2</f>
        <v>0</v>
      </c>
      <c r="DA2">
        <f>AL2</f>
        <v>25.44</v>
      </c>
      <c r="DB2">
        <f>ROUND((ROUND(AT2*CZ2,2)*0.8),6)</f>
        <v>0</v>
      </c>
      <c r="DC2">
        <f>ROUND((ROUND(AT2*AG2,2)*0.8),6)</f>
        <v>0</v>
      </c>
    </row>
    <row r="3" spans="1:107" x14ac:dyDescent="0.2">
      <c r="A3">
        <f>ROW(Source!A29)</f>
        <v>29</v>
      </c>
      <c r="B3">
        <v>42938047</v>
      </c>
      <c r="C3">
        <v>43135298</v>
      </c>
      <c r="D3">
        <v>36045308</v>
      </c>
      <c r="E3">
        <v>1</v>
      </c>
      <c r="F3">
        <v>1</v>
      </c>
      <c r="G3">
        <v>35973048</v>
      </c>
      <c r="H3">
        <v>2</v>
      </c>
      <c r="I3" t="s">
        <v>1231</v>
      </c>
      <c r="J3" t="s">
        <v>1232</v>
      </c>
      <c r="K3" t="s">
        <v>1233</v>
      </c>
      <c r="L3">
        <v>1367</v>
      </c>
      <c r="N3">
        <v>1011</v>
      </c>
      <c r="O3" t="s">
        <v>738</v>
      </c>
      <c r="P3" t="s">
        <v>738</v>
      </c>
      <c r="Q3">
        <v>1</v>
      </c>
      <c r="W3">
        <v>0</v>
      </c>
      <c r="X3">
        <v>-628430174</v>
      </c>
      <c r="Y3">
        <v>8.0000000000000002E-3</v>
      </c>
      <c r="AA3">
        <v>0</v>
      </c>
      <c r="AB3">
        <v>748.13</v>
      </c>
      <c r="AC3">
        <v>365.32</v>
      </c>
      <c r="AD3">
        <v>0</v>
      </c>
      <c r="AE3">
        <v>0</v>
      </c>
      <c r="AF3">
        <v>76.81</v>
      </c>
      <c r="AG3">
        <v>14.36</v>
      </c>
      <c r="AH3">
        <v>0</v>
      </c>
      <c r="AI3">
        <v>1</v>
      </c>
      <c r="AJ3">
        <v>9.74</v>
      </c>
      <c r="AK3">
        <v>25.44</v>
      </c>
      <c r="AL3">
        <v>1</v>
      </c>
      <c r="AN3">
        <v>0</v>
      </c>
      <c r="AO3">
        <v>1</v>
      </c>
      <c r="AP3">
        <v>1</v>
      </c>
      <c r="AQ3">
        <v>0</v>
      </c>
      <c r="AR3">
        <v>0</v>
      </c>
      <c r="AS3" t="s">
        <v>3</v>
      </c>
      <c r="AT3">
        <v>0.01</v>
      </c>
      <c r="AU3" t="s">
        <v>31</v>
      </c>
      <c r="AV3">
        <v>0</v>
      </c>
      <c r="AW3">
        <v>2</v>
      </c>
      <c r="AX3">
        <v>43135300</v>
      </c>
      <c r="AY3">
        <v>1</v>
      </c>
      <c r="AZ3">
        <v>0</v>
      </c>
      <c r="BA3">
        <v>3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CX3">
        <f>Y3*Source!I29</f>
        <v>6.2960000000000002E-2</v>
      </c>
      <c r="CY3">
        <f>AB3</f>
        <v>748.13</v>
      </c>
      <c r="CZ3">
        <f>AF3</f>
        <v>76.81</v>
      </c>
      <c r="DA3">
        <f>AJ3</f>
        <v>9.74</v>
      </c>
      <c r="DB3">
        <f>ROUND((ROUND(AT3*CZ3,2)*0.8),6)</f>
        <v>0.61599999999999999</v>
      </c>
      <c r="DC3">
        <f>ROUND((ROUND(AT3*AG3,2)*0.8),6)</f>
        <v>0.112</v>
      </c>
    </row>
    <row r="4" spans="1:107" x14ac:dyDescent="0.2">
      <c r="A4">
        <f>ROW(Source!A29)</f>
        <v>29</v>
      </c>
      <c r="B4">
        <v>42938047</v>
      </c>
      <c r="C4">
        <v>43135298</v>
      </c>
      <c r="D4">
        <v>36045419</v>
      </c>
      <c r="E4">
        <v>1</v>
      </c>
      <c r="F4">
        <v>1</v>
      </c>
      <c r="G4">
        <v>35973048</v>
      </c>
      <c r="H4">
        <v>2</v>
      </c>
      <c r="I4" t="s">
        <v>1234</v>
      </c>
      <c r="J4" t="s">
        <v>1235</v>
      </c>
      <c r="K4" t="s">
        <v>1236</v>
      </c>
      <c r="L4">
        <v>1367</v>
      </c>
      <c r="N4">
        <v>1011</v>
      </c>
      <c r="O4" t="s">
        <v>738</v>
      </c>
      <c r="P4" t="s">
        <v>738</v>
      </c>
      <c r="Q4">
        <v>1</v>
      </c>
      <c r="W4">
        <v>0</v>
      </c>
      <c r="X4">
        <v>-1279784445</v>
      </c>
      <c r="Y4">
        <v>5.6000000000000001E-2</v>
      </c>
      <c r="AA4">
        <v>0</v>
      </c>
      <c r="AB4">
        <v>10.3</v>
      </c>
      <c r="AC4">
        <v>0.25</v>
      </c>
      <c r="AD4">
        <v>0</v>
      </c>
      <c r="AE4">
        <v>0</v>
      </c>
      <c r="AF4">
        <v>1.76</v>
      </c>
      <c r="AG4">
        <v>0.01</v>
      </c>
      <c r="AH4">
        <v>0</v>
      </c>
      <c r="AI4">
        <v>1</v>
      </c>
      <c r="AJ4">
        <v>5.85</v>
      </c>
      <c r="AK4">
        <v>25.44</v>
      </c>
      <c r="AL4">
        <v>1</v>
      </c>
      <c r="AN4">
        <v>0</v>
      </c>
      <c r="AO4">
        <v>1</v>
      </c>
      <c r="AP4">
        <v>1</v>
      </c>
      <c r="AQ4">
        <v>0</v>
      </c>
      <c r="AR4">
        <v>0</v>
      </c>
      <c r="AS4" t="s">
        <v>3</v>
      </c>
      <c r="AT4">
        <v>7.0000000000000007E-2</v>
      </c>
      <c r="AU4" t="s">
        <v>31</v>
      </c>
      <c r="AV4">
        <v>0</v>
      </c>
      <c r="AW4">
        <v>2</v>
      </c>
      <c r="AX4">
        <v>43135301</v>
      </c>
      <c r="AY4">
        <v>1</v>
      </c>
      <c r="AZ4">
        <v>2048</v>
      </c>
      <c r="BA4">
        <v>4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CX4">
        <f>Y4*Source!I29</f>
        <v>0.44072</v>
      </c>
      <c r="CY4">
        <f>AB4</f>
        <v>10.3</v>
      </c>
      <c r="CZ4">
        <f>AF4</f>
        <v>1.76</v>
      </c>
      <c r="DA4">
        <f>AJ4</f>
        <v>5.85</v>
      </c>
      <c r="DB4">
        <f>ROUND((ROUND(AT4*CZ4,2)*0.8),6)</f>
        <v>9.6000000000000002E-2</v>
      </c>
      <c r="DC4">
        <f>ROUND((ROUND(AT4*AG4,2)*0.8),6)</f>
        <v>0</v>
      </c>
    </row>
    <row r="5" spans="1:107" x14ac:dyDescent="0.2">
      <c r="A5">
        <f>ROW(Source!A29)</f>
        <v>29</v>
      </c>
      <c r="B5">
        <v>42938047</v>
      </c>
      <c r="C5">
        <v>43135298</v>
      </c>
      <c r="D5">
        <v>36044645</v>
      </c>
      <c r="E5">
        <v>1</v>
      </c>
      <c r="F5">
        <v>1</v>
      </c>
      <c r="G5">
        <v>35973048</v>
      </c>
      <c r="H5">
        <v>2</v>
      </c>
      <c r="I5" t="s">
        <v>1237</v>
      </c>
      <c r="J5" t="s">
        <v>1238</v>
      </c>
      <c r="K5" t="s">
        <v>1239</v>
      </c>
      <c r="L5">
        <v>1367</v>
      </c>
      <c r="N5">
        <v>1011</v>
      </c>
      <c r="O5" t="s">
        <v>738</v>
      </c>
      <c r="P5" t="s">
        <v>738</v>
      </c>
      <c r="Q5">
        <v>1</v>
      </c>
      <c r="W5">
        <v>0</v>
      </c>
      <c r="X5">
        <v>-1264716692</v>
      </c>
      <c r="Y5">
        <v>8.0000000000000002E-3</v>
      </c>
      <c r="AA5">
        <v>0</v>
      </c>
      <c r="AB5">
        <v>640.49</v>
      </c>
      <c r="AC5">
        <v>466.57</v>
      </c>
      <c r="AD5">
        <v>0</v>
      </c>
      <c r="AE5">
        <v>0</v>
      </c>
      <c r="AF5">
        <v>68.87</v>
      </c>
      <c r="AG5">
        <v>18.34</v>
      </c>
      <c r="AH5">
        <v>0</v>
      </c>
      <c r="AI5">
        <v>1</v>
      </c>
      <c r="AJ5">
        <v>9.3000000000000007</v>
      </c>
      <c r="AK5">
        <v>25.44</v>
      </c>
      <c r="AL5">
        <v>1</v>
      </c>
      <c r="AN5">
        <v>0</v>
      </c>
      <c r="AO5">
        <v>1</v>
      </c>
      <c r="AP5">
        <v>1</v>
      </c>
      <c r="AQ5">
        <v>0</v>
      </c>
      <c r="AR5">
        <v>0</v>
      </c>
      <c r="AS5" t="s">
        <v>3</v>
      </c>
      <c r="AT5">
        <v>0.01</v>
      </c>
      <c r="AU5" t="s">
        <v>31</v>
      </c>
      <c r="AV5">
        <v>0</v>
      </c>
      <c r="AW5">
        <v>2</v>
      </c>
      <c r="AX5">
        <v>43135302</v>
      </c>
      <c r="AY5">
        <v>1</v>
      </c>
      <c r="AZ5">
        <v>0</v>
      </c>
      <c r="BA5">
        <v>5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CX5">
        <f>Y5*Source!I29</f>
        <v>6.2960000000000002E-2</v>
      </c>
      <c r="CY5">
        <f>AB5</f>
        <v>640.49</v>
      </c>
      <c r="CZ5">
        <f>AF5</f>
        <v>68.87</v>
      </c>
      <c r="DA5">
        <f>AJ5</f>
        <v>9.3000000000000007</v>
      </c>
      <c r="DB5">
        <f>ROUND((ROUND(AT5*CZ5,2)*0.8),6)</f>
        <v>0.55200000000000005</v>
      </c>
      <c r="DC5">
        <f>ROUND((ROUND(AT5*AG5,2)*0.8),6)</f>
        <v>0.14399999999999999</v>
      </c>
    </row>
    <row r="6" spans="1:107" x14ac:dyDescent="0.2">
      <c r="A6">
        <f>ROW(Source!A29)</f>
        <v>29</v>
      </c>
      <c r="B6">
        <v>42938047</v>
      </c>
      <c r="C6">
        <v>43135298</v>
      </c>
      <c r="D6">
        <v>36023369</v>
      </c>
      <c r="E6">
        <v>1</v>
      </c>
      <c r="F6">
        <v>1</v>
      </c>
      <c r="G6">
        <v>35973048</v>
      </c>
      <c r="H6">
        <v>3</v>
      </c>
      <c r="I6" t="s">
        <v>129</v>
      </c>
      <c r="J6" t="s">
        <v>132</v>
      </c>
      <c r="K6" t="s">
        <v>130</v>
      </c>
      <c r="L6">
        <v>1346</v>
      </c>
      <c r="N6">
        <v>1009</v>
      </c>
      <c r="O6" t="s">
        <v>131</v>
      </c>
      <c r="P6" t="s">
        <v>131</v>
      </c>
      <c r="Q6">
        <v>1</v>
      </c>
      <c r="W6">
        <v>0</v>
      </c>
      <c r="X6">
        <v>-7625223</v>
      </c>
      <c r="Y6">
        <v>0</v>
      </c>
      <c r="AA6">
        <v>226.23</v>
      </c>
      <c r="AB6">
        <v>0</v>
      </c>
      <c r="AC6">
        <v>0</v>
      </c>
      <c r="AD6">
        <v>0</v>
      </c>
      <c r="AE6">
        <v>83.79</v>
      </c>
      <c r="AF6">
        <v>0</v>
      </c>
      <c r="AG6">
        <v>0</v>
      </c>
      <c r="AH6">
        <v>0</v>
      </c>
      <c r="AI6">
        <v>2.7</v>
      </c>
      <c r="AJ6">
        <v>1</v>
      </c>
      <c r="AK6">
        <v>1</v>
      </c>
      <c r="AL6">
        <v>1</v>
      </c>
      <c r="AN6">
        <v>0</v>
      </c>
      <c r="AO6">
        <v>1</v>
      </c>
      <c r="AP6">
        <v>1</v>
      </c>
      <c r="AQ6">
        <v>0</v>
      </c>
      <c r="AR6">
        <v>0</v>
      </c>
      <c r="AS6" t="s">
        <v>3</v>
      </c>
      <c r="AT6">
        <v>4.82</v>
      </c>
      <c r="AU6" t="s">
        <v>30</v>
      </c>
      <c r="AV6">
        <v>0</v>
      </c>
      <c r="AW6">
        <v>2</v>
      </c>
      <c r="AX6">
        <v>43135303</v>
      </c>
      <c r="AY6">
        <v>1</v>
      </c>
      <c r="AZ6">
        <v>0</v>
      </c>
      <c r="BA6">
        <v>6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CX6">
        <f>Y6*Source!I29</f>
        <v>0</v>
      </c>
      <c r="CY6">
        <f>AA6</f>
        <v>226.23</v>
      </c>
      <c r="CZ6">
        <f>AE6</f>
        <v>83.79</v>
      </c>
      <c r="DA6">
        <f>AI6</f>
        <v>2.7</v>
      </c>
      <c r="DB6">
        <f>ROUND((ROUND(AT6*CZ6,2)*0),6)</f>
        <v>0</v>
      </c>
      <c r="DC6">
        <f>ROUND((ROUND(AT6*AG6,2)*0),6)</f>
        <v>0</v>
      </c>
    </row>
    <row r="7" spans="1:107" x14ac:dyDescent="0.2">
      <c r="A7">
        <f>ROW(Source!A29)</f>
        <v>29</v>
      </c>
      <c r="B7">
        <v>42938047</v>
      </c>
      <c r="C7">
        <v>43135298</v>
      </c>
      <c r="D7">
        <v>36023370</v>
      </c>
      <c r="E7">
        <v>1</v>
      </c>
      <c r="F7">
        <v>1</v>
      </c>
      <c r="G7">
        <v>35973048</v>
      </c>
      <c r="H7">
        <v>3</v>
      </c>
      <c r="I7" t="s">
        <v>134</v>
      </c>
      <c r="J7" t="s">
        <v>137</v>
      </c>
      <c r="K7" t="s">
        <v>135</v>
      </c>
      <c r="L7">
        <v>1301</v>
      </c>
      <c r="N7">
        <v>1003</v>
      </c>
      <c r="O7" t="s">
        <v>136</v>
      </c>
      <c r="P7" t="s">
        <v>136</v>
      </c>
      <c r="Q7">
        <v>1</v>
      </c>
      <c r="W7">
        <v>0</v>
      </c>
      <c r="X7">
        <v>610741217</v>
      </c>
      <c r="Y7">
        <v>0</v>
      </c>
      <c r="AA7">
        <v>52.78</v>
      </c>
      <c r="AB7">
        <v>0</v>
      </c>
      <c r="AC7">
        <v>0</v>
      </c>
      <c r="AD7">
        <v>0</v>
      </c>
      <c r="AE7">
        <v>7.33</v>
      </c>
      <c r="AF7">
        <v>0</v>
      </c>
      <c r="AG7">
        <v>0</v>
      </c>
      <c r="AH7">
        <v>0</v>
      </c>
      <c r="AI7">
        <v>7.2</v>
      </c>
      <c r="AJ7">
        <v>1</v>
      </c>
      <c r="AK7">
        <v>1</v>
      </c>
      <c r="AL7">
        <v>1</v>
      </c>
      <c r="AN7">
        <v>0</v>
      </c>
      <c r="AO7">
        <v>1</v>
      </c>
      <c r="AP7">
        <v>1</v>
      </c>
      <c r="AQ7">
        <v>0</v>
      </c>
      <c r="AR7">
        <v>0</v>
      </c>
      <c r="AS7" t="s">
        <v>3</v>
      </c>
      <c r="AT7">
        <v>24.7</v>
      </c>
      <c r="AU7" t="s">
        <v>30</v>
      </c>
      <c r="AV7">
        <v>0</v>
      </c>
      <c r="AW7">
        <v>2</v>
      </c>
      <c r="AX7">
        <v>43135304</v>
      </c>
      <c r="AY7">
        <v>1</v>
      </c>
      <c r="AZ7">
        <v>0</v>
      </c>
      <c r="BA7">
        <v>7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CX7">
        <f>Y7*Source!I29</f>
        <v>0</v>
      </c>
      <c r="CY7">
        <f>AA7</f>
        <v>52.78</v>
      </c>
      <c r="CZ7">
        <f>AE7</f>
        <v>7.33</v>
      </c>
      <c r="DA7">
        <f>AI7</f>
        <v>7.2</v>
      </c>
      <c r="DB7">
        <f>ROUND((ROUND(AT7*CZ7,2)*0),6)</f>
        <v>0</v>
      </c>
      <c r="DC7">
        <f>ROUND((ROUND(AT7*AG7,2)*0),6)</f>
        <v>0</v>
      </c>
    </row>
    <row r="8" spans="1:107" x14ac:dyDescent="0.2">
      <c r="A8">
        <f>ROW(Source!A30)</f>
        <v>30</v>
      </c>
      <c r="B8">
        <v>42938047</v>
      </c>
      <c r="C8">
        <v>43135318</v>
      </c>
      <c r="D8">
        <v>35973053</v>
      </c>
      <c r="E8">
        <v>35973048</v>
      </c>
      <c r="F8">
        <v>1</v>
      </c>
      <c r="G8">
        <v>35973048</v>
      </c>
      <c r="H8">
        <v>1</v>
      </c>
      <c r="I8" t="s">
        <v>1228</v>
      </c>
      <c r="J8" t="s">
        <v>3</v>
      </c>
      <c r="K8" t="s">
        <v>1229</v>
      </c>
      <c r="L8">
        <v>1191</v>
      </c>
      <c r="N8">
        <v>1013</v>
      </c>
      <c r="O8" t="s">
        <v>1230</v>
      </c>
      <c r="P8" t="s">
        <v>1230</v>
      </c>
      <c r="Q8">
        <v>1</v>
      </c>
      <c r="W8">
        <v>0</v>
      </c>
      <c r="X8">
        <v>476480486</v>
      </c>
      <c r="Y8">
        <v>49.5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1</v>
      </c>
      <c r="AK8">
        <v>1</v>
      </c>
      <c r="AL8">
        <v>25.44</v>
      </c>
      <c r="AN8">
        <v>0</v>
      </c>
      <c r="AO8">
        <v>1</v>
      </c>
      <c r="AP8">
        <v>0</v>
      </c>
      <c r="AQ8">
        <v>0</v>
      </c>
      <c r="AR8">
        <v>0</v>
      </c>
      <c r="AS8" t="s">
        <v>3</v>
      </c>
      <c r="AT8">
        <v>49.5</v>
      </c>
      <c r="AU8" t="s">
        <v>3</v>
      </c>
      <c r="AV8">
        <v>1</v>
      </c>
      <c r="AW8">
        <v>2</v>
      </c>
      <c r="AX8">
        <v>43135319</v>
      </c>
      <c r="AY8">
        <v>1</v>
      </c>
      <c r="AZ8">
        <v>0</v>
      </c>
      <c r="BA8">
        <v>9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CX8">
        <f>Y8*Source!I30</f>
        <v>77.912999999999997</v>
      </c>
      <c r="CY8">
        <f>AD8</f>
        <v>0</v>
      </c>
      <c r="CZ8">
        <f>AH8</f>
        <v>0</v>
      </c>
      <c r="DA8">
        <f>AL8</f>
        <v>25.44</v>
      </c>
      <c r="DB8">
        <f>ROUND(ROUND(AT8*CZ8,2),6)</f>
        <v>0</v>
      </c>
      <c r="DC8">
        <f>ROUND(ROUND(AT8*AG8,2),6)</f>
        <v>0</v>
      </c>
    </row>
    <row r="9" spans="1:107" x14ac:dyDescent="0.2">
      <c r="A9">
        <f>ROW(Source!A30)</f>
        <v>30</v>
      </c>
      <c r="B9">
        <v>42938047</v>
      </c>
      <c r="C9">
        <v>43135318</v>
      </c>
      <c r="D9">
        <v>36044487</v>
      </c>
      <c r="E9">
        <v>1</v>
      </c>
      <c r="F9">
        <v>1</v>
      </c>
      <c r="G9">
        <v>35973048</v>
      </c>
      <c r="H9">
        <v>2</v>
      </c>
      <c r="I9" t="s">
        <v>769</v>
      </c>
      <c r="J9" t="s">
        <v>771</v>
      </c>
      <c r="K9" t="s">
        <v>770</v>
      </c>
      <c r="L9">
        <v>1367</v>
      </c>
      <c r="N9">
        <v>1011</v>
      </c>
      <c r="O9" t="s">
        <v>738</v>
      </c>
      <c r="P9" t="s">
        <v>738</v>
      </c>
      <c r="Q9">
        <v>1</v>
      </c>
      <c r="W9">
        <v>0</v>
      </c>
      <c r="X9">
        <v>-1500897512</v>
      </c>
      <c r="Y9">
        <v>2.87</v>
      </c>
      <c r="AA9">
        <v>0</v>
      </c>
      <c r="AB9">
        <v>1397.75</v>
      </c>
      <c r="AC9">
        <v>393.56</v>
      </c>
      <c r="AD9">
        <v>0</v>
      </c>
      <c r="AE9">
        <v>0</v>
      </c>
      <c r="AF9">
        <v>163.47999999999999</v>
      </c>
      <c r="AG9">
        <v>15.47</v>
      </c>
      <c r="AH9">
        <v>0</v>
      </c>
      <c r="AI9">
        <v>1</v>
      </c>
      <c r="AJ9">
        <v>8.5500000000000007</v>
      </c>
      <c r="AK9">
        <v>25.44</v>
      </c>
      <c r="AL9">
        <v>1</v>
      </c>
      <c r="AN9">
        <v>0</v>
      </c>
      <c r="AO9">
        <v>1</v>
      </c>
      <c r="AP9">
        <v>0</v>
      </c>
      <c r="AQ9">
        <v>0</v>
      </c>
      <c r="AR9">
        <v>0</v>
      </c>
      <c r="AS9" t="s">
        <v>3</v>
      </c>
      <c r="AT9">
        <v>2.87</v>
      </c>
      <c r="AU9" t="s">
        <v>3</v>
      </c>
      <c r="AV9">
        <v>0</v>
      </c>
      <c r="AW9">
        <v>2</v>
      </c>
      <c r="AX9">
        <v>43135320</v>
      </c>
      <c r="AY9">
        <v>1</v>
      </c>
      <c r="AZ9">
        <v>0</v>
      </c>
      <c r="BA9">
        <v>10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CX9">
        <f>Y9*Source!I30</f>
        <v>4.5173800000000002</v>
      </c>
      <c r="CY9">
        <f>AB9</f>
        <v>1397.75</v>
      </c>
      <c r="CZ9">
        <f>AF9</f>
        <v>163.47999999999999</v>
      </c>
      <c r="DA9">
        <f>AJ9</f>
        <v>8.5500000000000007</v>
      </c>
      <c r="DB9">
        <f>ROUND(ROUND(AT9*CZ9,2),6)</f>
        <v>469.19</v>
      </c>
      <c r="DC9">
        <f>ROUND(ROUND(AT9*AG9,2),6)</f>
        <v>44.4</v>
      </c>
    </row>
    <row r="10" spans="1:107" x14ac:dyDescent="0.2">
      <c r="A10">
        <f>ROW(Source!A30)</f>
        <v>30</v>
      </c>
      <c r="B10">
        <v>42938047</v>
      </c>
      <c r="C10">
        <v>43135318</v>
      </c>
      <c r="D10">
        <v>36044464</v>
      </c>
      <c r="E10">
        <v>1</v>
      </c>
      <c r="F10">
        <v>1</v>
      </c>
      <c r="G10">
        <v>35973048</v>
      </c>
      <c r="H10">
        <v>2</v>
      </c>
      <c r="I10" t="s">
        <v>1240</v>
      </c>
      <c r="J10" t="s">
        <v>1241</v>
      </c>
      <c r="K10" t="s">
        <v>1242</v>
      </c>
      <c r="L10">
        <v>1367</v>
      </c>
      <c r="N10">
        <v>1011</v>
      </c>
      <c r="O10" t="s">
        <v>738</v>
      </c>
      <c r="P10" t="s">
        <v>738</v>
      </c>
      <c r="Q10">
        <v>1</v>
      </c>
      <c r="W10">
        <v>0</v>
      </c>
      <c r="X10">
        <v>268767630</v>
      </c>
      <c r="Y10">
        <v>7.86</v>
      </c>
      <c r="AA10">
        <v>0</v>
      </c>
      <c r="AB10">
        <v>1784.19</v>
      </c>
      <c r="AC10">
        <v>465.55</v>
      </c>
      <c r="AD10">
        <v>0</v>
      </c>
      <c r="AE10">
        <v>0</v>
      </c>
      <c r="AF10">
        <v>220.27</v>
      </c>
      <c r="AG10">
        <v>18.3</v>
      </c>
      <c r="AH10">
        <v>0</v>
      </c>
      <c r="AI10">
        <v>1</v>
      </c>
      <c r="AJ10">
        <v>8.1</v>
      </c>
      <c r="AK10">
        <v>25.44</v>
      </c>
      <c r="AL10">
        <v>1</v>
      </c>
      <c r="AN10">
        <v>0</v>
      </c>
      <c r="AO10">
        <v>1</v>
      </c>
      <c r="AP10">
        <v>0</v>
      </c>
      <c r="AQ10">
        <v>0</v>
      </c>
      <c r="AR10">
        <v>0</v>
      </c>
      <c r="AS10" t="s">
        <v>3</v>
      </c>
      <c r="AT10">
        <v>7.86</v>
      </c>
      <c r="AU10" t="s">
        <v>3</v>
      </c>
      <c r="AV10">
        <v>0</v>
      </c>
      <c r="AW10">
        <v>2</v>
      </c>
      <c r="AX10">
        <v>43135321</v>
      </c>
      <c r="AY10">
        <v>1</v>
      </c>
      <c r="AZ10">
        <v>0</v>
      </c>
      <c r="BA10">
        <v>11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CX10">
        <f>Y10*Source!I30</f>
        <v>12.371640000000001</v>
      </c>
      <c r="CY10">
        <f>AB10</f>
        <v>1784.19</v>
      </c>
      <c r="CZ10">
        <f>AF10</f>
        <v>220.27</v>
      </c>
      <c r="DA10">
        <f>AJ10</f>
        <v>8.1</v>
      </c>
      <c r="DB10">
        <f>ROUND(ROUND(AT10*CZ10,2),6)</f>
        <v>1731.32</v>
      </c>
      <c r="DC10">
        <f>ROUND(ROUND(AT10*AG10,2),6)</f>
        <v>143.84</v>
      </c>
    </row>
    <row r="11" spans="1:107" x14ac:dyDescent="0.2">
      <c r="A11">
        <f>ROW(Source!A30)</f>
        <v>30</v>
      </c>
      <c r="B11">
        <v>42938047</v>
      </c>
      <c r="C11">
        <v>43135318</v>
      </c>
      <c r="D11">
        <v>35973762</v>
      </c>
      <c r="E11">
        <v>35973048</v>
      </c>
      <c r="F11">
        <v>1</v>
      </c>
      <c r="G11">
        <v>35973048</v>
      </c>
      <c r="H11">
        <v>2</v>
      </c>
      <c r="I11" t="s">
        <v>1243</v>
      </c>
      <c r="J11" t="s">
        <v>3</v>
      </c>
      <c r="K11" t="s">
        <v>1244</v>
      </c>
      <c r="L11">
        <v>1344</v>
      </c>
      <c r="N11">
        <v>1008</v>
      </c>
      <c r="O11" t="s">
        <v>1245</v>
      </c>
      <c r="P11" t="s">
        <v>1245</v>
      </c>
      <c r="Q11">
        <v>1</v>
      </c>
      <c r="W11">
        <v>0</v>
      </c>
      <c r="X11">
        <v>-1180195794</v>
      </c>
      <c r="Y11">
        <v>5.21</v>
      </c>
      <c r="AA11">
        <v>0</v>
      </c>
      <c r="AB11">
        <v>8.59</v>
      </c>
      <c r="AC11">
        <v>0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1</v>
      </c>
      <c r="AJ11">
        <v>8.1999999999999993</v>
      </c>
      <c r="AK11">
        <v>25.44</v>
      </c>
      <c r="AL11">
        <v>1</v>
      </c>
      <c r="AN11">
        <v>0</v>
      </c>
      <c r="AO11">
        <v>1</v>
      </c>
      <c r="AP11">
        <v>0</v>
      </c>
      <c r="AQ11">
        <v>0</v>
      </c>
      <c r="AR11">
        <v>0</v>
      </c>
      <c r="AS11" t="s">
        <v>3</v>
      </c>
      <c r="AT11">
        <v>5.21</v>
      </c>
      <c r="AU11" t="s">
        <v>3</v>
      </c>
      <c r="AV11">
        <v>0</v>
      </c>
      <c r="AW11">
        <v>2</v>
      </c>
      <c r="AX11">
        <v>43135322</v>
      </c>
      <c r="AY11">
        <v>1</v>
      </c>
      <c r="AZ11">
        <v>0</v>
      </c>
      <c r="BA11">
        <v>12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CX11">
        <f>Y11*Source!I30</f>
        <v>8.2005400000000002</v>
      </c>
      <c r="CY11">
        <f>AB11</f>
        <v>8.59</v>
      </c>
      <c r="CZ11">
        <f>AF11</f>
        <v>1</v>
      </c>
      <c r="DA11">
        <f>AJ11</f>
        <v>8.1999999999999993</v>
      </c>
      <c r="DB11">
        <f>ROUND(ROUND(AT11*CZ11,2),6)</f>
        <v>5.21</v>
      </c>
      <c r="DC11">
        <f>ROUND(ROUND(AT11*AG11,2),6)</f>
        <v>0</v>
      </c>
    </row>
    <row r="12" spans="1:107" x14ac:dyDescent="0.2">
      <c r="A12">
        <f>ROW(Source!A31)</f>
        <v>31</v>
      </c>
      <c r="B12">
        <v>42938047</v>
      </c>
      <c r="C12">
        <v>42939591</v>
      </c>
      <c r="D12">
        <v>35973053</v>
      </c>
      <c r="E12">
        <v>35973048</v>
      </c>
      <c r="F12">
        <v>1</v>
      </c>
      <c r="G12">
        <v>35973048</v>
      </c>
      <c r="H12">
        <v>1</v>
      </c>
      <c r="I12" t="s">
        <v>1228</v>
      </c>
      <c r="J12" t="s">
        <v>3</v>
      </c>
      <c r="K12" t="s">
        <v>1229</v>
      </c>
      <c r="L12">
        <v>1191</v>
      </c>
      <c r="N12">
        <v>1013</v>
      </c>
      <c r="O12" t="s">
        <v>1230</v>
      </c>
      <c r="P12" t="s">
        <v>1230</v>
      </c>
      <c r="Q12">
        <v>1</v>
      </c>
      <c r="W12">
        <v>0</v>
      </c>
      <c r="X12">
        <v>476480486</v>
      </c>
      <c r="Y12">
        <v>2.9324999999999997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1</v>
      </c>
      <c r="AK12">
        <v>1</v>
      </c>
      <c r="AL12">
        <v>25.44</v>
      </c>
      <c r="AN12">
        <v>0</v>
      </c>
      <c r="AO12">
        <v>1</v>
      </c>
      <c r="AP12">
        <v>1</v>
      </c>
      <c r="AQ12">
        <v>0</v>
      </c>
      <c r="AR12">
        <v>0</v>
      </c>
      <c r="AS12" t="s">
        <v>3</v>
      </c>
      <c r="AT12">
        <v>10.199999999999999</v>
      </c>
      <c r="AU12" t="s">
        <v>48</v>
      </c>
      <c r="AV12">
        <v>1</v>
      </c>
      <c r="AW12">
        <v>2</v>
      </c>
      <c r="AX12">
        <v>42939592</v>
      </c>
      <c r="AY12">
        <v>1</v>
      </c>
      <c r="AZ12">
        <v>0</v>
      </c>
      <c r="BA12">
        <v>13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CX12">
        <f>Y12*Source!I31</f>
        <v>23.078774999999997</v>
      </c>
      <c r="CY12">
        <f>AD12</f>
        <v>0</v>
      </c>
      <c r="CZ12">
        <f>AH12</f>
        <v>0</v>
      </c>
      <c r="DA12">
        <f>AL12</f>
        <v>25.44</v>
      </c>
      <c r="DB12">
        <f>ROUND(((ROUND(AT12*CZ12,2)*0.25)*1.15),6)</f>
        <v>0</v>
      </c>
      <c r="DC12">
        <f>ROUND(((ROUND(AT12*AG12,2)*0.25)*1.15),6)</f>
        <v>0</v>
      </c>
    </row>
    <row r="13" spans="1:107" x14ac:dyDescent="0.2">
      <c r="A13">
        <f>ROW(Source!A32)</f>
        <v>32</v>
      </c>
      <c r="B13">
        <v>42938047</v>
      </c>
      <c r="C13">
        <v>42939640</v>
      </c>
      <c r="D13">
        <v>36044716</v>
      </c>
      <c r="E13">
        <v>1</v>
      </c>
      <c r="F13">
        <v>1</v>
      </c>
      <c r="G13">
        <v>35973048</v>
      </c>
      <c r="H13">
        <v>2</v>
      </c>
      <c r="I13" t="s">
        <v>1246</v>
      </c>
      <c r="J13" t="s">
        <v>1247</v>
      </c>
      <c r="K13" t="s">
        <v>1248</v>
      </c>
      <c r="L13">
        <v>1367</v>
      </c>
      <c r="N13">
        <v>1011</v>
      </c>
      <c r="O13" t="s">
        <v>738</v>
      </c>
      <c r="P13" t="s">
        <v>738</v>
      </c>
      <c r="Q13">
        <v>1</v>
      </c>
      <c r="W13">
        <v>0</v>
      </c>
      <c r="X13">
        <v>1732017783</v>
      </c>
      <c r="Y13">
        <v>0.609375</v>
      </c>
      <c r="AA13">
        <v>0</v>
      </c>
      <c r="AB13">
        <v>865.96</v>
      </c>
      <c r="AC13">
        <v>457.92</v>
      </c>
      <c r="AD13">
        <v>0</v>
      </c>
      <c r="AE13">
        <v>0</v>
      </c>
      <c r="AF13">
        <v>92.32</v>
      </c>
      <c r="AG13">
        <v>18</v>
      </c>
      <c r="AH13">
        <v>0</v>
      </c>
      <c r="AI13">
        <v>1</v>
      </c>
      <c r="AJ13">
        <v>9.3800000000000008</v>
      </c>
      <c r="AK13">
        <v>25.44</v>
      </c>
      <c r="AL13">
        <v>1</v>
      </c>
      <c r="AN13">
        <v>0</v>
      </c>
      <c r="AO13">
        <v>1</v>
      </c>
      <c r="AP13">
        <v>1</v>
      </c>
      <c r="AQ13">
        <v>0</v>
      </c>
      <c r="AR13">
        <v>0</v>
      </c>
      <c r="AS13" t="s">
        <v>3</v>
      </c>
      <c r="AT13">
        <v>0.65</v>
      </c>
      <c r="AU13" t="s">
        <v>55</v>
      </c>
      <c r="AV13">
        <v>0</v>
      </c>
      <c r="AW13">
        <v>2</v>
      </c>
      <c r="AX13">
        <v>42939641</v>
      </c>
      <c r="AY13">
        <v>1</v>
      </c>
      <c r="AZ13">
        <v>0</v>
      </c>
      <c r="BA13">
        <v>14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CX13">
        <f>Y13*Source!I32</f>
        <v>4.7957812500000001</v>
      </c>
      <c r="CY13">
        <f>AB13</f>
        <v>865.96</v>
      </c>
      <c r="CZ13">
        <f>AF13</f>
        <v>92.32</v>
      </c>
      <c r="DA13">
        <f>AJ13</f>
        <v>9.3800000000000008</v>
      </c>
      <c r="DB13">
        <f>ROUND(((ROUND(AT13*CZ13,2)*0.75)*1.25),6)</f>
        <v>56.259374999999999</v>
      </c>
      <c r="DC13">
        <f>ROUND(((ROUND(AT13*AG13,2)*0.75)*1.25),6)</f>
        <v>10.96875</v>
      </c>
    </row>
    <row r="14" spans="1:107" x14ac:dyDescent="0.2">
      <c r="A14">
        <f>ROW(Source!A33)</f>
        <v>33</v>
      </c>
      <c r="B14">
        <v>42938047</v>
      </c>
      <c r="C14">
        <v>43135267</v>
      </c>
      <c r="D14">
        <v>35973053</v>
      </c>
      <c r="E14">
        <v>35973048</v>
      </c>
      <c r="F14">
        <v>1</v>
      </c>
      <c r="G14">
        <v>35973048</v>
      </c>
      <c r="H14">
        <v>1</v>
      </c>
      <c r="I14" t="s">
        <v>1228</v>
      </c>
      <c r="J14" t="s">
        <v>3</v>
      </c>
      <c r="K14" t="s">
        <v>1229</v>
      </c>
      <c r="L14">
        <v>1191</v>
      </c>
      <c r="N14">
        <v>1013</v>
      </c>
      <c r="O14" t="s">
        <v>1230</v>
      </c>
      <c r="P14" t="s">
        <v>1230</v>
      </c>
      <c r="Q14">
        <v>1</v>
      </c>
      <c r="W14">
        <v>0</v>
      </c>
      <c r="X14">
        <v>476480486</v>
      </c>
      <c r="Y14">
        <v>55.40124999999999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25.44</v>
      </c>
      <c r="AN14">
        <v>0</v>
      </c>
      <c r="AO14">
        <v>1</v>
      </c>
      <c r="AP14">
        <v>1</v>
      </c>
      <c r="AQ14">
        <v>0</v>
      </c>
      <c r="AR14">
        <v>0</v>
      </c>
      <c r="AS14" t="s">
        <v>3</v>
      </c>
      <c r="AT14">
        <v>192.7</v>
      </c>
      <c r="AU14" t="s">
        <v>65</v>
      </c>
      <c r="AV14">
        <v>1</v>
      </c>
      <c r="AW14">
        <v>2</v>
      </c>
      <c r="AX14">
        <v>43135286</v>
      </c>
      <c r="AY14">
        <v>1</v>
      </c>
      <c r="AZ14">
        <v>0</v>
      </c>
      <c r="BA14">
        <v>15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CX14">
        <f>Y14*Source!I33</f>
        <v>87.201567499999982</v>
      </c>
      <c r="CY14">
        <f>AD14</f>
        <v>0</v>
      </c>
      <c r="CZ14">
        <f>AH14</f>
        <v>0</v>
      </c>
      <c r="DA14">
        <f>AL14</f>
        <v>25.44</v>
      </c>
      <c r="DB14">
        <f>ROUND(((ROUND(AT14*CZ14,2)*0.25)*1.15),6)</f>
        <v>0</v>
      </c>
      <c r="DC14">
        <f>ROUND(((ROUND(AT14*AG14,2)*0.25)*1.15),6)</f>
        <v>0</v>
      </c>
    </row>
    <row r="15" spans="1:107" x14ac:dyDescent="0.2">
      <c r="A15">
        <f>ROW(Source!A34)</f>
        <v>34</v>
      </c>
      <c r="B15">
        <v>42938047</v>
      </c>
      <c r="C15">
        <v>43135287</v>
      </c>
      <c r="D15">
        <v>35973053</v>
      </c>
      <c r="E15">
        <v>35973048</v>
      </c>
      <c r="F15">
        <v>1</v>
      </c>
      <c r="G15">
        <v>35973048</v>
      </c>
      <c r="H15">
        <v>1</v>
      </c>
      <c r="I15" t="s">
        <v>1228</v>
      </c>
      <c r="J15" t="s">
        <v>3</v>
      </c>
      <c r="K15" t="s">
        <v>1229</v>
      </c>
      <c r="L15">
        <v>1191</v>
      </c>
      <c r="N15">
        <v>1013</v>
      </c>
      <c r="O15" t="s">
        <v>1230</v>
      </c>
      <c r="P15" t="s">
        <v>1230</v>
      </c>
      <c r="Q15">
        <v>1</v>
      </c>
      <c r="W15">
        <v>0</v>
      </c>
      <c r="X15">
        <v>476480486</v>
      </c>
      <c r="Y15">
        <v>1.1902499999999998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1</v>
      </c>
      <c r="AK15">
        <v>1</v>
      </c>
      <c r="AL15">
        <v>25.44</v>
      </c>
      <c r="AN15">
        <v>0</v>
      </c>
      <c r="AO15">
        <v>1</v>
      </c>
      <c r="AP15">
        <v>1</v>
      </c>
      <c r="AQ15">
        <v>0</v>
      </c>
      <c r="AR15">
        <v>0</v>
      </c>
      <c r="AS15" t="s">
        <v>3</v>
      </c>
      <c r="AT15">
        <v>1.38</v>
      </c>
      <c r="AU15" t="s">
        <v>56</v>
      </c>
      <c r="AV15">
        <v>1</v>
      </c>
      <c r="AW15">
        <v>2</v>
      </c>
      <c r="AX15">
        <v>43135288</v>
      </c>
      <c r="AY15">
        <v>1</v>
      </c>
      <c r="AZ15">
        <v>0</v>
      </c>
      <c r="BA15">
        <v>16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CX15">
        <f>Y15*Source!I34</f>
        <v>1.8734534999999999</v>
      </c>
      <c r="CY15">
        <f>AD15</f>
        <v>0</v>
      </c>
      <c r="CZ15">
        <f>AH15</f>
        <v>0</v>
      </c>
      <c r="DA15">
        <f>AL15</f>
        <v>25.44</v>
      </c>
      <c r="DB15">
        <f>ROUND(((ROUND(AT15*CZ15,2)*0.75)*1.15),6)</f>
        <v>0</v>
      </c>
      <c r="DC15">
        <f>ROUND(((ROUND(AT15*AG15,2)*0.75)*1.15),6)</f>
        <v>0</v>
      </c>
    </row>
    <row r="16" spans="1:107" x14ac:dyDescent="0.2">
      <c r="A16">
        <f>ROW(Source!A34)</f>
        <v>34</v>
      </c>
      <c r="B16">
        <v>42938047</v>
      </c>
      <c r="C16">
        <v>43135287</v>
      </c>
      <c r="D16">
        <v>36044463</v>
      </c>
      <c r="E16">
        <v>1</v>
      </c>
      <c r="F16">
        <v>1</v>
      </c>
      <c r="G16">
        <v>35973048</v>
      </c>
      <c r="H16">
        <v>2</v>
      </c>
      <c r="I16" t="s">
        <v>1249</v>
      </c>
      <c r="J16" t="s">
        <v>1250</v>
      </c>
      <c r="K16" t="s">
        <v>1251</v>
      </c>
      <c r="L16">
        <v>1367</v>
      </c>
      <c r="N16">
        <v>1011</v>
      </c>
      <c r="O16" t="s">
        <v>738</v>
      </c>
      <c r="P16" t="s">
        <v>738</v>
      </c>
      <c r="Q16">
        <v>1</v>
      </c>
      <c r="W16">
        <v>0</v>
      </c>
      <c r="X16">
        <v>-1422010832</v>
      </c>
      <c r="Y16">
        <v>3.7382812499999996</v>
      </c>
      <c r="AA16">
        <v>0</v>
      </c>
      <c r="AB16">
        <v>1608.41</v>
      </c>
      <c r="AC16">
        <v>445.45</v>
      </c>
      <c r="AD16">
        <v>0</v>
      </c>
      <c r="AE16">
        <v>0</v>
      </c>
      <c r="AF16">
        <v>180.72</v>
      </c>
      <c r="AG16">
        <v>17.510000000000002</v>
      </c>
      <c r="AH16">
        <v>0</v>
      </c>
      <c r="AI16">
        <v>1</v>
      </c>
      <c r="AJ16">
        <v>8.9</v>
      </c>
      <c r="AK16">
        <v>25.44</v>
      </c>
      <c r="AL16">
        <v>1</v>
      </c>
      <c r="AN16">
        <v>0</v>
      </c>
      <c r="AO16">
        <v>1</v>
      </c>
      <c r="AP16">
        <v>1</v>
      </c>
      <c r="AQ16">
        <v>0</v>
      </c>
      <c r="AR16">
        <v>0</v>
      </c>
      <c r="AS16" t="s">
        <v>3</v>
      </c>
      <c r="AT16">
        <v>3.9874999999999998</v>
      </c>
      <c r="AU16" t="s">
        <v>55</v>
      </c>
      <c r="AV16">
        <v>0</v>
      </c>
      <c r="AW16">
        <v>2</v>
      </c>
      <c r="AX16">
        <v>43135289</v>
      </c>
      <c r="AY16">
        <v>1</v>
      </c>
      <c r="AZ16">
        <v>0</v>
      </c>
      <c r="BA16">
        <v>17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CX16">
        <f>Y16*Source!I34</f>
        <v>5.8840546874999999</v>
      </c>
      <c r="CY16">
        <f>AB16</f>
        <v>1608.41</v>
      </c>
      <c r="CZ16">
        <f>AF16</f>
        <v>180.72</v>
      </c>
      <c r="DA16">
        <f>AJ16</f>
        <v>8.9</v>
      </c>
      <c r="DB16">
        <f>ROUND(((ROUND(AT16*CZ16,2)*0.75)*1.25),6)</f>
        <v>675.58124999999995</v>
      </c>
      <c r="DC16">
        <f>ROUND(((ROUND(AT16*AG16,2)*0.75)*1.25),6)</f>
        <v>65.456249999999997</v>
      </c>
    </row>
    <row r="17" spans="1:107" x14ac:dyDescent="0.2">
      <c r="A17">
        <f>ROW(Source!A34)</f>
        <v>34</v>
      </c>
      <c r="B17">
        <v>42938047</v>
      </c>
      <c r="C17">
        <v>43135287</v>
      </c>
      <c r="D17">
        <v>36044488</v>
      </c>
      <c r="E17">
        <v>1</v>
      </c>
      <c r="F17">
        <v>1</v>
      </c>
      <c r="G17">
        <v>35973048</v>
      </c>
      <c r="H17">
        <v>2</v>
      </c>
      <c r="I17" t="s">
        <v>1252</v>
      </c>
      <c r="J17" t="s">
        <v>1253</v>
      </c>
      <c r="K17" t="s">
        <v>1254</v>
      </c>
      <c r="L17">
        <v>1367</v>
      </c>
      <c r="N17">
        <v>1011</v>
      </c>
      <c r="O17" t="s">
        <v>738</v>
      </c>
      <c r="P17" t="s">
        <v>738</v>
      </c>
      <c r="Q17">
        <v>1</v>
      </c>
      <c r="W17">
        <v>0</v>
      </c>
      <c r="X17">
        <v>1387947568</v>
      </c>
      <c r="Y17">
        <v>0.9346875</v>
      </c>
      <c r="AA17">
        <v>0</v>
      </c>
      <c r="AB17">
        <v>1464.71</v>
      </c>
      <c r="AC17">
        <v>450.29</v>
      </c>
      <c r="AD17">
        <v>0</v>
      </c>
      <c r="AE17">
        <v>0</v>
      </c>
      <c r="AF17">
        <v>161.49</v>
      </c>
      <c r="AG17">
        <v>17.7</v>
      </c>
      <c r="AH17">
        <v>0</v>
      </c>
      <c r="AI17">
        <v>1</v>
      </c>
      <c r="AJ17">
        <v>9.07</v>
      </c>
      <c r="AK17">
        <v>25.44</v>
      </c>
      <c r="AL17">
        <v>1</v>
      </c>
      <c r="AN17">
        <v>0</v>
      </c>
      <c r="AO17">
        <v>1</v>
      </c>
      <c r="AP17">
        <v>1</v>
      </c>
      <c r="AQ17">
        <v>0</v>
      </c>
      <c r="AR17">
        <v>0</v>
      </c>
      <c r="AS17" t="s">
        <v>3</v>
      </c>
      <c r="AT17">
        <v>0.997</v>
      </c>
      <c r="AU17" t="s">
        <v>55</v>
      </c>
      <c r="AV17">
        <v>0</v>
      </c>
      <c r="AW17">
        <v>2</v>
      </c>
      <c r="AX17">
        <v>43135290</v>
      </c>
      <c r="AY17">
        <v>1</v>
      </c>
      <c r="AZ17">
        <v>0</v>
      </c>
      <c r="BA17">
        <v>18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CX17">
        <f>Y17*Source!I34</f>
        <v>1.4711981250000001</v>
      </c>
      <c r="CY17">
        <f>AB17</f>
        <v>1464.71</v>
      </c>
      <c r="CZ17">
        <f>AF17</f>
        <v>161.49</v>
      </c>
      <c r="DA17">
        <f>AJ17</f>
        <v>9.07</v>
      </c>
      <c r="DB17">
        <f>ROUND(((ROUND(AT17*CZ17,2)*0.75)*1.25),6)</f>
        <v>150.94687500000001</v>
      </c>
      <c r="DC17">
        <f>ROUND(((ROUND(AT17*AG17,2)*0.75)*1.25),6)</f>
        <v>16.546875</v>
      </c>
    </row>
    <row r="18" spans="1:107" x14ac:dyDescent="0.2">
      <c r="A18">
        <f>ROW(Source!A35)</f>
        <v>35</v>
      </c>
      <c r="B18">
        <v>42938047</v>
      </c>
      <c r="C18">
        <v>43136455</v>
      </c>
      <c r="D18">
        <v>35973053</v>
      </c>
      <c r="E18">
        <v>35973048</v>
      </c>
      <c r="F18">
        <v>1</v>
      </c>
      <c r="G18">
        <v>35973048</v>
      </c>
      <c r="H18">
        <v>1</v>
      </c>
      <c r="I18" t="s">
        <v>1228</v>
      </c>
      <c r="J18" t="s">
        <v>3</v>
      </c>
      <c r="K18" t="s">
        <v>1229</v>
      </c>
      <c r="L18">
        <v>1191</v>
      </c>
      <c r="N18">
        <v>1013</v>
      </c>
      <c r="O18" t="s">
        <v>1230</v>
      </c>
      <c r="P18" t="s">
        <v>1230</v>
      </c>
      <c r="Q18">
        <v>1</v>
      </c>
      <c r="W18">
        <v>0</v>
      </c>
      <c r="X18">
        <v>476480486</v>
      </c>
      <c r="Y18">
        <v>24.84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1</v>
      </c>
      <c r="AJ18">
        <v>1</v>
      </c>
      <c r="AK18">
        <v>1</v>
      </c>
      <c r="AL18">
        <v>25.44</v>
      </c>
      <c r="AN18">
        <v>0</v>
      </c>
      <c r="AO18">
        <v>1</v>
      </c>
      <c r="AP18">
        <v>1</v>
      </c>
      <c r="AQ18">
        <v>0</v>
      </c>
      <c r="AR18">
        <v>0</v>
      </c>
      <c r="AS18" t="s">
        <v>3</v>
      </c>
      <c r="AT18">
        <v>21.6</v>
      </c>
      <c r="AU18" t="s">
        <v>21</v>
      </c>
      <c r="AV18">
        <v>1</v>
      </c>
      <c r="AW18">
        <v>2</v>
      </c>
      <c r="AX18">
        <v>43136466</v>
      </c>
      <c r="AY18">
        <v>1</v>
      </c>
      <c r="AZ18">
        <v>0</v>
      </c>
      <c r="BA18">
        <v>19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CX18">
        <f>Y18*Source!I35</f>
        <v>39.09816</v>
      </c>
      <c r="CY18">
        <f>AD18</f>
        <v>0</v>
      </c>
      <c r="CZ18">
        <f>AH18</f>
        <v>0</v>
      </c>
      <c r="DA18">
        <f>AL18</f>
        <v>25.44</v>
      </c>
      <c r="DB18">
        <f>ROUND((ROUND(AT18*CZ18,2)*1.15),6)</f>
        <v>0</v>
      </c>
      <c r="DC18">
        <f>ROUND((ROUND(AT18*AG18,2)*1.15),6)</f>
        <v>0</v>
      </c>
    </row>
    <row r="19" spans="1:107" x14ac:dyDescent="0.2">
      <c r="A19">
        <f>ROW(Source!A35)</f>
        <v>35</v>
      </c>
      <c r="B19">
        <v>42938047</v>
      </c>
      <c r="C19">
        <v>43136455</v>
      </c>
      <c r="D19">
        <v>36044487</v>
      </c>
      <c r="E19">
        <v>1</v>
      </c>
      <c r="F19">
        <v>1</v>
      </c>
      <c r="G19">
        <v>35973048</v>
      </c>
      <c r="H19">
        <v>2</v>
      </c>
      <c r="I19" t="s">
        <v>769</v>
      </c>
      <c r="J19" t="s">
        <v>771</v>
      </c>
      <c r="K19" t="s">
        <v>770</v>
      </c>
      <c r="L19">
        <v>1367</v>
      </c>
      <c r="N19">
        <v>1011</v>
      </c>
      <c r="O19" t="s">
        <v>738</v>
      </c>
      <c r="P19" t="s">
        <v>738</v>
      </c>
      <c r="Q19">
        <v>1</v>
      </c>
      <c r="W19">
        <v>0</v>
      </c>
      <c r="X19">
        <v>-1500897512</v>
      </c>
      <c r="Y19">
        <v>2.9375</v>
      </c>
      <c r="AA19">
        <v>0</v>
      </c>
      <c r="AB19">
        <v>1397.75</v>
      </c>
      <c r="AC19">
        <v>393.56</v>
      </c>
      <c r="AD19">
        <v>0</v>
      </c>
      <c r="AE19">
        <v>0</v>
      </c>
      <c r="AF19">
        <v>163.47999999999999</v>
      </c>
      <c r="AG19">
        <v>15.47</v>
      </c>
      <c r="AH19">
        <v>0</v>
      </c>
      <c r="AI19">
        <v>1</v>
      </c>
      <c r="AJ19">
        <v>8.5500000000000007</v>
      </c>
      <c r="AK19">
        <v>25.44</v>
      </c>
      <c r="AL19">
        <v>1</v>
      </c>
      <c r="AN19">
        <v>0</v>
      </c>
      <c r="AO19">
        <v>1</v>
      </c>
      <c r="AP19">
        <v>1</v>
      </c>
      <c r="AQ19">
        <v>0</v>
      </c>
      <c r="AR19">
        <v>0</v>
      </c>
      <c r="AS19" t="s">
        <v>3</v>
      </c>
      <c r="AT19">
        <v>2.35</v>
      </c>
      <c r="AU19" t="s">
        <v>20</v>
      </c>
      <c r="AV19">
        <v>0</v>
      </c>
      <c r="AW19">
        <v>2</v>
      </c>
      <c r="AX19">
        <v>43136467</v>
      </c>
      <c r="AY19">
        <v>1</v>
      </c>
      <c r="AZ19">
        <v>0</v>
      </c>
      <c r="BA19">
        <v>20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CX19">
        <f>Y19*Source!I35</f>
        <v>4.6236250000000005</v>
      </c>
      <c r="CY19">
        <f t="shared" ref="CY19:CY24" si="0">AB19</f>
        <v>1397.75</v>
      </c>
      <c r="CZ19">
        <f t="shared" ref="CZ19:CZ24" si="1">AF19</f>
        <v>163.47999999999999</v>
      </c>
      <c r="DA19">
        <f t="shared" ref="DA19:DA24" si="2">AJ19</f>
        <v>8.5500000000000007</v>
      </c>
      <c r="DB19">
        <f t="shared" ref="DB19:DB24" si="3">ROUND((ROUND(AT19*CZ19,2)*1.25),6)</f>
        <v>480.22500000000002</v>
      </c>
      <c r="DC19">
        <f t="shared" ref="DC19:DC24" si="4">ROUND((ROUND(AT19*AG19,2)*1.25),6)</f>
        <v>45.4375</v>
      </c>
    </row>
    <row r="20" spans="1:107" x14ac:dyDescent="0.2">
      <c r="A20">
        <f>ROW(Source!A35)</f>
        <v>35</v>
      </c>
      <c r="B20">
        <v>42938047</v>
      </c>
      <c r="C20">
        <v>43136455</v>
      </c>
      <c r="D20">
        <v>36044734</v>
      </c>
      <c r="E20">
        <v>1</v>
      </c>
      <c r="F20">
        <v>1</v>
      </c>
      <c r="G20">
        <v>35973048</v>
      </c>
      <c r="H20">
        <v>2</v>
      </c>
      <c r="I20" t="s">
        <v>745</v>
      </c>
      <c r="J20" t="s">
        <v>747</v>
      </c>
      <c r="K20" t="s">
        <v>746</v>
      </c>
      <c r="L20">
        <v>1367</v>
      </c>
      <c r="N20">
        <v>1011</v>
      </c>
      <c r="O20" t="s">
        <v>738</v>
      </c>
      <c r="P20" t="s">
        <v>738</v>
      </c>
      <c r="Q20">
        <v>1</v>
      </c>
      <c r="W20">
        <v>0</v>
      </c>
      <c r="X20">
        <v>366114799</v>
      </c>
      <c r="Y20">
        <v>1.1375</v>
      </c>
      <c r="AA20">
        <v>0</v>
      </c>
      <c r="AB20">
        <v>2035.11</v>
      </c>
      <c r="AC20">
        <v>340.13</v>
      </c>
      <c r="AD20">
        <v>0</v>
      </c>
      <c r="AE20">
        <v>0</v>
      </c>
      <c r="AF20">
        <v>246.68</v>
      </c>
      <c r="AG20">
        <v>13.37</v>
      </c>
      <c r="AH20">
        <v>0</v>
      </c>
      <c r="AI20">
        <v>1</v>
      </c>
      <c r="AJ20">
        <v>8.25</v>
      </c>
      <c r="AK20">
        <v>25.44</v>
      </c>
      <c r="AL20">
        <v>1</v>
      </c>
      <c r="AN20">
        <v>0</v>
      </c>
      <c r="AO20">
        <v>1</v>
      </c>
      <c r="AP20">
        <v>1</v>
      </c>
      <c r="AQ20">
        <v>0</v>
      </c>
      <c r="AR20">
        <v>0</v>
      </c>
      <c r="AS20" t="s">
        <v>3</v>
      </c>
      <c r="AT20">
        <v>0.91</v>
      </c>
      <c r="AU20" t="s">
        <v>20</v>
      </c>
      <c r="AV20">
        <v>0</v>
      </c>
      <c r="AW20">
        <v>2</v>
      </c>
      <c r="AX20">
        <v>43136468</v>
      </c>
      <c r="AY20">
        <v>1</v>
      </c>
      <c r="AZ20">
        <v>0</v>
      </c>
      <c r="BA20">
        <v>21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CX20">
        <f>Y20*Source!I35</f>
        <v>1.7904249999999999</v>
      </c>
      <c r="CY20">
        <f t="shared" si="0"/>
        <v>2035.11</v>
      </c>
      <c r="CZ20">
        <f t="shared" si="1"/>
        <v>246.68</v>
      </c>
      <c r="DA20">
        <f t="shared" si="2"/>
        <v>8.25</v>
      </c>
      <c r="DB20">
        <f t="shared" si="3"/>
        <v>280.60000000000002</v>
      </c>
      <c r="DC20">
        <f t="shared" si="4"/>
        <v>15.2125</v>
      </c>
    </row>
    <row r="21" spans="1:107" x14ac:dyDescent="0.2">
      <c r="A21">
        <f>ROW(Source!A35)</f>
        <v>35</v>
      </c>
      <c r="B21">
        <v>42938047</v>
      </c>
      <c r="C21">
        <v>43136455</v>
      </c>
      <c r="D21">
        <v>36044719</v>
      </c>
      <c r="E21">
        <v>1</v>
      </c>
      <c r="F21">
        <v>1</v>
      </c>
      <c r="G21">
        <v>35973048</v>
      </c>
      <c r="H21">
        <v>2</v>
      </c>
      <c r="I21" t="s">
        <v>1255</v>
      </c>
      <c r="J21" t="s">
        <v>1256</v>
      </c>
      <c r="K21" t="s">
        <v>1257</v>
      </c>
      <c r="L21">
        <v>1367</v>
      </c>
      <c r="N21">
        <v>1011</v>
      </c>
      <c r="O21" t="s">
        <v>738</v>
      </c>
      <c r="P21" t="s">
        <v>738</v>
      </c>
      <c r="Q21">
        <v>1</v>
      </c>
      <c r="W21">
        <v>0</v>
      </c>
      <c r="X21">
        <v>-1882480599</v>
      </c>
      <c r="Y21">
        <v>8.9625000000000004</v>
      </c>
      <c r="AA21">
        <v>0</v>
      </c>
      <c r="AB21">
        <v>1447.02</v>
      </c>
      <c r="AC21">
        <v>382.11</v>
      </c>
      <c r="AD21">
        <v>0</v>
      </c>
      <c r="AE21">
        <v>0</v>
      </c>
      <c r="AF21">
        <v>169.44</v>
      </c>
      <c r="AG21">
        <v>15.02</v>
      </c>
      <c r="AH21">
        <v>0</v>
      </c>
      <c r="AI21">
        <v>1</v>
      </c>
      <c r="AJ21">
        <v>8.5399999999999991</v>
      </c>
      <c r="AK21">
        <v>25.44</v>
      </c>
      <c r="AL21">
        <v>1</v>
      </c>
      <c r="AN21">
        <v>0</v>
      </c>
      <c r="AO21">
        <v>1</v>
      </c>
      <c r="AP21">
        <v>1</v>
      </c>
      <c r="AQ21">
        <v>0</v>
      </c>
      <c r="AR21">
        <v>0</v>
      </c>
      <c r="AS21" t="s">
        <v>3</v>
      </c>
      <c r="AT21">
        <v>7.17</v>
      </c>
      <c r="AU21" t="s">
        <v>20</v>
      </c>
      <c r="AV21">
        <v>0</v>
      </c>
      <c r="AW21">
        <v>2</v>
      </c>
      <c r="AX21">
        <v>43136469</v>
      </c>
      <c r="AY21">
        <v>1</v>
      </c>
      <c r="AZ21">
        <v>0</v>
      </c>
      <c r="BA21">
        <v>22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CX21">
        <f>Y21*Source!I35</f>
        <v>14.106975</v>
      </c>
      <c r="CY21">
        <f t="shared" si="0"/>
        <v>1447.02</v>
      </c>
      <c r="CZ21">
        <f t="shared" si="1"/>
        <v>169.44</v>
      </c>
      <c r="DA21">
        <f t="shared" si="2"/>
        <v>8.5399999999999991</v>
      </c>
      <c r="DB21">
        <f t="shared" si="3"/>
        <v>1518.6</v>
      </c>
      <c r="DC21">
        <f t="shared" si="4"/>
        <v>134.61250000000001</v>
      </c>
    </row>
    <row r="22" spans="1:107" x14ac:dyDescent="0.2">
      <c r="A22">
        <f>ROW(Source!A35)</f>
        <v>35</v>
      </c>
      <c r="B22">
        <v>42938047</v>
      </c>
      <c r="C22">
        <v>43136455</v>
      </c>
      <c r="D22">
        <v>36044720</v>
      </c>
      <c r="E22">
        <v>1</v>
      </c>
      <c r="F22">
        <v>1</v>
      </c>
      <c r="G22">
        <v>35973048</v>
      </c>
      <c r="H22">
        <v>2</v>
      </c>
      <c r="I22" t="s">
        <v>765</v>
      </c>
      <c r="J22" t="s">
        <v>767</v>
      </c>
      <c r="K22" t="s">
        <v>766</v>
      </c>
      <c r="L22">
        <v>1367</v>
      </c>
      <c r="N22">
        <v>1011</v>
      </c>
      <c r="O22" t="s">
        <v>738</v>
      </c>
      <c r="P22" t="s">
        <v>738</v>
      </c>
      <c r="Q22">
        <v>1</v>
      </c>
      <c r="W22">
        <v>0</v>
      </c>
      <c r="X22">
        <v>-1920329426</v>
      </c>
      <c r="Y22">
        <v>18.25</v>
      </c>
      <c r="AA22">
        <v>0</v>
      </c>
      <c r="AB22">
        <v>1892.09</v>
      </c>
      <c r="AC22">
        <v>445.45</v>
      </c>
      <c r="AD22">
        <v>0</v>
      </c>
      <c r="AE22">
        <v>0</v>
      </c>
      <c r="AF22">
        <v>219.5</v>
      </c>
      <c r="AG22">
        <v>17.510000000000002</v>
      </c>
      <c r="AH22">
        <v>0</v>
      </c>
      <c r="AI22">
        <v>1</v>
      </c>
      <c r="AJ22">
        <v>8.6199999999999992</v>
      </c>
      <c r="AK22">
        <v>25.44</v>
      </c>
      <c r="AL22">
        <v>1</v>
      </c>
      <c r="AN22">
        <v>0</v>
      </c>
      <c r="AO22">
        <v>1</v>
      </c>
      <c r="AP22">
        <v>1</v>
      </c>
      <c r="AQ22">
        <v>0</v>
      </c>
      <c r="AR22">
        <v>0</v>
      </c>
      <c r="AS22" t="s">
        <v>3</v>
      </c>
      <c r="AT22">
        <v>14.6</v>
      </c>
      <c r="AU22" t="s">
        <v>20</v>
      </c>
      <c r="AV22">
        <v>0</v>
      </c>
      <c r="AW22">
        <v>2</v>
      </c>
      <c r="AX22">
        <v>43136470</v>
      </c>
      <c r="AY22">
        <v>1</v>
      </c>
      <c r="AZ22">
        <v>0</v>
      </c>
      <c r="BA22">
        <v>23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CX22">
        <f>Y22*Source!I35</f>
        <v>28.7255</v>
      </c>
      <c r="CY22">
        <f t="shared" si="0"/>
        <v>1892.09</v>
      </c>
      <c r="CZ22">
        <f t="shared" si="1"/>
        <v>219.5</v>
      </c>
      <c r="DA22">
        <f t="shared" si="2"/>
        <v>8.6199999999999992</v>
      </c>
      <c r="DB22">
        <f t="shared" si="3"/>
        <v>4005.875</v>
      </c>
      <c r="DC22">
        <f t="shared" si="4"/>
        <v>319.5625</v>
      </c>
    </row>
    <row r="23" spans="1:107" x14ac:dyDescent="0.2">
      <c r="A23">
        <f>ROW(Source!A35)</f>
        <v>35</v>
      </c>
      <c r="B23">
        <v>42938047</v>
      </c>
      <c r="C23">
        <v>43136455</v>
      </c>
      <c r="D23">
        <v>36044762</v>
      </c>
      <c r="E23">
        <v>1</v>
      </c>
      <c r="F23">
        <v>1</v>
      </c>
      <c r="G23">
        <v>35973048</v>
      </c>
      <c r="H23">
        <v>2</v>
      </c>
      <c r="I23" t="s">
        <v>736</v>
      </c>
      <c r="J23" t="s">
        <v>739</v>
      </c>
      <c r="K23" t="s">
        <v>737</v>
      </c>
      <c r="L23">
        <v>1367</v>
      </c>
      <c r="N23">
        <v>1011</v>
      </c>
      <c r="O23" t="s">
        <v>738</v>
      </c>
      <c r="P23" t="s">
        <v>738</v>
      </c>
      <c r="Q23">
        <v>1</v>
      </c>
      <c r="W23">
        <v>0</v>
      </c>
      <c r="X23">
        <v>856318566</v>
      </c>
      <c r="Y23">
        <v>2.2374999999999998</v>
      </c>
      <c r="AA23">
        <v>0</v>
      </c>
      <c r="AB23">
        <v>1520.33</v>
      </c>
      <c r="AC23">
        <v>629.39</v>
      </c>
      <c r="AD23">
        <v>0</v>
      </c>
      <c r="AE23">
        <v>0</v>
      </c>
      <c r="AF23">
        <v>125.13</v>
      </c>
      <c r="AG23">
        <v>24.74</v>
      </c>
      <c r="AH23">
        <v>0</v>
      </c>
      <c r="AI23">
        <v>1</v>
      </c>
      <c r="AJ23">
        <v>12.15</v>
      </c>
      <c r="AK23">
        <v>25.44</v>
      </c>
      <c r="AL23">
        <v>1</v>
      </c>
      <c r="AN23">
        <v>0</v>
      </c>
      <c r="AO23">
        <v>1</v>
      </c>
      <c r="AP23">
        <v>1</v>
      </c>
      <c r="AQ23">
        <v>0</v>
      </c>
      <c r="AR23">
        <v>0</v>
      </c>
      <c r="AS23" t="s">
        <v>3</v>
      </c>
      <c r="AT23">
        <v>1.79</v>
      </c>
      <c r="AU23" t="s">
        <v>20</v>
      </c>
      <c r="AV23">
        <v>0</v>
      </c>
      <c r="AW23">
        <v>2</v>
      </c>
      <c r="AX23">
        <v>43136471</v>
      </c>
      <c r="AY23">
        <v>1</v>
      </c>
      <c r="AZ23">
        <v>0</v>
      </c>
      <c r="BA23">
        <v>24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CX23">
        <f>Y23*Source!I35</f>
        <v>3.5218249999999998</v>
      </c>
      <c r="CY23">
        <f t="shared" si="0"/>
        <v>1520.33</v>
      </c>
      <c r="CZ23">
        <f t="shared" si="1"/>
        <v>125.13</v>
      </c>
      <c r="DA23">
        <f t="shared" si="2"/>
        <v>12.15</v>
      </c>
      <c r="DB23">
        <f t="shared" si="3"/>
        <v>279.97500000000002</v>
      </c>
      <c r="DC23">
        <f t="shared" si="4"/>
        <v>55.35</v>
      </c>
    </row>
    <row r="24" spans="1:107" x14ac:dyDescent="0.2">
      <c r="A24">
        <f>ROW(Source!A35)</f>
        <v>35</v>
      </c>
      <c r="B24">
        <v>42938047</v>
      </c>
      <c r="C24">
        <v>43136455</v>
      </c>
      <c r="D24">
        <v>36044724</v>
      </c>
      <c r="E24">
        <v>1</v>
      </c>
      <c r="F24">
        <v>1</v>
      </c>
      <c r="G24">
        <v>35973048</v>
      </c>
      <c r="H24">
        <v>2</v>
      </c>
      <c r="I24" t="s">
        <v>741</v>
      </c>
      <c r="J24" t="s">
        <v>743</v>
      </c>
      <c r="K24" t="s">
        <v>742</v>
      </c>
      <c r="L24">
        <v>1367</v>
      </c>
      <c r="N24">
        <v>1011</v>
      </c>
      <c r="O24" t="s">
        <v>738</v>
      </c>
      <c r="P24" t="s">
        <v>738</v>
      </c>
      <c r="Q24">
        <v>1</v>
      </c>
      <c r="W24">
        <v>0</v>
      </c>
      <c r="X24">
        <v>-646811103</v>
      </c>
      <c r="Y24">
        <v>0.65</v>
      </c>
      <c r="AA24">
        <v>0</v>
      </c>
      <c r="AB24">
        <v>1576.56</v>
      </c>
      <c r="AC24">
        <v>443.16</v>
      </c>
      <c r="AD24">
        <v>0</v>
      </c>
      <c r="AE24">
        <v>0</v>
      </c>
      <c r="AF24">
        <v>177.54</v>
      </c>
      <c r="AG24">
        <v>17.420000000000002</v>
      </c>
      <c r="AH24">
        <v>0</v>
      </c>
      <c r="AI24">
        <v>1</v>
      </c>
      <c r="AJ24">
        <v>8.8800000000000008</v>
      </c>
      <c r="AK24">
        <v>25.44</v>
      </c>
      <c r="AL24">
        <v>1</v>
      </c>
      <c r="AN24">
        <v>0</v>
      </c>
      <c r="AO24">
        <v>1</v>
      </c>
      <c r="AP24">
        <v>1</v>
      </c>
      <c r="AQ24">
        <v>0</v>
      </c>
      <c r="AR24">
        <v>0</v>
      </c>
      <c r="AS24" t="s">
        <v>3</v>
      </c>
      <c r="AT24">
        <v>0.52</v>
      </c>
      <c r="AU24" t="s">
        <v>20</v>
      </c>
      <c r="AV24">
        <v>0</v>
      </c>
      <c r="AW24">
        <v>2</v>
      </c>
      <c r="AX24">
        <v>43136472</v>
      </c>
      <c r="AY24">
        <v>1</v>
      </c>
      <c r="AZ24">
        <v>0</v>
      </c>
      <c r="BA24">
        <v>25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CX24">
        <f>Y24*Source!I35</f>
        <v>1.0231000000000001</v>
      </c>
      <c r="CY24">
        <f t="shared" si="0"/>
        <v>1576.56</v>
      </c>
      <c r="CZ24">
        <f t="shared" si="1"/>
        <v>177.54</v>
      </c>
      <c r="DA24">
        <f t="shared" si="2"/>
        <v>8.8800000000000008</v>
      </c>
      <c r="DB24">
        <f t="shared" si="3"/>
        <v>115.4</v>
      </c>
      <c r="DC24">
        <f t="shared" si="4"/>
        <v>11.324999999999999</v>
      </c>
    </row>
    <row r="25" spans="1:107" x14ac:dyDescent="0.2">
      <c r="A25">
        <f>ROW(Source!A35)</f>
        <v>35</v>
      </c>
      <c r="B25">
        <v>42938047</v>
      </c>
      <c r="C25">
        <v>43136455</v>
      </c>
      <c r="D25">
        <v>36020415</v>
      </c>
      <c r="E25">
        <v>1</v>
      </c>
      <c r="F25">
        <v>1</v>
      </c>
      <c r="G25">
        <v>35973048</v>
      </c>
      <c r="H25">
        <v>3</v>
      </c>
      <c r="I25" t="s">
        <v>469</v>
      </c>
      <c r="J25" t="s">
        <v>471</v>
      </c>
      <c r="K25" t="s">
        <v>470</v>
      </c>
      <c r="L25">
        <v>1339</v>
      </c>
      <c r="N25">
        <v>1007</v>
      </c>
      <c r="O25" t="s">
        <v>84</v>
      </c>
      <c r="P25" t="s">
        <v>84</v>
      </c>
      <c r="Q25">
        <v>1</v>
      </c>
      <c r="W25">
        <v>0</v>
      </c>
      <c r="X25">
        <v>-862991314</v>
      </c>
      <c r="Y25">
        <v>7</v>
      </c>
      <c r="AA25">
        <v>36.340000000000003</v>
      </c>
      <c r="AB25">
        <v>0</v>
      </c>
      <c r="AC25">
        <v>0</v>
      </c>
      <c r="AD25">
        <v>0</v>
      </c>
      <c r="AE25">
        <v>7.07</v>
      </c>
      <c r="AF25">
        <v>0</v>
      </c>
      <c r="AG25">
        <v>0</v>
      </c>
      <c r="AH25">
        <v>0</v>
      </c>
      <c r="AI25">
        <v>5.14</v>
      </c>
      <c r="AJ25">
        <v>1</v>
      </c>
      <c r="AK25">
        <v>1</v>
      </c>
      <c r="AL25">
        <v>1</v>
      </c>
      <c r="AN25">
        <v>0</v>
      </c>
      <c r="AO25">
        <v>1</v>
      </c>
      <c r="AP25">
        <v>0</v>
      </c>
      <c r="AQ25">
        <v>0</v>
      </c>
      <c r="AR25">
        <v>0</v>
      </c>
      <c r="AS25" t="s">
        <v>3</v>
      </c>
      <c r="AT25">
        <v>7</v>
      </c>
      <c r="AU25" t="s">
        <v>3</v>
      </c>
      <c r="AV25">
        <v>0</v>
      </c>
      <c r="AW25">
        <v>2</v>
      </c>
      <c r="AX25">
        <v>43136473</v>
      </c>
      <c r="AY25">
        <v>1</v>
      </c>
      <c r="AZ25">
        <v>0</v>
      </c>
      <c r="BA25">
        <v>26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CX25">
        <f>Y25*Source!I35</f>
        <v>11.018000000000001</v>
      </c>
      <c r="CY25">
        <f>AA25</f>
        <v>36.340000000000003</v>
      </c>
      <c r="CZ25">
        <f>AE25</f>
        <v>7.07</v>
      </c>
      <c r="DA25">
        <f>AI25</f>
        <v>5.14</v>
      </c>
      <c r="DB25">
        <f>ROUND(ROUND(AT25*CZ25,2),6)</f>
        <v>49.49</v>
      </c>
      <c r="DC25">
        <f>ROUND(ROUND(AT25*AG25,2),6)</f>
        <v>0</v>
      </c>
    </row>
    <row r="26" spans="1:107" x14ac:dyDescent="0.2">
      <c r="A26">
        <f>ROW(Source!A35)</f>
        <v>35</v>
      </c>
      <c r="B26">
        <v>42938047</v>
      </c>
      <c r="C26">
        <v>43136455</v>
      </c>
      <c r="D26">
        <v>36021718</v>
      </c>
      <c r="E26">
        <v>1</v>
      </c>
      <c r="F26">
        <v>1</v>
      </c>
      <c r="G26">
        <v>35973048</v>
      </c>
      <c r="H26">
        <v>3</v>
      </c>
      <c r="I26" t="s">
        <v>82</v>
      </c>
      <c r="J26" t="s">
        <v>85</v>
      </c>
      <c r="K26" t="s">
        <v>83</v>
      </c>
      <c r="L26">
        <v>1339</v>
      </c>
      <c r="N26">
        <v>1007</v>
      </c>
      <c r="O26" t="s">
        <v>84</v>
      </c>
      <c r="P26" t="s">
        <v>84</v>
      </c>
      <c r="Q26">
        <v>1</v>
      </c>
      <c r="W26">
        <v>0</v>
      </c>
      <c r="X26">
        <v>2094184890</v>
      </c>
      <c r="Y26">
        <v>100</v>
      </c>
      <c r="AA26">
        <v>2297.19</v>
      </c>
      <c r="AB26">
        <v>0</v>
      </c>
      <c r="AC26">
        <v>0</v>
      </c>
      <c r="AD26">
        <v>0</v>
      </c>
      <c r="AE26">
        <v>158.22</v>
      </c>
      <c r="AF26">
        <v>0</v>
      </c>
      <c r="AG26">
        <v>0</v>
      </c>
      <c r="AH26">
        <v>0</v>
      </c>
      <c r="AI26">
        <v>14.49</v>
      </c>
      <c r="AJ26">
        <v>1</v>
      </c>
      <c r="AK26">
        <v>1</v>
      </c>
      <c r="AL26">
        <v>1</v>
      </c>
      <c r="AN26">
        <v>0</v>
      </c>
      <c r="AO26">
        <v>0</v>
      </c>
      <c r="AP26">
        <v>0</v>
      </c>
      <c r="AQ26">
        <v>0</v>
      </c>
      <c r="AR26">
        <v>0</v>
      </c>
      <c r="AS26" t="s">
        <v>3</v>
      </c>
      <c r="AT26">
        <v>100</v>
      </c>
      <c r="AU26" t="s">
        <v>3</v>
      </c>
      <c r="AV26">
        <v>0</v>
      </c>
      <c r="AW26">
        <v>1</v>
      </c>
      <c r="AX26">
        <v>-1</v>
      </c>
      <c r="AY26">
        <v>0</v>
      </c>
      <c r="AZ26">
        <v>0</v>
      </c>
      <c r="BA26" t="s">
        <v>3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CX26">
        <f>Y26*Source!I35</f>
        <v>157.4</v>
      </c>
      <c r="CY26">
        <f>AA26</f>
        <v>2297.19</v>
      </c>
      <c r="CZ26">
        <f>AE26</f>
        <v>158.22</v>
      </c>
      <c r="DA26">
        <f>AI26</f>
        <v>14.49</v>
      </c>
      <c r="DB26">
        <f>ROUND(ROUND(AT26*CZ26,2),6)</f>
        <v>15822</v>
      </c>
      <c r="DC26">
        <f>ROUND(ROUND(AT26*AG26,2),6)</f>
        <v>0</v>
      </c>
    </row>
    <row r="27" spans="1:107" x14ac:dyDescent="0.2">
      <c r="A27">
        <f>ROW(Source!A37)</f>
        <v>37</v>
      </c>
      <c r="B27">
        <v>42938047</v>
      </c>
      <c r="C27">
        <v>43136456</v>
      </c>
      <c r="D27">
        <v>35973053</v>
      </c>
      <c r="E27">
        <v>35973048</v>
      </c>
      <c r="F27">
        <v>1</v>
      </c>
      <c r="G27">
        <v>35973048</v>
      </c>
      <c r="H27">
        <v>1</v>
      </c>
      <c r="I27" t="s">
        <v>1228</v>
      </c>
      <c r="J27" t="s">
        <v>3</v>
      </c>
      <c r="K27" t="s">
        <v>1229</v>
      </c>
      <c r="L27">
        <v>1191</v>
      </c>
      <c r="N27">
        <v>1013</v>
      </c>
      <c r="O27" t="s">
        <v>1230</v>
      </c>
      <c r="P27" t="s">
        <v>1230</v>
      </c>
      <c r="Q27">
        <v>1</v>
      </c>
      <c r="W27">
        <v>0</v>
      </c>
      <c r="X27">
        <v>476480486</v>
      </c>
      <c r="Y27">
        <v>16.559999999999999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</v>
      </c>
      <c r="AJ27">
        <v>1</v>
      </c>
      <c r="AK27">
        <v>1</v>
      </c>
      <c r="AL27">
        <v>25.44</v>
      </c>
      <c r="AN27">
        <v>0</v>
      </c>
      <c r="AO27">
        <v>1</v>
      </c>
      <c r="AP27">
        <v>1</v>
      </c>
      <c r="AQ27">
        <v>0</v>
      </c>
      <c r="AR27">
        <v>0</v>
      </c>
      <c r="AS27" t="s">
        <v>3</v>
      </c>
      <c r="AT27">
        <v>14.4</v>
      </c>
      <c r="AU27" t="s">
        <v>21</v>
      </c>
      <c r="AV27">
        <v>1</v>
      </c>
      <c r="AW27">
        <v>2</v>
      </c>
      <c r="AX27">
        <v>43136457</v>
      </c>
      <c r="AY27">
        <v>1</v>
      </c>
      <c r="AZ27">
        <v>0</v>
      </c>
      <c r="BA27">
        <v>28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CX27">
        <f>Y27*Source!I37</f>
        <v>26.065439999999999</v>
      </c>
      <c r="CY27">
        <f>AD27</f>
        <v>0</v>
      </c>
      <c r="CZ27">
        <f>AH27</f>
        <v>0</v>
      </c>
      <c r="DA27">
        <f>AL27</f>
        <v>25.44</v>
      </c>
      <c r="DB27">
        <f>ROUND((ROUND(AT27*CZ27,2)*1.15),6)</f>
        <v>0</v>
      </c>
      <c r="DC27">
        <f>ROUND((ROUND(AT27*AG27,2)*1.15),6)</f>
        <v>0</v>
      </c>
    </row>
    <row r="28" spans="1:107" x14ac:dyDescent="0.2">
      <c r="A28">
        <f>ROW(Source!A37)</f>
        <v>37</v>
      </c>
      <c r="B28">
        <v>42938047</v>
      </c>
      <c r="C28">
        <v>43136456</v>
      </c>
      <c r="D28">
        <v>36044508</v>
      </c>
      <c r="E28">
        <v>1</v>
      </c>
      <c r="F28">
        <v>1</v>
      </c>
      <c r="G28">
        <v>35973048</v>
      </c>
      <c r="H28">
        <v>2</v>
      </c>
      <c r="I28" t="s">
        <v>1258</v>
      </c>
      <c r="J28" t="s">
        <v>1259</v>
      </c>
      <c r="K28" t="s">
        <v>1260</v>
      </c>
      <c r="L28">
        <v>1367</v>
      </c>
      <c r="N28">
        <v>1011</v>
      </c>
      <c r="O28" t="s">
        <v>738</v>
      </c>
      <c r="P28" t="s">
        <v>738</v>
      </c>
      <c r="Q28">
        <v>1</v>
      </c>
      <c r="W28">
        <v>0</v>
      </c>
      <c r="X28">
        <v>1928543733</v>
      </c>
      <c r="Y28">
        <v>2.0750000000000002</v>
      </c>
      <c r="AA28">
        <v>0</v>
      </c>
      <c r="AB28">
        <v>1242.54</v>
      </c>
      <c r="AC28">
        <v>595.54999999999995</v>
      </c>
      <c r="AD28">
        <v>0</v>
      </c>
      <c r="AE28">
        <v>0</v>
      </c>
      <c r="AF28">
        <v>116.89</v>
      </c>
      <c r="AG28">
        <v>23.41</v>
      </c>
      <c r="AH28">
        <v>0</v>
      </c>
      <c r="AI28">
        <v>1</v>
      </c>
      <c r="AJ28">
        <v>10.63</v>
      </c>
      <c r="AK28">
        <v>25.44</v>
      </c>
      <c r="AL28">
        <v>1</v>
      </c>
      <c r="AN28">
        <v>0</v>
      </c>
      <c r="AO28">
        <v>1</v>
      </c>
      <c r="AP28">
        <v>1</v>
      </c>
      <c r="AQ28">
        <v>0</v>
      </c>
      <c r="AR28">
        <v>0</v>
      </c>
      <c r="AS28" t="s">
        <v>3</v>
      </c>
      <c r="AT28">
        <v>1.66</v>
      </c>
      <c r="AU28" t="s">
        <v>20</v>
      </c>
      <c r="AV28">
        <v>0</v>
      </c>
      <c r="AW28">
        <v>2</v>
      </c>
      <c r="AX28">
        <v>43136458</v>
      </c>
      <c r="AY28">
        <v>1</v>
      </c>
      <c r="AZ28">
        <v>2048</v>
      </c>
      <c r="BA28">
        <v>29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CX28">
        <f>Y28*Source!I37</f>
        <v>3.2660500000000003</v>
      </c>
      <c r="CY28">
        <f>AB28</f>
        <v>1242.54</v>
      </c>
      <c r="CZ28">
        <f>AF28</f>
        <v>116.89</v>
      </c>
      <c r="DA28">
        <f>AJ28</f>
        <v>10.63</v>
      </c>
      <c r="DB28">
        <f>ROUND((ROUND(AT28*CZ28,2)*1.25),6)</f>
        <v>242.55</v>
      </c>
      <c r="DC28">
        <f>ROUND((ROUND(AT28*AG28,2)*1.25),6)</f>
        <v>48.575000000000003</v>
      </c>
    </row>
    <row r="29" spans="1:107" x14ac:dyDescent="0.2">
      <c r="A29">
        <f>ROW(Source!A37)</f>
        <v>37</v>
      </c>
      <c r="B29">
        <v>42938047</v>
      </c>
      <c r="C29">
        <v>43136456</v>
      </c>
      <c r="D29">
        <v>36044731</v>
      </c>
      <c r="E29">
        <v>1</v>
      </c>
      <c r="F29">
        <v>1</v>
      </c>
      <c r="G29">
        <v>35973048</v>
      </c>
      <c r="H29">
        <v>2</v>
      </c>
      <c r="I29" t="s">
        <v>749</v>
      </c>
      <c r="J29" t="s">
        <v>751</v>
      </c>
      <c r="K29" t="s">
        <v>750</v>
      </c>
      <c r="L29">
        <v>1367</v>
      </c>
      <c r="N29">
        <v>1011</v>
      </c>
      <c r="O29" t="s">
        <v>738</v>
      </c>
      <c r="P29" t="s">
        <v>738</v>
      </c>
      <c r="Q29">
        <v>1</v>
      </c>
      <c r="W29">
        <v>0</v>
      </c>
      <c r="X29">
        <v>142191915</v>
      </c>
      <c r="Y29">
        <v>2.0750000000000002</v>
      </c>
      <c r="AA29">
        <v>0</v>
      </c>
      <c r="AB29">
        <v>433.23</v>
      </c>
      <c r="AC29">
        <v>168.92</v>
      </c>
      <c r="AD29">
        <v>0</v>
      </c>
      <c r="AE29">
        <v>0</v>
      </c>
      <c r="AF29">
        <v>62.97</v>
      </c>
      <c r="AG29">
        <v>6.64</v>
      </c>
      <c r="AH29">
        <v>0</v>
      </c>
      <c r="AI29">
        <v>1</v>
      </c>
      <c r="AJ29">
        <v>6.88</v>
      </c>
      <c r="AK29">
        <v>25.44</v>
      </c>
      <c r="AL29">
        <v>1</v>
      </c>
      <c r="AN29">
        <v>0</v>
      </c>
      <c r="AO29">
        <v>1</v>
      </c>
      <c r="AP29">
        <v>1</v>
      </c>
      <c r="AQ29">
        <v>0</v>
      </c>
      <c r="AR29">
        <v>0</v>
      </c>
      <c r="AS29" t="s">
        <v>3</v>
      </c>
      <c r="AT29">
        <v>1.66</v>
      </c>
      <c r="AU29" t="s">
        <v>20</v>
      </c>
      <c r="AV29">
        <v>0</v>
      </c>
      <c r="AW29">
        <v>2</v>
      </c>
      <c r="AX29">
        <v>43136459</v>
      </c>
      <c r="AY29">
        <v>1</v>
      </c>
      <c r="AZ29">
        <v>2048</v>
      </c>
      <c r="BA29">
        <v>30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CX29">
        <f>Y29*Source!I37</f>
        <v>3.2660500000000003</v>
      </c>
      <c r="CY29">
        <f>AB29</f>
        <v>433.23</v>
      </c>
      <c r="CZ29">
        <f>AF29</f>
        <v>62.97</v>
      </c>
      <c r="DA29">
        <f>AJ29</f>
        <v>6.88</v>
      </c>
      <c r="DB29">
        <f>ROUND((ROUND(AT29*CZ29,2)*1.25),6)</f>
        <v>130.66249999999999</v>
      </c>
      <c r="DC29">
        <f>ROUND((ROUND(AT29*AG29,2)*1.25),6)</f>
        <v>13.775</v>
      </c>
    </row>
    <row r="30" spans="1:107" x14ac:dyDescent="0.2">
      <c r="A30">
        <f>ROW(Source!A37)</f>
        <v>37</v>
      </c>
      <c r="B30">
        <v>42938047</v>
      </c>
      <c r="C30">
        <v>43136456</v>
      </c>
      <c r="D30">
        <v>36044734</v>
      </c>
      <c r="E30">
        <v>1</v>
      </c>
      <c r="F30">
        <v>1</v>
      </c>
      <c r="G30">
        <v>35973048</v>
      </c>
      <c r="H30">
        <v>2</v>
      </c>
      <c r="I30" t="s">
        <v>745</v>
      </c>
      <c r="J30" t="s">
        <v>747</v>
      </c>
      <c r="K30" t="s">
        <v>746</v>
      </c>
      <c r="L30">
        <v>1367</v>
      </c>
      <c r="N30">
        <v>1011</v>
      </c>
      <c r="O30" t="s">
        <v>738</v>
      </c>
      <c r="P30" t="s">
        <v>738</v>
      </c>
      <c r="Q30">
        <v>1</v>
      </c>
      <c r="W30">
        <v>0</v>
      </c>
      <c r="X30">
        <v>366114799</v>
      </c>
      <c r="Y30">
        <v>0.8125</v>
      </c>
      <c r="AA30">
        <v>0</v>
      </c>
      <c r="AB30">
        <v>2035.11</v>
      </c>
      <c r="AC30">
        <v>340.13</v>
      </c>
      <c r="AD30">
        <v>0</v>
      </c>
      <c r="AE30">
        <v>0</v>
      </c>
      <c r="AF30">
        <v>246.68</v>
      </c>
      <c r="AG30">
        <v>13.37</v>
      </c>
      <c r="AH30">
        <v>0</v>
      </c>
      <c r="AI30">
        <v>1</v>
      </c>
      <c r="AJ30">
        <v>8.25</v>
      </c>
      <c r="AK30">
        <v>25.44</v>
      </c>
      <c r="AL30">
        <v>1</v>
      </c>
      <c r="AN30">
        <v>0</v>
      </c>
      <c r="AO30">
        <v>1</v>
      </c>
      <c r="AP30">
        <v>1</v>
      </c>
      <c r="AQ30">
        <v>0</v>
      </c>
      <c r="AR30">
        <v>0</v>
      </c>
      <c r="AS30" t="s">
        <v>3</v>
      </c>
      <c r="AT30">
        <v>0.65</v>
      </c>
      <c r="AU30" t="s">
        <v>20</v>
      </c>
      <c r="AV30">
        <v>0</v>
      </c>
      <c r="AW30">
        <v>2</v>
      </c>
      <c r="AX30">
        <v>43136460</v>
      </c>
      <c r="AY30">
        <v>1</v>
      </c>
      <c r="AZ30">
        <v>0</v>
      </c>
      <c r="BA30">
        <v>31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CX30">
        <f>Y30*Source!I37</f>
        <v>1.278875</v>
      </c>
      <c r="CY30">
        <f>AB30</f>
        <v>2035.11</v>
      </c>
      <c r="CZ30">
        <f>AF30</f>
        <v>246.68</v>
      </c>
      <c r="DA30">
        <f>AJ30</f>
        <v>8.25</v>
      </c>
      <c r="DB30">
        <f>ROUND((ROUND(AT30*CZ30,2)*1.25),6)</f>
        <v>200.42500000000001</v>
      </c>
      <c r="DC30">
        <f>ROUND((ROUND(AT30*AG30,2)*1.25),6)</f>
        <v>10.862500000000001</v>
      </c>
    </row>
    <row r="31" spans="1:107" x14ac:dyDescent="0.2">
      <c r="A31">
        <f>ROW(Source!A37)</f>
        <v>37</v>
      </c>
      <c r="B31">
        <v>42938047</v>
      </c>
      <c r="C31">
        <v>43136456</v>
      </c>
      <c r="D31">
        <v>36044762</v>
      </c>
      <c r="E31">
        <v>1</v>
      </c>
      <c r="F31">
        <v>1</v>
      </c>
      <c r="G31">
        <v>35973048</v>
      </c>
      <c r="H31">
        <v>2</v>
      </c>
      <c r="I31" t="s">
        <v>736</v>
      </c>
      <c r="J31" t="s">
        <v>739</v>
      </c>
      <c r="K31" t="s">
        <v>737</v>
      </c>
      <c r="L31">
        <v>1367</v>
      </c>
      <c r="N31">
        <v>1011</v>
      </c>
      <c r="O31" t="s">
        <v>738</v>
      </c>
      <c r="P31" t="s">
        <v>738</v>
      </c>
      <c r="Q31">
        <v>1</v>
      </c>
      <c r="W31">
        <v>0</v>
      </c>
      <c r="X31">
        <v>856318566</v>
      </c>
      <c r="Y31">
        <v>1.9375</v>
      </c>
      <c r="AA31">
        <v>0</v>
      </c>
      <c r="AB31">
        <v>1520.33</v>
      </c>
      <c r="AC31">
        <v>629.39</v>
      </c>
      <c r="AD31">
        <v>0</v>
      </c>
      <c r="AE31">
        <v>0</v>
      </c>
      <c r="AF31">
        <v>125.13</v>
      </c>
      <c r="AG31">
        <v>24.74</v>
      </c>
      <c r="AH31">
        <v>0</v>
      </c>
      <c r="AI31">
        <v>1</v>
      </c>
      <c r="AJ31">
        <v>12.15</v>
      </c>
      <c r="AK31">
        <v>25.44</v>
      </c>
      <c r="AL31">
        <v>1</v>
      </c>
      <c r="AN31">
        <v>0</v>
      </c>
      <c r="AO31">
        <v>1</v>
      </c>
      <c r="AP31">
        <v>1</v>
      </c>
      <c r="AQ31">
        <v>0</v>
      </c>
      <c r="AR31">
        <v>0</v>
      </c>
      <c r="AS31" t="s">
        <v>3</v>
      </c>
      <c r="AT31">
        <v>1.55</v>
      </c>
      <c r="AU31" t="s">
        <v>20</v>
      </c>
      <c r="AV31">
        <v>0</v>
      </c>
      <c r="AW31">
        <v>2</v>
      </c>
      <c r="AX31">
        <v>43136461</v>
      </c>
      <c r="AY31">
        <v>1</v>
      </c>
      <c r="AZ31">
        <v>0</v>
      </c>
      <c r="BA31">
        <v>32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CX31">
        <f>Y31*Source!I37</f>
        <v>3.0496250000000003</v>
      </c>
      <c r="CY31">
        <f>AB31</f>
        <v>1520.33</v>
      </c>
      <c r="CZ31">
        <f>AF31</f>
        <v>125.13</v>
      </c>
      <c r="DA31">
        <f>AJ31</f>
        <v>12.15</v>
      </c>
      <c r="DB31">
        <f>ROUND((ROUND(AT31*CZ31,2)*1.25),6)</f>
        <v>242.4375</v>
      </c>
      <c r="DC31">
        <f>ROUND((ROUND(AT31*AG31,2)*1.25),6)</f>
        <v>47.9375</v>
      </c>
    </row>
    <row r="32" spans="1:107" x14ac:dyDescent="0.2">
      <c r="A32">
        <f>ROW(Source!A37)</f>
        <v>37</v>
      </c>
      <c r="B32">
        <v>42938047</v>
      </c>
      <c r="C32">
        <v>43136456</v>
      </c>
      <c r="D32">
        <v>36044724</v>
      </c>
      <c r="E32">
        <v>1</v>
      </c>
      <c r="F32">
        <v>1</v>
      </c>
      <c r="G32">
        <v>35973048</v>
      </c>
      <c r="H32">
        <v>2</v>
      </c>
      <c r="I32" t="s">
        <v>741</v>
      </c>
      <c r="J32" t="s">
        <v>743</v>
      </c>
      <c r="K32" t="s">
        <v>742</v>
      </c>
      <c r="L32">
        <v>1367</v>
      </c>
      <c r="N32">
        <v>1011</v>
      </c>
      <c r="O32" t="s">
        <v>738</v>
      </c>
      <c r="P32" t="s">
        <v>738</v>
      </c>
      <c r="Q32">
        <v>1</v>
      </c>
      <c r="W32">
        <v>0</v>
      </c>
      <c r="X32">
        <v>-646811103</v>
      </c>
      <c r="Y32">
        <v>0.65</v>
      </c>
      <c r="AA32">
        <v>0</v>
      </c>
      <c r="AB32">
        <v>1576.56</v>
      </c>
      <c r="AC32">
        <v>443.16</v>
      </c>
      <c r="AD32">
        <v>0</v>
      </c>
      <c r="AE32">
        <v>0</v>
      </c>
      <c r="AF32">
        <v>177.54</v>
      </c>
      <c r="AG32">
        <v>17.420000000000002</v>
      </c>
      <c r="AH32">
        <v>0</v>
      </c>
      <c r="AI32">
        <v>1</v>
      </c>
      <c r="AJ32">
        <v>8.8800000000000008</v>
      </c>
      <c r="AK32">
        <v>25.44</v>
      </c>
      <c r="AL32">
        <v>1</v>
      </c>
      <c r="AN32">
        <v>0</v>
      </c>
      <c r="AO32">
        <v>1</v>
      </c>
      <c r="AP32">
        <v>1</v>
      </c>
      <c r="AQ32">
        <v>0</v>
      </c>
      <c r="AR32">
        <v>0</v>
      </c>
      <c r="AS32" t="s">
        <v>3</v>
      </c>
      <c r="AT32">
        <v>0.52</v>
      </c>
      <c r="AU32" t="s">
        <v>20</v>
      </c>
      <c r="AV32">
        <v>0</v>
      </c>
      <c r="AW32">
        <v>2</v>
      </c>
      <c r="AX32">
        <v>43136462</v>
      </c>
      <c r="AY32">
        <v>1</v>
      </c>
      <c r="AZ32">
        <v>0</v>
      </c>
      <c r="BA32">
        <v>33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CX32">
        <f>Y32*Source!I37</f>
        <v>1.0231000000000001</v>
      </c>
      <c r="CY32">
        <f>AB32</f>
        <v>1576.56</v>
      </c>
      <c r="CZ32">
        <f>AF32</f>
        <v>177.54</v>
      </c>
      <c r="DA32">
        <f>AJ32</f>
        <v>8.8800000000000008</v>
      </c>
      <c r="DB32">
        <f>ROUND((ROUND(AT32*CZ32,2)*1.25),6)</f>
        <v>115.4</v>
      </c>
      <c r="DC32">
        <f>ROUND((ROUND(AT32*AG32,2)*1.25),6)</f>
        <v>11.324999999999999</v>
      </c>
    </row>
    <row r="33" spans="1:107" x14ac:dyDescent="0.2">
      <c r="A33">
        <f>ROW(Source!A37)</f>
        <v>37</v>
      </c>
      <c r="B33">
        <v>42938047</v>
      </c>
      <c r="C33">
        <v>43136456</v>
      </c>
      <c r="D33">
        <v>36020415</v>
      </c>
      <c r="E33">
        <v>1</v>
      </c>
      <c r="F33">
        <v>1</v>
      </c>
      <c r="G33">
        <v>35973048</v>
      </c>
      <c r="H33">
        <v>3</v>
      </c>
      <c r="I33" t="s">
        <v>469</v>
      </c>
      <c r="J33" t="s">
        <v>471</v>
      </c>
      <c r="K33" t="s">
        <v>470</v>
      </c>
      <c r="L33">
        <v>1339</v>
      </c>
      <c r="N33">
        <v>1007</v>
      </c>
      <c r="O33" t="s">
        <v>84</v>
      </c>
      <c r="P33" t="s">
        <v>84</v>
      </c>
      <c r="Q33">
        <v>1</v>
      </c>
      <c r="W33">
        <v>0</v>
      </c>
      <c r="X33">
        <v>-862991314</v>
      </c>
      <c r="Y33">
        <v>5</v>
      </c>
      <c r="AA33">
        <v>36.340000000000003</v>
      </c>
      <c r="AB33">
        <v>0</v>
      </c>
      <c r="AC33">
        <v>0</v>
      </c>
      <c r="AD33">
        <v>0</v>
      </c>
      <c r="AE33">
        <v>7.07</v>
      </c>
      <c r="AF33">
        <v>0</v>
      </c>
      <c r="AG33">
        <v>0</v>
      </c>
      <c r="AH33">
        <v>0</v>
      </c>
      <c r="AI33">
        <v>5.14</v>
      </c>
      <c r="AJ33">
        <v>1</v>
      </c>
      <c r="AK33">
        <v>1</v>
      </c>
      <c r="AL33">
        <v>1</v>
      </c>
      <c r="AN33">
        <v>0</v>
      </c>
      <c r="AO33">
        <v>1</v>
      </c>
      <c r="AP33">
        <v>0</v>
      </c>
      <c r="AQ33">
        <v>0</v>
      </c>
      <c r="AR33">
        <v>0</v>
      </c>
      <c r="AS33" t="s">
        <v>3</v>
      </c>
      <c r="AT33">
        <v>5</v>
      </c>
      <c r="AU33" t="s">
        <v>3</v>
      </c>
      <c r="AV33">
        <v>0</v>
      </c>
      <c r="AW33">
        <v>2</v>
      </c>
      <c r="AX33">
        <v>43136463</v>
      </c>
      <c r="AY33">
        <v>1</v>
      </c>
      <c r="AZ33">
        <v>0</v>
      </c>
      <c r="BA33">
        <v>34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CX33">
        <f>Y33*Source!I37</f>
        <v>7.87</v>
      </c>
      <c r="CY33">
        <f>AA33</f>
        <v>36.340000000000003</v>
      </c>
      <c r="CZ33">
        <f>AE33</f>
        <v>7.07</v>
      </c>
      <c r="DA33">
        <f>AI33</f>
        <v>5.14</v>
      </c>
      <c r="DB33">
        <f>ROUND(ROUND(AT33*CZ33,2),6)</f>
        <v>35.35</v>
      </c>
      <c r="DC33">
        <f>ROUND(ROUND(AT33*AG33,2),6)</f>
        <v>0</v>
      </c>
    </row>
    <row r="34" spans="1:107" x14ac:dyDescent="0.2">
      <c r="A34">
        <f>ROW(Source!A37)</f>
        <v>37</v>
      </c>
      <c r="B34">
        <v>42938047</v>
      </c>
      <c r="C34">
        <v>43136456</v>
      </c>
      <c r="D34">
        <v>36020974</v>
      </c>
      <c r="E34">
        <v>1</v>
      </c>
      <c r="F34">
        <v>1</v>
      </c>
      <c r="G34">
        <v>35973048</v>
      </c>
      <c r="H34">
        <v>3</v>
      </c>
      <c r="I34" t="s">
        <v>91</v>
      </c>
      <c r="J34" t="s">
        <v>93</v>
      </c>
      <c r="K34" t="s">
        <v>92</v>
      </c>
      <c r="L34">
        <v>1339</v>
      </c>
      <c r="N34">
        <v>1007</v>
      </c>
      <c r="O34" t="s">
        <v>84</v>
      </c>
      <c r="P34" t="s">
        <v>84</v>
      </c>
      <c r="Q34">
        <v>1</v>
      </c>
      <c r="W34">
        <v>0</v>
      </c>
      <c r="X34">
        <v>2069056849</v>
      </c>
      <c r="Y34">
        <v>100</v>
      </c>
      <c r="AA34">
        <v>579.65</v>
      </c>
      <c r="AB34">
        <v>0</v>
      </c>
      <c r="AC34">
        <v>0</v>
      </c>
      <c r="AD34">
        <v>0</v>
      </c>
      <c r="AE34">
        <v>104.99</v>
      </c>
      <c r="AF34">
        <v>0</v>
      </c>
      <c r="AG34">
        <v>0</v>
      </c>
      <c r="AH34">
        <v>0</v>
      </c>
      <c r="AI34">
        <v>5.51</v>
      </c>
      <c r="AJ34">
        <v>1</v>
      </c>
      <c r="AK34">
        <v>1</v>
      </c>
      <c r="AL34">
        <v>1</v>
      </c>
      <c r="AN34">
        <v>0</v>
      </c>
      <c r="AO34">
        <v>0</v>
      </c>
      <c r="AP34">
        <v>0</v>
      </c>
      <c r="AQ34">
        <v>0</v>
      </c>
      <c r="AR34">
        <v>0</v>
      </c>
      <c r="AS34" t="s">
        <v>3</v>
      </c>
      <c r="AT34">
        <v>100</v>
      </c>
      <c r="AU34" t="s">
        <v>3</v>
      </c>
      <c r="AV34">
        <v>0</v>
      </c>
      <c r="AW34">
        <v>1</v>
      </c>
      <c r="AX34">
        <v>-1</v>
      </c>
      <c r="AY34">
        <v>0</v>
      </c>
      <c r="AZ34">
        <v>0</v>
      </c>
      <c r="BA34" t="s">
        <v>3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CX34">
        <f>Y34*Source!I37</f>
        <v>157.4</v>
      </c>
      <c r="CY34">
        <f>AA34</f>
        <v>579.65</v>
      </c>
      <c r="CZ34">
        <f>AE34</f>
        <v>104.99</v>
      </c>
      <c r="DA34">
        <f>AI34</f>
        <v>5.51</v>
      </c>
      <c r="DB34">
        <f>ROUND(ROUND(AT34*CZ34,2),6)</f>
        <v>10499</v>
      </c>
      <c r="DC34">
        <f>ROUND(ROUND(AT34*AG34,2),6)</f>
        <v>0</v>
      </c>
    </row>
    <row r="35" spans="1:107" x14ac:dyDescent="0.2">
      <c r="A35">
        <f>ROW(Source!A39)</f>
        <v>39</v>
      </c>
      <c r="B35">
        <v>42938047</v>
      </c>
      <c r="C35">
        <v>43159511</v>
      </c>
      <c r="D35">
        <v>35973053</v>
      </c>
      <c r="E35">
        <v>35973048</v>
      </c>
      <c r="F35">
        <v>1</v>
      </c>
      <c r="G35">
        <v>35973048</v>
      </c>
      <c r="H35">
        <v>1</v>
      </c>
      <c r="I35" t="s">
        <v>1228</v>
      </c>
      <c r="J35" t="s">
        <v>3</v>
      </c>
      <c r="K35" t="s">
        <v>1229</v>
      </c>
      <c r="L35">
        <v>1191</v>
      </c>
      <c r="N35">
        <v>1013</v>
      </c>
      <c r="O35" t="s">
        <v>1230</v>
      </c>
      <c r="P35" t="s">
        <v>1230</v>
      </c>
      <c r="Q35">
        <v>1</v>
      </c>
      <c r="W35">
        <v>0</v>
      </c>
      <c r="X35">
        <v>476480486</v>
      </c>
      <c r="Y35">
        <v>205.85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1</v>
      </c>
      <c r="AK35">
        <v>1</v>
      </c>
      <c r="AL35">
        <v>25.44</v>
      </c>
      <c r="AN35">
        <v>0</v>
      </c>
      <c r="AO35">
        <v>1</v>
      </c>
      <c r="AP35">
        <v>1</v>
      </c>
      <c r="AQ35">
        <v>0</v>
      </c>
      <c r="AR35">
        <v>0</v>
      </c>
      <c r="AS35" t="s">
        <v>3</v>
      </c>
      <c r="AT35">
        <v>179</v>
      </c>
      <c r="AU35" t="s">
        <v>21</v>
      </c>
      <c r="AV35">
        <v>1</v>
      </c>
      <c r="AW35">
        <v>2</v>
      </c>
      <c r="AX35">
        <v>43159626</v>
      </c>
      <c r="AY35">
        <v>1</v>
      </c>
      <c r="AZ35">
        <v>0</v>
      </c>
      <c r="BA35">
        <v>36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CX35">
        <f>Y35*Source!I39</f>
        <v>242.90299999999999</v>
      </c>
      <c r="CY35">
        <f>AD35</f>
        <v>0</v>
      </c>
      <c r="CZ35">
        <f>AH35</f>
        <v>0</v>
      </c>
      <c r="DA35">
        <f>AL35</f>
        <v>25.44</v>
      </c>
      <c r="DB35">
        <f>ROUND((ROUND(AT35*CZ35,2)*1.15),6)</f>
        <v>0</v>
      </c>
      <c r="DC35">
        <f>ROUND((ROUND(AT35*AG35,2)*1.15),6)</f>
        <v>0</v>
      </c>
    </row>
    <row r="36" spans="1:107" x14ac:dyDescent="0.2">
      <c r="A36">
        <f>ROW(Source!A39)</f>
        <v>39</v>
      </c>
      <c r="B36">
        <v>42938047</v>
      </c>
      <c r="C36">
        <v>43159511</v>
      </c>
      <c r="D36">
        <v>36045025</v>
      </c>
      <c r="E36">
        <v>1</v>
      </c>
      <c r="F36">
        <v>1</v>
      </c>
      <c r="G36">
        <v>35973048</v>
      </c>
      <c r="H36">
        <v>2</v>
      </c>
      <c r="I36" t="s">
        <v>1261</v>
      </c>
      <c r="J36" t="s">
        <v>1262</v>
      </c>
      <c r="K36" t="s">
        <v>1263</v>
      </c>
      <c r="L36">
        <v>1367</v>
      </c>
      <c r="N36">
        <v>1011</v>
      </c>
      <c r="O36" t="s">
        <v>738</v>
      </c>
      <c r="P36" t="s">
        <v>738</v>
      </c>
      <c r="Q36">
        <v>1</v>
      </c>
      <c r="W36">
        <v>0</v>
      </c>
      <c r="X36">
        <v>49912578</v>
      </c>
      <c r="Y36">
        <v>150</v>
      </c>
      <c r="AA36">
        <v>0</v>
      </c>
      <c r="AB36">
        <v>55.97</v>
      </c>
      <c r="AC36">
        <v>0.51</v>
      </c>
      <c r="AD36">
        <v>0</v>
      </c>
      <c r="AE36">
        <v>0</v>
      </c>
      <c r="AF36">
        <v>6.15</v>
      </c>
      <c r="AG36">
        <v>0.02</v>
      </c>
      <c r="AH36">
        <v>0</v>
      </c>
      <c r="AI36">
        <v>1</v>
      </c>
      <c r="AJ36">
        <v>9.1</v>
      </c>
      <c r="AK36">
        <v>25.44</v>
      </c>
      <c r="AL36">
        <v>1</v>
      </c>
      <c r="AN36">
        <v>0</v>
      </c>
      <c r="AO36">
        <v>1</v>
      </c>
      <c r="AP36">
        <v>1</v>
      </c>
      <c r="AQ36">
        <v>0</v>
      </c>
      <c r="AR36">
        <v>0</v>
      </c>
      <c r="AS36" t="s">
        <v>3</v>
      </c>
      <c r="AT36">
        <v>120</v>
      </c>
      <c r="AU36" t="s">
        <v>20</v>
      </c>
      <c r="AV36">
        <v>0</v>
      </c>
      <c r="AW36">
        <v>2</v>
      </c>
      <c r="AX36">
        <v>43159627</v>
      </c>
      <c r="AY36">
        <v>1</v>
      </c>
      <c r="AZ36">
        <v>0</v>
      </c>
      <c r="BA36">
        <v>37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CX36">
        <f>Y36*Source!I39</f>
        <v>177</v>
      </c>
      <c r="CY36">
        <f t="shared" ref="CY36:CY41" si="5">AB36</f>
        <v>55.97</v>
      </c>
      <c r="CZ36">
        <f t="shared" ref="CZ36:CZ41" si="6">AF36</f>
        <v>6.15</v>
      </c>
      <c r="DA36">
        <f t="shared" ref="DA36:DA41" si="7">AJ36</f>
        <v>9.1</v>
      </c>
      <c r="DB36">
        <f t="shared" ref="DB36:DB41" si="8">ROUND((ROUND(AT36*CZ36,2)*1.25),6)</f>
        <v>922.5</v>
      </c>
      <c r="DC36">
        <f t="shared" ref="DC36:DC41" si="9">ROUND((ROUND(AT36*AG36,2)*1.25),6)</f>
        <v>3</v>
      </c>
    </row>
    <row r="37" spans="1:107" x14ac:dyDescent="0.2">
      <c r="A37">
        <f>ROW(Source!A39)</f>
        <v>39</v>
      </c>
      <c r="B37">
        <v>42938047</v>
      </c>
      <c r="C37">
        <v>43159511</v>
      </c>
      <c r="D37">
        <v>36045308</v>
      </c>
      <c r="E37">
        <v>1</v>
      </c>
      <c r="F37">
        <v>1</v>
      </c>
      <c r="G37">
        <v>35973048</v>
      </c>
      <c r="H37">
        <v>2</v>
      </c>
      <c r="I37" t="s">
        <v>1231</v>
      </c>
      <c r="J37" t="s">
        <v>1232</v>
      </c>
      <c r="K37" t="s">
        <v>1233</v>
      </c>
      <c r="L37">
        <v>1367</v>
      </c>
      <c r="N37">
        <v>1011</v>
      </c>
      <c r="O37" t="s">
        <v>738</v>
      </c>
      <c r="P37" t="s">
        <v>738</v>
      </c>
      <c r="Q37">
        <v>1</v>
      </c>
      <c r="W37">
        <v>0</v>
      </c>
      <c r="X37">
        <v>-628430174</v>
      </c>
      <c r="Y37">
        <v>1.6875</v>
      </c>
      <c r="AA37">
        <v>0</v>
      </c>
      <c r="AB37">
        <v>748.13</v>
      </c>
      <c r="AC37">
        <v>365.32</v>
      </c>
      <c r="AD37">
        <v>0</v>
      </c>
      <c r="AE37">
        <v>0</v>
      </c>
      <c r="AF37">
        <v>76.81</v>
      </c>
      <c r="AG37">
        <v>14.36</v>
      </c>
      <c r="AH37">
        <v>0</v>
      </c>
      <c r="AI37">
        <v>1</v>
      </c>
      <c r="AJ37">
        <v>9.74</v>
      </c>
      <c r="AK37">
        <v>25.44</v>
      </c>
      <c r="AL37">
        <v>1</v>
      </c>
      <c r="AN37">
        <v>0</v>
      </c>
      <c r="AO37">
        <v>1</v>
      </c>
      <c r="AP37">
        <v>1</v>
      </c>
      <c r="AQ37">
        <v>0</v>
      </c>
      <c r="AR37">
        <v>0</v>
      </c>
      <c r="AS37" t="s">
        <v>3</v>
      </c>
      <c r="AT37">
        <v>1.35</v>
      </c>
      <c r="AU37" t="s">
        <v>20</v>
      </c>
      <c r="AV37">
        <v>0</v>
      </c>
      <c r="AW37">
        <v>2</v>
      </c>
      <c r="AX37">
        <v>43159628</v>
      </c>
      <c r="AY37">
        <v>1</v>
      </c>
      <c r="AZ37">
        <v>0</v>
      </c>
      <c r="BA37">
        <v>38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CX37">
        <f>Y37*Source!I39</f>
        <v>1.99125</v>
      </c>
      <c r="CY37">
        <f t="shared" si="5"/>
        <v>748.13</v>
      </c>
      <c r="CZ37">
        <f t="shared" si="6"/>
        <v>76.81</v>
      </c>
      <c r="DA37">
        <f t="shared" si="7"/>
        <v>9.74</v>
      </c>
      <c r="DB37">
        <f t="shared" si="8"/>
        <v>129.61250000000001</v>
      </c>
      <c r="DC37">
        <f t="shared" si="9"/>
        <v>24.237500000000001</v>
      </c>
    </row>
    <row r="38" spans="1:107" x14ac:dyDescent="0.2">
      <c r="A38">
        <f>ROW(Source!A39)</f>
        <v>39</v>
      </c>
      <c r="B38">
        <v>42938047</v>
      </c>
      <c r="C38">
        <v>43159511</v>
      </c>
      <c r="D38">
        <v>36045361</v>
      </c>
      <c r="E38">
        <v>1</v>
      </c>
      <c r="F38">
        <v>1</v>
      </c>
      <c r="G38">
        <v>35973048</v>
      </c>
      <c r="H38">
        <v>2</v>
      </c>
      <c r="I38" t="s">
        <v>1264</v>
      </c>
      <c r="J38" t="s">
        <v>1265</v>
      </c>
      <c r="K38" t="s">
        <v>1266</v>
      </c>
      <c r="L38">
        <v>1367</v>
      </c>
      <c r="N38">
        <v>1011</v>
      </c>
      <c r="O38" t="s">
        <v>738</v>
      </c>
      <c r="P38" t="s">
        <v>738</v>
      </c>
      <c r="Q38">
        <v>1</v>
      </c>
      <c r="W38">
        <v>0</v>
      </c>
      <c r="X38">
        <v>1189541023</v>
      </c>
      <c r="Y38">
        <v>0.125</v>
      </c>
      <c r="AA38">
        <v>0</v>
      </c>
      <c r="AB38">
        <v>4.25</v>
      </c>
      <c r="AC38">
        <v>1.02</v>
      </c>
      <c r="AD38">
        <v>0</v>
      </c>
      <c r="AE38">
        <v>0</v>
      </c>
      <c r="AF38">
        <v>0.53</v>
      </c>
      <c r="AG38">
        <v>0.04</v>
      </c>
      <c r="AH38">
        <v>0</v>
      </c>
      <c r="AI38">
        <v>1</v>
      </c>
      <c r="AJ38">
        <v>8.02</v>
      </c>
      <c r="AK38">
        <v>25.44</v>
      </c>
      <c r="AL38">
        <v>1</v>
      </c>
      <c r="AN38">
        <v>0</v>
      </c>
      <c r="AO38">
        <v>1</v>
      </c>
      <c r="AP38">
        <v>1</v>
      </c>
      <c r="AQ38">
        <v>0</v>
      </c>
      <c r="AR38">
        <v>0</v>
      </c>
      <c r="AS38" t="s">
        <v>3</v>
      </c>
      <c r="AT38">
        <v>0.1</v>
      </c>
      <c r="AU38" t="s">
        <v>20</v>
      </c>
      <c r="AV38">
        <v>0</v>
      </c>
      <c r="AW38">
        <v>2</v>
      </c>
      <c r="AX38">
        <v>43159630</v>
      </c>
      <c r="AY38">
        <v>1</v>
      </c>
      <c r="AZ38">
        <v>0</v>
      </c>
      <c r="BA38">
        <v>39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CX38">
        <f>Y38*Source!I39</f>
        <v>0.14749999999999999</v>
      </c>
      <c r="CY38">
        <f t="shared" si="5"/>
        <v>4.25</v>
      </c>
      <c r="CZ38">
        <f t="shared" si="6"/>
        <v>0.53</v>
      </c>
      <c r="DA38">
        <f t="shared" si="7"/>
        <v>8.02</v>
      </c>
      <c r="DB38">
        <f t="shared" si="8"/>
        <v>6.25E-2</v>
      </c>
      <c r="DC38">
        <f t="shared" si="9"/>
        <v>0</v>
      </c>
    </row>
    <row r="39" spans="1:107" x14ac:dyDescent="0.2">
      <c r="A39">
        <f>ROW(Source!A39)</f>
        <v>39</v>
      </c>
      <c r="B39">
        <v>42938047</v>
      </c>
      <c r="C39">
        <v>43159511</v>
      </c>
      <c r="D39">
        <v>36044555</v>
      </c>
      <c r="E39">
        <v>1</v>
      </c>
      <c r="F39">
        <v>1</v>
      </c>
      <c r="G39">
        <v>35973048</v>
      </c>
      <c r="H39">
        <v>2</v>
      </c>
      <c r="I39" t="s">
        <v>1267</v>
      </c>
      <c r="J39" t="s">
        <v>1268</v>
      </c>
      <c r="K39" t="s">
        <v>1269</v>
      </c>
      <c r="L39">
        <v>1367</v>
      </c>
      <c r="N39">
        <v>1011</v>
      </c>
      <c r="O39" t="s">
        <v>738</v>
      </c>
      <c r="P39" t="s">
        <v>738</v>
      </c>
      <c r="Q39">
        <v>1</v>
      </c>
      <c r="W39">
        <v>0</v>
      </c>
      <c r="X39">
        <v>-266174272</v>
      </c>
      <c r="Y39">
        <v>1.125</v>
      </c>
      <c r="AA39">
        <v>0</v>
      </c>
      <c r="AB39">
        <v>1636.27</v>
      </c>
      <c r="AC39">
        <v>461.74</v>
      </c>
      <c r="AD39">
        <v>0</v>
      </c>
      <c r="AE39">
        <v>0</v>
      </c>
      <c r="AF39">
        <v>190.93</v>
      </c>
      <c r="AG39">
        <v>18.149999999999999</v>
      </c>
      <c r="AH39">
        <v>0</v>
      </c>
      <c r="AI39">
        <v>1</v>
      </c>
      <c r="AJ39">
        <v>8.57</v>
      </c>
      <c r="AK39">
        <v>25.44</v>
      </c>
      <c r="AL39">
        <v>1</v>
      </c>
      <c r="AN39">
        <v>0</v>
      </c>
      <c r="AO39">
        <v>1</v>
      </c>
      <c r="AP39">
        <v>1</v>
      </c>
      <c r="AQ39">
        <v>0</v>
      </c>
      <c r="AR39">
        <v>0</v>
      </c>
      <c r="AS39" t="s">
        <v>3</v>
      </c>
      <c r="AT39">
        <v>0.9</v>
      </c>
      <c r="AU39" t="s">
        <v>20</v>
      </c>
      <c r="AV39">
        <v>0</v>
      </c>
      <c r="AW39">
        <v>2</v>
      </c>
      <c r="AX39">
        <v>43159629</v>
      </c>
      <c r="AY39">
        <v>1</v>
      </c>
      <c r="AZ39">
        <v>0</v>
      </c>
      <c r="BA39">
        <v>40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CX39">
        <f>Y39*Source!I39</f>
        <v>1.3274999999999999</v>
      </c>
      <c r="CY39">
        <f t="shared" si="5"/>
        <v>1636.27</v>
      </c>
      <c r="CZ39">
        <f t="shared" si="6"/>
        <v>190.93</v>
      </c>
      <c r="DA39">
        <f t="shared" si="7"/>
        <v>8.57</v>
      </c>
      <c r="DB39">
        <f t="shared" si="8"/>
        <v>214.8</v>
      </c>
      <c r="DC39">
        <f t="shared" si="9"/>
        <v>20.425000000000001</v>
      </c>
    </row>
    <row r="40" spans="1:107" x14ac:dyDescent="0.2">
      <c r="A40">
        <f>ROW(Source!A39)</f>
        <v>39</v>
      </c>
      <c r="B40">
        <v>42938047</v>
      </c>
      <c r="C40">
        <v>43159511</v>
      </c>
      <c r="D40">
        <v>36044648</v>
      </c>
      <c r="E40">
        <v>1</v>
      </c>
      <c r="F40">
        <v>1</v>
      </c>
      <c r="G40">
        <v>35973048</v>
      </c>
      <c r="H40">
        <v>2</v>
      </c>
      <c r="I40" t="s">
        <v>1270</v>
      </c>
      <c r="J40" t="s">
        <v>1271</v>
      </c>
      <c r="K40" t="s">
        <v>1272</v>
      </c>
      <c r="L40">
        <v>1367</v>
      </c>
      <c r="N40">
        <v>1011</v>
      </c>
      <c r="O40" t="s">
        <v>738</v>
      </c>
      <c r="P40" t="s">
        <v>738</v>
      </c>
      <c r="Q40">
        <v>1</v>
      </c>
      <c r="W40">
        <v>0</v>
      </c>
      <c r="X40">
        <v>482200787</v>
      </c>
      <c r="Y40">
        <v>0.3125</v>
      </c>
      <c r="AA40">
        <v>0</v>
      </c>
      <c r="AB40">
        <v>730</v>
      </c>
      <c r="AC40">
        <v>429.94</v>
      </c>
      <c r="AD40">
        <v>0</v>
      </c>
      <c r="AE40">
        <v>0</v>
      </c>
      <c r="AF40">
        <v>73</v>
      </c>
      <c r="AG40">
        <v>16.899999999999999</v>
      </c>
      <c r="AH40">
        <v>0</v>
      </c>
      <c r="AI40">
        <v>1</v>
      </c>
      <c r="AJ40">
        <v>10</v>
      </c>
      <c r="AK40">
        <v>25.44</v>
      </c>
      <c r="AL40">
        <v>1</v>
      </c>
      <c r="AN40">
        <v>0</v>
      </c>
      <c r="AO40">
        <v>1</v>
      </c>
      <c r="AP40">
        <v>1</v>
      </c>
      <c r="AQ40">
        <v>0</v>
      </c>
      <c r="AR40">
        <v>0</v>
      </c>
      <c r="AS40" t="s">
        <v>3</v>
      </c>
      <c r="AT40">
        <v>0.25</v>
      </c>
      <c r="AU40" t="s">
        <v>20</v>
      </c>
      <c r="AV40">
        <v>0</v>
      </c>
      <c r="AW40">
        <v>2</v>
      </c>
      <c r="AX40">
        <v>43159631</v>
      </c>
      <c r="AY40">
        <v>1</v>
      </c>
      <c r="AZ40">
        <v>0</v>
      </c>
      <c r="BA40">
        <v>41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CX40">
        <f>Y40*Source!I39</f>
        <v>0.36874999999999997</v>
      </c>
      <c r="CY40">
        <f t="shared" si="5"/>
        <v>730</v>
      </c>
      <c r="CZ40">
        <f t="shared" si="6"/>
        <v>73</v>
      </c>
      <c r="DA40">
        <f t="shared" si="7"/>
        <v>10</v>
      </c>
      <c r="DB40">
        <f t="shared" si="8"/>
        <v>22.8125</v>
      </c>
      <c r="DC40">
        <f t="shared" si="9"/>
        <v>5.2874999999999996</v>
      </c>
    </row>
    <row r="41" spans="1:107" x14ac:dyDescent="0.2">
      <c r="A41">
        <f>ROW(Source!A39)</f>
        <v>39</v>
      </c>
      <c r="B41">
        <v>42938047</v>
      </c>
      <c r="C41">
        <v>43159511</v>
      </c>
      <c r="D41">
        <v>36044839</v>
      </c>
      <c r="E41">
        <v>1</v>
      </c>
      <c r="F41">
        <v>1</v>
      </c>
      <c r="G41">
        <v>35973048</v>
      </c>
      <c r="H41">
        <v>2</v>
      </c>
      <c r="I41" t="s">
        <v>1273</v>
      </c>
      <c r="J41" t="s">
        <v>1274</v>
      </c>
      <c r="K41" t="s">
        <v>1275</v>
      </c>
      <c r="L41">
        <v>1367</v>
      </c>
      <c r="N41">
        <v>1011</v>
      </c>
      <c r="O41" t="s">
        <v>738</v>
      </c>
      <c r="P41" t="s">
        <v>738</v>
      </c>
      <c r="Q41">
        <v>1</v>
      </c>
      <c r="W41">
        <v>0</v>
      </c>
      <c r="X41">
        <v>1059521099</v>
      </c>
      <c r="Y41">
        <v>11.25</v>
      </c>
      <c r="AA41">
        <v>0</v>
      </c>
      <c r="AB41">
        <v>10.53</v>
      </c>
      <c r="AC41">
        <v>2.29</v>
      </c>
      <c r="AD41">
        <v>0</v>
      </c>
      <c r="AE41">
        <v>0</v>
      </c>
      <c r="AF41">
        <v>2.06</v>
      </c>
      <c r="AG41">
        <v>0.09</v>
      </c>
      <c r="AH41">
        <v>0</v>
      </c>
      <c r="AI41">
        <v>1</v>
      </c>
      <c r="AJ41">
        <v>5.1100000000000003</v>
      </c>
      <c r="AK41">
        <v>25.44</v>
      </c>
      <c r="AL41">
        <v>1</v>
      </c>
      <c r="AN41">
        <v>0</v>
      </c>
      <c r="AO41">
        <v>1</v>
      </c>
      <c r="AP41">
        <v>1</v>
      </c>
      <c r="AQ41">
        <v>0</v>
      </c>
      <c r="AR41">
        <v>0</v>
      </c>
      <c r="AS41" t="s">
        <v>3</v>
      </c>
      <c r="AT41">
        <v>9</v>
      </c>
      <c r="AU41" t="s">
        <v>20</v>
      </c>
      <c r="AV41">
        <v>0</v>
      </c>
      <c r="AW41">
        <v>2</v>
      </c>
      <c r="AX41">
        <v>43159632</v>
      </c>
      <c r="AY41">
        <v>1</v>
      </c>
      <c r="AZ41">
        <v>0</v>
      </c>
      <c r="BA41">
        <v>42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CX41">
        <f>Y41*Source!I39</f>
        <v>13.274999999999999</v>
      </c>
      <c r="CY41">
        <f t="shared" si="5"/>
        <v>10.53</v>
      </c>
      <c r="CZ41">
        <f t="shared" si="6"/>
        <v>2.06</v>
      </c>
      <c r="DA41">
        <f t="shared" si="7"/>
        <v>5.1100000000000003</v>
      </c>
      <c r="DB41">
        <f t="shared" si="8"/>
        <v>23.175000000000001</v>
      </c>
      <c r="DC41">
        <f t="shared" si="9"/>
        <v>1.0125</v>
      </c>
    </row>
    <row r="42" spans="1:107" x14ac:dyDescent="0.2">
      <c r="A42">
        <f>ROW(Source!A39)</f>
        <v>39</v>
      </c>
      <c r="B42">
        <v>42938047</v>
      </c>
      <c r="C42">
        <v>43159511</v>
      </c>
      <c r="D42">
        <v>36020415</v>
      </c>
      <c r="E42">
        <v>1</v>
      </c>
      <c r="F42">
        <v>1</v>
      </c>
      <c r="G42">
        <v>35973048</v>
      </c>
      <c r="H42">
        <v>3</v>
      </c>
      <c r="I42" t="s">
        <v>469</v>
      </c>
      <c r="J42" t="s">
        <v>471</v>
      </c>
      <c r="K42" t="s">
        <v>470</v>
      </c>
      <c r="L42">
        <v>1339</v>
      </c>
      <c r="N42">
        <v>1007</v>
      </c>
      <c r="O42" t="s">
        <v>84</v>
      </c>
      <c r="P42" t="s">
        <v>84</v>
      </c>
      <c r="Q42">
        <v>1</v>
      </c>
      <c r="W42">
        <v>0</v>
      </c>
      <c r="X42">
        <v>-862991314</v>
      </c>
      <c r="Y42">
        <v>0.73</v>
      </c>
      <c r="AA42">
        <v>36.340000000000003</v>
      </c>
      <c r="AB42">
        <v>0</v>
      </c>
      <c r="AC42">
        <v>0</v>
      </c>
      <c r="AD42">
        <v>0</v>
      </c>
      <c r="AE42">
        <v>7.07</v>
      </c>
      <c r="AF42">
        <v>0</v>
      </c>
      <c r="AG42">
        <v>0</v>
      </c>
      <c r="AH42">
        <v>0</v>
      </c>
      <c r="AI42">
        <v>5.14</v>
      </c>
      <c r="AJ42">
        <v>1</v>
      </c>
      <c r="AK42">
        <v>1</v>
      </c>
      <c r="AL42">
        <v>1</v>
      </c>
      <c r="AN42">
        <v>0</v>
      </c>
      <c r="AO42">
        <v>1</v>
      </c>
      <c r="AP42">
        <v>1</v>
      </c>
      <c r="AQ42">
        <v>0</v>
      </c>
      <c r="AR42">
        <v>0</v>
      </c>
      <c r="AS42" t="s">
        <v>3</v>
      </c>
      <c r="AT42">
        <v>0.73</v>
      </c>
      <c r="AU42" t="s">
        <v>3</v>
      </c>
      <c r="AV42">
        <v>0</v>
      </c>
      <c r="AW42">
        <v>2</v>
      </c>
      <c r="AX42">
        <v>43159634</v>
      </c>
      <c r="AY42">
        <v>1</v>
      </c>
      <c r="AZ42">
        <v>0</v>
      </c>
      <c r="BA42">
        <v>44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CX42">
        <f>Y42*Source!I39</f>
        <v>0.86139999999999994</v>
      </c>
      <c r="CY42">
        <f t="shared" ref="CY42:CY50" si="10">AA42</f>
        <v>36.340000000000003</v>
      </c>
      <c r="CZ42">
        <f t="shared" ref="CZ42:CZ50" si="11">AE42</f>
        <v>7.07</v>
      </c>
      <c r="DA42">
        <f t="shared" ref="DA42:DA50" si="12">AI42</f>
        <v>5.14</v>
      </c>
      <c r="DB42">
        <f t="shared" ref="DB42:DB50" si="13">ROUND(ROUND(AT42*CZ42,2),6)</f>
        <v>5.16</v>
      </c>
      <c r="DC42">
        <f t="shared" ref="DC42:DC50" si="14">ROUND(ROUND(AT42*AG42,2),6)</f>
        <v>0</v>
      </c>
    </row>
    <row r="43" spans="1:107" x14ac:dyDescent="0.2">
      <c r="A43">
        <f>ROW(Source!A39)</f>
        <v>39</v>
      </c>
      <c r="B43">
        <v>42938047</v>
      </c>
      <c r="C43">
        <v>43159511</v>
      </c>
      <c r="D43">
        <v>36020428</v>
      </c>
      <c r="E43">
        <v>1</v>
      </c>
      <c r="F43">
        <v>1</v>
      </c>
      <c r="G43">
        <v>35973048</v>
      </c>
      <c r="H43">
        <v>3</v>
      </c>
      <c r="I43" t="s">
        <v>372</v>
      </c>
      <c r="J43" t="s">
        <v>374</v>
      </c>
      <c r="K43" t="s">
        <v>373</v>
      </c>
      <c r="L43">
        <v>1348</v>
      </c>
      <c r="N43">
        <v>1009</v>
      </c>
      <c r="O43" t="s">
        <v>104</v>
      </c>
      <c r="P43" t="s">
        <v>104</v>
      </c>
      <c r="Q43">
        <v>1000</v>
      </c>
      <c r="W43">
        <v>0</v>
      </c>
      <c r="X43">
        <v>563176784</v>
      </c>
      <c r="Y43">
        <v>2E-3</v>
      </c>
      <c r="AA43">
        <v>58366.71</v>
      </c>
      <c r="AB43">
        <v>0</v>
      </c>
      <c r="AC43">
        <v>0</v>
      </c>
      <c r="AD43">
        <v>0</v>
      </c>
      <c r="AE43">
        <v>6521.42</v>
      </c>
      <c r="AF43">
        <v>0</v>
      </c>
      <c r="AG43">
        <v>0</v>
      </c>
      <c r="AH43">
        <v>0</v>
      </c>
      <c r="AI43">
        <v>8.9499999999999993</v>
      </c>
      <c r="AJ43">
        <v>1</v>
      </c>
      <c r="AK43">
        <v>1</v>
      </c>
      <c r="AL43">
        <v>1</v>
      </c>
      <c r="AN43">
        <v>0</v>
      </c>
      <c r="AO43">
        <v>1</v>
      </c>
      <c r="AP43">
        <v>1</v>
      </c>
      <c r="AQ43">
        <v>0</v>
      </c>
      <c r="AR43">
        <v>0</v>
      </c>
      <c r="AS43" t="s">
        <v>3</v>
      </c>
      <c r="AT43">
        <v>2E-3</v>
      </c>
      <c r="AU43" t="s">
        <v>3</v>
      </c>
      <c r="AV43">
        <v>0</v>
      </c>
      <c r="AW43">
        <v>2</v>
      </c>
      <c r="AX43">
        <v>43159635</v>
      </c>
      <c r="AY43">
        <v>1</v>
      </c>
      <c r="AZ43">
        <v>0</v>
      </c>
      <c r="BA43">
        <v>45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CX43">
        <f>Y43*Source!I39</f>
        <v>2.3600000000000001E-3</v>
      </c>
      <c r="CY43">
        <f t="shared" si="10"/>
        <v>58366.71</v>
      </c>
      <c r="CZ43">
        <f t="shared" si="11"/>
        <v>6521.42</v>
      </c>
      <c r="DA43">
        <f t="shared" si="12"/>
        <v>8.9499999999999993</v>
      </c>
      <c r="DB43">
        <f t="shared" si="13"/>
        <v>13.04</v>
      </c>
      <c r="DC43">
        <f t="shared" si="14"/>
        <v>0</v>
      </c>
    </row>
    <row r="44" spans="1:107" x14ac:dyDescent="0.2">
      <c r="A44">
        <f>ROW(Source!A39)</f>
        <v>39</v>
      </c>
      <c r="B44">
        <v>42938047</v>
      </c>
      <c r="C44">
        <v>43159511</v>
      </c>
      <c r="D44">
        <v>36021727</v>
      </c>
      <c r="E44">
        <v>1</v>
      </c>
      <c r="F44">
        <v>1</v>
      </c>
      <c r="G44">
        <v>35973048</v>
      </c>
      <c r="H44">
        <v>3</v>
      </c>
      <c r="I44" t="s">
        <v>1276</v>
      </c>
      <c r="J44" t="s">
        <v>1277</v>
      </c>
      <c r="K44" t="s">
        <v>1278</v>
      </c>
      <c r="L44">
        <v>1348</v>
      </c>
      <c r="N44">
        <v>1009</v>
      </c>
      <c r="O44" t="s">
        <v>104</v>
      </c>
      <c r="P44" t="s">
        <v>104</v>
      </c>
      <c r="Q44">
        <v>1000</v>
      </c>
      <c r="W44">
        <v>0</v>
      </c>
      <c r="X44">
        <v>1310716689</v>
      </c>
      <c r="Y44">
        <v>0.16</v>
      </c>
      <c r="AA44">
        <v>117442.26</v>
      </c>
      <c r="AB44">
        <v>0</v>
      </c>
      <c r="AC44">
        <v>0</v>
      </c>
      <c r="AD44">
        <v>0</v>
      </c>
      <c r="AE44">
        <v>7191.81</v>
      </c>
      <c r="AF44">
        <v>0</v>
      </c>
      <c r="AG44">
        <v>0</v>
      </c>
      <c r="AH44">
        <v>0</v>
      </c>
      <c r="AI44">
        <v>16.329999999999998</v>
      </c>
      <c r="AJ44">
        <v>1</v>
      </c>
      <c r="AK44">
        <v>1</v>
      </c>
      <c r="AL44">
        <v>1</v>
      </c>
      <c r="AN44">
        <v>0</v>
      </c>
      <c r="AO44">
        <v>1</v>
      </c>
      <c r="AP44">
        <v>1</v>
      </c>
      <c r="AQ44">
        <v>0</v>
      </c>
      <c r="AR44">
        <v>0</v>
      </c>
      <c r="AS44" t="s">
        <v>3</v>
      </c>
      <c r="AT44">
        <v>0.16</v>
      </c>
      <c r="AU44" t="s">
        <v>3</v>
      </c>
      <c r="AV44">
        <v>0</v>
      </c>
      <c r="AW44">
        <v>2</v>
      </c>
      <c r="AX44">
        <v>43159636</v>
      </c>
      <c r="AY44">
        <v>1</v>
      </c>
      <c r="AZ44">
        <v>0</v>
      </c>
      <c r="BA44">
        <v>46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CX44">
        <f>Y44*Source!I39</f>
        <v>0.1888</v>
      </c>
      <c r="CY44">
        <f t="shared" si="10"/>
        <v>117442.26</v>
      </c>
      <c r="CZ44">
        <f t="shared" si="11"/>
        <v>7191.81</v>
      </c>
      <c r="DA44">
        <f t="shared" si="12"/>
        <v>16.329999999999998</v>
      </c>
      <c r="DB44">
        <f t="shared" si="13"/>
        <v>1150.69</v>
      </c>
      <c r="DC44">
        <f t="shared" si="14"/>
        <v>0</v>
      </c>
    </row>
    <row r="45" spans="1:107" x14ac:dyDescent="0.2">
      <c r="A45">
        <f>ROW(Source!A39)</f>
        <v>39</v>
      </c>
      <c r="B45">
        <v>42938047</v>
      </c>
      <c r="C45">
        <v>43159511</v>
      </c>
      <c r="D45">
        <v>36020519</v>
      </c>
      <c r="E45">
        <v>1</v>
      </c>
      <c r="F45">
        <v>1</v>
      </c>
      <c r="G45">
        <v>35973048</v>
      </c>
      <c r="H45">
        <v>3</v>
      </c>
      <c r="I45" t="s">
        <v>1279</v>
      </c>
      <c r="J45" t="s">
        <v>1280</v>
      </c>
      <c r="K45" t="s">
        <v>1281</v>
      </c>
      <c r="L45">
        <v>1339</v>
      </c>
      <c r="N45">
        <v>1007</v>
      </c>
      <c r="O45" t="s">
        <v>84</v>
      </c>
      <c r="P45" t="s">
        <v>84</v>
      </c>
      <c r="Q45">
        <v>1</v>
      </c>
      <c r="W45">
        <v>0</v>
      </c>
      <c r="X45">
        <v>-1939393675</v>
      </c>
      <c r="Y45">
        <v>0.04</v>
      </c>
      <c r="AA45">
        <v>7716.52</v>
      </c>
      <c r="AB45">
        <v>0</v>
      </c>
      <c r="AC45">
        <v>0</v>
      </c>
      <c r="AD45">
        <v>0</v>
      </c>
      <c r="AE45">
        <v>1828.56</v>
      </c>
      <c r="AF45">
        <v>0</v>
      </c>
      <c r="AG45">
        <v>0</v>
      </c>
      <c r="AH45">
        <v>0</v>
      </c>
      <c r="AI45">
        <v>4.22</v>
      </c>
      <c r="AJ45">
        <v>1</v>
      </c>
      <c r="AK45">
        <v>1</v>
      </c>
      <c r="AL45">
        <v>1</v>
      </c>
      <c r="AN45">
        <v>0</v>
      </c>
      <c r="AO45">
        <v>1</v>
      </c>
      <c r="AP45">
        <v>1</v>
      </c>
      <c r="AQ45">
        <v>0</v>
      </c>
      <c r="AR45">
        <v>0</v>
      </c>
      <c r="AS45" t="s">
        <v>3</v>
      </c>
      <c r="AT45">
        <v>0.04</v>
      </c>
      <c r="AU45" t="s">
        <v>3</v>
      </c>
      <c r="AV45">
        <v>0</v>
      </c>
      <c r="AW45">
        <v>2</v>
      </c>
      <c r="AX45">
        <v>43159637</v>
      </c>
      <c r="AY45">
        <v>1</v>
      </c>
      <c r="AZ45">
        <v>0</v>
      </c>
      <c r="BA45">
        <v>47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CX45">
        <f>Y45*Source!I39</f>
        <v>4.7199999999999999E-2</v>
      </c>
      <c r="CY45">
        <f t="shared" si="10"/>
        <v>7716.52</v>
      </c>
      <c r="CZ45">
        <f t="shared" si="11"/>
        <v>1828.56</v>
      </c>
      <c r="DA45">
        <f t="shared" si="12"/>
        <v>4.22</v>
      </c>
      <c r="DB45">
        <f t="shared" si="13"/>
        <v>73.14</v>
      </c>
      <c r="DC45">
        <f t="shared" si="14"/>
        <v>0</v>
      </c>
    </row>
    <row r="46" spans="1:107" x14ac:dyDescent="0.2">
      <c r="A46">
        <f>ROW(Source!A39)</f>
        <v>39</v>
      </c>
      <c r="B46">
        <v>42938047</v>
      </c>
      <c r="C46">
        <v>43159511</v>
      </c>
      <c r="D46">
        <v>36020546</v>
      </c>
      <c r="E46">
        <v>1</v>
      </c>
      <c r="F46">
        <v>1</v>
      </c>
      <c r="G46">
        <v>35973048</v>
      </c>
      <c r="H46">
        <v>3</v>
      </c>
      <c r="I46" t="s">
        <v>1282</v>
      </c>
      <c r="J46" t="s">
        <v>1283</v>
      </c>
      <c r="K46" t="s">
        <v>1284</v>
      </c>
      <c r="L46">
        <v>1348</v>
      </c>
      <c r="N46">
        <v>1009</v>
      </c>
      <c r="O46" t="s">
        <v>104</v>
      </c>
      <c r="P46" t="s">
        <v>104</v>
      </c>
      <c r="Q46">
        <v>1000</v>
      </c>
      <c r="W46">
        <v>0</v>
      </c>
      <c r="X46">
        <v>-1753839253</v>
      </c>
      <c r="Y46">
        <v>0.01</v>
      </c>
      <c r="AA46">
        <v>4677.2700000000004</v>
      </c>
      <c r="AB46">
        <v>0</v>
      </c>
      <c r="AC46">
        <v>0</v>
      </c>
      <c r="AD46">
        <v>0</v>
      </c>
      <c r="AE46">
        <v>1260.72</v>
      </c>
      <c r="AF46">
        <v>0</v>
      </c>
      <c r="AG46">
        <v>0</v>
      </c>
      <c r="AH46">
        <v>0</v>
      </c>
      <c r="AI46">
        <v>3.71</v>
      </c>
      <c r="AJ46">
        <v>1</v>
      </c>
      <c r="AK46">
        <v>1</v>
      </c>
      <c r="AL46">
        <v>1</v>
      </c>
      <c r="AN46">
        <v>0</v>
      </c>
      <c r="AO46">
        <v>1</v>
      </c>
      <c r="AP46">
        <v>1</v>
      </c>
      <c r="AQ46">
        <v>0</v>
      </c>
      <c r="AR46">
        <v>0</v>
      </c>
      <c r="AS46" t="s">
        <v>3</v>
      </c>
      <c r="AT46">
        <v>0.01</v>
      </c>
      <c r="AU46" t="s">
        <v>3</v>
      </c>
      <c r="AV46">
        <v>0</v>
      </c>
      <c r="AW46">
        <v>2</v>
      </c>
      <c r="AX46">
        <v>43159638</v>
      </c>
      <c r="AY46">
        <v>1</v>
      </c>
      <c r="AZ46">
        <v>0</v>
      </c>
      <c r="BA46">
        <v>48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CX46">
        <f>Y46*Source!I39</f>
        <v>1.18E-2</v>
      </c>
      <c r="CY46">
        <f t="shared" si="10"/>
        <v>4677.2700000000004</v>
      </c>
      <c r="CZ46">
        <f t="shared" si="11"/>
        <v>1260.72</v>
      </c>
      <c r="DA46">
        <f t="shared" si="12"/>
        <v>3.71</v>
      </c>
      <c r="DB46">
        <f t="shared" si="13"/>
        <v>12.61</v>
      </c>
      <c r="DC46">
        <f t="shared" si="14"/>
        <v>0</v>
      </c>
    </row>
    <row r="47" spans="1:107" x14ac:dyDescent="0.2">
      <c r="A47">
        <f>ROW(Source!A39)</f>
        <v>39</v>
      </c>
      <c r="B47">
        <v>42938047</v>
      </c>
      <c r="C47">
        <v>43159511</v>
      </c>
      <c r="D47">
        <v>36020898</v>
      </c>
      <c r="E47">
        <v>1</v>
      </c>
      <c r="F47">
        <v>1</v>
      </c>
      <c r="G47">
        <v>35973048</v>
      </c>
      <c r="H47">
        <v>3</v>
      </c>
      <c r="I47" t="s">
        <v>1285</v>
      </c>
      <c r="J47" t="s">
        <v>1286</v>
      </c>
      <c r="K47" t="s">
        <v>1287</v>
      </c>
      <c r="L47">
        <v>1327</v>
      </c>
      <c r="N47">
        <v>1005</v>
      </c>
      <c r="O47" t="s">
        <v>120</v>
      </c>
      <c r="P47" t="s">
        <v>120</v>
      </c>
      <c r="Q47">
        <v>1</v>
      </c>
      <c r="W47">
        <v>0</v>
      </c>
      <c r="X47">
        <v>-1476054991</v>
      </c>
      <c r="Y47">
        <v>30</v>
      </c>
      <c r="AA47">
        <v>29.19</v>
      </c>
      <c r="AB47">
        <v>0</v>
      </c>
      <c r="AC47">
        <v>0</v>
      </c>
      <c r="AD47">
        <v>0</v>
      </c>
      <c r="AE47">
        <v>7.39</v>
      </c>
      <c r="AF47">
        <v>0</v>
      </c>
      <c r="AG47">
        <v>0</v>
      </c>
      <c r="AH47">
        <v>0</v>
      </c>
      <c r="AI47">
        <v>3.95</v>
      </c>
      <c r="AJ47">
        <v>1</v>
      </c>
      <c r="AK47">
        <v>1</v>
      </c>
      <c r="AL47">
        <v>1</v>
      </c>
      <c r="AN47">
        <v>0</v>
      </c>
      <c r="AO47">
        <v>1</v>
      </c>
      <c r="AP47">
        <v>1</v>
      </c>
      <c r="AQ47">
        <v>0</v>
      </c>
      <c r="AR47">
        <v>0</v>
      </c>
      <c r="AS47" t="s">
        <v>3</v>
      </c>
      <c r="AT47">
        <v>30</v>
      </c>
      <c r="AU47" t="s">
        <v>3</v>
      </c>
      <c r="AV47">
        <v>0</v>
      </c>
      <c r="AW47">
        <v>2</v>
      </c>
      <c r="AX47">
        <v>43159639</v>
      </c>
      <c r="AY47">
        <v>1</v>
      </c>
      <c r="AZ47">
        <v>0</v>
      </c>
      <c r="BA47">
        <v>49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CX47">
        <f>Y47*Source!I39</f>
        <v>35.4</v>
      </c>
      <c r="CY47">
        <f t="shared" si="10"/>
        <v>29.19</v>
      </c>
      <c r="CZ47">
        <f t="shared" si="11"/>
        <v>7.39</v>
      </c>
      <c r="DA47">
        <f t="shared" si="12"/>
        <v>3.95</v>
      </c>
      <c r="DB47">
        <f t="shared" si="13"/>
        <v>221.7</v>
      </c>
      <c r="DC47">
        <f t="shared" si="14"/>
        <v>0</v>
      </c>
    </row>
    <row r="48" spans="1:107" x14ac:dyDescent="0.2">
      <c r="A48">
        <f>ROW(Source!A39)</f>
        <v>39</v>
      </c>
      <c r="B48">
        <v>42938047</v>
      </c>
      <c r="C48">
        <v>43159511</v>
      </c>
      <c r="D48">
        <v>36038791</v>
      </c>
      <c r="E48">
        <v>1</v>
      </c>
      <c r="F48">
        <v>1</v>
      </c>
      <c r="G48">
        <v>35973048</v>
      </c>
      <c r="H48">
        <v>3</v>
      </c>
      <c r="I48" t="s">
        <v>107</v>
      </c>
      <c r="J48" t="s">
        <v>109</v>
      </c>
      <c r="K48" t="s">
        <v>108</v>
      </c>
      <c r="L48">
        <v>1339</v>
      </c>
      <c r="N48">
        <v>1007</v>
      </c>
      <c r="O48" t="s">
        <v>84</v>
      </c>
      <c r="P48" t="s">
        <v>84</v>
      </c>
      <c r="Q48">
        <v>1</v>
      </c>
      <c r="W48">
        <v>0</v>
      </c>
      <c r="X48">
        <v>-758282629</v>
      </c>
      <c r="Y48">
        <v>101.5</v>
      </c>
      <c r="AA48">
        <v>4329.59</v>
      </c>
      <c r="AB48">
        <v>0</v>
      </c>
      <c r="AC48">
        <v>0</v>
      </c>
      <c r="AD48">
        <v>0</v>
      </c>
      <c r="AE48">
        <v>704.89</v>
      </c>
      <c r="AF48">
        <v>0</v>
      </c>
      <c r="AG48">
        <v>0</v>
      </c>
      <c r="AH48">
        <v>0</v>
      </c>
      <c r="AI48">
        <v>6.01</v>
      </c>
      <c r="AJ48">
        <v>1</v>
      </c>
      <c r="AK48">
        <v>1</v>
      </c>
      <c r="AL48">
        <v>1</v>
      </c>
      <c r="AN48">
        <v>0</v>
      </c>
      <c r="AO48">
        <v>0</v>
      </c>
      <c r="AP48">
        <v>0</v>
      </c>
      <c r="AQ48">
        <v>0</v>
      </c>
      <c r="AR48">
        <v>0</v>
      </c>
      <c r="AS48" t="s">
        <v>3</v>
      </c>
      <c r="AT48">
        <v>101.5</v>
      </c>
      <c r="AU48" t="s">
        <v>3</v>
      </c>
      <c r="AV48">
        <v>0</v>
      </c>
      <c r="AW48">
        <v>1</v>
      </c>
      <c r="AX48">
        <v>-1</v>
      </c>
      <c r="AY48">
        <v>0</v>
      </c>
      <c r="AZ48">
        <v>0</v>
      </c>
      <c r="BA48" t="s">
        <v>3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CX48">
        <f>Y48*Source!I39</f>
        <v>119.77</v>
      </c>
      <c r="CY48">
        <f t="shared" si="10"/>
        <v>4329.59</v>
      </c>
      <c r="CZ48">
        <f t="shared" si="11"/>
        <v>704.89</v>
      </c>
      <c r="DA48">
        <f t="shared" si="12"/>
        <v>6.01</v>
      </c>
      <c r="DB48">
        <f t="shared" si="13"/>
        <v>71546.34</v>
      </c>
      <c r="DC48">
        <f t="shared" si="14"/>
        <v>0</v>
      </c>
    </row>
    <row r="49" spans="1:107" x14ac:dyDescent="0.2">
      <c r="A49">
        <f>ROW(Source!A39)</f>
        <v>39</v>
      </c>
      <c r="B49">
        <v>42938047</v>
      </c>
      <c r="C49">
        <v>43159511</v>
      </c>
      <c r="D49">
        <v>36039145</v>
      </c>
      <c r="E49">
        <v>1</v>
      </c>
      <c r="F49">
        <v>1</v>
      </c>
      <c r="G49">
        <v>35973048</v>
      </c>
      <c r="H49">
        <v>3</v>
      </c>
      <c r="I49" t="s">
        <v>102</v>
      </c>
      <c r="J49" t="s">
        <v>105</v>
      </c>
      <c r="K49" t="s">
        <v>103</v>
      </c>
      <c r="L49">
        <v>1348</v>
      </c>
      <c r="N49">
        <v>1009</v>
      </c>
      <c r="O49" t="s">
        <v>104</v>
      </c>
      <c r="P49" t="s">
        <v>104</v>
      </c>
      <c r="Q49">
        <v>1000</v>
      </c>
      <c r="W49">
        <v>0</v>
      </c>
      <c r="X49">
        <v>1058347035</v>
      </c>
      <c r="Y49">
        <v>7.7156779999999996</v>
      </c>
      <c r="AA49">
        <v>86348.93</v>
      </c>
      <c r="AB49">
        <v>0</v>
      </c>
      <c r="AC49">
        <v>0</v>
      </c>
      <c r="AD49">
        <v>0</v>
      </c>
      <c r="AE49">
        <v>5681.92</v>
      </c>
      <c r="AF49">
        <v>0</v>
      </c>
      <c r="AG49">
        <v>0</v>
      </c>
      <c r="AH49">
        <v>0</v>
      </c>
      <c r="AI49">
        <v>14.87</v>
      </c>
      <c r="AJ49">
        <v>1</v>
      </c>
      <c r="AK49">
        <v>1</v>
      </c>
      <c r="AL49">
        <v>1</v>
      </c>
      <c r="AN49">
        <v>0</v>
      </c>
      <c r="AO49">
        <v>0</v>
      </c>
      <c r="AP49">
        <v>0</v>
      </c>
      <c r="AQ49">
        <v>0</v>
      </c>
      <c r="AR49">
        <v>0</v>
      </c>
      <c r="AS49" t="s">
        <v>3</v>
      </c>
      <c r="AT49">
        <v>7.7156779999999996</v>
      </c>
      <c r="AU49" t="s">
        <v>3</v>
      </c>
      <c r="AV49">
        <v>0</v>
      </c>
      <c r="AW49">
        <v>1</v>
      </c>
      <c r="AX49">
        <v>-1</v>
      </c>
      <c r="AY49">
        <v>0</v>
      </c>
      <c r="AZ49">
        <v>0</v>
      </c>
      <c r="BA49" t="s">
        <v>3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CX49">
        <f>Y49*Source!I39</f>
        <v>9.1045000399999996</v>
      </c>
      <c r="CY49">
        <f t="shared" si="10"/>
        <v>86348.93</v>
      </c>
      <c r="CZ49">
        <f t="shared" si="11"/>
        <v>5681.92</v>
      </c>
      <c r="DA49">
        <f t="shared" si="12"/>
        <v>14.87</v>
      </c>
      <c r="DB49">
        <f t="shared" si="13"/>
        <v>43839.87</v>
      </c>
      <c r="DC49">
        <f t="shared" si="14"/>
        <v>0</v>
      </c>
    </row>
    <row r="50" spans="1:107" x14ac:dyDescent="0.2">
      <c r="A50">
        <f>ROW(Source!A39)</f>
        <v>39</v>
      </c>
      <c r="B50">
        <v>42938047</v>
      </c>
      <c r="C50">
        <v>43159511</v>
      </c>
      <c r="D50">
        <v>36044236</v>
      </c>
      <c r="E50">
        <v>1</v>
      </c>
      <c r="F50">
        <v>1</v>
      </c>
      <c r="G50">
        <v>35973048</v>
      </c>
      <c r="H50">
        <v>3</v>
      </c>
      <c r="I50" t="s">
        <v>1288</v>
      </c>
      <c r="J50" t="s">
        <v>1289</v>
      </c>
      <c r="K50" t="s">
        <v>1290</v>
      </c>
      <c r="L50">
        <v>1327</v>
      </c>
      <c r="N50">
        <v>1005</v>
      </c>
      <c r="O50" t="s">
        <v>120</v>
      </c>
      <c r="P50" t="s">
        <v>120</v>
      </c>
      <c r="Q50">
        <v>1</v>
      </c>
      <c r="W50">
        <v>0</v>
      </c>
      <c r="X50">
        <v>-153668504</v>
      </c>
      <c r="Y50">
        <v>3.6</v>
      </c>
      <c r="AA50">
        <v>344.37</v>
      </c>
      <c r="AB50">
        <v>0</v>
      </c>
      <c r="AC50">
        <v>0</v>
      </c>
      <c r="AD50">
        <v>0</v>
      </c>
      <c r="AE50">
        <v>90.15</v>
      </c>
      <c r="AF50">
        <v>0</v>
      </c>
      <c r="AG50">
        <v>0</v>
      </c>
      <c r="AH50">
        <v>0</v>
      </c>
      <c r="AI50">
        <v>3.82</v>
      </c>
      <c r="AJ50">
        <v>1</v>
      </c>
      <c r="AK50">
        <v>1</v>
      </c>
      <c r="AL50">
        <v>1</v>
      </c>
      <c r="AN50">
        <v>0</v>
      </c>
      <c r="AO50">
        <v>1</v>
      </c>
      <c r="AP50">
        <v>1</v>
      </c>
      <c r="AQ50">
        <v>0</v>
      </c>
      <c r="AR50">
        <v>0</v>
      </c>
      <c r="AS50" t="s">
        <v>3</v>
      </c>
      <c r="AT50">
        <v>3.6</v>
      </c>
      <c r="AU50" t="s">
        <v>3</v>
      </c>
      <c r="AV50">
        <v>0</v>
      </c>
      <c r="AW50">
        <v>2</v>
      </c>
      <c r="AX50">
        <v>43159640</v>
      </c>
      <c r="AY50">
        <v>1</v>
      </c>
      <c r="AZ50">
        <v>0</v>
      </c>
      <c r="BA50">
        <v>50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CX50">
        <f>Y50*Source!I39</f>
        <v>4.2480000000000002</v>
      </c>
      <c r="CY50">
        <f t="shared" si="10"/>
        <v>344.37</v>
      </c>
      <c r="CZ50">
        <f t="shared" si="11"/>
        <v>90.15</v>
      </c>
      <c r="DA50">
        <f t="shared" si="12"/>
        <v>3.82</v>
      </c>
      <c r="DB50">
        <f t="shared" si="13"/>
        <v>324.54000000000002</v>
      </c>
      <c r="DC50">
        <f t="shared" si="14"/>
        <v>0</v>
      </c>
    </row>
    <row r="51" spans="1:107" x14ac:dyDescent="0.2">
      <c r="A51">
        <f>ROW(Source!A42)</f>
        <v>42</v>
      </c>
      <c r="B51">
        <v>42938047</v>
      </c>
      <c r="C51">
        <v>42938350</v>
      </c>
      <c r="D51">
        <v>35973053</v>
      </c>
      <c r="E51">
        <v>35973048</v>
      </c>
      <c r="F51">
        <v>1</v>
      </c>
      <c r="G51">
        <v>35973048</v>
      </c>
      <c r="H51">
        <v>1</v>
      </c>
      <c r="I51" t="s">
        <v>1228</v>
      </c>
      <c r="J51" t="s">
        <v>3</v>
      </c>
      <c r="K51" t="s">
        <v>1229</v>
      </c>
      <c r="L51">
        <v>1191</v>
      </c>
      <c r="N51">
        <v>1013</v>
      </c>
      <c r="O51" t="s">
        <v>1230</v>
      </c>
      <c r="P51" t="s">
        <v>1230</v>
      </c>
      <c r="Q51">
        <v>1</v>
      </c>
      <c r="W51">
        <v>0</v>
      </c>
      <c r="X51">
        <v>476480486</v>
      </c>
      <c r="Y51">
        <v>31.855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1</v>
      </c>
      <c r="AJ51">
        <v>1</v>
      </c>
      <c r="AK51">
        <v>1</v>
      </c>
      <c r="AL51">
        <v>25.44</v>
      </c>
      <c r="AN51">
        <v>0</v>
      </c>
      <c r="AO51">
        <v>1</v>
      </c>
      <c r="AP51">
        <v>1</v>
      </c>
      <c r="AQ51">
        <v>0</v>
      </c>
      <c r="AR51">
        <v>0</v>
      </c>
      <c r="AS51" t="s">
        <v>3</v>
      </c>
      <c r="AT51">
        <v>27.7</v>
      </c>
      <c r="AU51" t="s">
        <v>21</v>
      </c>
      <c r="AV51">
        <v>1</v>
      </c>
      <c r="AW51">
        <v>2</v>
      </c>
      <c r="AX51">
        <v>43137316</v>
      </c>
      <c r="AY51">
        <v>1</v>
      </c>
      <c r="AZ51">
        <v>2048</v>
      </c>
      <c r="BA51">
        <v>52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CX51">
        <f>Y51*Source!I42</f>
        <v>25.069885000000003</v>
      </c>
      <c r="CY51">
        <f>AD51</f>
        <v>0</v>
      </c>
      <c r="CZ51">
        <f>AH51</f>
        <v>0</v>
      </c>
      <c r="DA51">
        <f>AL51</f>
        <v>25.44</v>
      </c>
      <c r="DB51">
        <f>ROUND((ROUND(AT51*CZ51,2)*1.15),6)</f>
        <v>0</v>
      </c>
      <c r="DC51">
        <f>ROUND((ROUND(AT51*AG51,2)*1.15),6)</f>
        <v>0</v>
      </c>
    </row>
    <row r="52" spans="1:107" x14ac:dyDescent="0.2">
      <c r="A52">
        <f>ROW(Source!A42)</f>
        <v>42</v>
      </c>
      <c r="B52">
        <v>42938047</v>
      </c>
      <c r="C52">
        <v>42938350</v>
      </c>
      <c r="D52">
        <v>36044488</v>
      </c>
      <c r="E52">
        <v>1</v>
      </c>
      <c r="F52">
        <v>1</v>
      </c>
      <c r="G52">
        <v>35973048</v>
      </c>
      <c r="H52">
        <v>2</v>
      </c>
      <c r="I52" t="s">
        <v>1252</v>
      </c>
      <c r="J52" t="s">
        <v>1253</v>
      </c>
      <c r="K52" t="s">
        <v>1254</v>
      </c>
      <c r="L52">
        <v>1367</v>
      </c>
      <c r="N52">
        <v>1011</v>
      </c>
      <c r="O52" t="s">
        <v>738</v>
      </c>
      <c r="P52" t="s">
        <v>738</v>
      </c>
      <c r="Q52">
        <v>1</v>
      </c>
      <c r="W52">
        <v>0</v>
      </c>
      <c r="X52">
        <v>1387947568</v>
      </c>
      <c r="Y52">
        <v>3.15</v>
      </c>
      <c r="AA52">
        <v>0</v>
      </c>
      <c r="AB52">
        <v>1464.71</v>
      </c>
      <c r="AC52">
        <v>450.29</v>
      </c>
      <c r="AD52">
        <v>0</v>
      </c>
      <c r="AE52">
        <v>0</v>
      </c>
      <c r="AF52">
        <v>161.49</v>
      </c>
      <c r="AG52">
        <v>17.7</v>
      </c>
      <c r="AH52">
        <v>0</v>
      </c>
      <c r="AI52">
        <v>1</v>
      </c>
      <c r="AJ52">
        <v>9.07</v>
      </c>
      <c r="AK52">
        <v>25.44</v>
      </c>
      <c r="AL52">
        <v>1</v>
      </c>
      <c r="AN52">
        <v>0</v>
      </c>
      <c r="AO52">
        <v>1</v>
      </c>
      <c r="AP52">
        <v>1</v>
      </c>
      <c r="AQ52">
        <v>0</v>
      </c>
      <c r="AR52">
        <v>0</v>
      </c>
      <c r="AS52" t="s">
        <v>3</v>
      </c>
      <c r="AT52">
        <v>2.52</v>
      </c>
      <c r="AU52" t="s">
        <v>20</v>
      </c>
      <c r="AV52">
        <v>0</v>
      </c>
      <c r="AW52">
        <v>2</v>
      </c>
      <c r="AX52">
        <v>43137317</v>
      </c>
      <c r="AY52">
        <v>1</v>
      </c>
      <c r="AZ52">
        <v>0</v>
      </c>
      <c r="BA52">
        <v>53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CX52">
        <f>Y52*Source!I42</f>
        <v>2.47905</v>
      </c>
      <c r="CY52">
        <f>AB52</f>
        <v>1464.71</v>
      </c>
      <c r="CZ52">
        <f>AF52</f>
        <v>161.49</v>
      </c>
      <c r="DA52">
        <f>AJ52</f>
        <v>9.07</v>
      </c>
      <c r="DB52">
        <f>ROUND((ROUND(AT52*CZ52,2)*1.25),6)</f>
        <v>508.6875</v>
      </c>
      <c r="DC52">
        <f>ROUND((ROUND(AT52*AG52,2)*1.25),6)</f>
        <v>55.75</v>
      </c>
    </row>
    <row r="53" spans="1:107" x14ac:dyDescent="0.2">
      <c r="A53">
        <f>ROW(Source!A42)</f>
        <v>42</v>
      </c>
      <c r="B53">
        <v>42938047</v>
      </c>
      <c r="C53">
        <v>42938350</v>
      </c>
      <c r="D53">
        <v>36044727</v>
      </c>
      <c r="E53">
        <v>1</v>
      </c>
      <c r="F53">
        <v>1</v>
      </c>
      <c r="G53">
        <v>35973048</v>
      </c>
      <c r="H53">
        <v>2</v>
      </c>
      <c r="I53" t="s">
        <v>1291</v>
      </c>
      <c r="J53" t="s">
        <v>1292</v>
      </c>
      <c r="K53" t="s">
        <v>1293</v>
      </c>
      <c r="L53">
        <v>1367</v>
      </c>
      <c r="N53">
        <v>1011</v>
      </c>
      <c r="O53" t="s">
        <v>738</v>
      </c>
      <c r="P53" t="s">
        <v>738</v>
      </c>
      <c r="Q53">
        <v>1</v>
      </c>
      <c r="W53">
        <v>0</v>
      </c>
      <c r="X53">
        <v>-1293364201</v>
      </c>
      <c r="Y53">
        <v>1.2749999999999999</v>
      </c>
      <c r="AA53">
        <v>0</v>
      </c>
      <c r="AB53">
        <v>2153.7199999999998</v>
      </c>
      <c r="AC53">
        <v>441.13</v>
      </c>
      <c r="AD53">
        <v>0</v>
      </c>
      <c r="AE53">
        <v>0</v>
      </c>
      <c r="AF53">
        <v>258.24</v>
      </c>
      <c r="AG53">
        <v>17.34</v>
      </c>
      <c r="AH53">
        <v>0</v>
      </c>
      <c r="AI53">
        <v>1</v>
      </c>
      <c r="AJ53">
        <v>8.34</v>
      </c>
      <c r="AK53">
        <v>25.44</v>
      </c>
      <c r="AL53">
        <v>1</v>
      </c>
      <c r="AN53">
        <v>0</v>
      </c>
      <c r="AO53">
        <v>1</v>
      </c>
      <c r="AP53">
        <v>1</v>
      </c>
      <c r="AQ53">
        <v>0</v>
      </c>
      <c r="AR53">
        <v>0</v>
      </c>
      <c r="AS53" t="s">
        <v>3</v>
      </c>
      <c r="AT53">
        <v>1.02</v>
      </c>
      <c r="AU53" t="s">
        <v>20</v>
      </c>
      <c r="AV53">
        <v>0</v>
      </c>
      <c r="AW53">
        <v>2</v>
      </c>
      <c r="AX53">
        <v>43137318</v>
      </c>
      <c r="AY53">
        <v>1</v>
      </c>
      <c r="AZ53">
        <v>0</v>
      </c>
      <c r="BA53">
        <v>54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CX53">
        <f>Y53*Source!I42</f>
        <v>1.003425</v>
      </c>
      <c r="CY53">
        <f>AB53</f>
        <v>2153.7199999999998</v>
      </c>
      <c r="CZ53">
        <f>AF53</f>
        <v>258.24</v>
      </c>
      <c r="DA53">
        <f>AJ53</f>
        <v>8.34</v>
      </c>
      <c r="DB53">
        <f>ROUND((ROUND(AT53*CZ53,2)*1.25),6)</f>
        <v>329.25</v>
      </c>
      <c r="DC53">
        <f>ROUND((ROUND(AT53*AG53,2)*1.25),6)</f>
        <v>22.112500000000001</v>
      </c>
    </row>
    <row r="54" spans="1:107" x14ac:dyDescent="0.2">
      <c r="A54">
        <f>ROW(Source!A42)</f>
        <v>42</v>
      </c>
      <c r="B54">
        <v>42938047</v>
      </c>
      <c r="C54">
        <v>42938350</v>
      </c>
      <c r="D54">
        <v>35994366</v>
      </c>
      <c r="E54">
        <v>35973048</v>
      </c>
      <c r="F54">
        <v>1</v>
      </c>
      <c r="G54">
        <v>35973048</v>
      </c>
      <c r="H54">
        <v>3</v>
      </c>
      <c r="I54" t="s">
        <v>1294</v>
      </c>
      <c r="J54" t="s">
        <v>3</v>
      </c>
      <c r="K54" t="s">
        <v>1295</v>
      </c>
      <c r="L54">
        <v>1344</v>
      </c>
      <c r="N54">
        <v>1008</v>
      </c>
      <c r="O54" t="s">
        <v>1245</v>
      </c>
      <c r="P54" t="s">
        <v>1245</v>
      </c>
      <c r="Q54">
        <v>1</v>
      </c>
      <c r="W54">
        <v>0</v>
      </c>
      <c r="X54">
        <v>-94250534</v>
      </c>
      <c r="Y54">
        <v>0.49</v>
      </c>
      <c r="AA54">
        <v>6.58</v>
      </c>
      <c r="AB54">
        <v>0</v>
      </c>
      <c r="AC54">
        <v>0</v>
      </c>
      <c r="AD54">
        <v>0</v>
      </c>
      <c r="AE54">
        <v>1</v>
      </c>
      <c r="AF54">
        <v>0</v>
      </c>
      <c r="AG54">
        <v>0</v>
      </c>
      <c r="AH54">
        <v>0</v>
      </c>
      <c r="AI54">
        <v>6.57</v>
      </c>
      <c r="AJ54">
        <v>1</v>
      </c>
      <c r="AK54">
        <v>1</v>
      </c>
      <c r="AL54">
        <v>1</v>
      </c>
      <c r="AN54">
        <v>0</v>
      </c>
      <c r="AO54">
        <v>1</v>
      </c>
      <c r="AP54">
        <v>1</v>
      </c>
      <c r="AQ54">
        <v>0</v>
      </c>
      <c r="AR54">
        <v>0</v>
      </c>
      <c r="AS54" t="s">
        <v>3</v>
      </c>
      <c r="AT54">
        <v>0.49</v>
      </c>
      <c r="AU54" t="s">
        <v>3</v>
      </c>
      <c r="AV54">
        <v>0</v>
      </c>
      <c r="AW54">
        <v>2</v>
      </c>
      <c r="AX54">
        <v>43137320</v>
      </c>
      <c r="AY54">
        <v>1</v>
      </c>
      <c r="AZ54">
        <v>0</v>
      </c>
      <c r="BA54">
        <v>56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CX54">
        <f>Y54*Source!I42</f>
        <v>0.38563000000000003</v>
      </c>
      <c r="CY54">
        <f>AA54</f>
        <v>6.58</v>
      </c>
      <c r="CZ54">
        <f>AE54</f>
        <v>1</v>
      </c>
      <c r="DA54">
        <f>AI54</f>
        <v>6.57</v>
      </c>
      <c r="DB54">
        <f>ROUND(ROUND(AT54*CZ54,2),6)</f>
        <v>0.49</v>
      </c>
      <c r="DC54">
        <f>ROUND(ROUND(AT54*AG54,2),6)</f>
        <v>0</v>
      </c>
    </row>
    <row r="55" spans="1:107" x14ac:dyDescent="0.2">
      <c r="A55">
        <f>ROW(Source!A42)</f>
        <v>42</v>
      </c>
      <c r="B55">
        <v>42938047</v>
      </c>
      <c r="C55">
        <v>42938350</v>
      </c>
      <c r="D55">
        <v>0</v>
      </c>
      <c r="E55">
        <v>0</v>
      </c>
      <c r="F55">
        <v>1</v>
      </c>
      <c r="G55">
        <v>35973048</v>
      </c>
      <c r="H55">
        <v>3</v>
      </c>
      <c r="I55" t="s">
        <v>118</v>
      </c>
      <c r="J55" t="s">
        <v>3</v>
      </c>
      <c r="K55" t="s">
        <v>119</v>
      </c>
      <c r="L55">
        <v>1327</v>
      </c>
      <c r="N55">
        <v>1005</v>
      </c>
      <c r="O55" t="s">
        <v>120</v>
      </c>
      <c r="P55" t="s">
        <v>120</v>
      </c>
      <c r="Q55">
        <v>1</v>
      </c>
      <c r="W55">
        <v>0</v>
      </c>
      <c r="X55">
        <v>128342379</v>
      </c>
      <c r="Y55">
        <v>1158.8310039999999</v>
      </c>
      <c r="AA55">
        <v>276.79000000000002</v>
      </c>
      <c r="AB55">
        <v>0</v>
      </c>
      <c r="AC55">
        <v>0</v>
      </c>
      <c r="AD55">
        <v>0</v>
      </c>
      <c r="AE55">
        <v>43.57</v>
      </c>
      <c r="AF55">
        <v>0</v>
      </c>
      <c r="AG55">
        <v>0</v>
      </c>
      <c r="AH55">
        <v>0</v>
      </c>
      <c r="AI55">
        <v>6.34</v>
      </c>
      <c r="AJ55">
        <v>1</v>
      </c>
      <c r="AK55">
        <v>1</v>
      </c>
      <c r="AL55">
        <v>1</v>
      </c>
      <c r="AN55">
        <v>0</v>
      </c>
      <c r="AO55">
        <v>0</v>
      </c>
      <c r="AP55">
        <v>0</v>
      </c>
      <c r="AQ55">
        <v>0</v>
      </c>
      <c r="AR55">
        <v>0</v>
      </c>
      <c r="AS55" t="s">
        <v>3</v>
      </c>
      <c r="AT55">
        <v>1158.8310039999999</v>
      </c>
      <c r="AU55" t="s">
        <v>3</v>
      </c>
      <c r="AV55">
        <v>0</v>
      </c>
      <c r="AW55">
        <v>1</v>
      </c>
      <c r="AX55">
        <v>-1</v>
      </c>
      <c r="AY55">
        <v>0</v>
      </c>
      <c r="AZ55">
        <v>0</v>
      </c>
      <c r="BA55" t="s">
        <v>3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CX55">
        <f>Y55*Source!I42</f>
        <v>912.00000014799991</v>
      </c>
      <c r="CY55">
        <f>AA55</f>
        <v>276.79000000000002</v>
      </c>
      <c r="CZ55">
        <f>AE55</f>
        <v>43.57</v>
      </c>
      <c r="DA55">
        <f>AI55</f>
        <v>6.34</v>
      </c>
      <c r="DB55">
        <f>ROUND(ROUND(AT55*CZ55,2),6)</f>
        <v>50490.27</v>
      </c>
      <c r="DC55">
        <f>ROUND(ROUND(AT55*AG55,2),6)</f>
        <v>0</v>
      </c>
    </row>
    <row r="56" spans="1:107" x14ac:dyDescent="0.2">
      <c r="A56">
        <f>ROW(Source!A44)</f>
        <v>44</v>
      </c>
      <c r="B56">
        <v>42938047</v>
      </c>
      <c r="C56">
        <v>42938363</v>
      </c>
      <c r="D56">
        <v>35973053</v>
      </c>
      <c r="E56">
        <v>35973048</v>
      </c>
      <c r="F56">
        <v>1</v>
      </c>
      <c r="G56">
        <v>35973048</v>
      </c>
      <c r="H56">
        <v>1</v>
      </c>
      <c r="I56" t="s">
        <v>1228</v>
      </c>
      <c r="J56" t="s">
        <v>3</v>
      </c>
      <c r="K56" t="s">
        <v>1229</v>
      </c>
      <c r="L56">
        <v>1191</v>
      </c>
      <c r="N56">
        <v>1013</v>
      </c>
      <c r="O56" t="s">
        <v>1230</v>
      </c>
      <c r="P56" t="s">
        <v>1230</v>
      </c>
      <c r="Q56">
        <v>1</v>
      </c>
      <c r="W56">
        <v>0</v>
      </c>
      <c r="X56">
        <v>476480486</v>
      </c>
      <c r="Y56">
        <v>9.3495000000000008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1</v>
      </c>
      <c r="AJ56">
        <v>1</v>
      </c>
      <c r="AK56">
        <v>1</v>
      </c>
      <c r="AL56">
        <v>25.44</v>
      </c>
      <c r="AN56">
        <v>0</v>
      </c>
      <c r="AO56">
        <v>1</v>
      </c>
      <c r="AP56">
        <v>1</v>
      </c>
      <c r="AQ56">
        <v>0</v>
      </c>
      <c r="AR56">
        <v>0</v>
      </c>
      <c r="AS56" t="s">
        <v>3</v>
      </c>
      <c r="AT56">
        <v>8.1300000000000008</v>
      </c>
      <c r="AU56" t="s">
        <v>21</v>
      </c>
      <c r="AV56">
        <v>1</v>
      </c>
      <c r="AW56">
        <v>2</v>
      </c>
      <c r="AX56">
        <v>42938378</v>
      </c>
      <c r="AY56">
        <v>1</v>
      </c>
      <c r="AZ56">
        <v>0</v>
      </c>
      <c r="BA56">
        <v>57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CX56">
        <f>Y56*Source!I44</f>
        <v>73.580565000000007</v>
      </c>
      <c r="CY56">
        <f>AD56</f>
        <v>0</v>
      </c>
      <c r="CZ56">
        <f>AH56</f>
        <v>0</v>
      </c>
      <c r="DA56">
        <f>AL56</f>
        <v>25.44</v>
      </c>
      <c r="DB56">
        <f>ROUND((ROUND(AT56*CZ56,2)*1.15),6)</f>
        <v>0</v>
      </c>
      <c r="DC56">
        <f>ROUND((ROUND(AT56*AG56,2)*1.15),6)</f>
        <v>0</v>
      </c>
    </row>
    <row r="57" spans="1:107" x14ac:dyDescent="0.2">
      <c r="A57">
        <f>ROW(Source!A44)</f>
        <v>44</v>
      </c>
      <c r="B57">
        <v>42938047</v>
      </c>
      <c r="C57">
        <v>42938363</v>
      </c>
      <c r="D57">
        <v>36045308</v>
      </c>
      <c r="E57">
        <v>1</v>
      </c>
      <c r="F57">
        <v>1</v>
      </c>
      <c r="G57">
        <v>35973048</v>
      </c>
      <c r="H57">
        <v>2</v>
      </c>
      <c r="I57" t="s">
        <v>1231</v>
      </c>
      <c r="J57" t="s">
        <v>1232</v>
      </c>
      <c r="K57" t="s">
        <v>1233</v>
      </c>
      <c r="L57">
        <v>1367</v>
      </c>
      <c r="N57">
        <v>1011</v>
      </c>
      <c r="O57" t="s">
        <v>738</v>
      </c>
      <c r="P57" t="s">
        <v>738</v>
      </c>
      <c r="Q57">
        <v>1</v>
      </c>
      <c r="W57">
        <v>0</v>
      </c>
      <c r="X57">
        <v>-628430174</v>
      </c>
      <c r="Y57">
        <v>1.2500000000000001E-2</v>
      </c>
      <c r="AA57">
        <v>0</v>
      </c>
      <c r="AB57">
        <v>748.13</v>
      </c>
      <c r="AC57">
        <v>365.32</v>
      </c>
      <c r="AD57">
        <v>0</v>
      </c>
      <c r="AE57">
        <v>0</v>
      </c>
      <c r="AF57">
        <v>76.81</v>
      </c>
      <c r="AG57">
        <v>14.36</v>
      </c>
      <c r="AH57">
        <v>0</v>
      </c>
      <c r="AI57">
        <v>1</v>
      </c>
      <c r="AJ57">
        <v>9.74</v>
      </c>
      <c r="AK57">
        <v>25.44</v>
      </c>
      <c r="AL57">
        <v>1</v>
      </c>
      <c r="AN57">
        <v>0</v>
      </c>
      <c r="AO57">
        <v>1</v>
      </c>
      <c r="AP57">
        <v>1</v>
      </c>
      <c r="AQ57">
        <v>0</v>
      </c>
      <c r="AR57">
        <v>0</v>
      </c>
      <c r="AS57" t="s">
        <v>3</v>
      </c>
      <c r="AT57">
        <v>0.01</v>
      </c>
      <c r="AU57" t="s">
        <v>20</v>
      </c>
      <c r="AV57">
        <v>0</v>
      </c>
      <c r="AW57">
        <v>2</v>
      </c>
      <c r="AX57">
        <v>42938379</v>
      </c>
      <c r="AY57">
        <v>1</v>
      </c>
      <c r="AZ57">
        <v>0</v>
      </c>
      <c r="BA57">
        <v>58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CX57">
        <f>Y57*Source!I44</f>
        <v>9.8375000000000004E-2</v>
      </c>
      <c r="CY57">
        <f>AB57</f>
        <v>748.13</v>
      </c>
      <c r="CZ57">
        <f>AF57</f>
        <v>76.81</v>
      </c>
      <c r="DA57">
        <f>AJ57</f>
        <v>9.74</v>
      </c>
      <c r="DB57">
        <f>ROUND((ROUND(AT57*CZ57,2)*1.25),6)</f>
        <v>0.96250000000000002</v>
      </c>
      <c r="DC57">
        <f>ROUND((ROUND(AT57*AG57,2)*1.25),6)</f>
        <v>0.17499999999999999</v>
      </c>
    </row>
    <row r="58" spans="1:107" x14ac:dyDescent="0.2">
      <c r="A58">
        <f>ROW(Source!A44)</f>
        <v>44</v>
      </c>
      <c r="B58">
        <v>42938047</v>
      </c>
      <c r="C58">
        <v>42938363</v>
      </c>
      <c r="D58">
        <v>36045419</v>
      </c>
      <c r="E58">
        <v>1</v>
      </c>
      <c r="F58">
        <v>1</v>
      </c>
      <c r="G58">
        <v>35973048</v>
      </c>
      <c r="H58">
        <v>2</v>
      </c>
      <c r="I58" t="s">
        <v>1234</v>
      </c>
      <c r="J58" t="s">
        <v>1235</v>
      </c>
      <c r="K58" t="s">
        <v>1236</v>
      </c>
      <c r="L58">
        <v>1367</v>
      </c>
      <c r="N58">
        <v>1011</v>
      </c>
      <c r="O58" t="s">
        <v>738</v>
      </c>
      <c r="P58" t="s">
        <v>738</v>
      </c>
      <c r="Q58">
        <v>1</v>
      </c>
      <c r="W58">
        <v>0</v>
      </c>
      <c r="X58">
        <v>-1279784445</v>
      </c>
      <c r="Y58">
        <v>8.7499999999999994E-2</v>
      </c>
      <c r="AA58">
        <v>0</v>
      </c>
      <c r="AB58">
        <v>10.3</v>
      </c>
      <c r="AC58">
        <v>0.25</v>
      </c>
      <c r="AD58">
        <v>0</v>
      </c>
      <c r="AE58">
        <v>0</v>
      </c>
      <c r="AF58">
        <v>1.76</v>
      </c>
      <c r="AG58">
        <v>0.01</v>
      </c>
      <c r="AH58">
        <v>0</v>
      </c>
      <c r="AI58">
        <v>1</v>
      </c>
      <c r="AJ58">
        <v>5.85</v>
      </c>
      <c r="AK58">
        <v>25.44</v>
      </c>
      <c r="AL58">
        <v>1</v>
      </c>
      <c r="AN58">
        <v>0</v>
      </c>
      <c r="AO58">
        <v>1</v>
      </c>
      <c r="AP58">
        <v>1</v>
      </c>
      <c r="AQ58">
        <v>0</v>
      </c>
      <c r="AR58">
        <v>0</v>
      </c>
      <c r="AS58" t="s">
        <v>3</v>
      </c>
      <c r="AT58">
        <v>7.0000000000000007E-2</v>
      </c>
      <c r="AU58" t="s">
        <v>20</v>
      </c>
      <c r="AV58">
        <v>0</v>
      </c>
      <c r="AW58">
        <v>2</v>
      </c>
      <c r="AX58">
        <v>42938380</v>
      </c>
      <c r="AY58">
        <v>1</v>
      </c>
      <c r="AZ58">
        <v>2048</v>
      </c>
      <c r="BA58">
        <v>59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CX58">
        <f>Y58*Source!I44</f>
        <v>0.68862499999999993</v>
      </c>
      <c r="CY58">
        <f>AB58</f>
        <v>10.3</v>
      </c>
      <c r="CZ58">
        <f>AF58</f>
        <v>1.76</v>
      </c>
      <c r="DA58">
        <f>AJ58</f>
        <v>5.85</v>
      </c>
      <c r="DB58">
        <f>ROUND((ROUND(AT58*CZ58,2)*1.25),6)</f>
        <v>0.15</v>
      </c>
      <c r="DC58">
        <f>ROUND((ROUND(AT58*AG58,2)*1.25),6)</f>
        <v>0</v>
      </c>
    </row>
    <row r="59" spans="1:107" x14ac:dyDescent="0.2">
      <c r="A59">
        <f>ROW(Source!A44)</f>
        <v>44</v>
      </c>
      <c r="B59">
        <v>42938047</v>
      </c>
      <c r="C59">
        <v>42938363</v>
      </c>
      <c r="D59">
        <v>36044645</v>
      </c>
      <c r="E59">
        <v>1</v>
      </c>
      <c r="F59">
        <v>1</v>
      </c>
      <c r="G59">
        <v>35973048</v>
      </c>
      <c r="H59">
        <v>2</v>
      </c>
      <c r="I59" t="s">
        <v>1237</v>
      </c>
      <c r="J59" t="s">
        <v>1238</v>
      </c>
      <c r="K59" t="s">
        <v>1239</v>
      </c>
      <c r="L59">
        <v>1367</v>
      </c>
      <c r="N59">
        <v>1011</v>
      </c>
      <c r="O59" t="s">
        <v>738</v>
      </c>
      <c r="P59" t="s">
        <v>738</v>
      </c>
      <c r="Q59">
        <v>1</v>
      </c>
      <c r="W59">
        <v>0</v>
      </c>
      <c r="X59">
        <v>-1264716692</v>
      </c>
      <c r="Y59">
        <v>1.2500000000000001E-2</v>
      </c>
      <c r="AA59">
        <v>0</v>
      </c>
      <c r="AB59">
        <v>640.49</v>
      </c>
      <c r="AC59">
        <v>466.57</v>
      </c>
      <c r="AD59">
        <v>0</v>
      </c>
      <c r="AE59">
        <v>0</v>
      </c>
      <c r="AF59">
        <v>68.87</v>
      </c>
      <c r="AG59">
        <v>18.34</v>
      </c>
      <c r="AH59">
        <v>0</v>
      </c>
      <c r="AI59">
        <v>1</v>
      </c>
      <c r="AJ59">
        <v>9.3000000000000007</v>
      </c>
      <c r="AK59">
        <v>25.44</v>
      </c>
      <c r="AL59">
        <v>1</v>
      </c>
      <c r="AN59">
        <v>0</v>
      </c>
      <c r="AO59">
        <v>1</v>
      </c>
      <c r="AP59">
        <v>1</v>
      </c>
      <c r="AQ59">
        <v>0</v>
      </c>
      <c r="AR59">
        <v>0</v>
      </c>
      <c r="AS59" t="s">
        <v>3</v>
      </c>
      <c r="AT59">
        <v>0.01</v>
      </c>
      <c r="AU59" t="s">
        <v>20</v>
      </c>
      <c r="AV59">
        <v>0</v>
      </c>
      <c r="AW59">
        <v>2</v>
      </c>
      <c r="AX59">
        <v>42938381</v>
      </c>
      <c r="AY59">
        <v>1</v>
      </c>
      <c r="AZ59">
        <v>0</v>
      </c>
      <c r="BA59">
        <v>60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CX59">
        <f>Y59*Source!I44</f>
        <v>9.8375000000000004E-2</v>
      </c>
      <c r="CY59">
        <f>AB59</f>
        <v>640.49</v>
      </c>
      <c r="CZ59">
        <f>AF59</f>
        <v>68.87</v>
      </c>
      <c r="DA59">
        <f>AJ59</f>
        <v>9.3000000000000007</v>
      </c>
      <c r="DB59">
        <f>ROUND((ROUND(AT59*CZ59,2)*1.25),6)</f>
        <v>0.86250000000000004</v>
      </c>
      <c r="DC59">
        <f>ROUND((ROUND(AT59*AG59,2)*1.25),6)</f>
        <v>0.22500000000000001</v>
      </c>
    </row>
    <row r="60" spans="1:107" x14ac:dyDescent="0.2">
      <c r="A60">
        <f>ROW(Source!A44)</f>
        <v>44</v>
      </c>
      <c r="B60">
        <v>42938047</v>
      </c>
      <c r="C60">
        <v>42938363</v>
      </c>
      <c r="D60">
        <v>36023369</v>
      </c>
      <c r="E60">
        <v>1</v>
      </c>
      <c r="F60">
        <v>1</v>
      </c>
      <c r="G60">
        <v>35973048</v>
      </c>
      <c r="H60">
        <v>3</v>
      </c>
      <c r="I60" t="s">
        <v>129</v>
      </c>
      <c r="J60" t="s">
        <v>132</v>
      </c>
      <c r="K60" t="s">
        <v>130</v>
      </c>
      <c r="L60">
        <v>1346</v>
      </c>
      <c r="N60">
        <v>1009</v>
      </c>
      <c r="O60" t="s">
        <v>131</v>
      </c>
      <c r="P60" t="s">
        <v>131</v>
      </c>
      <c r="Q60">
        <v>1</v>
      </c>
      <c r="W60">
        <v>1</v>
      </c>
      <c r="X60">
        <v>-7625223</v>
      </c>
      <c r="Y60">
        <v>-4.82</v>
      </c>
      <c r="AA60">
        <v>226.23</v>
      </c>
      <c r="AB60">
        <v>0</v>
      </c>
      <c r="AC60">
        <v>0</v>
      </c>
      <c r="AD60">
        <v>0</v>
      </c>
      <c r="AE60">
        <v>83.79</v>
      </c>
      <c r="AF60">
        <v>0</v>
      </c>
      <c r="AG60">
        <v>0</v>
      </c>
      <c r="AH60">
        <v>0</v>
      </c>
      <c r="AI60">
        <v>2.7</v>
      </c>
      <c r="AJ60">
        <v>1</v>
      </c>
      <c r="AK60">
        <v>1</v>
      </c>
      <c r="AL60">
        <v>1</v>
      </c>
      <c r="AN60">
        <v>0</v>
      </c>
      <c r="AO60">
        <v>1</v>
      </c>
      <c r="AP60">
        <v>0</v>
      </c>
      <c r="AQ60">
        <v>0</v>
      </c>
      <c r="AR60">
        <v>0</v>
      </c>
      <c r="AS60" t="s">
        <v>3</v>
      </c>
      <c r="AT60">
        <v>-4.82</v>
      </c>
      <c r="AU60" t="s">
        <v>3</v>
      </c>
      <c r="AV60">
        <v>0</v>
      </c>
      <c r="AW60">
        <v>2</v>
      </c>
      <c r="AX60">
        <v>42938382</v>
      </c>
      <c r="AY60">
        <v>1</v>
      </c>
      <c r="AZ60">
        <v>6144</v>
      </c>
      <c r="BA60">
        <v>61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CX60">
        <f>Y60*Source!I44</f>
        <v>-37.933400000000006</v>
      </c>
      <c r="CY60">
        <f t="shared" ref="CY60:CY65" si="15">AA60</f>
        <v>226.23</v>
      </c>
      <c r="CZ60">
        <f t="shared" ref="CZ60:CZ65" si="16">AE60</f>
        <v>83.79</v>
      </c>
      <c r="DA60">
        <f t="shared" ref="DA60:DA65" si="17">AI60</f>
        <v>2.7</v>
      </c>
      <c r="DB60">
        <f t="shared" ref="DB60:DB65" si="18">ROUND(ROUND(AT60*CZ60,2),6)</f>
        <v>-403.87</v>
      </c>
      <c r="DC60">
        <f t="shared" ref="DC60:DC65" si="19">ROUND(ROUND(AT60*AG60,2),6)</f>
        <v>0</v>
      </c>
    </row>
    <row r="61" spans="1:107" x14ac:dyDescent="0.2">
      <c r="A61">
        <f>ROW(Source!A44)</f>
        <v>44</v>
      </c>
      <c r="B61">
        <v>42938047</v>
      </c>
      <c r="C61">
        <v>42938363</v>
      </c>
      <c r="D61">
        <v>36023370</v>
      </c>
      <c r="E61">
        <v>1</v>
      </c>
      <c r="F61">
        <v>1</v>
      </c>
      <c r="G61">
        <v>35973048</v>
      </c>
      <c r="H61">
        <v>3</v>
      </c>
      <c r="I61" t="s">
        <v>134</v>
      </c>
      <c r="J61" t="s">
        <v>137</v>
      </c>
      <c r="K61" t="s">
        <v>135</v>
      </c>
      <c r="L61">
        <v>1301</v>
      </c>
      <c r="N61">
        <v>1003</v>
      </c>
      <c r="O61" t="s">
        <v>136</v>
      </c>
      <c r="P61" t="s">
        <v>136</v>
      </c>
      <c r="Q61">
        <v>1</v>
      </c>
      <c r="W61">
        <v>1</v>
      </c>
      <c r="X61">
        <v>610741217</v>
      </c>
      <c r="Y61">
        <v>-24.7</v>
      </c>
      <c r="AA61">
        <v>52.78</v>
      </c>
      <c r="AB61">
        <v>0</v>
      </c>
      <c r="AC61">
        <v>0</v>
      </c>
      <c r="AD61">
        <v>0</v>
      </c>
      <c r="AE61">
        <v>7.33</v>
      </c>
      <c r="AF61">
        <v>0</v>
      </c>
      <c r="AG61">
        <v>0</v>
      </c>
      <c r="AH61">
        <v>0</v>
      </c>
      <c r="AI61">
        <v>7.2</v>
      </c>
      <c r="AJ61">
        <v>1</v>
      </c>
      <c r="AK61">
        <v>1</v>
      </c>
      <c r="AL61">
        <v>1</v>
      </c>
      <c r="AN61">
        <v>0</v>
      </c>
      <c r="AO61">
        <v>1</v>
      </c>
      <c r="AP61">
        <v>0</v>
      </c>
      <c r="AQ61">
        <v>0</v>
      </c>
      <c r="AR61">
        <v>0</v>
      </c>
      <c r="AS61" t="s">
        <v>3</v>
      </c>
      <c r="AT61">
        <v>-24.7</v>
      </c>
      <c r="AU61" t="s">
        <v>3</v>
      </c>
      <c r="AV61">
        <v>0</v>
      </c>
      <c r="AW61">
        <v>2</v>
      </c>
      <c r="AX61">
        <v>42938383</v>
      </c>
      <c r="AY61">
        <v>1</v>
      </c>
      <c r="AZ61">
        <v>6144</v>
      </c>
      <c r="BA61">
        <v>62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CX61">
        <f>Y61*Source!I44</f>
        <v>-194.38900000000001</v>
      </c>
      <c r="CY61">
        <f t="shared" si="15"/>
        <v>52.78</v>
      </c>
      <c r="CZ61">
        <f t="shared" si="16"/>
        <v>7.33</v>
      </c>
      <c r="DA61">
        <f t="shared" si="17"/>
        <v>7.2</v>
      </c>
      <c r="DB61">
        <f t="shared" si="18"/>
        <v>-181.05</v>
      </c>
      <c r="DC61">
        <f t="shared" si="19"/>
        <v>0</v>
      </c>
    </row>
    <row r="62" spans="1:107" x14ac:dyDescent="0.2">
      <c r="A62">
        <f>ROW(Source!A44)</f>
        <v>44</v>
      </c>
      <c r="B62">
        <v>42938047</v>
      </c>
      <c r="C62">
        <v>42938363</v>
      </c>
      <c r="D62">
        <v>0</v>
      </c>
      <c r="E62">
        <v>35973048</v>
      </c>
      <c r="F62">
        <v>1</v>
      </c>
      <c r="G62">
        <v>35973048</v>
      </c>
      <c r="H62">
        <v>3</v>
      </c>
      <c r="I62" t="s">
        <v>118</v>
      </c>
      <c r="J62" t="s">
        <v>3</v>
      </c>
      <c r="K62" t="s">
        <v>126</v>
      </c>
      <c r="L62">
        <v>1327</v>
      </c>
      <c r="N62">
        <v>1005</v>
      </c>
      <c r="O62" t="s">
        <v>120</v>
      </c>
      <c r="P62" t="s">
        <v>120</v>
      </c>
      <c r="Q62">
        <v>1</v>
      </c>
      <c r="W62">
        <v>0</v>
      </c>
      <c r="X62">
        <v>1341845180</v>
      </c>
      <c r="Y62">
        <v>101.993647</v>
      </c>
      <c r="AA62">
        <v>1593.75</v>
      </c>
      <c r="AB62">
        <v>0</v>
      </c>
      <c r="AC62">
        <v>0</v>
      </c>
      <c r="AD62">
        <v>0</v>
      </c>
      <c r="AE62">
        <v>251.38</v>
      </c>
      <c r="AF62">
        <v>0</v>
      </c>
      <c r="AG62">
        <v>0</v>
      </c>
      <c r="AH62">
        <v>0</v>
      </c>
      <c r="AI62">
        <v>6.34</v>
      </c>
      <c r="AJ62">
        <v>1</v>
      </c>
      <c r="AK62">
        <v>1</v>
      </c>
      <c r="AL62">
        <v>1</v>
      </c>
      <c r="AN62">
        <v>0</v>
      </c>
      <c r="AO62">
        <v>0</v>
      </c>
      <c r="AP62">
        <v>0</v>
      </c>
      <c r="AQ62">
        <v>0</v>
      </c>
      <c r="AR62">
        <v>0</v>
      </c>
      <c r="AS62" t="s">
        <v>3</v>
      </c>
      <c r="AT62">
        <v>101.993647</v>
      </c>
      <c r="AU62" t="s">
        <v>3</v>
      </c>
      <c r="AV62">
        <v>0</v>
      </c>
      <c r="AW62">
        <v>1</v>
      </c>
      <c r="AX62">
        <v>-1</v>
      </c>
      <c r="AY62">
        <v>0</v>
      </c>
      <c r="AZ62">
        <v>0</v>
      </c>
      <c r="BA62" t="s">
        <v>3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CX62">
        <f>Y62*Source!I44</f>
        <v>802.69000188999996</v>
      </c>
      <c r="CY62">
        <f t="shared" si="15"/>
        <v>1593.75</v>
      </c>
      <c r="CZ62">
        <f t="shared" si="16"/>
        <v>251.38</v>
      </c>
      <c r="DA62">
        <f t="shared" si="17"/>
        <v>6.34</v>
      </c>
      <c r="DB62">
        <f t="shared" si="18"/>
        <v>25639.16</v>
      </c>
      <c r="DC62">
        <f t="shared" si="19"/>
        <v>0</v>
      </c>
    </row>
    <row r="63" spans="1:107" x14ac:dyDescent="0.2">
      <c r="A63">
        <f>ROW(Source!A44)</f>
        <v>44</v>
      </c>
      <c r="B63">
        <v>42938047</v>
      </c>
      <c r="C63">
        <v>42938363</v>
      </c>
      <c r="D63">
        <v>0</v>
      </c>
      <c r="E63">
        <v>35973048</v>
      </c>
      <c r="F63">
        <v>1</v>
      </c>
      <c r="G63">
        <v>35973048</v>
      </c>
      <c r="H63">
        <v>3</v>
      </c>
      <c r="I63" t="s">
        <v>118</v>
      </c>
      <c r="J63" t="s">
        <v>3</v>
      </c>
      <c r="K63" t="s">
        <v>139</v>
      </c>
      <c r="L63">
        <v>1346</v>
      </c>
      <c r="N63">
        <v>1009</v>
      </c>
      <c r="O63" t="s">
        <v>131</v>
      </c>
      <c r="P63" t="s">
        <v>131</v>
      </c>
      <c r="Q63">
        <v>1</v>
      </c>
      <c r="W63">
        <v>0</v>
      </c>
      <c r="X63">
        <v>-665283813</v>
      </c>
      <c r="Y63">
        <v>7.623888</v>
      </c>
      <c r="AA63">
        <v>340.01</v>
      </c>
      <c r="AB63">
        <v>0</v>
      </c>
      <c r="AC63">
        <v>0</v>
      </c>
      <c r="AD63">
        <v>0</v>
      </c>
      <c r="AE63">
        <v>53.629999999999995</v>
      </c>
      <c r="AF63">
        <v>0</v>
      </c>
      <c r="AG63">
        <v>0</v>
      </c>
      <c r="AH63">
        <v>0</v>
      </c>
      <c r="AI63">
        <v>6.34</v>
      </c>
      <c r="AJ63">
        <v>1</v>
      </c>
      <c r="AK63">
        <v>1</v>
      </c>
      <c r="AL63">
        <v>1</v>
      </c>
      <c r="AN63">
        <v>0</v>
      </c>
      <c r="AO63">
        <v>0</v>
      </c>
      <c r="AP63">
        <v>0</v>
      </c>
      <c r="AQ63">
        <v>0</v>
      </c>
      <c r="AR63">
        <v>0</v>
      </c>
      <c r="AS63" t="s">
        <v>3</v>
      </c>
      <c r="AT63">
        <v>7.623888</v>
      </c>
      <c r="AU63" t="s">
        <v>3</v>
      </c>
      <c r="AV63">
        <v>0</v>
      </c>
      <c r="AW63">
        <v>1</v>
      </c>
      <c r="AX63">
        <v>-1</v>
      </c>
      <c r="AY63">
        <v>0</v>
      </c>
      <c r="AZ63">
        <v>0</v>
      </c>
      <c r="BA63" t="s">
        <v>3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CX63">
        <f>Y63*Source!I44</f>
        <v>59.999998560000002</v>
      </c>
      <c r="CY63">
        <f t="shared" si="15"/>
        <v>340.01</v>
      </c>
      <c r="CZ63">
        <f t="shared" si="16"/>
        <v>53.629999999999995</v>
      </c>
      <c r="DA63">
        <f t="shared" si="17"/>
        <v>6.34</v>
      </c>
      <c r="DB63">
        <f t="shared" si="18"/>
        <v>408.87</v>
      </c>
      <c r="DC63">
        <f t="shared" si="19"/>
        <v>0</v>
      </c>
    </row>
    <row r="64" spans="1:107" x14ac:dyDescent="0.2">
      <c r="A64">
        <f>ROW(Source!A44)</f>
        <v>44</v>
      </c>
      <c r="B64">
        <v>42938047</v>
      </c>
      <c r="C64">
        <v>42938363</v>
      </c>
      <c r="D64">
        <v>0</v>
      </c>
      <c r="E64">
        <v>35973048</v>
      </c>
      <c r="F64">
        <v>1</v>
      </c>
      <c r="G64">
        <v>35973048</v>
      </c>
      <c r="H64">
        <v>3</v>
      </c>
      <c r="I64" t="s">
        <v>118</v>
      </c>
      <c r="J64" t="s">
        <v>3</v>
      </c>
      <c r="K64" t="s">
        <v>142</v>
      </c>
      <c r="L64">
        <v>9347810</v>
      </c>
      <c r="N64">
        <v>1009</v>
      </c>
      <c r="O64" t="s">
        <v>131</v>
      </c>
      <c r="P64" t="s">
        <v>143</v>
      </c>
      <c r="Q64">
        <v>1</v>
      </c>
      <c r="W64">
        <v>0</v>
      </c>
      <c r="X64">
        <v>-2139316730</v>
      </c>
      <c r="Y64">
        <v>397.07751000000002</v>
      </c>
      <c r="AA64">
        <v>44.19</v>
      </c>
      <c r="AB64">
        <v>0</v>
      </c>
      <c r="AC64">
        <v>0</v>
      </c>
      <c r="AD64">
        <v>0</v>
      </c>
      <c r="AE64">
        <v>6.97</v>
      </c>
      <c r="AF64">
        <v>0</v>
      </c>
      <c r="AG64">
        <v>0</v>
      </c>
      <c r="AH64">
        <v>0</v>
      </c>
      <c r="AI64">
        <v>6.34</v>
      </c>
      <c r="AJ64">
        <v>1</v>
      </c>
      <c r="AK64">
        <v>1</v>
      </c>
      <c r="AL64">
        <v>1</v>
      </c>
      <c r="AN64">
        <v>0</v>
      </c>
      <c r="AO64">
        <v>0</v>
      </c>
      <c r="AP64">
        <v>0</v>
      </c>
      <c r="AQ64">
        <v>0</v>
      </c>
      <c r="AR64">
        <v>0</v>
      </c>
      <c r="AS64" t="s">
        <v>3</v>
      </c>
      <c r="AT64">
        <v>397.07751000000002</v>
      </c>
      <c r="AU64" t="s">
        <v>3</v>
      </c>
      <c r="AV64">
        <v>0</v>
      </c>
      <c r="AW64">
        <v>1</v>
      </c>
      <c r="AX64">
        <v>-1</v>
      </c>
      <c r="AY64">
        <v>0</v>
      </c>
      <c r="AZ64">
        <v>0</v>
      </c>
      <c r="BA64" t="s">
        <v>3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CX64">
        <f>Y64*Source!I44</f>
        <v>3125.0000037</v>
      </c>
      <c r="CY64">
        <f t="shared" si="15"/>
        <v>44.19</v>
      </c>
      <c r="CZ64">
        <f t="shared" si="16"/>
        <v>6.97</v>
      </c>
      <c r="DA64">
        <f t="shared" si="17"/>
        <v>6.34</v>
      </c>
      <c r="DB64">
        <f t="shared" si="18"/>
        <v>2767.63</v>
      </c>
      <c r="DC64">
        <f t="shared" si="19"/>
        <v>0</v>
      </c>
    </row>
    <row r="65" spans="1:107" x14ac:dyDescent="0.2">
      <c r="A65">
        <f>ROW(Source!A44)</f>
        <v>44</v>
      </c>
      <c r="B65">
        <v>42938047</v>
      </c>
      <c r="C65">
        <v>42938363</v>
      </c>
      <c r="D65">
        <v>0</v>
      </c>
      <c r="E65">
        <v>35973048</v>
      </c>
      <c r="F65">
        <v>1</v>
      </c>
      <c r="G65">
        <v>35973048</v>
      </c>
      <c r="H65">
        <v>3</v>
      </c>
      <c r="I65" t="s">
        <v>118</v>
      </c>
      <c r="J65" t="s">
        <v>3</v>
      </c>
      <c r="K65" t="s">
        <v>146</v>
      </c>
      <c r="L65">
        <v>9347830</v>
      </c>
      <c r="N65">
        <v>1003</v>
      </c>
      <c r="O65" t="s">
        <v>136</v>
      </c>
      <c r="P65" t="s">
        <v>147</v>
      </c>
      <c r="Q65">
        <v>1</v>
      </c>
      <c r="W65">
        <v>0</v>
      </c>
      <c r="X65">
        <v>835889972</v>
      </c>
      <c r="Y65">
        <v>25.412960999999999</v>
      </c>
      <c r="AA65">
        <v>65.430000000000007</v>
      </c>
      <c r="AB65">
        <v>0</v>
      </c>
      <c r="AC65">
        <v>0</v>
      </c>
      <c r="AD65">
        <v>0</v>
      </c>
      <c r="AE65">
        <v>10.319999999999999</v>
      </c>
      <c r="AF65">
        <v>0</v>
      </c>
      <c r="AG65">
        <v>0</v>
      </c>
      <c r="AH65">
        <v>0</v>
      </c>
      <c r="AI65">
        <v>6.34</v>
      </c>
      <c r="AJ65">
        <v>1</v>
      </c>
      <c r="AK65">
        <v>1</v>
      </c>
      <c r="AL65">
        <v>1</v>
      </c>
      <c r="AN65">
        <v>0</v>
      </c>
      <c r="AO65">
        <v>0</v>
      </c>
      <c r="AP65">
        <v>0</v>
      </c>
      <c r="AQ65">
        <v>0</v>
      </c>
      <c r="AR65">
        <v>0</v>
      </c>
      <c r="AS65" t="s">
        <v>3</v>
      </c>
      <c r="AT65">
        <v>25.412960999999999</v>
      </c>
      <c r="AU65" t="s">
        <v>3</v>
      </c>
      <c r="AV65">
        <v>0</v>
      </c>
      <c r="AW65">
        <v>1</v>
      </c>
      <c r="AX65">
        <v>-1</v>
      </c>
      <c r="AY65">
        <v>0</v>
      </c>
      <c r="AZ65">
        <v>0</v>
      </c>
      <c r="BA65" t="s">
        <v>3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CX65">
        <f>Y65*Source!I44</f>
        <v>200.00000306999999</v>
      </c>
      <c r="CY65">
        <f t="shared" si="15"/>
        <v>65.430000000000007</v>
      </c>
      <c r="CZ65">
        <f t="shared" si="16"/>
        <v>10.319999999999999</v>
      </c>
      <c r="DA65">
        <f t="shared" si="17"/>
        <v>6.34</v>
      </c>
      <c r="DB65">
        <f t="shared" si="18"/>
        <v>262.26</v>
      </c>
      <c r="DC65">
        <f t="shared" si="19"/>
        <v>0</v>
      </c>
    </row>
    <row r="66" spans="1:107" x14ac:dyDescent="0.2">
      <c r="A66">
        <f>ROW(Source!A51)</f>
        <v>51</v>
      </c>
      <c r="B66">
        <v>42938047</v>
      </c>
      <c r="C66">
        <v>43137270</v>
      </c>
      <c r="D66">
        <v>35973053</v>
      </c>
      <c r="E66">
        <v>35973048</v>
      </c>
      <c r="F66">
        <v>1</v>
      </c>
      <c r="G66">
        <v>35973048</v>
      </c>
      <c r="H66">
        <v>1</v>
      </c>
      <c r="I66" t="s">
        <v>1228</v>
      </c>
      <c r="J66" t="s">
        <v>3</v>
      </c>
      <c r="K66" t="s">
        <v>1229</v>
      </c>
      <c r="L66">
        <v>1191</v>
      </c>
      <c r="N66">
        <v>1013</v>
      </c>
      <c r="O66" t="s">
        <v>1230</v>
      </c>
      <c r="P66" t="s">
        <v>1230</v>
      </c>
      <c r="Q66">
        <v>1</v>
      </c>
      <c r="W66">
        <v>0</v>
      </c>
      <c r="X66">
        <v>476480486</v>
      </c>
      <c r="Y66">
        <v>29.992000000000001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1</v>
      </c>
      <c r="AJ66">
        <v>1</v>
      </c>
      <c r="AK66">
        <v>1</v>
      </c>
      <c r="AL66">
        <v>25.44</v>
      </c>
      <c r="AN66">
        <v>0</v>
      </c>
      <c r="AO66">
        <v>1</v>
      </c>
      <c r="AP66">
        <v>1</v>
      </c>
      <c r="AQ66">
        <v>0</v>
      </c>
      <c r="AR66">
        <v>0</v>
      </c>
      <c r="AS66" t="s">
        <v>3</v>
      </c>
      <c r="AT66">
        <v>26.08</v>
      </c>
      <c r="AU66" t="s">
        <v>21</v>
      </c>
      <c r="AV66">
        <v>1</v>
      </c>
      <c r="AW66">
        <v>2</v>
      </c>
      <c r="AX66">
        <v>43137298</v>
      </c>
      <c r="AY66">
        <v>1</v>
      </c>
      <c r="AZ66">
        <v>2048</v>
      </c>
      <c r="BA66">
        <v>64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CX66">
        <f>Y66*Source!I51</f>
        <v>284.92400000000004</v>
      </c>
      <c r="CY66">
        <f>AD66</f>
        <v>0</v>
      </c>
      <c r="CZ66">
        <f>AH66</f>
        <v>0</v>
      </c>
      <c r="DA66">
        <f>AL66</f>
        <v>25.44</v>
      </c>
      <c r="DB66">
        <f>ROUND((ROUND(AT66*CZ66,2)*1.15),6)</f>
        <v>0</v>
      </c>
      <c r="DC66">
        <f>ROUND((ROUND(AT66*AG66,2)*1.15),6)</f>
        <v>0</v>
      </c>
    </row>
    <row r="67" spans="1:107" x14ac:dyDescent="0.2">
      <c r="A67">
        <f>ROW(Source!A51)</f>
        <v>51</v>
      </c>
      <c r="B67">
        <v>42938047</v>
      </c>
      <c r="C67">
        <v>43137270</v>
      </c>
      <c r="D67">
        <v>36044486</v>
      </c>
      <c r="E67">
        <v>1</v>
      </c>
      <c r="F67">
        <v>1</v>
      </c>
      <c r="G67">
        <v>35973048</v>
      </c>
      <c r="H67">
        <v>2</v>
      </c>
      <c r="I67" t="s">
        <v>1296</v>
      </c>
      <c r="J67" t="s">
        <v>1297</v>
      </c>
      <c r="K67" t="s">
        <v>1298</v>
      </c>
      <c r="L67">
        <v>1367</v>
      </c>
      <c r="N67">
        <v>1011</v>
      </c>
      <c r="O67" t="s">
        <v>738</v>
      </c>
      <c r="P67" t="s">
        <v>738</v>
      </c>
      <c r="Q67">
        <v>1</v>
      </c>
      <c r="W67">
        <v>0</v>
      </c>
      <c r="X67">
        <v>-785900531</v>
      </c>
      <c r="Y67">
        <v>0.23749999999999999</v>
      </c>
      <c r="AA67">
        <v>0</v>
      </c>
      <c r="AB67">
        <v>779.3</v>
      </c>
      <c r="AC67">
        <v>326.39999999999998</v>
      </c>
      <c r="AD67">
        <v>0</v>
      </c>
      <c r="AE67">
        <v>0</v>
      </c>
      <c r="AF67">
        <v>73.45</v>
      </c>
      <c r="AG67">
        <v>12.83</v>
      </c>
      <c r="AH67">
        <v>0</v>
      </c>
      <c r="AI67">
        <v>1</v>
      </c>
      <c r="AJ67">
        <v>10.61</v>
      </c>
      <c r="AK67">
        <v>25.44</v>
      </c>
      <c r="AL67">
        <v>1</v>
      </c>
      <c r="AN67">
        <v>0</v>
      </c>
      <c r="AO67">
        <v>1</v>
      </c>
      <c r="AP67">
        <v>1</v>
      </c>
      <c r="AQ67">
        <v>0</v>
      </c>
      <c r="AR67">
        <v>0</v>
      </c>
      <c r="AS67" t="s">
        <v>3</v>
      </c>
      <c r="AT67">
        <v>0.19</v>
      </c>
      <c r="AU67" t="s">
        <v>20</v>
      </c>
      <c r="AV67">
        <v>0</v>
      </c>
      <c r="AW67">
        <v>2</v>
      </c>
      <c r="AX67">
        <v>43137299</v>
      </c>
      <c r="AY67">
        <v>1</v>
      </c>
      <c r="AZ67">
        <v>0</v>
      </c>
      <c r="BA67">
        <v>65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CX67">
        <f>Y67*Source!I51</f>
        <v>2.2562500000000001</v>
      </c>
      <c r="CY67">
        <f>AB67</f>
        <v>779.3</v>
      </c>
      <c r="CZ67">
        <f>AF67</f>
        <v>73.45</v>
      </c>
      <c r="DA67">
        <f>AJ67</f>
        <v>10.61</v>
      </c>
      <c r="DB67">
        <f>ROUND((ROUND(AT67*CZ67,2)*1.25),6)</f>
        <v>17.45</v>
      </c>
      <c r="DC67">
        <f>ROUND((ROUND(AT67*AG67,2)*1.25),6)</f>
        <v>3.05</v>
      </c>
    </row>
    <row r="68" spans="1:107" x14ac:dyDescent="0.2">
      <c r="A68">
        <f>ROW(Source!A51)</f>
        <v>51</v>
      </c>
      <c r="B68">
        <v>42938047</v>
      </c>
      <c r="C68">
        <v>43137270</v>
      </c>
      <c r="D68">
        <v>36045308</v>
      </c>
      <c r="E68">
        <v>1</v>
      </c>
      <c r="F68">
        <v>1</v>
      </c>
      <c r="G68">
        <v>35973048</v>
      </c>
      <c r="H68">
        <v>2</v>
      </c>
      <c r="I68" t="s">
        <v>1231</v>
      </c>
      <c r="J68" t="s">
        <v>1232</v>
      </c>
      <c r="K68" t="s">
        <v>1233</v>
      </c>
      <c r="L68">
        <v>1367</v>
      </c>
      <c r="N68">
        <v>1011</v>
      </c>
      <c r="O68" t="s">
        <v>738</v>
      </c>
      <c r="P68" t="s">
        <v>738</v>
      </c>
      <c r="Q68">
        <v>1</v>
      </c>
      <c r="W68">
        <v>0</v>
      </c>
      <c r="X68">
        <v>-628430174</v>
      </c>
      <c r="Y68">
        <v>3.7499999999999999E-2</v>
      </c>
      <c r="AA68">
        <v>0</v>
      </c>
      <c r="AB68">
        <v>748.13</v>
      </c>
      <c r="AC68">
        <v>365.32</v>
      </c>
      <c r="AD68">
        <v>0</v>
      </c>
      <c r="AE68">
        <v>0</v>
      </c>
      <c r="AF68">
        <v>76.81</v>
      </c>
      <c r="AG68">
        <v>14.36</v>
      </c>
      <c r="AH68">
        <v>0</v>
      </c>
      <c r="AI68">
        <v>1</v>
      </c>
      <c r="AJ68">
        <v>9.74</v>
      </c>
      <c r="AK68">
        <v>25.44</v>
      </c>
      <c r="AL68">
        <v>1</v>
      </c>
      <c r="AN68">
        <v>0</v>
      </c>
      <c r="AO68">
        <v>1</v>
      </c>
      <c r="AP68">
        <v>1</v>
      </c>
      <c r="AQ68">
        <v>0</v>
      </c>
      <c r="AR68">
        <v>0</v>
      </c>
      <c r="AS68" t="s">
        <v>3</v>
      </c>
      <c r="AT68">
        <v>0.03</v>
      </c>
      <c r="AU68" t="s">
        <v>20</v>
      </c>
      <c r="AV68">
        <v>0</v>
      </c>
      <c r="AW68">
        <v>2</v>
      </c>
      <c r="AX68">
        <v>43137300</v>
      </c>
      <c r="AY68">
        <v>1</v>
      </c>
      <c r="AZ68">
        <v>0</v>
      </c>
      <c r="BA68">
        <v>66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CX68">
        <f>Y68*Source!I51</f>
        <v>0.35625000000000001</v>
      </c>
      <c r="CY68">
        <f>AB68</f>
        <v>748.13</v>
      </c>
      <c r="CZ68">
        <f>AF68</f>
        <v>76.81</v>
      </c>
      <c r="DA68">
        <f>AJ68</f>
        <v>9.74</v>
      </c>
      <c r="DB68">
        <f>ROUND((ROUND(AT68*CZ68,2)*1.25),6)</f>
        <v>2.875</v>
      </c>
      <c r="DC68">
        <f>ROUND((ROUND(AT68*AG68,2)*1.25),6)</f>
        <v>0.53749999999999998</v>
      </c>
    </row>
    <row r="69" spans="1:107" x14ac:dyDescent="0.2">
      <c r="A69">
        <f>ROW(Source!A51)</f>
        <v>51</v>
      </c>
      <c r="B69">
        <v>42938047</v>
      </c>
      <c r="C69">
        <v>43137270</v>
      </c>
      <c r="D69">
        <v>36045337</v>
      </c>
      <c r="E69">
        <v>1</v>
      </c>
      <c r="F69">
        <v>1</v>
      </c>
      <c r="G69">
        <v>35973048</v>
      </c>
      <c r="H69">
        <v>2</v>
      </c>
      <c r="I69" t="s">
        <v>1299</v>
      </c>
      <c r="J69" t="s">
        <v>1300</v>
      </c>
      <c r="K69" t="s">
        <v>1301</v>
      </c>
      <c r="L69">
        <v>1367</v>
      </c>
      <c r="N69">
        <v>1011</v>
      </c>
      <c r="O69" t="s">
        <v>738</v>
      </c>
      <c r="P69" t="s">
        <v>738</v>
      </c>
      <c r="Q69">
        <v>1</v>
      </c>
      <c r="W69">
        <v>0</v>
      </c>
      <c r="X69">
        <v>1280158331</v>
      </c>
      <c r="Y69">
        <v>0.97499999999999998</v>
      </c>
      <c r="AA69">
        <v>0</v>
      </c>
      <c r="AB69">
        <v>3.85</v>
      </c>
      <c r="AC69">
        <v>2.29</v>
      </c>
      <c r="AD69">
        <v>0</v>
      </c>
      <c r="AE69">
        <v>0</v>
      </c>
      <c r="AF69">
        <v>0.56000000000000005</v>
      </c>
      <c r="AG69">
        <v>0.09</v>
      </c>
      <c r="AH69">
        <v>0</v>
      </c>
      <c r="AI69">
        <v>1</v>
      </c>
      <c r="AJ69">
        <v>6.88</v>
      </c>
      <c r="AK69">
        <v>25.44</v>
      </c>
      <c r="AL69">
        <v>1</v>
      </c>
      <c r="AN69">
        <v>0</v>
      </c>
      <c r="AO69">
        <v>1</v>
      </c>
      <c r="AP69">
        <v>1</v>
      </c>
      <c r="AQ69">
        <v>0</v>
      </c>
      <c r="AR69">
        <v>0</v>
      </c>
      <c r="AS69" t="s">
        <v>3</v>
      </c>
      <c r="AT69">
        <v>0.78</v>
      </c>
      <c r="AU69" t="s">
        <v>20</v>
      </c>
      <c r="AV69">
        <v>0</v>
      </c>
      <c r="AW69">
        <v>2</v>
      </c>
      <c r="AX69">
        <v>43137302</v>
      </c>
      <c r="AY69">
        <v>1</v>
      </c>
      <c r="AZ69">
        <v>2048</v>
      </c>
      <c r="BA69">
        <v>67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CX69">
        <f>Y69*Source!I51</f>
        <v>9.2624999999999993</v>
      </c>
      <c r="CY69">
        <f>AB69</f>
        <v>3.85</v>
      </c>
      <c r="CZ69">
        <f>AF69</f>
        <v>0.56000000000000005</v>
      </c>
      <c r="DA69">
        <f>AJ69</f>
        <v>6.88</v>
      </c>
      <c r="DB69">
        <f>ROUND((ROUND(AT69*CZ69,2)*1.25),6)</f>
        <v>0.55000000000000004</v>
      </c>
      <c r="DC69">
        <f>ROUND((ROUND(AT69*AG69,2)*1.25),6)</f>
        <v>8.7499999999999994E-2</v>
      </c>
    </row>
    <row r="70" spans="1:107" x14ac:dyDescent="0.2">
      <c r="A70">
        <f>ROW(Source!A51)</f>
        <v>51</v>
      </c>
      <c r="B70">
        <v>42938047</v>
      </c>
      <c r="C70">
        <v>43137270</v>
      </c>
      <c r="D70">
        <v>36044555</v>
      </c>
      <c r="E70">
        <v>1</v>
      </c>
      <c r="F70">
        <v>1</v>
      </c>
      <c r="G70">
        <v>35973048</v>
      </c>
      <c r="H70">
        <v>2</v>
      </c>
      <c r="I70" t="s">
        <v>1267</v>
      </c>
      <c r="J70" t="s">
        <v>1268</v>
      </c>
      <c r="K70" t="s">
        <v>1269</v>
      </c>
      <c r="L70">
        <v>1367</v>
      </c>
      <c r="N70">
        <v>1011</v>
      </c>
      <c r="O70" t="s">
        <v>738</v>
      </c>
      <c r="P70" t="s">
        <v>738</v>
      </c>
      <c r="Q70">
        <v>1</v>
      </c>
      <c r="W70">
        <v>0</v>
      </c>
      <c r="X70">
        <v>-266174272</v>
      </c>
      <c r="Y70">
        <v>3.7499999999999999E-2</v>
      </c>
      <c r="AA70">
        <v>0</v>
      </c>
      <c r="AB70">
        <v>1636.27</v>
      </c>
      <c r="AC70">
        <v>461.74</v>
      </c>
      <c r="AD70">
        <v>0</v>
      </c>
      <c r="AE70">
        <v>0</v>
      </c>
      <c r="AF70">
        <v>190.93</v>
      </c>
      <c r="AG70">
        <v>18.149999999999999</v>
      </c>
      <c r="AH70">
        <v>0</v>
      </c>
      <c r="AI70">
        <v>1</v>
      </c>
      <c r="AJ70">
        <v>8.57</v>
      </c>
      <c r="AK70">
        <v>25.44</v>
      </c>
      <c r="AL70">
        <v>1</v>
      </c>
      <c r="AN70">
        <v>0</v>
      </c>
      <c r="AO70">
        <v>1</v>
      </c>
      <c r="AP70">
        <v>1</v>
      </c>
      <c r="AQ70">
        <v>0</v>
      </c>
      <c r="AR70">
        <v>0</v>
      </c>
      <c r="AS70" t="s">
        <v>3</v>
      </c>
      <c r="AT70">
        <v>0.03</v>
      </c>
      <c r="AU70" t="s">
        <v>20</v>
      </c>
      <c r="AV70">
        <v>0</v>
      </c>
      <c r="AW70">
        <v>2</v>
      </c>
      <c r="AX70">
        <v>43137301</v>
      </c>
      <c r="AY70">
        <v>1</v>
      </c>
      <c r="AZ70">
        <v>0</v>
      </c>
      <c r="BA70">
        <v>68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CX70">
        <f>Y70*Source!I51</f>
        <v>0.35625000000000001</v>
      </c>
      <c r="CY70">
        <f>AB70</f>
        <v>1636.27</v>
      </c>
      <c r="CZ70">
        <f>AF70</f>
        <v>190.93</v>
      </c>
      <c r="DA70">
        <f>AJ70</f>
        <v>8.57</v>
      </c>
      <c r="DB70">
        <f>ROUND((ROUND(AT70*CZ70,2)*1.25),6)</f>
        <v>7.1624999999999996</v>
      </c>
      <c r="DC70">
        <f>ROUND((ROUND(AT70*AG70,2)*1.25),6)</f>
        <v>0.67500000000000004</v>
      </c>
    </row>
    <row r="71" spans="1:107" x14ac:dyDescent="0.2">
      <c r="A71">
        <f>ROW(Source!A51)</f>
        <v>51</v>
      </c>
      <c r="B71">
        <v>42938047</v>
      </c>
      <c r="C71">
        <v>43137270</v>
      </c>
      <c r="D71">
        <v>35973762</v>
      </c>
      <c r="E71">
        <v>35973048</v>
      </c>
      <c r="F71">
        <v>1</v>
      </c>
      <c r="G71">
        <v>35973048</v>
      </c>
      <c r="H71">
        <v>2</v>
      </c>
      <c r="I71" t="s">
        <v>1243</v>
      </c>
      <c r="J71" t="s">
        <v>3</v>
      </c>
      <c r="K71" t="s">
        <v>1244</v>
      </c>
      <c r="L71">
        <v>1344</v>
      </c>
      <c r="N71">
        <v>1008</v>
      </c>
      <c r="O71" t="s">
        <v>1245</v>
      </c>
      <c r="P71" t="s">
        <v>1245</v>
      </c>
      <c r="Q71">
        <v>1</v>
      </c>
      <c r="W71">
        <v>0</v>
      </c>
      <c r="X71">
        <v>-1180195794</v>
      </c>
      <c r="Y71">
        <v>1.2500000000000001E-2</v>
      </c>
      <c r="AA71">
        <v>0</v>
      </c>
      <c r="AB71">
        <v>10.6</v>
      </c>
      <c r="AC71">
        <v>0</v>
      </c>
      <c r="AD71">
        <v>0</v>
      </c>
      <c r="AE71">
        <v>0</v>
      </c>
      <c r="AF71">
        <v>1</v>
      </c>
      <c r="AG71">
        <v>0</v>
      </c>
      <c r="AH71">
        <v>0</v>
      </c>
      <c r="AI71">
        <v>1</v>
      </c>
      <c r="AJ71">
        <v>9.93</v>
      </c>
      <c r="AK71">
        <v>25.44</v>
      </c>
      <c r="AL71">
        <v>1</v>
      </c>
      <c r="AN71">
        <v>0</v>
      </c>
      <c r="AO71">
        <v>1</v>
      </c>
      <c r="AP71">
        <v>1</v>
      </c>
      <c r="AQ71">
        <v>0</v>
      </c>
      <c r="AR71">
        <v>0</v>
      </c>
      <c r="AS71" t="s">
        <v>3</v>
      </c>
      <c r="AT71">
        <v>0.01</v>
      </c>
      <c r="AU71" t="s">
        <v>20</v>
      </c>
      <c r="AV71">
        <v>0</v>
      </c>
      <c r="AW71">
        <v>2</v>
      </c>
      <c r="AX71">
        <v>43137303</v>
      </c>
      <c r="AY71">
        <v>1</v>
      </c>
      <c r="AZ71">
        <v>0</v>
      </c>
      <c r="BA71">
        <v>69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CX71">
        <f>Y71*Source!I51</f>
        <v>0.11875000000000001</v>
      </c>
      <c r="CY71">
        <f>AB71</f>
        <v>10.6</v>
      </c>
      <c r="CZ71">
        <f>AF71</f>
        <v>1</v>
      </c>
      <c r="DA71">
        <f>AJ71</f>
        <v>9.93</v>
      </c>
      <c r="DB71">
        <f>ROUND((ROUND(AT71*CZ71,2)*1.25),6)</f>
        <v>1.2500000000000001E-2</v>
      </c>
      <c r="DC71">
        <f>ROUND((ROUND(AT71*AG71,2)*1.25),6)</f>
        <v>0</v>
      </c>
    </row>
    <row r="72" spans="1:107" x14ac:dyDescent="0.2">
      <c r="A72">
        <f>ROW(Source!A51)</f>
        <v>51</v>
      </c>
      <c r="B72">
        <v>42938047</v>
      </c>
      <c r="C72">
        <v>43137270</v>
      </c>
      <c r="D72">
        <v>36021690</v>
      </c>
      <c r="E72">
        <v>1</v>
      </c>
      <c r="F72">
        <v>1</v>
      </c>
      <c r="G72">
        <v>35973048</v>
      </c>
      <c r="H72">
        <v>3</v>
      </c>
      <c r="I72" t="s">
        <v>1302</v>
      </c>
      <c r="J72" t="s">
        <v>1303</v>
      </c>
      <c r="K72" t="s">
        <v>1304</v>
      </c>
      <c r="L72">
        <v>1339</v>
      </c>
      <c r="N72">
        <v>1007</v>
      </c>
      <c r="O72" t="s">
        <v>84</v>
      </c>
      <c r="P72" t="s">
        <v>84</v>
      </c>
      <c r="Q72">
        <v>1</v>
      </c>
      <c r="W72">
        <v>0</v>
      </c>
      <c r="X72">
        <v>874290911</v>
      </c>
      <c r="Y72">
        <v>20</v>
      </c>
      <c r="AA72">
        <v>2533.52</v>
      </c>
      <c r="AB72">
        <v>0</v>
      </c>
      <c r="AC72">
        <v>0</v>
      </c>
      <c r="AD72">
        <v>0</v>
      </c>
      <c r="AE72">
        <v>230.95</v>
      </c>
      <c r="AF72">
        <v>0</v>
      </c>
      <c r="AG72">
        <v>0</v>
      </c>
      <c r="AH72">
        <v>0</v>
      </c>
      <c r="AI72">
        <v>10.97</v>
      </c>
      <c r="AJ72">
        <v>1</v>
      </c>
      <c r="AK72">
        <v>1</v>
      </c>
      <c r="AL72">
        <v>1</v>
      </c>
      <c r="AN72">
        <v>0</v>
      </c>
      <c r="AO72">
        <v>1</v>
      </c>
      <c r="AP72">
        <v>1</v>
      </c>
      <c r="AQ72">
        <v>0</v>
      </c>
      <c r="AR72">
        <v>0</v>
      </c>
      <c r="AS72" t="s">
        <v>3</v>
      </c>
      <c r="AT72">
        <v>20</v>
      </c>
      <c r="AU72" t="s">
        <v>3</v>
      </c>
      <c r="AV72">
        <v>0</v>
      </c>
      <c r="AW72">
        <v>2</v>
      </c>
      <c r="AX72">
        <v>43137304</v>
      </c>
      <c r="AY72">
        <v>1</v>
      </c>
      <c r="AZ72">
        <v>0</v>
      </c>
      <c r="BA72">
        <v>70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CX72">
        <f>Y72*Source!I51</f>
        <v>190</v>
      </c>
      <c r="CY72">
        <f>AA72</f>
        <v>2533.52</v>
      </c>
      <c r="CZ72">
        <f>AE72</f>
        <v>230.95</v>
      </c>
      <c r="DA72">
        <f>AI72</f>
        <v>10.97</v>
      </c>
      <c r="DB72">
        <f>ROUND(ROUND(AT72*CZ72,2),6)</f>
        <v>4619</v>
      </c>
      <c r="DC72">
        <f>ROUND(ROUND(AT72*AG72,2),6)</f>
        <v>0</v>
      </c>
    </row>
    <row r="73" spans="1:107" x14ac:dyDescent="0.2">
      <c r="A73">
        <f>ROW(Source!A51)</f>
        <v>51</v>
      </c>
      <c r="B73">
        <v>42938047</v>
      </c>
      <c r="C73">
        <v>43137270</v>
      </c>
      <c r="D73">
        <v>36022065</v>
      </c>
      <c r="E73">
        <v>1</v>
      </c>
      <c r="F73">
        <v>1</v>
      </c>
      <c r="G73">
        <v>35973048</v>
      </c>
      <c r="H73">
        <v>3</v>
      </c>
      <c r="I73" t="s">
        <v>1305</v>
      </c>
      <c r="J73" t="s">
        <v>1306</v>
      </c>
      <c r="K73" t="s">
        <v>1307</v>
      </c>
      <c r="L73">
        <v>1327</v>
      </c>
      <c r="N73">
        <v>1005</v>
      </c>
      <c r="O73" t="s">
        <v>120</v>
      </c>
      <c r="P73" t="s">
        <v>120</v>
      </c>
      <c r="Q73">
        <v>1</v>
      </c>
      <c r="W73">
        <v>0</v>
      </c>
      <c r="X73">
        <v>-650690830</v>
      </c>
      <c r="Y73">
        <v>270</v>
      </c>
      <c r="AA73">
        <v>51.34</v>
      </c>
      <c r="AB73">
        <v>0</v>
      </c>
      <c r="AC73">
        <v>0</v>
      </c>
      <c r="AD73">
        <v>0</v>
      </c>
      <c r="AE73">
        <v>16.559999999999999</v>
      </c>
      <c r="AF73">
        <v>0</v>
      </c>
      <c r="AG73">
        <v>0</v>
      </c>
      <c r="AH73">
        <v>0</v>
      </c>
      <c r="AI73">
        <v>3.1</v>
      </c>
      <c r="AJ73">
        <v>1</v>
      </c>
      <c r="AK73">
        <v>1</v>
      </c>
      <c r="AL73">
        <v>1</v>
      </c>
      <c r="AN73">
        <v>0</v>
      </c>
      <c r="AO73">
        <v>1</v>
      </c>
      <c r="AP73">
        <v>1</v>
      </c>
      <c r="AQ73">
        <v>0</v>
      </c>
      <c r="AR73">
        <v>0</v>
      </c>
      <c r="AS73" t="s">
        <v>3</v>
      </c>
      <c r="AT73">
        <v>270</v>
      </c>
      <c r="AU73" t="s">
        <v>3</v>
      </c>
      <c r="AV73">
        <v>0</v>
      </c>
      <c r="AW73">
        <v>2</v>
      </c>
      <c r="AX73">
        <v>43137305</v>
      </c>
      <c r="AY73">
        <v>1</v>
      </c>
      <c r="AZ73">
        <v>0</v>
      </c>
      <c r="BA73">
        <v>71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CX73">
        <f>Y73*Source!I51</f>
        <v>2565</v>
      </c>
      <c r="CY73">
        <f>AA73</f>
        <v>51.34</v>
      </c>
      <c r="CZ73">
        <f>AE73</f>
        <v>16.559999999999999</v>
      </c>
      <c r="DA73">
        <f>AI73</f>
        <v>3.1</v>
      </c>
      <c r="DB73">
        <f>ROUND(ROUND(AT73*CZ73,2),6)</f>
        <v>4471.2</v>
      </c>
      <c r="DC73">
        <f>ROUND(ROUND(AT73*AG73,2),6)</f>
        <v>0</v>
      </c>
    </row>
    <row r="74" spans="1:107" x14ac:dyDescent="0.2">
      <c r="A74">
        <f>ROW(Source!A51)</f>
        <v>51</v>
      </c>
      <c r="B74">
        <v>42938047</v>
      </c>
      <c r="C74">
        <v>43137270</v>
      </c>
      <c r="D74">
        <v>36020974</v>
      </c>
      <c r="E74">
        <v>1</v>
      </c>
      <c r="F74">
        <v>1</v>
      </c>
      <c r="G74">
        <v>35973048</v>
      </c>
      <c r="H74">
        <v>3</v>
      </c>
      <c r="I74" t="s">
        <v>91</v>
      </c>
      <c r="J74" t="s">
        <v>93</v>
      </c>
      <c r="K74" t="s">
        <v>92</v>
      </c>
      <c r="L74">
        <v>1339</v>
      </c>
      <c r="N74">
        <v>1007</v>
      </c>
      <c r="O74" t="s">
        <v>84</v>
      </c>
      <c r="P74" t="s">
        <v>84</v>
      </c>
      <c r="Q74">
        <v>1</v>
      </c>
      <c r="W74">
        <v>0</v>
      </c>
      <c r="X74">
        <v>2069056849</v>
      </c>
      <c r="Y74">
        <v>28</v>
      </c>
      <c r="AA74">
        <v>578.49</v>
      </c>
      <c r="AB74">
        <v>0</v>
      </c>
      <c r="AC74">
        <v>0</v>
      </c>
      <c r="AD74">
        <v>0</v>
      </c>
      <c r="AE74">
        <v>104.99</v>
      </c>
      <c r="AF74">
        <v>0</v>
      </c>
      <c r="AG74">
        <v>0</v>
      </c>
      <c r="AH74">
        <v>0</v>
      </c>
      <c r="AI74">
        <v>5.51</v>
      </c>
      <c r="AJ74">
        <v>1</v>
      </c>
      <c r="AK74">
        <v>1</v>
      </c>
      <c r="AL74">
        <v>1</v>
      </c>
      <c r="AN74">
        <v>0</v>
      </c>
      <c r="AO74">
        <v>1</v>
      </c>
      <c r="AP74">
        <v>1</v>
      </c>
      <c r="AQ74">
        <v>0</v>
      </c>
      <c r="AR74">
        <v>0</v>
      </c>
      <c r="AS74" t="s">
        <v>3</v>
      </c>
      <c r="AT74">
        <v>28</v>
      </c>
      <c r="AU74" t="s">
        <v>3</v>
      </c>
      <c r="AV74">
        <v>0</v>
      </c>
      <c r="AW74">
        <v>2</v>
      </c>
      <c r="AX74">
        <v>43137306</v>
      </c>
      <c r="AY74">
        <v>1</v>
      </c>
      <c r="AZ74">
        <v>0</v>
      </c>
      <c r="BA74">
        <v>72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CX74">
        <f>Y74*Source!I51</f>
        <v>266</v>
      </c>
      <c r="CY74">
        <f>AA74</f>
        <v>578.49</v>
      </c>
      <c r="CZ74">
        <f>AE74</f>
        <v>104.99</v>
      </c>
      <c r="DA74">
        <f>AI74</f>
        <v>5.51</v>
      </c>
      <c r="DB74">
        <f>ROUND(ROUND(AT74*CZ74,2),6)</f>
        <v>2939.72</v>
      </c>
      <c r="DC74">
        <f>ROUND(ROUND(AT74*AG74,2),6)</f>
        <v>0</v>
      </c>
    </row>
    <row r="75" spans="1:107" x14ac:dyDescent="0.2">
      <c r="A75">
        <f>ROW(Source!A51)</f>
        <v>51</v>
      </c>
      <c r="B75">
        <v>42938047</v>
      </c>
      <c r="C75">
        <v>43137270</v>
      </c>
      <c r="D75">
        <v>0</v>
      </c>
      <c r="E75">
        <v>0</v>
      </c>
      <c r="F75">
        <v>1</v>
      </c>
      <c r="G75">
        <v>35973048</v>
      </c>
      <c r="H75">
        <v>3</v>
      </c>
      <c r="I75" t="s">
        <v>118</v>
      </c>
      <c r="J75" t="s">
        <v>3</v>
      </c>
      <c r="K75" t="s">
        <v>157</v>
      </c>
      <c r="L75">
        <v>1301</v>
      </c>
      <c r="N75">
        <v>1003</v>
      </c>
      <c r="O75" t="s">
        <v>136</v>
      </c>
      <c r="P75" t="s">
        <v>136</v>
      </c>
      <c r="Q75">
        <v>1</v>
      </c>
      <c r="W75">
        <v>0</v>
      </c>
      <c r="X75">
        <v>1484712815</v>
      </c>
      <c r="Y75">
        <v>100</v>
      </c>
      <c r="AA75">
        <v>1468.11</v>
      </c>
      <c r="AB75">
        <v>0</v>
      </c>
      <c r="AC75">
        <v>0</v>
      </c>
      <c r="AD75">
        <v>0</v>
      </c>
      <c r="AE75">
        <v>230.87</v>
      </c>
      <c r="AF75">
        <v>0</v>
      </c>
      <c r="AG75">
        <v>0</v>
      </c>
      <c r="AH75">
        <v>0</v>
      </c>
      <c r="AI75">
        <v>6.34</v>
      </c>
      <c r="AJ75">
        <v>1</v>
      </c>
      <c r="AK75">
        <v>1</v>
      </c>
      <c r="AL75">
        <v>1</v>
      </c>
      <c r="AN75">
        <v>0</v>
      </c>
      <c r="AO75">
        <v>0</v>
      </c>
      <c r="AP75">
        <v>0</v>
      </c>
      <c r="AQ75">
        <v>0</v>
      </c>
      <c r="AR75">
        <v>0</v>
      </c>
      <c r="AS75" t="s">
        <v>3</v>
      </c>
      <c r="AT75">
        <v>100</v>
      </c>
      <c r="AU75" t="s">
        <v>3</v>
      </c>
      <c r="AV75">
        <v>0</v>
      </c>
      <c r="AW75">
        <v>1</v>
      </c>
      <c r="AX75">
        <v>-1</v>
      </c>
      <c r="AY75">
        <v>0</v>
      </c>
      <c r="AZ75">
        <v>0</v>
      </c>
      <c r="BA75" t="s">
        <v>3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CX75">
        <f>Y75*Source!I51</f>
        <v>950</v>
      </c>
      <c r="CY75">
        <f>AA75</f>
        <v>1468.11</v>
      </c>
      <c r="CZ75">
        <f>AE75</f>
        <v>230.87</v>
      </c>
      <c r="DA75">
        <f>AI75</f>
        <v>6.34</v>
      </c>
      <c r="DB75">
        <f>ROUND(ROUND(AT75*CZ75,2),6)</f>
        <v>23087</v>
      </c>
      <c r="DC75">
        <f>ROUND(ROUND(AT75*AG75,2),6)</f>
        <v>0</v>
      </c>
    </row>
    <row r="76" spans="1:107" x14ac:dyDescent="0.2">
      <c r="A76">
        <f>ROW(Source!A53)</f>
        <v>53</v>
      </c>
      <c r="B76">
        <v>42938047</v>
      </c>
      <c r="C76">
        <v>43159296</v>
      </c>
      <c r="D76">
        <v>35973053</v>
      </c>
      <c r="E76">
        <v>35973048</v>
      </c>
      <c r="F76">
        <v>1</v>
      </c>
      <c r="G76">
        <v>35973048</v>
      </c>
      <c r="H76">
        <v>1</v>
      </c>
      <c r="I76" t="s">
        <v>1228</v>
      </c>
      <c r="J76" t="s">
        <v>3</v>
      </c>
      <c r="K76" t="s">
        <v>1229</v>
      </c>
      <c r="L76">
        <v>1191</v>
      </c>
      <c r="N76">
        <v>1013</v>
      </c>
      <c r="O76" t="s">
        <v>1230</v>
      </c>
      <c r="P76" t="s">
        <v>1230</v>
      </c>
      <c r="Q76">
        <v>1</v>
      </c>
      <c r="W76">
        <v>0</v>
      </c>
      <c r="X76">
        <v>476480486</v>
      </c>
      <c r="Y76">
        <v>6.1180000000000003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1</v>
      </c>
      <c r="AJ76">
        <v>1</v>
      </c>
      <c r="AK76">
        <v>1</v>
      </c>
      <c r="AL76">
        <v>25.44</v>
      </c>
      <c r="AN76">
        <v>0</v>
      </c>
      <c r="AO76">
        <v>1</v>
      </c>
      <c r="AP76">
        <v>1</v>
      </c>
      <c r="AQ76">
        <v>0</v>
      </c>
      <c r="AR76">
        <v>0</v>
      </c>
      <c r="AS76" t="s">
        <v>3</v>
      </c>
      <c r="AT76">
        <v>5.32</v>
      </c>
      <c r="AU76" t="s">
        <v>21</v>
      </c>
      <c r="AV76">
        <v>1</v>
      </c>
      <c r="AW76">
        <v>2</v>
      </c>
      <c r="AX76">
        <v>43159336</v>
      </c>
      <c r="AY76">
        <v>1</v>
      </c>
      <c r="AZ76">
        <v>2048</v>
      </c>
      <c r="BA76">
        <v>75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CX76">
        <f>Y76*Source!I53</f>
        <v>6.1180000000000003</v>
      </c>
      <c r="CY76">
        <f>AD76</f>
        <v>0</v>
      </c>
      <c r="CZ76">
        <f>AH76</f>
        <v>0</v>
      </c>
      <c r="DA76">
        <f>AL76</f>
        <v>25.44</v>
      </c>
      <c r="DB76">
        <f>ROUND((ROUND(AT76*CZ76,2)*1.15),6)</f>
        <v>0</v>
      </c>
      <c r="DC76">
        <f>ROUND((ROUND(AT76*AG76,2)*1.15),6)</f>
        <v>0</v>
      </c>
    </row>
    <row r="77" spans="1:107" x14ac:dyDescent="0.2">
      <c r="A77">
        <f>ROW(Source!A53)</f>
        <v>53</v>
      </c>
      <c r="B77">
        <v>42938047</v>
      </c>
      <c r="C77">
        <v>43159296</v>
      </c>
      <c r="D77">
        <v>36045311</v>
      </c>
      <c r="E77">
        <v>1</v>
      </c>
      <c r="F77">
        <v>1</v>
      </c>
      <c r="G77">
        <v>35973048</v>
      </c>
      <c r="H77">
        <v>2</v>
      </c>
      <c r="I77" t="s">
        <v>1308</v>
      </c>
      <c r="J77" t="s">
        <v>1309</v>
      </c>
      <c r="K77" t="s">
        <v>1310</v>
      </c>
      <c r="L77">
        <v>1367</v>
      </c>
      <c r="N77">
        <v>1011</v>
      </c>
      <c r="O77" t="s">
        <v>738</v>
      </c>
      <c r="P77" t="s">
        <v>738</v>
      </c>
      <c r="Q77">
        <v>1</v>
      </c>
      <c r="W77">
        <v>0</v>
      </c>
      <c r="X77">
        <v>739358316</v>
      </c>
      <c r="Y77">
        <v>2.5000000000000001E-2</v>
      </c>
      <c r="AA77">
        <v>0</v>
      </c>
      <c r="AB77">
        <v>1024.32</v>
      </c>
      <c r="AC77">
        <v>395.85</v>
      </c>
      <c r="AD77">
        <v>0</v>
      </c>
      <c r="AE77">
        <v>0</v>
      </c>
      <c r="AF77">
        <v>113.31</v>
      </c>
      <c r="AG77">
        <v>15.56</v>
      </c>
      <c r="AH77">
        <v>0</v>
      </c>
      <c r="AI77">
        <v>1</v>
      </c>
      <c r="AJ77">
        <v>9.0399999999999991</v>
      </c>
      <c r="AK77">
        <v>25.44</v>
      </c>
      <c r="AL77">
        <v>1</v>
      </c>
      <c r="AN77">
        <v>0</v>
      </c>
      <c r="AO77">
        <v>1</v>
      </c>
      <c r="AP77">
        <v>1</v>
      </c>
      <c r="AQ77">
        <v>0</v>
      </c>
      <c r="AR77">
        <v>0</v>
      </c>
      <c r="AS77" t="s">
        <v>3</v>
      </c>
      <c r="AT77">
        <v>0.02</v>
      </c>
      <c r="AU77" t="s">
        <v>20</v>
      </c>
      <c r="AV77">
        <v>0</v>
      </c>
      <c r="AW77">
        <v>2</v>
      </c>
      <c r="AX77">
        <v>43159337</v>
      </c>
      <c r="AY77">
        <v>1</v>
      </c>
      <c r="AZ77">
        <v>0</v>
      </c>
      <c r="BA77">
        <v>76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CX77">
        <f>Y77*Source!I53</f>
        <v>2.5000000000000001E-2</v>
      </c>
      <c r="CY77">
        <f>AB77</f>
        <v>1024.32</v>
      </c>
      <c r="CZ77">
        <f>AF77</f>
        <v>113.31</v>
      </c>
      <c r="DA77">
        <f>AJ77</f>
        <v>9.0399999999999991</v>
      </c>
      <c r="DB77">
        <f>ROUND((ROUND(AT77*CZ77,2)*1.25),6)</f>
        <v>2.8374999999999999</v>
      </c>
      <c r="DC77">
        <f>ROUND((ROUND(AT77*AG77,2)*1.25),6)</f>
        <v>0.38750000000000001</v>
      </c>
    </row>
    <row r="78" spans="1:107" x14ac:dyDescent="0.2">
      <c r="A78">
        <f>ROW(Source!A53)</f>
        <v>53</v>
      </c>
      <c r="B78">
        <v>42938047</v>
      </c>
      <c r="C78">
        <v>43159296</v>
      </c>
      <c r="D78">
        <v>36045430</v>
      </c>
      <c r="E78">
        <v>1</v>
      </c>
      <c r="F78">
        <v>1</v>
      </c>
      <c r="G78">
        <v>35973048</v>
      </c>
      <c r="H78">
        <v>2</v>
      </c>
      <c r="I78" t="s">
        <v>1311</v>
      </c>
      <c r="J78" t="s">
        <v>1312</v>
      </c>
      <c r="K78" t="s">
        <v>1313</v>
      </c>
      <c r="L78">
        <v>1367</v>
      </c>
      <c r="N78">
        <v>1011</v>
      </c>
      <c r="O78" t="s">
        <v>738</v>
      </c>
      <c r="P78" t="s">
        <v>738</v>
      </c>
      <c r="Q78">
        <v>1</v>
      </c>
      <c r="W78">
        <v>0</v>
      </c>
      <c r="X78">
        <v>1822400490</v>
      </c>
      <c r="Y78">
        <v>0.13750000000000001</v>
      </c>
      <c r="AA78">
        <v>0</v>
      </c>
      <c r="AB78">
        <v>7.6</v>
      </c>
      <c r="AC78">
        <v>1.02</v>
      </c>
      <c r="AD78">
        <v>0</v>
      </c>
      <c r="AE78">
        <v>0</v>
      </c>
      <c r="AF78">
        <v>2.21</v>
      </c>
      <c r="AG78">
        <v>0.04</v>
      </c>
      <c r="AH78">
        <v>0</v>
      </c>
      <c r="AI78">
        <v>1</v>
      </c>
      <c r="AJ78">
        <v>3.44</v>
      </c>
      <c r="AK78">
        <v>25.44</v>
      </c>
      <c r="AL78">
        <v>1</v>
      </c>
      <c r="AN78">
        <v>0</v>
      </c>
      <c r="AO78">
        <v>1</v>
      </c>
      <c r="AP78">
        <v>1</v>
      </c>
      <c r="AQ78">
        <v>0</v>
      </c>
      <c r="AR78">
        <v>0</v>
      </c>
      <c r="AS78" t="s">
        <v>3</v>
      </c>
      <c r="AT78">
        <v>0.11</v>
      </c>
      <c r="AU78" t="s">
        <v>20</v>
      </c>
      <c r="AV78">
        <v>0</v>
      </c>
      <c r="AW78">
        <v>2</v>
      </c>
      <c r="AX78">
        <v>43159339</v>
      </c>
      <c r="AY78">
        <v>1</v>
      </c>
      <c r="AZ78">
        <v>0</v>
      </c>
      <c r="BA78">
        <v>77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CX78">
        <f>Y78*Source!I53</f>
        <v>0.13750000000000001</v>
      </c>
      <c r="CY78">
        <f>AB78</f>
        <v>7.6</v>
      </c>
      <c r="CZ78">
        <f>AF78</f>
        <v>2.21</v>
      </c>
      <c r="DA78">
        <f>AJ78</f>
        <v>3.44</v>
      </c>
      <c r="DB78">
        <f>ROUND((ROUND(AT78*CZ78,2)*1.25),6)</f>
        <v>0.3</v>
      </c>
      <c r="DC78">
        <f>ROUND((ROUND(AT78*AG78,2)*1.25),6)</f>
        <v>0</v>
      </c>
    </row>
    <row r="79" spans="1:107" x14ac:dyDescent="0.2">
      <c r="A79">
        <f>ROW(Source!A53)</f>
        <v>53</v>
      </c>
      <c r="B79">
        <v>42938047</v>
      </c>
      <c r="C79">
        <v>43159296</v>
      </c>
      <c r="D79">
        <v>36045388</v>
      </c>
      <c r="E79">
        <v>1</v>
      </c>
      <c r="F79">
        <v>1</v>
      </c>
      <c r="G79">
        <v>35973048</v>
      </c>
      <c r="H79">
        <v>2</v>
      </c>
      <c r="I79" t="s">
        <v>1314</v>
      </c>
      <c r="J79" t="s">
        <v>1315</v>
      </c>
      <c r="K79" t="s">
        <v>1316</v>
      </c>
      <c r="L79">
        <v>1367</v>
      </c>
      <c r="N79">
        <v>1011</v>
      </c>
      <c r="O79" t="s">
        <v>738</v>
      </c>
      <c r="P79" t="s">
        <v>738</v>
      </c>
      <c r="Q79">
        <v>1</v>
      </c>
      <c r="W79">
        <v>0</v>
      </c>
      <c r="X79">
        <v>926785503</v>
      </c>
      <c r="Y79">
        <v>3.7499999999999999E-2</v>
      </c>
      <c r="AA79">
        <v>0</v>
      </c>
      <c r="AB79">
        <v>5.81</v>
      </c>
      <c r="AC79">
        <v>1.02</v>
      </c>
      <c r="AD79">
        <v>0</v>
      </c>
      <c r="AE79">
        <v>0</v>
      </c>
      <c r="AF79">
        <v>0.64</v>
      </c>
      <c r="AG79">
        <v>0.04</v>
      </c>
      <c r="AH79">
        <v>0</v>
      </c>
      <c r="AI79">
        <v>1</v>
      </c>
      <c r="AJ79">
        <v>9.08</v>
      </c>
      <c r="AK79">
        <v>25.44</v>
      </c>
      <c r="AL79">
        <v>1</v>
      </c>
      <c r="AN79">
        <v>0</v>
      </c>
      <c r="AO79">
        <v>1</v>
      </c>
      <c r="AP79">
        <v>1</v>
      </c>
      <c r="AQ79">
        <v>0</v>
      </c>
      <c r="AR79">
        <v>0</v>
      </c>
      <c r="AS79" t="s">
        <v>3</v>
      </c>
      <c r="AT79">
        <v>0.03</v>
      </c>
      <c r="AU79" t="s">
        <v>20</v>
      </c>
      <c r="AV79">
        <v>0</v>
      </c>
      <c r="AW79">
        <v>2</v>
      </c>
      <c r="AX79">
        <v>43159340</v>
      </c>
      <c r="AY79">
        <v>1</v>
      </c>
      <c r="AZ79">
        <v>0</v>
      </c>
      <c r="BA79">
        <v>78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CX79">
        <f>Y79*Source!I53</f>
        <v>3.7499999999999999E-2</v>
      </c>
      <c r="CY79">
        <f>AB79</f>
        <v>5.81</v>
      </c>
      <c r="CZ79">
        <f>AF79</f>
        <v>0.64</v>
      </c>
      <c r="DA79">
        <f>AJ79</f>
        <v>9.08</v>
      </c>
      <c r="DB79">
        <f>ROUND((ROUND(AT79*CZ79,2)*1.25),6)</f>
        <v>2.5000000000000001E-2</v>
      </c>
      <c r="DC79">
        <f>ROUND((ROUND(AT79*AG79,2)*1.25),6)</f>
        <v>0</v>
      </c>
    </row>
    <row r="80" spans="1:107" x14ac:dyDescent="0.2">
      <c r="A80">
        <f>ROW(Source!A53)</f>
        <v>53</v>
      </c>
      <c r="B80">
        <v>42938047</v>
      </c>
      <c r="C80">
        <v>43159296</v>
      </c>
      <c r="D80">
        <v>36044555</v>
      </c>
      <c r="E80">
        <v>1</v>
      </c>
      <c r="F80">
        <v>1</v>
      </c>
      <c r="G80">
        <v>35973048</v>
      </c>
      <c r="H80">
        <v>2</v>
      </c>
      <c r="I80" t="s">
        <v>1267</v>
      </c>
      <c r="J80" t="s">
        <v>1268</v>
      </c>
      <c r="K80" t="s">
        <v>1269</v>
      </c>
      <c r="L80">
        <v>1367</v>
      </c>
      <c r="N80">
        <v>1011</v>
      </c>
      <c r="O80" t="s">
        <v>738</v>
      </c>
      <c r="P80" t="s">
        <v>738</v>
      </c>
      <c r="Q80">
        <v>1</v>
      </c>
      <c r="W80">
        <v>0</v>
      </c>
      <c r="X80">
        <v>-266174272</v>
      </c>
      <c r="Y80">
        <v>2.5000000000000001E-2</v>
      </c>
      <c r="AA80">
        <v>0</v>
      </c>
      <c r="AB80">
        <v>1636.27</v>
      </c>
      <c r="AC80">
        <v>461.74</v>
      </c>
      <c r="AD80">
        <v>0</v>
      </c>
      <c r="AE80">
        <v>0</v>
      </c>
      <c r="AF80">
        <v>190.93</v>
      </c>
      <c r="AG80">
        <v>18.149999999999999</v>
      </c>
      <c r="AH80">
        <v>0</v>
      </c>
      <c r="AI80">
        <v>1</v>
      </c>
      <c r="AJ80">
        <v>8.57</v>
      </c>
      <c r="AK80">
        <v>25.44</v>
      </c>
      <c r="AL80">
        <v>1</v>
      </c>
      <c r="AN80">
        <v>0</v>
      </c>
      <c r="AO80">
        <v>1</v>
      </c>
      <c r="AP80">
        <v>1</v>
      </c>
      <c r="AQ80">
        <v>0</v>
      </c>
      <c r="AR80">
        <v>0</v>
      </c>
      <c r="AS80" t="s">
        <v>3</v>
      </c>
      <c r="AT80">
        <v>0.02</v>
      </c>
      <c r="AU80" t="s">
        <v>20</v>
      </c>
      <c r="AV80">
        <v>0</v>
      </c>
      <c r="AW80">
        <v>2</v>
      </c>
      <c r="AX80">
        <v>43159338</v>
      </c>
      <c r="AY80">
        <v>1</v>
      </c>
      <c r="AZ80">
        <v>0</v>
      </c>
      <c r="BA80">
        <v>79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CX80">
        <f>Y80*Source!I53</f>
        <v>2.5000000000000001E-2</v>
      </c>
      <c r="CY80">
        <f>AB80</f>
        <v>1636.27</v>
      </c>
      <c r="CZ80">
        <f>AF80</f>
        <v>190.93</v>
      </c>
      <c r="DA80">
        <f>AJ80</f>
        <v>8.57</v>
      </c>
      <c r="DB80">
        <f>ROUND((ROUND(AT80*CZ80,2)*1.25),6)</f>
        <v>4.7750000000000004</v>
      </c>
      <c r="DC80">
        <f>ROUND((ROUND(AT80*AG80,2)*1.25),6)</f>
        <v>0.45</v>
      </c>
    </row>
    <row r="81" spans="1:107" x14ac:dyDescent="0.2">
      <c r="A81">
        <f>ROW(Source!A53)</f>
        <v>53</v>
      </c>
      <c r="B81">
        <v>42938047</v>
      </c>
      <c r="C81">
        <v>43159296</v>
      </c>
      <c r="D81">
        <v>36020412</v>
      </c>
      <c r="E81">
        <v>1</v>
      </c>
      <c r="F81">
        <v>1</v>
      </c>
      <c r="G81">
        <v>35973048</v>
      </c>
      <c r="H81">
        <v>3</v>
      </c>
      <c r="I81" t="s">
        <v>1317</v>
      </c>
      <c r="J81" t="s">
        <v>1318</v>
      </c>
      <c r="K81" t="s">
        <v>1319</v>
      </c>
      <c r="L81">
        <v>1346</v>
      </c>
      <c r="N81">
        <v>1009</v>
      </c>
      <c r="O81" t="s">
        <v>131</v>
      </c>
      <c r="P81" t="s">
        <v>131</v>
      </c>
      <c r="Q81">
        <v>1</v>
      </c>
      <c r="W81">
        <v>0</v>
      </c>
      <c r="X81">
        <v>622621594</v>
      </c>
      <c r="Y81">
        <v>0.5</v>
      </c>
      <c r="AA81">
        <v>50.88</v>
      </c>
      <c r="AB81">
        <v>0</v>
      </c>
      <c r="AC81">
        <v>0</v>
      </c>
      <c r="AD81">
        <v>0</v>
      </c>
      <c r="AE81">
        <v>1.61</v>
      </c>
      <c r="AF81">
        <v>0</v>
      </c>
      <c r="AG81">
        <v>0</v>
      </c>
      <c r="AH81">
        <v>0</v>
      </c>
      <c r="AI81">
        <v>31.6</v>
      </c>
      <c r="AJ81">
        <v>1</v>
      </c>
      <c r="AK81">
        <v>1</v>
      </c>
      <c r="AL81">
        <v>1</v>
      </c>
      <c r="AN81">
        <v>0</v>
      </c>
      <c r="AO81">
        <v>1</v>
      </c>
      <c r="AP81">
        <v>1</v>
      </c>
      <c r="AQ81">
        <v>0</v>
      </c>
      <c r="AR81">
        <v>0</v>
      </c>
      <c r="AS81" t="s">
        <v>3</v>
      </c>
      <c r="AT81">
        <v>0.5</v>
      </c>
      <c r="AU81" t="s">
        <v>3</v>
      </c>
      <c r="AV81">
        <v>0</v>
      </c>
      <c r="AW81">
        <v>2</v>
      </c>
      <c r="AX81">
        <v>43159341</v>
      </c>
      <c r="AY81">
        <v>1</v>
      </c>
      <c r="AZ81">
        <v>0</v>
      </c>
      <c r="BA81">
        <v>80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CX81">
        <f>Y81*Source!I53</f>
        <v>0.5</v>
      </c>
      <c r="CY81">
        <f t="shared" ref="CY81:CY89" si="20">AA81</f>
        <v>50.88</v>
      </c>
      <c r="CZ81">
        <f t="shared" ref="CZ81:CZ89" si="21">AE81</f>
        <v>1.61</v>
      </c>
      <c r="DA81">
        <f t="shared" ref="DA81:DA89" si="22">AI81</f>
        <v>31.6</v>
      </c>
      <c r="DB81">
        <f t="shared" ref="DB81:DB96" si="23">ROUND(ROUND(AT81*CZ81,2),6)</f>
        <v>0.81</v>
      </c>
      <c r="DC81">
        <f t="shared" ref="DC81:DC96" si="24">ROUND(ROUND(AT81*AG81,2),6)</f>
        <v>0</v>
      </c>
    </row>
    <row r="82" spans="1:107" x14ac:dyDescent="0.2">
      <c r="A82">
        <f>ROW(Source!A53)</f>
        <v>53</v>
      </c>
      <c r="B82">
        <v>42938047</v>
      </c>
      <c r="C82">
        <v>43159296</v>
      </c>
      <c r="D82">
        <v>36020415</v>
      </c>
      <c r="E82">
        <v>1</v>
      </c>
      <c r="F82">
        <v>1</v>
      </c>
      <c r="G82">
        <v>35973048</v>
      </c>
      <c r="H82">
        <v>3</v>
      </c>
      <c r="I82" t="s">
        <v>469</v>
      </c>
      <c r="J82" t="s">
        <v>471</v>
      </c>
      <c r="K82" t="s">
        <v>470</v>
      </c>
      <c r="L82">
        <v>1339</v>
      </c>
      <c r="N82">
        <v>1007</v>
      </c>
      <c r="O82" t="s">
        <v>84</v>
      </c>
      <c r="P82" t="s">
        <v>84</v>
      </c>
      <c r="Q82">
        <v>1</v>
      </c>
      <c r="W82">
        <v>0</v>
      </c>
      <c r="X82">
        <v>-862991314</v>
      </c>
      <c r="Y82">
        <v>0.19</v>
      </c>
      <c r="AA82">
        <v>36.340000000000003</v>
      </c>
      <c r="AB82">
        <v>0</v>
      </c>
      <c r="AC82">
        <v>0</v>
      </c>
      <c r="AD82">
        <v>0</v>
      </c>
      <c r="AE82">
        <v>7.07</v>
      </c>
      <c r="AF82">
        <v>0</v>
      </c>
      <c r="AG82">
        <v>0</v>
      </c>
      <c r="AH82">
        <v>0</v>
      </c>
      <c r="AI82">
        <v>5.14</v>
      </c>
      <c r="AJ82">
        <v>1</v>
      </c>
      <c r="AK82">
        <v>1</v>
      </c>
      <c r="AL82">
        <v>1</v>
      </c>
      <c r="AN82">
        <v>0</v>
      </c>
      <c r="AO82">
        <v>1</v>
      </c>
      <c r="AP82">
        <v>1</v>
      </c>
      <c r="AQ82">
        <v>0</v>
      </c>
      <c r="AR82">
        <v>0</v>
      </c>
      <c r="AS82" t="s">
        <v>3</v>
      </c>
      <c r="AT82">
        <v>0.19</v>
      </c>
      <c r="AU82" t="s">
        <v>3</v>
      </c>
      <c r="AV82">
        <v>0</v>
      </c>
      <c r="AW82">
        <v>2</v>
      </c>
      <c r="AX82">
        <v>43159342</v>
      </c>
      <c r="AY82">
        <v>1</v>
      </c>
      <c r="AZ82">
        <v>0</v>
      </c>
      <c r="BA82">
        <v>81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CX82">
        <f>Y82*Source!I53</f>
        <v>0.19</v>
      </c>
      <c r="CY82">
        <f t="shared" si="20"/>
        <v>36.340000000000003</v>
      </c>
      <c r="CZ82">
        <f t="shared" si="21"/>
        <v>7.07</v>
      </c>
      <c r="DA82">
        <f t="shared" si="22"/>
        <v>5.14</v>
      </c>
      <c r="DB82">
        <f t="shared" si="23"/>
        <v>1.34</v>
      </c>
      <c r="DC82">
        <f t="shared" si="24"/>
        <v>0</v>
      </c>
    </row>
    <row r="83" spans="1:107" x14ac:dyDescent="0.2">
      <c r="A83">
        <f>ROW(Source!A53)</f>
        <v>53</v>
      </c>
      <c r="B83">
        <v>42938047</v>
      </c>
      <c r="C83">
        <v>43159296</v>
      </c>
      <c r="D83">
        <v>36022664</v>
      </c>
      <c r="E83">
        <v>1</v>
      </c>
      <c r="F83">
        <v>1</v>
      </c>
      <c r="G83">
        <v>35973048</v>
      </c>
      <c r="H83">
        <v>3</v>
      </c>
      <c r="I83" t="s">
        <v>1320</v>
      </c>
      <c r="J83" t="s">
        <v>1321</v>
      </c>
      <c r="K83" t="s">
        <v>1322</v>
      </c>
      <c r="L83">
        <v>1346</v>
      </c>
      <c r="N83">
        <v>1009</v>
      </c>
      <c r="O83" t="s">
        <v>131</v>
      </c>
      <c r="P83" t="s">
        <v>131</v>
      </c>
      <c r="Q83">
        <v>1</v>
      </c>
      <c r="W83">
        <v>0</v>
      </c>
      <c r="X83">
        <v>-774921586</v>
      </c>
      <c r="Y83">
        <v>9.2799999999999994E-2</v>
      </c>
      <c r="AA83">
        <v>109.69</v>
      </c>
      <c r="AB83">
        <v>0</v>
      </c>
      <c r="AC83">
        <v>0</v>
      </c>
      <c r="AD83">
        <v>0</v>
      </c>
      <c r="AE83">
        <v>27.63</v>
      </c>
      <c r="AF83">
        <v>0</v>
      </c>
      <c r="AG83">
        <v>0</v>
      </c>
      <c r="AH83">
        <v>0</v>
      </c>
      <c r="AI83">
        <v>3.97</v>
      </c>
      <c r="AJ83">
        <v>1</v>
      </c>
      <c r="AK83">
        <v>1</v>
      </c>
      <c r="AL83">
        <v>1</v>
      </c>
      <c r="AN83">
        <v>0</v>
      </c>
      <c r="AO83">
        <v>1</v>
      </c>
      <c r="AP83">
        <v>1</v>
      </c>
      <c r="AQ83">
        <v>0</v>
      </c>
      <c r="AR83">
        <v>0</v>
      </c>
      <c r="AS83" t="s">
        <v>3</v>
      </c>
      <c r="AT83">
        <v>9.2799999999999994E-2</v>
      </c>
      <c r="AU83" t="s">
        <v>3</v>
      </c>
      <c r="AV83">
        <v>0</v>
      </c>
      <c r="AW83">
        <v>2</v>
      </c>
      <c r="AX83">
        <v>43159343</v>
      </c>
      <c r="AY83">
        <v>1</v>
      </c>
      <c r="AZ83">
        <v>0</v>
      </c>
      <c r="BA83">
        <v>82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CX83">
        <f>Y83*Source!I53</f>
        <v>9.2799999999999994E-2</v>
      </c>
      <c r="CY83">
        <f t="shared" si="20"/>
        <v>109.69</v>
      </c>
      <c r="CZ83">
        <f t="shared" si="21"/>
        <v>27.63</v>
      </c>
      <c r="DA83">
        <f t="shared" si="22"/>
        <v>3.97</v>
      </c>
      <c r="DB83">
        <f t="shared" si="23"/>
        <v>2.56</v>
      </c>
      <c r="DC83">
        <f t="shared" si="24"/>
        <v>0</v>
      </c>
    </row>
    <row r="84" spans="1:107" x14ac:dyDescent="0.2">
      <c r="A84">
        <f>ROW(Source!A53)</f>
        <v>53</v>
      </c>
      <c r="B84">
        <v>42938047</v>
      </c>
      <c r="C84">
        <v>43159296</v>
      </c>
      <c r="D84">
        <v>36020901</v>
      </c>
      <c r="E84">
        <v>1</v>
      </c>
      <c r="F84">
        <v>1</v>
      </c>
      <c r="G84">
        <v>35973048</v>
      </c>
      <c r="H84">
        <v>3</v>
      </c>
      <c r="I84" t="s">
        <v>1323</v>
      </c>
      <c r="J84" t="s">
        <v>1324</v>
      </c>
      <c r="K84" t="s">
        <v>1325</v>
      </c>
      <c r="L84">
        <v>1348</v>
      </c>
      <c r="N84">
        <v>1009</v>
      </c>
      <c r="O84" t="s">
        <v>104</v>
      </c>
      <c r="P84" t="s">
        <v>104</v>
      </c>
      <c r="Q84">
        <v>1000</v>
      </c>
      <c r="W84">
        <v>0</v>
      </c>
      <c r="X84">
        <v>2122386331</v>
      </c>
      <c r="Y84">
        <v>1.4999999999999999E-4</v>
      </c>
      <c r="AA84">
        <v>14262.77</v>
      </c>
      <c r="AB84">
        <v>0</v>
      </c>
      <c r="AC84">
        <v>0</v>
      </c>
      <c r="AD84">
        <v>0</v>
      </c>
      <c r="AE84">
        <v>18054.14</v>
      </c>
      <c r="AF84">
        <v>0</v>
      </c>
      <c r="AG84">
        <v>0</v>
      </c>
      <c r="AH84">
        <v>0</v>
      </c>
      <c r="AI84">
        <v>0.79</v>
      </c>
      <c r="AJ84">
        <v>1</v>
      </c>
      <c r="AK84">
        <v>1</v>
      </c>
      <c r="AL84">
        <v>1</v>
      </c>
      <c r="AN84">
        <v>0</v>
      </c>
      <c r="AO84">
        <v>1</v>
      </c>
      <c r="AP84">
        <v>1</v>
      </c>
      <c r="AQ84">
        <v>0</v>
      </c>
      <c r="AR84">
        <v>0</v>
      </c>
      <c r="AS84" t="s">
        <v>3</v>
      </c>
      <c r="AT84">
        <v>1.4999999999999999E-4</v>
      </c>
      <c r="AU84" t="s">
        <v>3</v>
      </c>
      <c r="AV84">
        <v>0</v>
      </c>
      <c r="AW84">
        <v>2</v>
      </c>
      <c r="AX84">
        <v>43159344</v>
      </c>
      <c r="AY84">
        <v>1</v>
      </c>
      <c r="AZ84">
        <v>0</v>
      </c>
      <c r="BA84">
        <v>83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CX84">
        <f>Y84*Source!I53</f>
        <v>1.4999999999999999E-4</v>
      </c>
      <c r="CY84">
        <f t="shared" si="20"/>
        <v>14262.77</v>
      </c>
      <c r="CZ84">
        <f t="shared" si="21"/>
        <v>18054.14</v>
      </c>
      <c r="DA84">
        <f t="shared" si="22"/>
        <v>0.79</v>
      </c>
      <c r="DB84">
        <f t="shared" si="23"/>
        <v>2.71</v>
      </c>
      <c r="DC84">
        <f t="shared" si="24"/>
        <v>0</v>
      </c>
    </row>
    <row r="85" spans="1:107" x14ac:dyDescent="0.2">
      <c r="A85">
        <f>ROW(Source!A53)</f>
        <v>53</v>
      </c>
      <c r="B85">
        <v>42938047</v>
      </c>
      <c r="C85">
        <v>43159296</v>
      </c>
      <c r="D85">
        <v>36020974</v>
      </c>
      <c r="E85">
        <v>1</v>
      </c>
      <c r="F85">
        <v>1</v>
      </c>
      <c r="G85">
        <v>35973048</v>
      </c>
      <c r="H85">
        <v>3</v>
      </c>
      <c r="I85" t="s">
        <v>91</v>
      </c>
      <c r="J85" t="s">
        <v>93</v>
      </c>
      <c r="K85" t="s">
        <v>92</v>
      </c>
      <c r="L85">
        <v>1339</v>
      </c>
      <c r="N85">
        <v>1007</v>
      </c>
      <c r="O85" t="s">
        <v>84</v>
      </c>
      <c r="P85" t="s">
        <v>84</v>
      </c>
      <c r="Q85">
        <v>1</v>
      </c>
      <c r="W85">
        <v>0</v>
      </c>
      <c r="X85">
        <v>2069056849</v>
      </c>
      <c r="Y85">
        <v>0.86129999999999995</v>
      </c>
      <c r="AA85">
        <v>578.49</v>
      </c>
      <c r="AB85">
        <v>0</v>
      </c>
      <c r="AC85">
        <v>0</v>
      </c>
      <c r="AD85">
        <v>0</v>
      </c>
      <c r="AE85">
        <v>104.99</v>
      </c>
      <c r="AF85">
        <v>0</v>
      </c>
      <c r="AG85">
        <v>0</v>
      </c>
      <c r="AH85">
        <v>0</v>
      </c>
      <c r="AI85">
        <v>5.51</v>
      </c>
      <c r="AJ85">
        <v>1</v>
      </c>
      <c r="AK85">
        <v>1</v>
      </c>
      <c r="AL85">
        <v>1</v>
      </c>
      <c r="AN85">
        <v>0</v>
      </c>
      <c r="AO85">
        <v>1</v>
      </c>
      <c r="AP85">
        <v>1</v>
      </c>
      <c r="AQ85">
        <v>0</v>
      </c>
      <c r="AR85">
        <v>0</v>
      </c>
      <c r="AS85" t="s">
        <v>3</v>
      </c>
      <c r="AT85">
        <v>0.86129999999999995</v>
      </c>
      <c r="AU85" t="s">
        <v>3</v>
      </c>
      <c r="AV85">
        <v>0</v>
      </c>
      <c r="AW85">
        <v>2</v>
      </c>
      <c r="AX85">
        <v>43159345</v>
      </c>
      <c r="AY85">
        <v>1</v>
      </c>
      <c r="AZ85">
        <v>0</v>
      </c>
      <c r="BA85">
        <v>84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CX85">
        <f>Y85*Source!I53</f>
        <v>0.86129999999999995</v>
      </c>
      <c r="CY85">
        <f t="shared" si="20"/>
        <v>578.49</v>
      </c>
      <c r="CZ85">
        <f t="shared" si="21"/>
        <v>104.99</v>
      </c>
      <c r="DA85">
        <f t="shared" si="22"/>
        <v>5.51</v>
      </c>
      <c r="DB85">
        <f t="shared" si="23"/>
        <v>90.43</v>
      </c>
      <c r="DC85">
        <f t="shared" si="24"/>
        <v>0</v>
      </c>
    </row>
    <row r="86" spans="1:107" x14ac:dyDescent="0.2">
      <c r="A86">
        <f>ROW(Source!A53)</f>
        <v>53</v>
      </c>
      <c r="B86">
        <v>42938047</v>
      </c>
      <c r="C86">
        <v>43159296</v>
      </c>
      <c r="D86">
        <v>36030000</v>
      </c>
      <c r="E86">
        <v>1</v>
      </c>
      <c r="F86">
        <v>1</v>
      </c>
      <c r="G86">
        <v>35973048</v>
      </c>
      <c r="H86">
        <v>3</v>
      </c>
      <c r="I86" t="s">
        <v>172</v>
      </c>
      <c r="J86" t="s">
        <v>174</v>
      </c>
      <c r="K86" t="s">
        <v>173</v>
      </c>
      <c r="L86">
        <v>1354</v>
      </c>
      <c r="N86">
        <v>1010</v>
      </c>
      <c r="O86" t="s">
        <v>169</v>
      </c>
      <c r="P86" t="s">
        <v>169</v>
      </c>
      <c r="Q86">
        <v>1</v>
      </c>
      <c r="W86">
        <v>0</v>
      </c>
      <c r="X86">
        <v>-809151191</v>
      </c>
      <c r="Y86">
        <v>0.5</v>
      </c>
      <c r="AA86">
        <v>21523.45</v>
      </c>
      <c r="AB86">
        <v>0</v>
      </c>
      <c r="AC86">
        <v>0</v>
      </c>
      <c r="AD86">
        <v>0</v>
      </c>
      <c r="AE86">
        <v>1902.4</v>
      </c>
      <c r="AF86">
        <v>0</v>
      </c>
      <c r="AG86">
        <v>0</v>
      </c>
      <c r="AH86">
        <v>0</v>
      </c>
      <c r="AI86">
        <v>11.28</v>
      </c>
      <c r="AJ86">
        <v>1</v>
      </c>
      <c r="AK86">
        <v>1</v>
      </c>
      <c r="AL86">
        <v>1</v>
      </c>
      <c r="AN86">
        <v>0</v>
      </c>
      <c r="AO86">
        <v>0</v>
      </c>
      <c r="AP86">
        <v>1</v>
      </c>
      <c r="AQ86">
        <v>0</v>
      </c>
      <c r="AR86">
        <v>0</v>
      </c>
      <c r="AS86" t="s">
        <v>3</v>
      </c>
      <c r="AT86">
        <v>0.5</v>
      </c>
      <c r="AU86" t="s">
        <v>3</v>
      </c>
      <c r="AV86">
        <v>0</v>
      </c>
      <c r="AW86">
        <v>1</v>
      </c>
      <c r="AX86">
        <v>-1</v>
      </c>
      <c r="AY86">
        <v>0</v>
      </c>
      <c r="AZ86">
        <v>0</v>
      </c>
      <c r="BA86" t="s">
        <v>3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CX86">
        <f>Y86*Source!I53</f>
        <v>0.5</v>
      </c>
      <c r="CY86">
        <f t="shared" si="20"/>
        <v>21523.45</v>
      </c>
      <c r="CZ86">
        <f t="shared" si="21"/>
        <v>1902.4</v>
      </c>
      <c r="DA86">
        <f t="shared" si="22"/>
        <v>11.28</v>
      </c>
      <c r="DB86">
        <f t="shared" si="23"/>
        <v>951.2</v>
      </c>
      <c r="DC86">
        <f t="shared" si="24"/>
        <v>0</v>
      </c>
    </row>
    <row r="87" spans="1:107" x14ac:dyDescent="0.2">
      <c r="A87">
        <f>ROW(Source!A53)</f>
        <v>53</v>
      </c>
      <c r="B87">
        <v>42938047</v>
      </c>
      <c r="C87">
        <v>43159296</v>
      </c>
      <c r="D87">
        <v>36030003</v>
      </c>
      <c r="E87">
        <v>1</v>
      </c>
      <c r="F87">
        <v>1</v>
      </c>
      <c r="G87">
        <v>35973048</v>
      </c>
      <c r="H87">
        <v>3</v>
      </c>
      <c r="I87" t="s">
        <v>176</v>
      </c>
      <c r="J87" t="s">
        <v>178</v>
      </c>
      <c r="K87" t="s">
        <v>177</v>
      </c>
      <c r="L87">
        <v>1354</v>
      </c>
      <c r="N87">
        <v>1010</v>
      </c>
      <c r="O87" t="s">
        <v>169</v>
      </c>
      <c r="P87" t="s">
        <v>169</v>
      </c>
      <c r="Q87">
        <v>1</v>
      </c>
      <c r="W87">
        <v>0</v>
      </c>
      <c r="X87">
        <v>472551583</v>
      </c>
      <c r="Y87">
        <v>1</v>
      </c>
      <c r="AA87">
        <v>74347.34</v>
      </c>
      <c r="AB87">
        <v>0</v>
      </c>
      <c r="AC87">
        <v>0</v>
      </c>
      <c r="AD87">
        <v>0</v>
      </c>
      <c r="AE87">
        <v>7360.97</v>
      </c>
      <c r="AF87">
        <v>0</v>
      </c>
      <c r="AG87">
        <v>0</v>
      </c>
      <c r="AH87">
        <v>0</v>
      </c>
      <c r="AI87">
        <v>10.07</v>
      </c>
      <c r="AJ87">
        <v>1</v>
      </c>
      <c r="AK87">
        <v>1</v>
      </c>
      <c r="AL87">
        <v>1</v>
      </c>
      <c r="AN87">
        <v>0</v>
      </c>
      <c r="AO87">
        <v>0</v>
      </c>
      <c r="AP87">
        <v>0</v>
      </c>
      <c r="AQ87">
        <v>0</v>
      </c>
      <c r="AR87">
        <v>0</v>
      </c>
      <c r="AS87" t="s">
        <v>3</v>
      </c>
      <c r="AT87">
        <v>1</v>
      </c>
      <c r="AU87" t="s">
        <v>3</v>
      </c>
      <c r="AV87">
        <v>0</v>
      </c>
      <c r="AW87">
        <v>1</v>
      </c>
      <c r="AX87">
        <v>-1</v>
      </c>
      <c r="AY87">
        <v>0</v>
      </c>
      <c r="AZ87">
        <v>0</v>
      </c>
      <c r="BA87" t="s">
        <v>3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CX87">
        <f>Y87*Source!I53</f>
        <v>1</v>
      </c>
      <c r="CY87">
        <f t="shared" si="20"/>
        <v>74347.34</v>
      </c>
      <c r="CZ87">
        <f t="shared" si="21"/>
        <v>7360.97</v>
      </c>
      <c r="DA87">
        <f t="shared" si="22"/>
        <v>10.07</v>
      </c>
      <c r="DB87">
        <f t="shared" si="23"/>
        <v>7360.97</v>
      </c>
      <c r="DC87">
        <f t="shared" si="24"/>
        <v>0</v>
      </c>
    </row>
    <row r="88" spans="1:107" x14ac:dyDescent="0.2">
      <c r="A88">
        <f>ROW(Source!A53)</f>
        <v>53</v>
      </c>
      <c r="B88">
        <v>42938047</v>
      </c>
      <c r="C88">
        <v>43159296</v>
      </c>
      <c r="D88">
        <v>36030006</v>
      </c>
      <c r="E88">
        <v>1</v>
      </c>
      <c r="F88">
        <v>1</v>
      </c>
      <c r="G88">
        <v>35973048</v>
      </c>
      <c r="H88">
        <v>3</v>
      </c>
      <c r="I88" t="s">
        <v>167</v>
      </c>
      <c r="J88" t="s">
        <v>170</v>
      </c>
      <c r="K88" t="s">
        <v>168</v>
      </c>
      <c r="L88">
        <v>1354</v>
      </c>
      <c r="N88">
        <v>1010</v>
      </c>
      <c r="O88" t="s">
        <v>169</v>
      </c>
      <c r="P88" t="s">
        <v>169</v>
      </c>
      <c r="Q88">
        <v>1</v>
      </c>
      <c r="W88">
        <v>0</v>
      </c>
      <c r="X88">
        <v>-1841816724</v>
      </c>
      <c r="Y88">
        <v>1</v>
      </c>
      <c r="AA88">
        <v>10652.82</v>
      </c>
      <c r="AB88">
        <v>0</v>
      </c>
      <c r="AC88">
        <v>0</v>
      </c>
      <c r="AD88">
        <v>0</v>
      </c>
      <c r="AE88">
        <v>1732.62</v>
      </c>
      <c r="AF88">
        <v>0</v>
      </c>
      <c r="AG88">
        <v>0</v>
      </c>
      <c r="AH88">
        <v>0</v>
      </c>
      <c r="AI88">
        <v>6.13</v>
      </c>
      <c r="AJ88">
        <v>1</v>
      </c>
      <c r="AK88">
        <v>1</v>
      </c>
      <c r="AL88">
        <v>1</v>
      </c>
      <c r="AN88">
        <v>0</v>
      </c>
      <c r="AO88">
        <v>0</v>
      </c>
      <c r="AP88">
        <v>0</v>
      </c>
      <c r="AQ88">
        <v>0</v>
      </c>
      <c r="AR88">
        <v>0</v>
      </c>
      <c r="AS88" t="s">
        <v>3</v>
      </c>
      <c r="AT88">
        <v>1</v>
      </c>
      <c r="AU88" t="s">
        <v>3</v>
      </c>
      <c r="AV88">
        <v>0</v>
      </c>
      <c r="AW88">
        <v>1</v>
      </c>
      <c r="AX88">
        <v>-1</v>
      </c>
      <c r="AY88">
        <v>0</v>
      </c>
      <c r="AZ88">
        <v>0</v>
      </c>
      <c r="BA88" t="s">
        <v>3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CX88">
        <f>Y88*Source!I53</f>
        <v>1</v>
      </c>
      <c r="CY88">
        <f t="shared" si="20"/>
        <v>10652.82</v>
      </c>
      <c r="CZ88">
        <f t="shared" si="21"/>
        <v>1732.62</v>
      </c>
      <c r="DA88">
        <f t="shared" si="22"/>
        <v>6.13</v>
      </c>
      <c r="DB88">
        <f t="shared" si="23"/>
        <v>1732.62</v>
      </c>
      <c r="DC88">
        <f t="shared" si="24"/>
        <v>0</v>
      </c>
    </row>
    <row r="89" spans="1:107" x14ac:dyDescent="0.2">
      <c r="A89">
        <f>ROW(Source!A53)</f>
        <v>53</v>
      </c>
      <c r="B89">
        <v>42938047</v>
      </c>
      <c r="C89">
        <v>43159296</v>
      </c>
      <c r="D89">
        <v>36042796</v>
      </c>
      <c r="E89">
        <v>1</v>
      </c>
      <c r="F89">
        <v>1</v>
      </c>
      <c r="G89">
        <v>35973048</v>
      </c>
      <c r="H89">
        <v>3</v>
      </c>
      <c r="I89" t="s">
        <v>1326</v>
      </c>
      <c r="J89" t="s">
        <v>1327</v>
      </c>
      <c r="K89" t="s">
        <v>1328</v>
      </c>
      <c r="L89">
        <v>1354</v>
      </c>
      <c r="N89">
        <v>1010</v>
      </c>
      <c r="O89" t="s">
        <v>169</v>
      </c>
      <c r="P89" t="s">
        <v>169</v>
      </c>
      <c r="Q89">
        <v>1</v>
      </c>
      <c r="W89">
        <v>0</v>
      </c>
      <c r="X89">
        <v>-788421466</v>
      </c>
      <c r="Y89">
        <v>4</v>
      </c>
      <c r="AA89">
        <v>96.85</v>
      </c>
      <c r="AB89">
        <v>0</v>
      </c>
      <c r="AC89">
        <v>0</v>
      </c>
      <c r="AD89">
        <v>0</v>
      </c>
      <c r="AE89">
        <v>13</v>
      </c>
      <c r="AF89">
        <v>0</v>
      </c>
      <c r="AG89">
        <v>0</v>
      </c>
      <c r="AH89">
        <v>0</v>
      </c>
      <c r="AI89">
        <v>7.45</v>
      </c>
      <c r="AJ89">
        <v>1</v>
      </c>
      <c r="AK89">
        <v>1</v>
      </c>
      <c r="AL89">
        <v>1</v>
      </c>
      <c r="AN89">
        <v>0</v>
      </c>
      <c r="AO89">
        <v>1</v>
      </c>
      <c r="AP89">
        <v>1</v>
      </c>
      <c r="AQ89">
        <v>0</v>
      </c>
      <c r="AR89">
        <v>0</v>
      </c>
      <c r="AS89" t="s">
        <v>3</v>
      </c>
      <c r="AT89">
        <v>4</v>
      </c>
      <c r="AU89" t="s">
        <v>3</v>
      </c>
      <c r="AV89">
        <v>0</v>
      </c>
      <c r="AW89">
        <v>2</v>
      </c>
      <c r="AX89">
        <v>43159346</v>
      </c>
      <c r="AY89">
        <v>1</v>
      </c>
      <c r="AZ89">
        <v>0</v>
      </c>
      <c r="BA89">
        <v>85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CX89">
        <f>Y89*Source!I53</f>
        <v>4</v>
      </c>
      <c r="CY89">
        <f t="shared" si="20"/>
        <v>96.85</v>
      </c>
      <c r="CZ89">
        <f t="shared" si="21"/>
        <v>13</v>
      </c>
      <c r="DA89">
        <f t="shared" si="22"/>
        <v>7.45</v>
      </c>
      <c r="DB89">
        <f t="shared" si="23"/>
        <v>52</v>
      </c>
      <c r="DC89">
        <f t="shared" si="24"/>
        <v>0</v>
      </c>
    </row>
    <row r="90" spans="1:107" x14ac:dyDescent="0.2">
      <c r="A90">
        <f>ROW(Source!A57)</f>
        <v>57</v>
      </c>
      <c r="B90">
        <v>42938047</v>
      </c>
      <c r="C90">
        <v>42938391</v>
      </c>
      <c r="D90">
        <v>35973762</v>
      </c>
      <c r="E90">
        <v>35973048</v>
      </c>
      <c r="F90">
        <v>1</v>
      </c>
      <c r="G90">
        <v>35973048</v>
      </c>
      <c r="H90">
        <v>2</v>
      </c>
      <c r="I90" t="s">
        <v>1243</v>
      </c>
      <c r="J90" t="s">
        <v>3</v>
      </c>
      <c r="K90" t="s">
        <v>1244</v>
      </c>
      <c r="L90">
        <v>1344</v>
      </c>
      <c r="N90">
        <v>1008</v>
      </c>
      <c r="O90" t="s">
        <v>1245</v>
      </c>
      <c r="P90" t="s">
        <v>1245</v>
      </c>
      <c r="Q90">
        <v>1</v>
      </c>
      <c r="W90">
        <v>0</v>
      </c>
      <c r="X90">
        <v>-1180195794</v>
      </c>
      <c r="Y90">
        <v>8.86</v>
      </c>
      <c r="AA90">
        <v>0</v>
      </c>
      <c r="AB90">
        <v>9.5500000000000007</v>
      </c>
      <c r="AC90">
        <v>0</v>
      </c>
      <c r="AD90">
        <v>0</v>
      </c>
      <c r="AE90">
        <v>0</v>
      </c>
      <c r="AF90">
        <v>1</v>
      </c>
      <c r="AG90">
        <v>0</v>
      </c>
      <c r="AH90">
        <v>0</v>
      </c>
      <c r="AI90">
        <v>1</v>
      </c>
      <c r="AJ90">
        <v>9.1199999999999992</v>
      </c>
      <c r="AK90">
        <v>25.44</v>
      </c>
      <c r="AL90">
        <v>1</v>
      </c>
      <c r="AN90">
        <v>0</v>
      </c>
      <c r="AO90">
        <v>1</v>
      </c>
      <c r="AP90">
        <v>0</v>
      </c>
      <c r="AQ90">
        <v>0</v>
      </c>
      <c r="AR90">
        <v>0</v>
      </c>
      <c r="AS90" t="s">
        <v>3</v>
      </c>
      <c r="AT90">
        <v>8.86</v>
      </c>
      <c r="AU90" t="s">
        <v>3</v>
      </c>
      <c r="AV90">
        <v>0</v>
      </c>
      <c r="AW90">
        <v>2</v>
      </c>
      <c r="AX90">
        <v>42938393</v>
      </c>
      <c r="AY90">
        <v>1</v>
      </c>
      <c r="AZ90">
        <v>0</v>
      </c>
      <c r="BA90">
        <v>88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CX90">
        <f>Y90*Source!I57</f>
        <v>3393.3799999999997</v>
      </c>
      <c r="CY90">
        <f>AB90</f>
        <v>9.5500000000000007</v>
      </c>
      <c r="CZ90">
        <f>AF90</f>
        <v>1</v>
      </c>
      <c r="DA90">
        <f>AJ90</f>
        <v>9.1199999999999992</v>
      </c>
      <c r="DB90">
        <f t="shared" si="23"/>
        <v>8.86</v>
      </c>
      <c r="DC90">
        <f t="shared" si="24"/>
        <v>0</v>
      </c>
    </row>
    <row r="91" spans="1:107" x14ac:dyDescent="0.2">
      <c r="A91">
        <f>ROW(Source!A58)</f>
        <v>58</v>
      </c>
      <c r="B91">
        <v>42938047</v>
      </c>
      <c r="C91">
        <v>42938394</v>
      </c>
      <c r="D91">
        <v>36759507</v>
      </c>
      <c r="E91">
        <v>1</v>
      </c>
      <c r="F91">
        <v>1</v>
      </c>
      <c r="G91">
        <v>35973048</v>
      </c>
      <c r="H91">
        <v>2</v>
      </c>
      <c r="I91" t="s">
        <v>1329</v>
      </c>
      <c r="J91" t="s">
        <v>1330</v>
      </c>
      <c r="K91" t="s">
        <v>1331</v>
      </c>
      <c r="L91">
        <v>1367</v>
      </c>
      <c r="N91">
        <v>1011</v>
      </c>
      <c r="O91" t="s">
        <v>738</v>
      </c>
      <c r="P91" t="s">
        <v>738</v>
      </c>
      <c r="Q91">
        <v>1</v>
      </c>
      <c r="W91">
        <v>0</v>
      </c>
      <c r="X91">
        <v>-1132105959</v>
      </c>
      <c r="Y91">
        <v>1</v>
      </c>
      <c r="AA91">
        <v>0</v>
      </c>
      <c r="AB91">
        <v>115.66</v>
      </c>
      <c r="AC91">
        <v>14.4</v>
      </c>
      <c r="AD91">
        <v>0</v>
      </c>
      <c r="AE91">
        <v>0</v>
      </c>
      <c r="AF91">
        <v>115.66</v>
      </c>
      <c r="AG91">
        <v>14.4</v>
      </c>
      <c r="AH91">
        <v>0</v>
      </c>
      <c r="AI91">
        <v>1</v>
      </c>
      <c r="AJ91">
        <v>1</v>
      </c>
      <c r="AK91">
        <v>1</v>
      </c>
      <c r="AL91">
        <v>1</v>
      </c>
      <c r="AN91">
        <v>0</v>
      </c>
      <c r="AO91">
        <v>1</v>
      </c>
      <c r="AP91">
        <v>0</v>
      </c>
      <c r="AQ91">
        <v>0</v>
      </c>
      <c r="AR91">
        <v>0</v>
      </c>
      <c r="AS91" t="s">
        <v>3</v>
      </c>
      <c r="AT91">
        <v>1</v>
      </c>
      <c r="AU91" t="s">
        <v>3</v>
      </c>
      <c r="AV91">
        <v>0</v>
      </c>
      <c r="AW91">
        <v>2</v>
      </c>
      <c r="AX91">
        <v>42938396</v>
      </c>
      <c r="AY91">
        <v>1</v>
      </c>
      <c r="AZ91">
        <v>0</v>
      </c>
      <c r="BA91">
        <v>89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CX91">
        <f>Y91*Source!I58</f>
        <v>383</v>
      </c>
      <c r="CY91">
        <f>AB91</f>
        <v>115.66</v>
      </c>
      <c r="CZ91">
        <f>AF91</f>
        <v>115.66</v>
      </c>
      <c r="DA91">
        <f>AJ91</f>
        <v>1</v>
      </c>
      <c r="DB91">
        <f t="shared" si="23"/>
        <v>115.66</v>
      </c>
      <c r="DC91">
        <f t="shared" si="24"/>
        <v>14.4</v>
      </c>
    </row>
    <row r="92" spans="1:107" x14ac:dyDescent="0.2">
      <c r="A92">
        <f>ROW(Source!A59)</f>
        <v>59</v>
      </c>
      <c r="B92">
        <v>42938047</v>
      </c>
      <c r="C92">
        <v>43159660</v>
      </c>
      <c r="D92">
        <v>35973762</v>
      </c>
      <c r="E92">
        <v>35973048</v>
      </c>
      <c r="F92">
        <v>1</v>
      </c>
      <c r="G92">
        <v>35973048</v>
      </c>
      <c r="H92">
        <v>2</v>
      </c>
      <c r="I92" t="s">
        <v>1243</v>
      </c>
      <c r="J92" t="s">
        <v>3</v>
      </c>
      <c r="K92" t="s">
        <v>1244</v>
      </c>
      <c r="L92">
        <v>1344</v>
      </c>
      <c r="N92">
        <v>1008</v>
      </c>
      <c r="O92" t="s">
        <v>1245</v>
      </c>
      <c r="P92" t="s">
        <v>1245</v>
      </c>
      <c r="Q92">
        <v>1</v>
      </c>
      <c r="W92">
        <v>0</v>
      </c>
      <c r="X92">
        <v>-1180195794</v>
      </c>
      <c r="Y92">
        <v>17.84</v>
      </c>
      <c r="AA92">
        <v>0</v>
      </c>
      <c r="AB92">
        <v>1</v>
      </c>
      <c r="AC92">
        <v>0</v>
      </c>
      <c r="AD92">
        <v>0</v>
      </c>
      <c r="AE92">
        <v>0</v>
      </c>
      <c r="AF92">
        <v>1</v>
      </c>
      <c r="AG92">
        <v>0</v>
      </c>
      <c r="AH92">
        <v>0</v>
      </c>
      <c r="AI92">
        <v>1</v>
      </c>
      <c r="AJ92">
        <v>1</v>
      </c>
      <c r="AK92">
        <v>1</v>
      </c>
      <c r="AL92">
        <v>1</v>
      </c>
      <c r="AN92">
        <v>0</v>
      </c>
      <c r="AO92">
        <v>1</v>
      </c>
      <c r="AP92">
        <v>0</v>
      </c>
      <c r="AQ92">
        <v>0</v>
      </c>
      <c r="AR92">
        <v>0</v>
      </c>
      <c r="AS92" t="s">
        <v>3</v>
      </c>
      <c r="AT92">
        <v>17.84</v>
      </c>
      <c r="AU92" t="s">
        <v>3</v>
      </c>
      <c r="AV92">
        <v>0</v>
      </c>
      <c r="AW92">
        <v>2</v>
      </c>
      <c r="AX92">
        <v>43159661</v>
      </c>
      <c r="AY92">
        <v>1</v>
      </c>
      <c r="AZ92">
        <v>0</v>
      </c>
      <c r="BA92">
        <v>90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CX92">
        <f>Y92*Source!I59</f>
        <v>5054.4287999999997</v>
      </c>
      <c r="CY92">
        <f>AB92</f>
        <v>1</v>
      </c>
      <c r="CZ92">
        <f>AF92</f>
        <v>1</v>
      </c>
      <c r="DA92">
        <f>AJ92</f>
        <v>1</v>
      </c>
      <c r="DB92">
        <f t="shared" si="23"/>
        <v>17.84</v>
      </c>
      <c r="DC92">
        <f t="shared" si="24"/>
        <v>0</v>
      </c>
    </row>
    <row r="93" spans="1:107" x14ac:dyDescent="0.2">
      <c r="A93">
        <f>ROW(Source!A60)</f>
        <v>60</v>
      </c>
      <c r="B93">
        <v>42938047</v>
      </c>
      <c r="C93">
        <v>43137268</v>
      </c>
      <c r="D93">
        <v>35973053</v>
      </c>
      <c r="E93">
        <v>35973048</v>
      </c>
      <c r="F93">
        <v>1</v>
      </c>
      <c r="G93">
        <v>35973048</v>
      </c>
      <c r="H93">
        <v>1</v>
      </c>
      <c r="I93" t="s">
        <v>1228</v>
      </c>
      <c r="J93" t="s">
        <v>3</v>
      </c>
      <c r="K93" t="s">
        <v>1229</v>
      </c>
      <c r="L93">
        <v>1191</v>
      </c>
      <c r="N93">
        <v>1013</v>
      </c>
      <c r="O93" t="s">
        <v>1230</v>
      </c>
      <c r="P93" t="s">
        <v>1230</v>
      </c>
      <c r="Q93">
        <v>1</v>
      </c>
      <c r="W93">
        <v>0</v>
      </c>
      <c r="X93">
        <v>476480486</v>
      </c>
      <c r="Y93">
        <v>83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1</v>
      </c>
      <c r="AJ93">
        <v>1</v>
      </c>
      <c r="AK93">
        <v>1</v>
      </c>
      <c r="AL93">
        <v>25.44</v>
      </c>
      <c r="AN93">
        <v>0</v>
      </c>
      <c r="AO93">
        <v>1</v>
      </c>
      <c r="AP93">
        <v>0</v>
      </c>
      <c r="AQ93">
        <v>0</v>
      </c>
      <c r="AR93">
        <v>0</v>
      </c>
      <c r="AS93" t="s">
        <v>3</v>
      </c>
      <c r="AT93">
        <v>83</v>
      </c>
      <c r="AU93" t="s">
        <v>3</v>
      </c>
      <c r="AV93">
        <v>1</v>
      </c>
      <c r="AW93">
        <v>2</v>
      </c>
      <c r="AX93">
        <v>43137269</v>
      </c>
      <c r="AY93">
        <v>1</v>
      </c>
      <c r="AZ93">
        <v>0</v>
      </c>
      <c r="BA93">
        <v>91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CX93">
        <f>Y93*Source!I60</f>
        <v>32.660499999999999</v>
      </c>
      <c r="CY93">
        <f>AD93</f>
        <v>0</v>
      </c>
      <c r="CZ93">
        <f>AH93</f>
        <v>0</v>
      </c>
      <c r="DA93">
        <f>AL93</f>
        <v>25.44</v>
      </c>
      <c r="DB93">
        <f t="shared" si="23"/>
        <v>0</v>
      </c>
      <c r="DC93">
        <f t="shared" si="24"/>
        <v>0</v>
      </c>
    </row>
    <row r="94" spans="1:107" x14ac:dyDescent="0.2">
      <c r="A94">
        <f>ROW(Source!A61)</f>
        <v>61</v>
      </c>
      <c r="B94">
        <v>42938047</v>
      </c>
      <c r="C94">
        <v>43136855</v>
      </c>
      <c r="D94">
        <v>36759504</v>
      </c>
      <c r="E94">
        <v>1</v>
      </c>
      <c r="F94">
        <v>1</v>
      </c>
      <c r="G94">
        <v>35973048</v>
      </c>
      <c r="H94">
        <v>2</v>
      </c>
      <c r="I94" t="s">
        <v>1332</v>
      </c>
      <c r="J94" t="s">
        <v>1333</v>
      </c>
      <c r="K94" t="s">
        <v>1334</v>
      </c>
      <c r="L94">
        <v>1367</v>
      </c>
      <c r="N94">
        <v>1011</v>
      </c>
      <c r="O94" t="s">
        <v>738</v>
      </c>
      <c r="P94" t="s">
        <v>738</v>
      </c>
      <c r="Q94">
        <v>1</v>
      </c>
      <c r="W94">
        <v>0</v>
      </c>
      <c r="X94">
        <v>1815391720</v>
      </c>
      <c r="Y94">
        <v>1</v>
      </c>
      <c r="AA94">
        <v>0</v>
      </c>
      <c r="AB94">
        <v>100.09</v>
      </c>
      <c r="AC94">
        <v>13.81</v>
      </c>
      <c r="AD94">
        <v>0</v>
      </c>
      <c r="AE94">
        <v>0</v>
      </c>
      <c r="AF94">
        <v>100.09</v>
      </c>
      <c r="AG94">
        <v>13.81</v>
      </c>
      <c r="AH94">
        <v>0</v>
      </c>
      <c r="AI94">
        <v>1</v>
      </c>
      <c r="AJ94">
        <v>1</v>
      </c>
      <c r="AK94">
        <v>1</v>
      </c>
      <c r="AL94">
        <v>1</v>
      </c>
      <c r="AN94">
        <v>0</v>
      </c>
      <c r="AO94">
        <v>1</v>
      </c>
      <c r="AP94">
        <v>0</v>
      </c>
      <c r="AQ94">
        <v>0</v>
      </c>
      <c r="AR94">
        <v>0</v>
      </c>
      <c r="AS94" t="s">
        <v>3</v>
      </c>
      <c r="AT94">
        <v>1</v>
      </c>
      <c r="AU94" t="s">
        <v>3</v>
      </c>
      <c r="AV94">
        <v>0</v>
      </c>
      <c r="AW94">
        <v>2</v>
      </c>
      <c r="AX94">
        <v>43136918</v>
      </c>
      <c r="AY94">
        <v>1</v>
      </c>
      <c r="AZ94">
        <v>0</v>
      </c>
      <c r="BA94">
        <v>92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CX94">
        <f>Y94*Source!I61</f>
        <v>236.1</v>
      </c>
      <c r="CY94">
        <f>AB94</f>
        <v>100.09</v>
      </c>
      <c r="CZ94">
        <f>AF94</f>
        <v>100.09</v>
      </c>
      <c r="DA94">
        <f>AJ94</f>
        <v>1</v>
      </c>
      <c r="DB94">
        <f t="shared" si="23"/>
        <v>100.09</v>
      </c>
      <c r="DC94">
        <f t="shared" si="24"/>
        <v>13.81</v>
      </c>
    </row>
    <row r="95" spans="1:107" x14ac:dyDescent="0.2">
      <c r="A95">
        <f>ROW(Source!A62)</f>
        <v>62</v>
      </c>
      <c r="B95">
        <v>42938047</v>
      </c>
      <c r="C95">
        <v>43136856</v>
      </c>
      <c r="D95">
        <v>35973762</v>
      </c>
      <c r="E95">
        <v>35973048</v>
      </c>
      <c r="F95">
        <v>1</v>
      </c>
      <c r="G95">
        <v>35973048</v>
      </c>
      <c r="H95">
        <v>2</v>
      </c>
      <c r="I95" t="s">
        <v>1243</v>
      </c>
      <c r="J95" t="s">
        <v>3</v>
      </c>
      <c r="K95" t="s">
        <v>1244</v>
      </c>
      <c r="L95">
        <v>1344</v>
      </c>
      <c r="N95">
        <v>1008</v>
      </c>
      <c r="O95" t="s">
        <v>1245</v>
      </c>
      <c r="P95" t="s">
        <v>1245</v>
      </c>
      <c r="Q95">
        <v>1</v>
      </c>
      <c r="W95">
        <v>0</v>
      </c>
      <c r="X95">
        <v>-1180195794</v>
      </c>
      <c r="Y95">
        <v>12.61</v>
      </c>
      <c r="AA95">
        <v>0</v>
      </c>
      <c r="AB95">
        <v>1</v>
      </c>
      <c r="AC95">
        <v>0</v>
      </c>
      <c r="AD95">
        <v>0</v>
      </c>
      <c r="AE95">
        <v>0</v>
      </c>
      <c r="AF95">
        <v>1</v>
      </c>
      <c r="AG95">
        <v>0</v>
      </c>
      <c r="AH95">
        <v>0</v>
      </c>
      <c r="AI95">
        <v>1</v>
      </c>
      <c r="AJ95">
        <v>1</v>
      </c>
      <c r="AK95">
        <v>1</v>
      </c>
      <c r="AL95">
        <v>1</v>
      </c>
      <c r="AN95">
        <v>0</v>
      </c>
      <c r="AO95">
        <v>1</v>
      </c>
      <c r="AP95">
        <v>0</v>
      </c>
      <c r="AQ95">
        <v>0</v>
      </c>
      <c r="AR95">
        <v>0</v>
      </c>
      <c r="AS95" t="s">
        <v>3</v>
      </c>
      <c r="AT95">
        <v>12.61</v>
      </c>
      <c r="AU95" t="s">
        <v>3</v>
      </c>
      <c r="AV95">
        <v>0</v>
      </c>
      <c r="AW95">
        <v>2</v>
      </c>
      <c r="AX95">
        <v>43136858</v>
      </c>
      <c r="AY95">
        <v>1</v>
      </c>
      <c r="AZ95">
        <v>0</v>
      </c>
      <c r="BA95">
        <v>93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CX95">
        <f>Y95*Source!I62</f>
        <v>2977.221</v>
      </c>
      <c r="CY95">
        <f>AB95</f>
        <v>1</v>
      </c>
      <c r="CZ95">
        <f>AF95</f>
        <v>1</v>
      </c>
      <c r="DA95">
        <f>AJ95</f>
        <v>1</v>
      </c>
      <c r="DB95">
        <f t="shared" si="23"/>
        <v>12.61</v>
      </c>
      <c r="DC95">
        <f t="shared" si="24"/>
        <v>0</v>
      </c>
    </row>
    <row r="96" spans="1:107" x14ac:dyDescent="0.2">
      <c r="A96">
        <f>ROW(Source!A98)</f>
        <v>98</v>
      </c>
      <c r="B96">
        <v>42938047</v>
      </c>
      <c r="C96">
        <v>42938397</v>
      </c>
      <c r="D96">
        <v>35973053</v>
      </c>
      <c r="E96">
        <v>35973048</v>
      </c>
      <c r="F96">
        <v>1</v>
      </c>
      <c r="G96">
        <v>35973048</v>
      </c>
      <c r="H96">
        <v>1</v>
      </c>
      <c r="I96" t="s">
        <v>1228</v>
      </c>
      <c r="J96" t="s">
        <v>3</v>
      </c>
      <c r="K96" t="s">
        <v>1229</v>
      </c>
      <c r="L96">
        <v>1191</v>
      </c>
      <c r="N96">
        <v>1013</v>
      </c>
      <c r="O96" t="s">
        <v>1230</v>
      </c>
      <c r="P96" t="s">
        <v>1230</v>
      </c>
      <c r="Q96">
        <v>1</v>
      </c>
      <c r="W96">
        <v>0</v>
      </c>
      <c r="X96">
        <v>476480486</v>
      </c>
      <c r="Y96">
        <v>18.68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1</v>
      </c>
      <c r="AJ96">
        <v>1</v>
      </c>
      <c r="AK96">
        <v>1</v>
      </c>
      <c r="AL96">
        <v>25.44</v>
      </c>
      <c r="AN96">
        <v>0</v>
      </c>
      <c r="AO96">
        <v>1</v>
      </c>
      <c r="AP96">
        <v>0</v>
      </c>
      <c r="AQ96">
        <v>0</v>
      </c>
      <c r="AR96">
        <v>0</v>
      </c>
      <c r="AS96" t="s">
        <v>3</v>
      </c>
      <c r="AT96">
        <v>18.68</v>
      </c>
      <c r="AU96" t="s">
        <v>3</v>
      </c>
      <c r="AV96">
        <v>1</v>
      </c>
      <c r="AW96">
        <v>2</v>
      </c>
      <c r="AX96">
        <v>42938398</v>
      </c>
      <c r="AY96">
        <v>1</v>
      </c>
      <c r="AZ96">
        <v>0</v>
      </c>
      <c r="BA96">
        <v>94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CX96">
        <f>Y96*Source!I98</f>
        <v>59.776000000000003</v>
      </c>
      <c r="CY96">
        <f>AD96</f>
        <v>0</v>
      </c>
      <c r="CZ96">
        <f>AH96</f>
        <v>0</v>
      </c>
      <c r="DA96">
        <f>AL96</f>
        <v>25.44</v>
      </c>
      <c r="DB96">
        <f t="shared" si="23"/>
        <v>0</v>
      </c>
      <c r="DC96">
        <f t="shared" si="24"/>
        <v>0</v>
      </c>
    </row>
    <row r="97" spans="1:107" x14ac:dyDescent="0.2">
      <c r="A97">
        <f>ROW(Source!A99)</f>
        <v>99</v>
      </c>
      <c r="B97">
        <v>42938047</v>
      </c>
      <c r="C97">
        <v>43136524</v>
      </c>
      <c r="D97">
        <v>35973053</v>
      </c>
      <c r="E97">
        <v>35973048</v>
      </c>
      <c r="F97">
        <v>1</v>
      </c>
      <c r="G97">
        <v>35973048</v>
      </c>
      <c r="H97">
        <v>1</v>
      </c>
      <c r="I97" t="s">
        <v>1228</v>
      </c>
      <c r="J97" t="s">
        <v>3</v>
      </c>
      <c r="K97" t="s">
        <v>1229</v>
      </c>
      <c r="L97">
        <v>1191</v>
      </c>
      <c r="N97">
        <v>1013</v>
      </c>
      <c r="O97" t="s">
        <v>1230</v>
      </c>
      <c r="P97" t="s">
        <v>1230</v>
      </c>
      <c r="Q97">
        <v>1</v>
      </c>
      <c r="W97">
        <v>0</v>
      </c>
      <c r="X97">
        <v>476480486</v>
      </c>
      <c r="Y97">
        <v>11.73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1</v>
      </c>
      <c r="AJ97">
        <v>1</v>
      </c>
      <c r="AK97">
        <v>1</v>
      </c>
      <c r="AL97">
        <v>25.44</v>
      </c>
      <c r="AN97">
        <v>0</v>
      </c>
      <c r="AO97">
        <v>1</v>
      </c>
      <c r="AP97">
        <v>1</v>
      </c>
      <c r="AQ97">
        <v>0</v>
      </c>
      <c r="AR97">
        <v>0</v>
      </c>
      <c r="AS97" t="s">
        <v>3</v>
      </c>
      <c r="AT97">
        <v>10.199999999999999</v>
      </c>
      <c r="AU97" t="s">
        <v>21</v>
      </c>
      <c r="AV97">
        <v>1</v>
      </c>
      <c r="AW97">
        <v>2</v>
      </c>
      <c r="AX97">
        <v>43136545</v>
      </c>
      <c r="AY97">
        <v>1</v>
      </c>
      <c r="AZ97">
        <v>2048</v>
      </c>
      <c r="BA97">
        <v>95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CX97">
        <f>Y97*Source!I99</f>
        <v>37.536000000000001</v>
      </c>
      <c r="CY97">
        <f>AD97</f>
        <v>0</v>
      </c>
      <c r="CZ97">
        <f>AH97</f>
        <v>0</v>
      </c>
      <c r="DA97">
        <f>AL97</f>
        <v>25.44</v>
      </c>
      <c r="DB97">
        <f>ROUND((ROUND(AT97*CZ97,2)*1.15),6)</f>
        <v>0</v>
      </c>
      <c r="DC97">
        <f>ROUND((ROUND(AT97*AG97,2)*1.15),6)</f>
        <v>0</v>
      </c>
    </row>
    <row r="98" spans="1:107" x14ac:dyDescent="0.2">
      <c r="A98">
        <f>ROW(Source!A100)</f>
        <v>100</v>
      </c>
      <c r="B98">
        <v>42938047</v>
      </c>
      <c r="C98">
        <v>43136546</v>
      </c>
      <c r="D98">
        <v>35973053</v>
      </c>
      <c r="E98">
        <v>35973048</v>
      </c>
      <c r="F98">
        <v>1</v>
      </c>
      <c r="G98">
        <v>35973048</v>
      </c>
      <c r="H98">
        <v>1</v>
      </c>
      <c r="I98" t="s">
        <v>1228</v>
      </c>
      <c r="J98" t="s">
        <v>3</v>
      </c>
      <c r="K98" t="s">
        <v>1229</v>
      </c>
      <c r="L98">
        <v>1191</v>
      </c>
      <c r="N98">
        <v>1013</v>
      </c>
      <c r="O98" t="s">
        <v>1230</v>
      </c>
      <c r="P98" t="s">
        <v>1230</v>
      </c>
      <c r="Q98">
        <v>1</v>
      </c>
      <c r="W98">
        <v>0</v>
      </c>
      <c r="X98">
        <v>476480486</v>
      </c>
      <c r="Y98">
        <v>1.587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1</v>
      </c>
      <c r="AJ98">
        <v>1</v>
      </c>
      <c r="AK98">
        <v>1</v>
      </c>
      <c r="AL98">
        <v>25.44</v>
      </c>
      <c r="AN98">
        <v>0</v>
      </c>
      <c r="AO98">
        <v>1</v>
      </c>
      <c r="AP98">
        <v>1</v>
      </c>
      <c r="AQ98">
        <v>0</v>
      </c>
      <c r="AR98">
        <v>0</v>
      </c>
      <c r="AS98" t="s">
        <v>3</v>
      </c>
      <c r="AT98">
        <v>1.38</v>
      </c>
      <c r="AU98" t="s">
        <v>21</v>
      </c>
      <c r="AV98">
        <v>1</v>
      </c>
      <c r="AW98">
        <v>2</v>
      </c>
      <c r="AX98">
        <v>43136547</v>
      </c>
      <c r="AY98">
        <v>1</v>
      </c>
      <c r="AZ98">
        <v>2048</v>
      </c>
      <c r="BA98">
        <v>96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CX98">
        <f>Y98*Source!I100</f>
        <v>1.2696000000000001</v>
      </c>
      <c r="CY98">
        <f>AD98</f>
        <v>0</v>
      </c>
      <c r="CZ98">
        <f>AH98</f>
        <v>0</v>
      </c>
      <c r="DA98">
        <f>AL98</f>
        <v>25.44</v>
      </c>
      <c r="DB98">
        <f>ROUND((ROUND(AT98*CZ98,2)*1.15),6)</f>
        <v>0</v>
      </c>
      <c r="DC98">
        <f>ROUND((ROUND(AT98*AG98,2)*1.15),6)</f>
        <v>0</v>
      </c>
    </row>
    <row r="99" spans="1:107" x14ac:dyDescent="0.2">
      <c r="A99">
        <f>ROW(Source!A100)</f>
        <v>100</v>
      </c>
      <c r="B99">
        <v>42938047</v>
      </c>
      <c r="C99">
        <v>43136546</v>
      </c>
      <c r="D99">
        <v>36044463</v>
      </c>
      <c r="E99">
        <v>1</v>
      </c>
      <c r="F99">
        <v>1</v>
      </c>
      <c r="G99">
        <v>35973048</v>
      </c>
      <c r="H99">
        <v>2</v>
      </c>
      <c r="I99" t="s">
        <v>1249</v>
      </c>
      <c r="J99" t="s">
        <v>1250</v>
      </c>
      <c r="K99" t="s">
        <v>1251</v>
      </c>
      <c r="L99">
        <v>1367</v>
      </c>
      <c r="N99">
        <v>1011</v>
      </c>
      <c r="O99" t="s">
        <v>738</v>
      </c>
      <c r="P99" t="s">
        <v>738</v>
      </c>
      <c r="Q99">
        <v>1</v>
      </c>
      <c r="W99">
        <v>0</v>
      </c>
      <c r="X99">
        <v>-1422010832</v>
      </c>
      <c r="Y99">
        <v>4.984375</v>
      </c>
      <c r="AA99">
        <v>0</v>
      </c>
      <c r="AB99">
        <v>1608.41</v>
      </c>
      <c r="AC99">
        <v>445.45</v>
      </c>
      <c r="AD99">
        <v>0</v>
      </c>
      <c r="AE99">
        <v>0</v>
      </c>
      <c r="AF99">
        <v>180.72</v>
      </c>
      <c r="AG99">
        <v>17.510000000000002</v>
      </c>
      <c r="AH99">
        <v>0</v>
      </c>
      <c r="AI99">
        <v>1</v>
      </c>
      <c r="AJ99">
        <v>8.9</v>
      </c>
      <c r="AK99">
        <v>25.44</v>
      </c>
      <c r="AL99">
        <v>1</v>
      </c>
      <c r="AN99">
        <v>0</v>
      </c>
      <c r="AO99">
        <v>1</v>
      </c>
      <c r="AP99">
        <v>1</v>
      </c>
      <c r="AQ99">
        <v>0</v>
      </c>
      <c r="AR99">
        <v>0</v>
      </c>
      <c r="AS99" t="s">
        <v>3</v>
      </c>
      <c r="AT99">
        <v>3.9874999999999998</v>
      </c>
      <c r="AU99" t="s">
        <v>20</v>
      </c>
      <c r="AV99">
        <v>0</v>
      </c>
      <c r="AW99">
        <v>2</v>
      </c>
      <c r="AX99">
        <v>43136548</v>
      </c>
      <c r="AY99">
        <v>1</v>
      </c>
      <c r="AZ99">
        <v>0</v>
      </c>
      <c r="BA99">
        <v>97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CX99">
        <f>Y99*Source!I100</f>
        <v>3.9875000000000003</v>
      </c>
      <c r="CY99">
        <f>AB99</f>
        <v>1608.41</v>
      </c>
      <c r="CZ99">
        <f>AF99</f>
        <v>180.72</v>
      </c>
      <c r="DA99">
        <f>AJ99</f>
        <v>8.9</v>
      </c>
      <c r="DB99">
        <f>ROUND((ROUND(AT99*CZ99,2)*1.25),6)</f>
        <v>900.77499999999998</v>
      </c>
      <c r="DC99">
        <f>ROUND((ROUND(AT99*AG99,2)*1.25),6)</f>
        <v>87.275000000000006</v>
      </c>
    </row>
    <row r="100" spans="1:107" x14ac:dyDescent="0.2">
      <c r="A100">
        <f>ROW(Source!A100)</f>
        <v>100</v>
      </c>
      <c r="B100">
        <v>42938047</v>
      </c>
      <c r="C100">
        <v>43136546</v>
      </c>
      <c r="D100">
        <v>36044488</v>
      </c>
      <c r="E100">
        <v>1</v>
      </c>
      <c r="F100">
        <v>1</v>
      </c>
      <c r="G100">
        <v>35973048</v>
      </c>
      <c r="H100">
        <v>2</v>
      </c>
      <c r="I100" t="s">
        <v>1252</v>
      </c>
      <c r="J100" t="s">
        <v>1253</v>
      </c>
      <c r="K100" t="s">
        <v>1254</v>
      </c>
      <c r="L100">
        <v>1367</v>
      </c>
      <c r="N100">
        <v>1011</v>
      </c>
      <c r="O100" t="s">
        <v>738</v>
      </c>
      <c r="P100" t="s">
        <v>738</v>
      </c>
      <c r="Q100">
        <v>1</v>
      </c>
      <c r="W100">
        <v>0</v>
      </c>
      <c r="X100">
        <v>1387947568</v>
      </c>
      <c r="Y100">
        <v>1.2462500000000001</v>
      </c>
      <c r="AA100">
        <v>0</v>
      </c>
      <c r="AB100">
        <v>1464.71</v>
      </c>
      <c r="AC100">
        <v>450.29</v>
      </c>
      <c r="AD100">
        <v>0</v>
      </c>
      <c r="AE100">
        <v>0</v>
      </c>
      <c r="AF100">
        <v>161.49</v>
      </c>
      <c r="AG100">
        <v>17.7</v>
      </c>
      <c r="AH100">
        <v>0</v>
      </c>
      <c r="AI100">
        <v>1</v>
      </c>
      <c r="AJ100">
        <v>9.07</v>
      </c>
      <c r="AK100">
        <v>25.44</v>
      </c>
      <c r="AL100">
        <v>1</v>
      </c>
      <c r="AN100">
        <v>0</v>
      </c>
      <c r="AO100">
        <v>1</v>
      </c>
      <c r="AP100">
        <v>1</v>
      </c>
      <c r="AQ100">
        <v>0</v>
      </c>
      <c r="AR100">
        <v>0</v>
      </c>
      <c r="AS100" t="s">
        <v>3</v>
      </c>
      <c r="AT100">
        <v>0.997</v>
      </c>
      <c r="AU100" t="s">
        <v>20</v>
      </c>
      <c r="AV100">
        <v>0</v>
      </c>
      <c r="AW100">
        <v>2</v>
      </c>
      <c r="AX100">
        <v>43136549</v>
      </c>
      <c r="AY100">
        <v>1</v>
      </c>
      <c r="AZ100">
        <v>0</v>
      </c>
      <c r="BA100">
        <v>98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CX100">
        <f>Y100*Source!I100</f>
        <v>0.99700000000000011</v>
      </c>
      <c r="CY100">
        <f>AB100</f>
        <v>1464.71</v>
      </c>
      <c r="CZ100">
        <f>AF100</f>
        <v>161.49</v>
      </c>
      <c r="DA100">
        <f>AJ100</f>
        <v>9.07</v>
      </c>
      <c r="DB100">
        <f>ROUND((ROUND(AT100*CZ100,2)*1.25),6)</f>
        <v>201.26249999999999</v>
      </c>
      <c r="DC100">
        <f>ROUND((ROUND(AT100*AG100,2)*1.25),6)</f>
        <v>22.0625</v>
      </c>
    </row>
    <row r="101" spans="1:107" x14ac:dyDescent="0.2">
      <c r="A101">
        <f>ROW(Source!A101)</f>
        <v>101</v>
      </c>
      <c r="B101">
        <v>42938047</v>
      </c>
      <c r="C101">
        <v>43136900</v>
      </c>
      <c r="D101">
        <v>35973053</v>
      </c>
      <c r="E101">
        <v>35973048</v>
      </c>
      <c r="F101">
        <v>1</v>
      </c>
      <c r="G101">
        <v>35973048</v>
      </c>
      <c r="H101">
        <v>1</v>
      </c>
      <c r="I101" t="s">
        <v>1228</v>
      </c>
      <c r="J101" t="s">
        <v>3</v>
      </c>
      <c r="K101" t="s">
        <v>1229</v>
      </c>
      <c r="L101">
        <v>1191</v>
      </c>
      <c r="N101">
        <v>1013</v>
      </c>
      <c r="O101" t="s">
        <v>1230</v>
      </c>
      <c r="P101" t="s">
        <v>1230</v>
      </c>
      <c r="Q101">
        <v>1</v>
      </c>
      <c r="W101">
        <v>0</v>
      </c>
      <c r="X101">
        <v>476480486</v>
      </c>
      <c r="Y101">
        <v>24.84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1</v>
      </c>
      <c r="AJ101">
        <v>1</v>
      </c>
      <c r="AK101">
        <v>1</v>
      </c>
      <c r="AL101">
        <v>25.44</v>
      </c>
      <c r="AN101">
        <v>0</v>
      </c>
      <c r="AO101">
        <v>1</v>
      </c>
      <c r="AP101">
        <v>1</v>
      </c>
      <c r="AQ101">
        <v>0</v>
      </c>
      <c r="AR101">
        <v>0</v>
      </c>
      <c r="AS101" t="s">
        <v>3</v>
      </c>
      <c r="AT101">
        <v>21.6</v>
      </c>
      <c r="AU101" t="s">
        <v>21</v>
      </c>
      <c r="AV101">
        <v>1</v>
      </c>
      <c r="AW101">
        <v>2</v>
      </c>
      <c r="AX101">
        <v>43136901</v>
      </c>
      <c r="AY101">
        <v>1</v>
      </c>
      <c r="AZ101">
        <v>0</v>
      </c>
      <c r="BA101">
        <v>99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CX101">
        <f>Y101*Source!I101</f>
        <v>15.897600000000001</v>
      </c>
      <c r="CY101">
        <f>AD101</f>
        <v>0</v>
      </c>
      <c r="CZ101">
        <f>AH101</f>
        <v>0</v>
      </c>
      <c r="DA101">
        <f>AL101</f>
        <v>25.44</v>
      </c>
      <c r="DB101">
        <f>ROUND((ROUND(AT101*CZ101,2)*1.15),6)</f>
        <v>0</v>
      </c>
      <c r="DC101">
        <f>ROUND((ROUND(AT101*AG101,2)*1.15),6)</f>
        <v>0</v>
      </c>
    </row>
    <row r="102" spans="1:107" x14ac:dyDescent="0.2">
      <c r="A102">
        <f>ROW(Source!A101)</f>
        <v>101</v>
      </c>
      <c r="B102">
        <v>42938047</v>
      </c>
      <c r="C102">
        <v>43136900</v>
      </c>
      <c r="D102">
        <v>36044487</v>
      </c>
      <c r="E102">
        <v>1</v>
      </c>
      <c r="F102">
        <v>1</v>
      </c>
      <c r="G102">
        <v>35973048</v>
      </c>
      <c r="H102">
        <v>2</v>
      </c>
      <c r="I102" t="s">
        <v>769</v>
      </c>
      <c r="J102" t="s">
        <v>771</v>
      </c>
      <c r="K102" t="s">
        <v>770</v>
      </c>
      <c r="L102">
        <v>1367</v>
      </c>
      <c r="N102">
        <v>1011</v>
      </c>
      <c r="O102" t="s">
        <v>738</v>
      </c>
      <c r="P102" t="s">
        <v>738</v>
      </c>
      <c r="Q102">
        <v>1</v>
      </c>
      <c r="W102">
        <v>0</v>
      </c>
      <c r="X102">
        <v>-1500897512</v>
      </c>
      <c r="Y102">
        <v>2.9375</v>
      </c>
      <c r="AA102">
        <v>0</v>
      </c>
      <c r="AB102">
        <v>1397.75</v>
      </c>
      <c r="AC102">
        <v>393.56</v>
      </c>
      <c r="AD102">
        <v>0</v>
      </c>
      <c r="AE102">
        <v>0</v>
      </c>
      <c r="AF102">
        <v>163.47999999999999</v>
      </c>
      <c r="AG102">
        <v>15.47</v>
      </c>
      <c r="AH102">
        <v>0</v>
      </c>
      <c r="AI102">
        <v>1</v>
      </c>
      <c r="AJ102">
        <v>8.5500000000000007</v>
      </c>
      <c r="AK102">
        <v>25.44</v>
      </c>
      <c r="AL102">
        <v>1</v>
      </c>
      <c r="AN102">
        <v>0</v>
      </c>
      <c r="AO102">
        <v>1</v>
      </c>
      <c r="AP102">
        <v>1</v>
      </c>
      <c r="AQ102">
        <v>0</v>
      </c>
      <c r="AR102">
        <v>0</v>
      </c>
      <c r="AS102" t="s">
        <v>3</v>
      </c>
      <c r="AT102">
        <v>2.35</v>
      </c>
      <c r="AU102" t="s">
        <v>20</v>
      </c>
      <c r="AV102">
        <v>0</v>
      </c>
      <c r="AW102">
        <v>2</v>
      </c>
      <c r="AX102">
        <v>43136902</v>
      </c>
      <c r="AY102">
        <v>1</v>
      </c>
      <c r="AZ102">
        <v>0</v>
      </c>
      <c r="BA102">
        <v>100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CX102">
        <f>Y102*Source!I101</f>
        <v>1.8800000000000001</v>
      </c>
      <c r="CY102">
        <f t="shared" ref="CY102:CY107" si="25">AB102</f>
        <v>1397.75</v>
      </c>
      <c r="CZ102">
        <f t="shared" ref="CZ102:CZ107" si="26">AF102</f>
        <v>163.47999999999999</v>
      </c>
      <c r="DA102">
        <f t="shared" ref="DA102:DA107" si="27">AJ102</f>
        <v>8.5500000000000007</v>
      </c>
      <c r="DB102">
        <f t="shared" ref="DB102:DB107" si="28">ROUND((ROUND(AT102*CZ102,2)*1.25),6)</f>
        <v>480.22500000000002</v>
      </c>
      <c r="DC102">
        <f t="shared" ref="DC102:DC107" si="29">ROUND((ROUND(AT102*AG102,2)*1.25),6)</f>
        <v>45.4375</v>
      </c>
    </row>
    <row r="103" spans="1:107" x14ac:dyDescent="0.2">
      <c r="A103">
        <f>ROW(Source!A101)</f>
        <v>101</v>
      </c>
      <c r="B103">
        <v>42938047</v>
      </c>
      <c r="C103">
        <v>43136900</v>
      </c>
      <c r="D103">
        <v>36044734</v>
      </c>
      <c r="E103">
        <v>1</v>
      </c>
      <c r="F103">
        <v>1</v>
      </c>
      <c r="G103">
        <v>35973048</v>
      </c>
      <c r="H103">
        <v>2</v>
      </c>
      <c r="I103" t="s">
        <v>745</v>
      </c>
      <c r="J103" t="s">
        <v>747</v>
      </c>
      <c r="K103" t="s">
        <v>746</v>
      </c>
      <c r="L103">
        <v>1367</v>
      </c>
      <c r="N103">
        <v>1011</v>
      </c>
      <c r="O103" t="s">
        <v>738</v>
      </c>
      <c r="P103" t="s">
        <v>738</v>
      </c>
      <c r="Q103">
        <v>1</v>
      </c>
      <c r="W103">
        <v>0</v>
      </c>
      <c r="X103">
        <v>366114799</v>
      </c>
      <c r="Y103">
        <v>1.1375</v>
      </c>
      <c r="AA103">
        <v>0</v>
      </c>
      <c r="AB103">
        <v>2035.11</v>
      </c>
      <c r="AC103">
        <v>340.13</v>
      </c>
      <c r="AD103">
        <v>0</v>
      </c>
      <c r="AE103">
        <v>0</v>
      </c>
      <c r="AF103">
        <v>246.68</v>
      </c>
      <c r="AG103">
        <v>13.37</v>
      </c>
      <c r="AH103">
        <v>0</v>
      </c>
      <c r="AI103">
        <v>1</v>
      </c>
      <c r="AJ103">
        <v>8.25</v>
      </c>
      <c r="AK103">
        <v>25.44</v>
      </c>
      <c r="AL103">
        <v>1</v>
      </c>
      <c r="AN103">
        <v>0</v>
      </c>
      <c r="AO103">
        <v>1</v>
      </c>
      <c r="AP103">
        <v>1</v>
      </c>
      <c r="AQ103">
        <v>0</v>
      </c>
      <c r="AR103">
        <v>0</v>
      </c>
      <c r="AS103" t="s">
        <v>3</v>
      </c>
      <c r="AT103">
        <v>0.91</v>
      </c>
      <c r="AU103" t="s">
        <v>20</v>
      </c>
      <c r="AV103">
        <v>0</v>
      </c>
      <c r="AW103">
        <v>2</v>
      </c>
      <c r="AX103">
        <v>43136903</v>
      </c>
      <c r="AY103">
        <v>1</v>
      </c>
      <c r="AZ103">
        <v>0</v>
      </c>
      <c r="BA103">
        <v>101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CX103">
        <f>Y103*Source!I101</f>
        <v>0.72799999999999998</v>
      </c>
      <c r="CY103">
        <f t="shared" si="25"/>
        <v>2035.11</v>
      </c>
      <c r="CZ103">
        <f t="shared" si="26"/>
        <v>246.68</v>
      </c>
      <c r="DA103">
        <f t="shared" si="27"/>
        <v>8.25</v>
      </c>
      <c r="DB103">
        <f t="shared" si="28"/>
        <v>280.60000000000002</v>
      </c>
      <c r="DC103">
        <f t="shared" si="29"/>
        <v>15.2125</v>
      </c>
    </row>
    <row r="104" spans="1:107" x14ac:dyDescent="0.2">
      <c r="A104">
        <f>ROW(Source!A101)</f>
        <v>101</v>
      </c>
      <c r="B104">
        <v>42938047</v>
      </c>
      <c r="C104">
        <v>43136900</v>
      </c>
      <c r="D104">
        <v>36044719</v>
      </c>
      <c r="E104">
        <v>1</v>
      </c>
      <c r="F104">
        <v>1</v>
      </c>
      <c r="G104">
        <v>35973048</v>
      </c>
      <c r="H104">
        <v>2</v>
      </c>
      <c r="I104" t="s">
        <v>1255</v>
      </c>
      <c r="J104" t="s">
        <v>1256</v>
      </c>
      <c r="K104" t="s">
        <v>1257</v>
      </c>
      <c r="L104">
        <v>1367</v>
      </c>
      <c r="N104">
        <v>1011</v>
      </c>
      <c r="O104" t="s">
        <v>738</v>
      </c>
      <c r="P104" t="s">
        <v>738</v>
      </c>
      <c r="Q104">
        <v>1</v>
      </c>
      <c r="W104">
        <v>0</v>
      </c>
      <c r="X104">
        <v>-1882480599</v>
      </c>
      <c r="Y104">
        <v>8.9625000000000004</v>
      </c>
      <c r="AA104">
        <v>0</v>
      </c>
      <c r="AB104">
        <v>1447.02</v>
      </c>
      <c r="AC104">
        <v>382.11</v>
      </c>
      <c r="AD104">
        <v>0</v>
      </c>
      <c r="AE104">
        <v>0</v>
      </c>
      <c r="AF104">
        <v>169.44</v>
      </c>
      <c r="AG104">
        <v>15.02</v>
      </c>
      <c r="AH104">
        <v>0</v>
      </c>
      <c r="AI104">
        <v>1</v>
      </c>
      <c r="AJ104">
        <v>8.5399999999999991</v>
      </c>
      <c r="AK104">
        <v>25.44</v>
      </c>
      <c r="AL104">
        <v>1</v>
      </c>
      <c r="AN104">
        <v>0</v>
      </c>
      <c r="AO104">
        <v>1</v>
      </c>
      <c r="AP104">
        <v>1</v>
      </c>
      <c r="AQ104">
        <v>0</v>
      </c>
      <c r="AR104">
        <v>0</v>
      </c>
      <c r="AS104" t="s">
        <v>3</v>
      </c>
      <c r="AT104">
        <v>7.17</v>
      </c>
      <c r="AU104" t="s">
        <v>20</v>
      </c>
      <c r="AV104">
        <v>0</v>
      </c>
      <c r="AW104">
        <v>2</v>
      </c>
      <c r="AX104">
        <v>43136904</v>
      </c>
      <c r="AY104">
        <v>1</v>
      </c>
      <c r="AZ104">
        <v>0</v>
      </c>
      <c r="BA104">
        <v>102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CX104">
        <f>Y104*Source!I101</f>
        <v>5.7360000000000007</v>
      </c>
      <c r="CY104">
        <f t="shared" si="25"/>
        <v>1447.02</v>
      </c>
      <c r="CZ104">
        <f t="shared" si="26"/>
        <v>169.44</v>
      </c>
      <c r="DA104">
        <f t="shared" si="27"/>
        <v>8.5399999999999991</v>
      </c>
      <c r="DB104">
        <f t="shared" si="28"/>
        <v>1518.6</v>
      </c>
      <c r="DC104">
        <f t="shared" si="29"/>
        <v>134.61250000000001</v>
      </c>
    </row>
    <row r="105" spans="1:107" x14ac:dyDescent="0.2">
      <c r="A105">
        <f>ROW(Source!A101)</f>
        <v>101</v>
      </c>
      <c r="B105">
        <v>42938047</v>
      </c>
      <c r="C105">
        <v>43136900</v>
      </c>
      <c r="D105">
        <v>36044720</v>
      </c>
      <c r="E105">
        <v>1</v>
      </c>
      <c r="F105">
        <v>1</v>
      </c>
      <c r="G105">
        <v>35973048</v>
      </c>
      <c r="H105">
        <v>2</v>
      </c>
      <c r="I105" t="s">
        <v>765</v>
      </c>
      <c r="J105" t="s">
        <v>767</v>
      </c>
      <c r="K105" t="s">
        <v>766</v>
      </c>
      <c r="L105">
        <v>1367</v>
      </c>
      <c r="N105">
        <v>1011</v>
      </c>
      <c r="O105" t="s">
        <v>738</v>
      </c>
      <c r="P105" t="s">
        <v>738</v>
      </c>
      <c r="Q105">
        <v>1</v>
      </c>
      <c r="W105">
        <v>0</v>
      </c>
      <c r="X105">
        <v>-1920329426</v>
      </c>
      <c r="Y105">
        <v>18.25</v>
      </c>
      <c r="AA105">
        <v>0</v>
      </c>
      <c r="AB105">
        <v>1892.09</v>
      </c>
      <c r="AC105">
        <v>445.45</v>
      </c>
      <c r="AD105">
        <v>0</v>
      </c>
      <c r="AE105">
        <v>0</v>
      </c>
      <c r="AF105">
        <v>219.5</v>
      </c>
      <c r="AG105">
        <v>17.510000000000002</v>
      </c>
      <c r="AH105">
        <v>0</v>
      </c>
      <c r="AI105">
        <v>1</v>
      </c>
      <c r="AJ105">
        <v>8.6199999999999992</v>
      </c>
      <c r="AK105">
        <v>25.44</v>
      </c>
      <c r="AL105">
        <v>1</v>
      </c>
      <c r="AN105">
        <v>0</v>
      </c>
      <c r="AO105">
        <v>1</v>
      </c>
      <c r="AP105">
        <v>1</v>
      </c>
      <c r="AQ105">
        <v>0</v>
      </c>
      <c r="AR105">
        <v>0</v>
      </c>
      <c r="AS105" t="s">
        <v>3</v>
      </c>
      <c r="AT105">
        <v>14.6</v>
      </c>
      <c r="AU105" t="s">
        <v>20</v>
      </c>
      <c r="AV105">
        <v>0</v>
      </c>
      <c r="AW105">
        <v>2</v>
      </c>
      <c r="AX105">
        <v>43136905</v>
      </c>
      <c r="AY105">
        <v>1</v>
      </c>
      <c r="AZ105">
        <v>0</v>
      </c>
      <c r="BA105">
        <v>103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CX105">
        <f>Y105*Source!I101</f>
        <v>11.68</v>
      </c>
      <c r="CY105">
        <f t="shared" si="25"/>
        <v>1892.09</v>
      </c>
      <c r="CZ105">
        <f t="shared" si="26"/>
        <v>219.5</v>
      </c>
      <c r="DA105">
        <f t="shared" si="27"/>
        <v>8.6199999999999992</v>
      </c>
      <c r="DB105">
        <f t="shared" si="28"/>
        <v>4005.875</v>
      </c>
      <c r="DC105">
        <f t="shared" si="29"/>
        <v>319.5625</v>
      </c>
    </row>
    <row r="106" spans="1:107" x14ac:dyDescent="0.2">
      <c r="A106">
        <f>ROW(Source!A101)</f>
        <v>101</v>
      </c>
      <c r="B106">
        <v>42938047</v>
      </c>
      <c r="C106">
        <v>43136900</v>
      </c>
      <c r="D106">
        <v>36044762</v>
      </c>
      <c r="E106">
        <v>1</v>
      </c>
      <c r="F106">
        <v>1</v>
      </c>
      <c r="G106">
        <v>35973048</v>
      </c>
      <c r="H106">
        <v>2</v>
      </c>
      <c r="I106" t="s">
        <v>736</v>
      </c>
      <c r="J106" t="s">
        <v>739</v>
      </c>
      <c r="K106" t="s">
        <v>737</v>
      </c>
      <c r="L106">
        <v>1367</v>
      </c>
      <c r="N106">
        <v>1011</v>
      </c>
      <c r="O106" t="s">
        <v>738</v>
      </c>
      <c r="P106" t="s">
        <v>738</v>
      </c>
      <c r="Q106">
        <v>1</v>
      </c>
      <c r="W106">
        <v>0</v>
      </c>
      <c r="X106">
        <v>856318566</v>
      </c>
      <c r="Y106">
        <v>2.2374999999999998</v>
      </c>
      <c r="AA106">
        <v>0</v>
      </c>
      <c r="AB106">
        <v>1520.33</v>
      </c>
      <c r="AC106">
        <v>629.39</v>
      </c>
      <c r="AD106">
        <v>0</v>
      </c>
      <c r="AE106">
        <v>0</v>
      </c>
      <c r="AF106">
        <v>125.13</v>
      </c>
      <c r="AG106">
        <v>24.74</v>
      </c>
      <c r="AH106">
        <v>0</v>
      </c>
      <c r="AI106">
        <v>1</v>
      </c>
      <c r="AJ106">
        <v>12.15</v>
      </c>
      <c r="AK106">
        <v>25.44</v>
      </c>
      <c r="AL106">
        <v>1</v>
      </c>
      <c r="AN106">
        <v>0</v>
      </c>
      <c r="AO106">
        <v>1</v>
      </c>
      <c r="AP106">
        <v>1</v>
      </c>
      <c r="AQ106">
        <v>0</v>
      </c>
      <c r="AR106">
        <v>0</v>
      </c>
      <c r="AS106" t="s">
        <v>3</v>
      </c>
      <c r="AT106">
        <v>1.79</v>
      </c>
      <c r="AU106" t="s">
        <v>20</v>
      </c>
      <c r="AV106">
        <v>0</v>
      </c>
      <c r="AW106">
        <v>2</v>
      </c>
      <c r="AX106">
        <v>43136906</v>
      </c>
      <c r="AY106">
        <v>1</v>
      </c>
      <c r="AZ106">
        <v>0</v>
      </c>
      <c r="BA106">
        <v>104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CX106">
        <f>Y106*Source!I101</f>
        <v>1.4319999999999999</v>
      </c>
      <c r="CY106">
        <f t="shared" si="25"/>
        <v>1520.33</v>
      </c>
      <c r="CZ106">
        <f t="shared" si="26"/>
        <v>125.13</v>
      </c>
      <c r="DA106">
        <f t="shared" si="27"/>
        <v>12.15</v>
      </c>
      <c r="DB106">
        <f t="shared" si="28"/>
        <v>279.97500000000002</v>
      </c>
      <c r="DC106">
        <f t="shared" si="29"/>
        <v>55.35</v>
      </c>
    </row>
    <row r="107" spans="1:107" x14ac:dyDescent="0.2">
      <c r="A107">
        <f>ROW(Source!A101)</f>
        <v>101</v>
      </c>
      <c r="B107">
        <v>42938047</v>
      </c>
      <c r="C107">
        <v>43136900</v>
      </c>
      <c r="D107">
        <v>36044724</v>
      </c>
      <c r="E107">
        <v>1</v>
      </c>
      <c r="F107">
        <v>1</v>
      </c>
      <c r="G107">
        <v>35973048</v>
      </c>
      <c r="H107">
        <v>2</v>
      </c>
      <c r="I107" t="s">
        <v>741</v>
      </c>
      <c r="J107" t="s">
        <v>743</v>
      </c>
      <c r="K107" t="s">
        <v>742</v>
      </c>
      <c r="L107">
        <v>1367</v>
      </c>
      <c r="N107">
        <v>1011</v>
      </c>
      <c r="O107" t="s">
        <v>738</v>
      </c>
      <c r="P107" t="s">
        <v>738</v>
      </c>
      <c r="Q107">
        <v>1</v>
      </c>
      <c r="W107">
        <v>0</v>
      </c>
      <c r="X107">
        <v>-646811103</v>
      </c>
      <c r="Y107">
        <v>0.65</v>
      </c>
      <c r="AA107">
        <v>0</v>
      </c>
      <c r="AB107">
        <v>1576.56</v>
      </c>
      <c r="AC107">
        <v>443.16</v>
      </c>
      <c r="AD107">
        <v>0</v>
      </c>
      <c r="AE107">
        <v>0</v>
      </c>
      <c r="AF107">
        <v>177.54</v>
      </c>
      <c r="AG107">
        <v>17.420000000000002</v>
      </c>
      <c r="AH107">
        <v>0</v>
      </c>
      <c r="AI107">
        <v>1</v>
      </c>
      <c r="AJ107">
        <v>8.8800000000000008</v>
      </c>
      <c r="AK107">
        <v>25.44</v>
      </c>
      <c r="AL107">
        <v>1</v>
      </c>
      <c r="AN107">
        <v>0</v>
      </c>
      <c r="AO107">
        <v>1</v>
      </c>
      <c r="AP107">
        <v>1</v>
      </c>
      <c r="AQ107">
        <v>0</v>
      </c>
      <c r="AR107">
        <v>0</v>
      </c>
      <c r="AS107" t="s">
        <v>3</v>
      </c>
      <c r="AT107">
        <v>0.52</v>
      </c>
      <c r="AU107" t="s">
        <v>20</v>
      </c>
      <c r="AV107">
        <v>0</v>
      </c>
      <c r="AW107">
        <v>2</v>
      </c>
      <c r="AX107">
        <v>43136907</v>
      </c>
      <c r="AY107">
        <v>1</v>
      </c>
      <c r="AZ107">
        <v>0</v>
      </c>
      <c r="BA107">
        <v>105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CX107">
        <f>Y107*Source!I101</f>
        <v>0.41600000000000004</v>
      </c>
      <c r="CY107">
        <f t="shared" si="25"/>
        <v>1576.56</v>
      </c>
      <c r="CZ107">
        <f t="shared" si="26"/>
        <v>177.54</v>
      </c>
      <c r="DA107">
        <f t="shared" si="27"/>
        <v>8.8800000000000008</v>
      </c>
      <c r="DB107">
        <f t="shared" si="28"/>
        <v>115.4</v>
      </c>
      <c r="DC107">
        <f t="shared" si="29"/>
        <v>11.324999999999999</v>
      </c>
    </row>
    <row r="108" spans="1:107" x14ac:dyDescent="0.2">
      <c r="A108">
        <f>ROW(Source!A101)</f>
        <v>101</v>
      </c>
      <c r="B108">
        <v>42938047</v>
      </c>
      <c r="C108">
        <v>43136900</v>
      </c>
      <c r="D108">
        <v>36020415</v>
      </c>
      <c r="E108">
        <v>1</v>
      </c>
      <c r="F108">
        <v>1</v>
      </c>
      <c r="G108">
        <v>35973048</v>
      </c>
      <c r="H108">
        <v>3</v>
      </c>
      <c r="I108" t="s">
        <v>469</v>
      </c>
      <c r="J108" t="s">
        <v>471</v>
      </c>
      <c r="K108" t="s">
        <v>470</v>
      </c>
      <c r="L108">
        <v>1339</v>
      </c>
      <c r="N108">
        <v>1007</v>
      </c>
      <c r="O108" t="s">
        <v>84</v>
      </c>
      <c r="P108" t="s">
        <v>84</v>
      </c>
      <c r="Q108">
        <v>1</v>
      </c>
      <c r="W108">
        <v>0</v>
      </c>
      <c r="X108">
        <v>-862991314</v>
      </c>
      <c r="Y108">
        <v>7</v>
      </c>
      <c r="AA108">
        <v>36.340000000000003</v>
      </c>
      <c r="AB108">
        <v>0</v>
      </c>
      <c r="AC108">
        <v>0</v>
      </c>
      <c r="AD108">
        <v>0</v>
      </c>
      <c r="AE108">
        <v>7.07</v>
      </c>
      <c r="AF108">
        <v>0</v>
      </c>
      <c r="AG108">
        <v>0</v>
      </c>
      <c r="AH108">
        <v>0</v>
      </c>
      <c r="AI108">
        <v>5.14</v>
      </c>
      <c r="AJ108">
        <v>1</v>
      </c>
      <c r="AK108">
        <v>1</v>
      </c>
      <c r="AL108">
        <v>1</v>
      </c>
      <c r="AN108">
        <v>0</v>
      </c>
      <c r="AO108">
        <v>1</v>
      </c>
      <c r="AP108">
        <v>0</v>
      </c>
      <c r="AQ108">
        <v>0</v>
      </c>
      <c r="AR108">
        <v>0</v>
      </c>
      <c r="AS108" t="s">
        <v>3</v>
      </c>
      <c r="AT108">
        <v>7</v>
      </c>
      <c r="AU108" t="s">
        <v>3</v>
      </c>
      <c r="AV108">
        <v>0</v>
      </c>
      <c r="AW108">
        <v>2</v>
      </c>
      <c r="AX108">
        <v>43136908</v>
      </c>
      <c r="AY108">
        <v>1</v>
      </c>
      <c r="AZ108">
        <v>0</v>
      </c>
      <c r="BA108">
        <v>106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CX108">
        <f>Y108*Source!I101</f>
        <v>4.4800000000000004</v>
      </c>
      <c r="CY108">
        <f>AA108</f>
        <v>36.340000000000003</v>
      </c>
      <c r="CZ108">
        <f>AE108</f>
        <v>7.07</v>
      </c>
      <c r="DA108">
        <f>AI108</f>
        <v>5.14</v>
      </c>
      <c r="DB108">
        <f>ROUND(ROUND(AT108*CZ108,2),6)</f>
        <v>49.49</v>
      </c>
      <c r="DC108">
        <f>ROUND(ROUND(AT108*AG108,2),6)</f>
        <v>0</v>
      </c>
    </row>
    <row r="109" spans="1:107" x14ac:dyDescent="0.2">
      <c r="A109">
        <f>ROW(Source!A101)</f>
        <v>101</v>
      </c>
      <c r="B109">
        <v>42938047</v>
      </c>
      <c r="C109">
        <v>43136900</v>
      </c>
      <c r="D109">
        <v>36021680</v>
      </c>
      <c r="E109">
        <v>1</v>
      </c>
      <c r="F109">
        <v>1</v>
      </c>
      <c r="G109">
        <v>35973048</v>
      </c>
      <c r="H109">
        <v>3</v>
      </c>
      <c r="I109" t="s">
        <v>280</v>
      </c>
      <c r="J109" t="s">
        <v>282</v>
      </c>
      <c r="K109" t="s">
        <v>281</v>
      </c>
      <c r="L109">
        <v>1339</v>
      </c>
      <c r="N109">
        <v>1007</v>
      </c>
      <c r="O109" t="s">
        <v>84</v>
      </c>
      <c r="P109" t="s">
        <v>84</v>
      </c>
      <c r="Q109">
        <v>1</v>
      </c>
      <c r="W109">
        <v>0</v>
      </c>
      <c r="X109">
        <v>-1733926470</v>
      </c>
      <c r="Y109">
        <v>100</v>
      </c>
      <c r="AA109">
        <v>1658.44</v>
      </c>
      <c r="AB109">
        <v>0</v>
      </c>
      <c r="AC109">
        <v>0</v>
      </c>
      <c r="AD109">
        <v>0</v>
      </c>
      <c r="AE109">
        <v>183.09</v>
      </c>
      <c r="AF109">
        <v>0</v>
      </c>
      <c r="AG109">
        <v>0</v>
      </c>
      <c r="AH109">
        <v>0</v>
      </c>
      <c r="AI109">
        <v>9.0399999999999991</v>
      </c>
      <c r="AJ109">
        <v>1</v>
      </c>
      <c r="AK109">
        <v>1</v>
      </c>
      <c r="AL109">
        <v>1</v>
      </c>
      <c r="AN109">
        <v>0</v>
      </c>
      <c r="AO109">
        <v>0</v>
      </c>
      <c r="AP109">
        <v>0</v>
      </c>
      <c r="AQ109">
        <v>0</v>
      </c>
      <c r="AR109">
        <v>0</v>
      </c>
      <c r="AS109" t="s">
        <v>3</v>
      </c>
      <c r="AT109">
        <v>100</v>
      </c>
      <c r="AU109" t="s">
        <v>3</v>
      </c>
      <c r="AV109">
        <v>0</v>
      </c>
      <c r="AW109">
        <v>1</v>
      </c>
      <c r="AX109">
        <v>-1</v>
      </c>
      <c r="AY109">
        <v>0</v>
      </c>
      <c r="AZ109">
        <v>0</v>
      </c>
      <c r="BA109" t="s">
        <v>3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CX109">
        <f>Y109*Source!I101</f>
        <v>64</v>
      </c>
      <c r="CY109">
        <f>AA109</f>
        <v>1658.44</v>
      </c>
      <c r="CZ109">
        <f>AE109</f>
        <v>183.09</v>
      </c>
      <c r="DA109">
        <f>AI109</f>
        <v>9.0399999999999991</v>
      </c>
      <c r="DB109">
        <f>ROUND(ROUND(AT109*CZ109,2),6)</f>
        <v>18309</v>
      </c>
      <c r="DC109">
        <f>ROUND(ROUND(AT109*AG109,2),6)</f>
        <v>0</v>
      </c>
    </row>
    <row r="110" spans="1:107" x14ac:dyDescent="0.2">
      <c r="A110">
        <f>ROW(Source!A103)</f>
        <v>103</v>
      </c>
      <c r="B110">
        <v>42938047</v>
      </c>
      <c r="C110">
        <v>42938522</v>
      </c>
      <c r="D110">
        <v>35973053</v>
      </c>
      <c r="E110">
        <v>35973048</v>
      </c>
      <c r="F110">
        <v>1</v>
      </c>
      <c r="G110">
        <v>35973048</v>
      </c>
      <c r="H110">
        <v>1</v>
      </c>
      <c r="I110" t="s">
        <v>1228</v>
      </c>
      <c r="J110" t="s">
        <v>3</v>
      </c>
      <c r="K110" t="s">
        <v>1229</v>
      </c>
      <c r="L110">
        <v>1191</v>
      </c>
      <c r="N110">
        <v>1013</v>
      </c>
      <c r="O110" t="s">
        <v>1230</v>
      </c>
      <c r="P110" t="s">
        <v>1230</v>
      </c>
      <c r="Q110">
        <v>1</v>
      </c>
      <c r="W110">
        <v>0</v>
      </c>
      <c r="X110">
        <v>476480486</v>
      </c>
      <c r="Y110">
        <v>16.559999999999999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1</v>
      </c>
      <c r="AJ110">
        <v>1</v>
      </c>
      <c r="AK110">
        <v>1</v>
      </c>
      <c r="AL110">
        <v>25.44</v>
      </c>
      <c r="AN110">
        <v>0</v>
      </c>
      <c r="AO110">
        <v>1</v>
      </c>
      <c r="AP110">
        <v>1</v>
      </c>
      <c r="AQ110">
        <v>0</v>
      </c>
      <c r="AR110">
        <v>0</v>
      </c>
      <c r="AS110" t="s">
        <v>3</v>
      </c>
      <c r="AT110">
        <v>14.4</v>
      </c>
      <c r="AU110" t="s">
        <v>21</v>
      </c>
      <c r="AV110">
        <v>1</v>
      </c>
      <c r="AW110">
        <v>2</v>
      </c>
      <c r="AX110">
        <v>42938612</v>
      </c>
      <c r="AY110">
        <v>1</v>
      </c>
      <c r="AZ110">
        <v>0</v>
      </c>
      <c r="BA110">
        <v>108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CX110">
        <f>Y110*Source!I103</f>
        <v>10.5984</v>
      </c>
      <c r="CY110">
        <f>AD110</f>
        <v>0</v>
      </c>
      <c r="CZ110">
        <f>AH110</f>
        <v>0</v>
      </c>
      <c r="DA110">
        <f>AL110</f>
        <v>25.44</v>
      </c>
      <c r="DB110">
        <f>ROUND((ROUND(AT110*CZ110,2)*1.15),6)</f>
        <v>0</v>
      </c>
      <c r="DC110">
        <f>ROUND((ROUND(AT110*AG110,2)*1.15),6)</f>
        <v>0</v>
      </c>
    </row>
    <row r="111" spans="1:107" x14ac:dyDescent="0.2">
      <c r="A111">
        <f>ROW(Source!A103)</f>
        <v>103</v>
      </c>
      <c r="B111">
        <v>42938047</v>
      </c>
      <c r="C111">
        <v>42938522</v>
      </c>
      <c r="D111">
        <v>36044508</v>
      </c>
      <c r="E111">
        <v>1</v>
      </c>
      <c r="F111">
        <v>1</v>
      </c>
      <c r="G111">
        <v>35973048</v>
      </c>
      <c r="H111">
        <v>2</v>
      </c>
      <c r="I111" t="s">
        <v>1258</v>
      </c>
      <c r="J111" t="s">
        <v>1259</v>
      </c>
      <c r="K111" t="s">
        <v>1260</v>
      </c>
      <c r="L111">
        <v>1367</v>
      </c>
      <c r="N111">
        <v>1011</v>
      </c>
      <c r="O111" t="s">
        <v>738</v>
      </c>
      <c r="P111" t="s">
        <v>738</v>
      </c>
      <c r="Q111">
        <v>1</v>
      </c>
      <c r="W111">
        <v>0</v>
      </c>
      <c r="X111">
        <v>1928543733</v>
      </c>
      <c r="Y111">
        <v>2.0750000000000002</v>
      </c>
      <c r="AA111">
        <v>0</v>
      </c>
      <c r="AB111">
        <v>1242.54</v>
      </c>
      <c r="AC111">
        <v>595.54999999999995</v>
      </c>
      <c r="AD111">
        <v>0</v>
      </c>
      <c r="AE111">
        <v>0</v>
      </c>
      <c r="AF111">
        <v>116.89</v>
      </c>
      <c r="AG111">
        <v>23.41</v>
      </c>
      <c r="AH111">
        <v>0</v>
      </c>
      <c r="AI111">
        <v>1</v>
      </c>
      <c r="AJ111">
        <v>10.63</v>
      </c>
      <c r="AK111">
        <v>25.44</v>
      </c>
      <c r="AL111">
        <v>1</v>
      </c>
      <c r="AN111">
        <v>0</v>
      </c>
      <c r="AO111">
        <v>1</v>
      </c>
      <c r="AP111">
        <v>1</v>
      </c>
      <c r="AQ111">
        <v>0</v>
      </c>
      <c r="AR111">
        <v>0</v>
      </c>
      <c r="AS111" t="s">
        <v>3</v>
      </c>
      <c r="AT111">
        <v>1.66</v>
      </c>
      <c r="AU111" t="s">
        <v>20</v>
      </c>
      <c r="AV111">
        <v>0</v>
      </c>
      <c r="AW111">
        <v>2</v>
      </c>
      <c r="AX111">
        <v>42938613</v>
      </c>
      <c r="AY111">
        <v>1</v>
      </c>
      <c r="AZ111">
        <v>2048</v>
      </c>
      <c r="BA111">
        <v>109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CX111">
        <f>Y111*Source!I103</f>
        <v>1.3280000000000001</v>
      </c>
      <c r="CY111">
        <f>AB111</f>
        <v>1242.54</v>
      </c>
      <c r="CZ111">
        <f>AF111</f>
        <v>116.89</v>
      </c>
      <c r="DA111">
        <f>AJ111</f>
        <v>10.63</v>
      </c>
      <c r="DB111">
        <f>ROUND((ROUND(AT111*CZ111,2)*1.25),6)</f>
        <v>242.55</v>
      </c>
      <c r="DC111">
        <f>ROUND((ROUND(AT111*AG111,2)*1.25),6)</f>
        <v>48.575000000000003</v>
      </c>
    </row>
    <row r="112" spans="1:107" x14ac:dyDescent="0.2">
      <c r="A112">
        <f>ROW(Source!A103)</f>
        <v>103</v>
      </c>
      <c r="B112">
        <v>42938047</v>
      </c>
      <c r="C112">
        <v>42938522</v>
      </c>
      <c r="D112">
        <v>36044731</v>
      </c>
      <c r="E112">
        <v>1</v>
      </c>
      <c r="F112">
        <v>1</v>
      </c>
      <c r="G112">
        <v>35973048</v>
      </c>
      <c r="H112">
        <v>2</v>
      </c>
      <c r="I112" t="s">
        <v>749</v>
      </c>
      <c r="J112" t="s">
        <v>751</v>
      </c>
      <c r="K112" t="s">
        <v>750</v>
      </c>
      <c r="L112">
        <v>1367</v>
      </c>
      <c r="N112">
        <v>1011</v>
      </c>
      <c r="O112" t="s">
        <v>738</v>
      </c>
      <c r="P112" t="s">
        <v>738</v>
      </c>
      <c r="Q112">
        <v>1</v>
      </c>
      <c r="W112">
        <v>0</v>
      </c>
      <c r="X112">
        <v>142191915</v>
      </c>
      <c r="Y112">
        <v>2.0750000000000002</v>
      </c>
      <c r="AA112">
        <v>0</v>
      </c>
      <c r="AB112">
        <v>433.23</v>
      </c>
      <c r="AC112">
        <v>168.92</v>
      </c>
      <c r="AD112">
        <v>0</v>
      </c>
      <c r="AE112">
        <v>0</v>
      </c>
      <c r="AF112">
        <v>62.97</v>
      </c>
      <c r="AG112">
        <v>6.64</v>
      </c>
      <c r="AH112">
        <v>0</v>
      </c>
      <c r="AI112">
        <v>1</v>
      </c>
      <c r="AJ112">
        <v>6.88</v>
      </c>
      <c r="AK112">
        <v>25.44</v>
      </c>
      <c r="AL112">
        <v>1</v>
      </c>
      <c r="AN112">
        <v>0</v>
      </c>
      <c r="AO112">
        <v>1</v>
      </c>
      <c r="AP112">
        <v>1</v>
      </c>
      <c r="AQ112">
        <v>0</v>
      </c>
      <c r="AR112">
        <v>0</v>
      </c>
      <c r="AS112" t="s">
        <v>3</v>
      </c>
      <c r="AT112">
        <v>1.66</v>
      </c>
      <c r="AU112" t="s">
        <v>20</v>
      </c>
      <c r="AV112">
        <v>0</v>
      </c>
      <c r="AW112">
        <v>2</v>
      </c>
      <c r="AX112">
        <v>42938614</v>
      </c>
      <c r="AY112">
        <v>1</v>
      </c>
      <c r="AZ112">
        <v>2048</v>
      </c>
      <c r="BA112">
        <v>110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CX112">
        <f>Y112*Source!I103</f>
        <v>1.3280000000000001</v>
      </c>
      <c r="CY112">
        <f>AB112</f>
        <v>433.23</v>
      </c>
      <c r="CZ112">
        <f>AF112</f>
        <v>62.97</v>
      </c>
      <c r="DA112">
        <f>AJ112</f>
        <v>6.88</v>
      </c>
      <c r="DB112">
        <f>ROUND((ROUND(AT112*CZ112,2)*1.25),6)</f>
        <v>130.66249999999999</v>
      </c>
      <c r="DC112">
        <f>ROUND((ROUND(AT112*AG112,2)*1.25),6)</f>
        <v>13.775</v>
      </c>
    </row>
    <row r="113" spans="1:107" x14ac:dyDescent="0.2">
      <c r="A113">
        <f>ROW(Source!A103)</f>
        <v>103</v>
      </c>
      <c r="B113">
        <v>42938047</v>
      </c>
      <c r="C113">
        <v>42938522</v>
      </c>
      <c r="D113">
        <v>36044734</v>
      </c>
      <c r="E113">
        <v>1</v>
      </c>
      <c r="F113">
        <v>1</v>
      </c>
      <c r="G113">
        <v>35973048</v>
      </c>
      <c r="H113">
        <v>2</v>
      </c>
      <c r="I113" t="s">
        <v>745</v>
      </c>
      <c r="J113" t="s">
        <v>747</v>
      </c>
      <c r="K113" t="s">
        <v>746</v>
      </c>
      <c r="L113">
        <v>1367</v>
      </c>
      <c r="N113">
        <v>1011</v>
      </c>
      <c r="O113" t="s">
        <v>738</v>
      </c>
      <c r="P113" t="s">
        <v>738</v>
      </c>
      <c r="Q113">
        <v>1</v>
      </c>
      <c r="W113">
        <v>0</v>
      </c>
      <c r="X113">
        <v>366114799</v>
      </c>
      <c r="Y113">
        <v>0.8125</v>
      </c>
      <c r="AA113">
        <v>0</v>
      </c>
      <c r="AB113">
        <v>2035.11</v>
      </c>
      <c r="AC113">
        <v>340.13</v>
      </c>
      <c r="AD113">
        <v>0</v>
      </c>
      <c r="AE113">
        <v>0</v>
      </c>
      <c r="AF113">
        <v>246.68</v>
      </c>
      <c r="AG113">
        <v>13.37</v>
      </c>
      <c r="AH113">
        <v>0</v>
      </c>
      <c r="AI113">
        <v>1</v>
      </c>
      <c r="AJ113">
        <v>8.25</v>
      </c>
      <c r="AK113">
        <v>25.44</v>
      </c>
      <c r="AL113">
        <v>1</v>
      </c>
      <c r="AN113">
        <v>0</v>
      </c>
      <c r="AO113">
        <v>1</v>
      </c>
      <c r="AP113">
        <v>1</v>
      </c>
      <c r="AQ113">
        <v>0</v>
      </c>
      <c r="AR113">
        <v>0</v>
      </c>
      <c r="AS113" t="s">
        <v>3</v>
      </c>
      <c r="AT113">
        <v>0.65</v>
      </c>
      <c r="AU113" t="s">
        <v>20</v>
      </c>
      <c r="AV113">
        <v>0</v>
      </c>
      <c r="AW113">
        <v>2</v>
      </c>
      <c r="AX113">
        <v>42938615</v>
      </c>
      <c r="AY113">
        <v>1</v>
      </c>
      <c r="AZ113">
        <v>0</v>
      </c>
      <c r="BA113">
        <v>111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CX113">
        <f>Y113*Source!I103</f>
        <v>0.52</v>
      </c>
      <c r="CY113">
        <f>AB113</f>
        <v>2035.11</v>
      </c>
      <c r="CZ113">
        <f>AF113</f>
        <v>246.68</v>
      </c>
      <c r="DA113">
        <f>AJ113</f>
        <v>8.25</v>
      </c>
      <c r="DB113">
        <f>ROUND((ROUND(AT113*CZ113,2)*1.25),6)</f>
        <v>200.42500000000001</v>
      </c>
      <c r="DC113">
        <f>ROUND((ROUND(AT113*AG113,2)*1.25),6)</f>
        <v>10.862500000000001</v>
      </c>
    </row>
    <row r="114" spans="1:107" x14ac:dyDescent="0.2">
      <c r="A114">
        <f>ROW(Source!A103)</f>
        <v>103</v>
      </c>
      <c r="B114">
        <v>42938047</v>
      </c>
      <c r="C114">
        <v>42938522</v>
      </c>
      <c r="D114">
        <v>36044762</v>
      </c>
      <c r="E114">
        <v>1</v>
      </c>
      <c r="F114">
        <v>1</v>
      </c>
      <c r="G114">
        <v>35973048</v>
      </c>
      <c r="H114">
        <v>2</v>
      </c>
      <c r="I114" t="s">
        <v>736</v>
      </c>
      <c r="J114" t="s">
        <v>739</v>
      </c>
      <c r="K114" t="s">
        <v>737</v>
      </c>
      <c r="L114">
        <v>1367</v>
      </c>
      <c r="N114">
        <v>1011</v>
      </c>
      <c r="O114" t="s">
        <v>738</v>
      </c>
      <c r="P114" t="s">
        <v>738</v>
      </c>
      <c r="Q114">
        <v>1</v>
      </c>
      <c r="W114">
        <v>0</v>
      </c>
      <c r="X114">
        <v>856318566</v>
      </c>
      <c r="Y114">
        <v>1.9375</v>
      </c>
      <c r="AA114">
        <v>0</v>
      </c>
      <c r="AB114">
        <v>1520.33</v>
      </c>
      <c r="AC114">
        <v>629.39</v>
      </c>
      <c r="AD114">
        <v>0</v>
      </c>
      <c r="AE114">
        <v>0</v>
      </c>
      <c r="AF114">
        <v>125.13</v>
      </c>
      <c r="AG114">
        <v>24.74</v>
      </c>
      <c r="AH114">
        <v>0</v>
      </c>
      <c r="AI114">
        <v>1</v>
      </c>
      <c r="AJ114">
        <v>12.15</v>
      </c>
      <c r="AK114">
        <v>25.44</v>
      </c>
      <c r="AL114">
        <v>1</v>
      </c>
      <c r="AN114">
        <v>0</v>
      </c>
      <c r="AO114">
        <v>1</v>
      </c>
      <c r="AP114">
        <v>1</v>
      </c>
      <c r="AQ114">
        <v>0</v>
      </c>
      <c r="AR114">
        <v>0</v>
      </c>
      <c r="AS114" t="s">
        <v>3</v>
      </c>
      <c r="AT114">
        <v>1.55</v>
      </c>
      <c r="AU114" t="s">
        <v>20</v>
      </c>
      <c r="AV114">
        <v>0</v>
      </c>
      <c r="AW114">
        <v>2</v>
      </c>
      <c r="AX114">
        <v>42938616</v>
      </c>
      <c r="AY114">
        <v>1</v>
      </c>
      <c r="AZ114">
        <v>0</v>
      </c>
      <c r="BA114">
        <v>112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CX114">
        <f>Y114*Source!I103</f>
        <v>1.24</v>
      </c>
      <c r="CY114">
        <f>AB114</f>
        <v>1520.33</v>
      </c>
      <c r="CZ114">
        <f>AF114</f>
        <v>125.13</v>
      </c>
      <c r="DA114">
        <f>AJ114</f>
        <v>12.15</v>
      </c>
      <c r="DB114">
        <f>ROUND((ROUND(AT114*CZ114,2)*1.25),6)</f>
        <v>242.4375</v>
      </c>
      <c r="DC114">
        <f>ROUND((ROUND(AT114*AG114,2)*1.25),6)</f>
        <v>47.9375</v>
      </c>
    </row>
    <row r="115" spans="1:107" x14ac:dyDescent="0.2">
      <c r="A115">
        <f>ROW(Source!A103)</f>
        <v>103</v>
      </c>
      <c r="B115">
        <v>42938047</v>
      </c>
      <c r="C115">
        <v>42938522</v>
      </c>
      <c r="D115">
        <v>36044724</v>
      </c>
      <c r="E115">
        <v>1</v>
      </c>
      <c r="F115">
        <v>1</v>
      </c>
      <c r="G115">
        <v>35973048</v>
      </c>
      <c r="H115">
        <v>2</v>
      </c>
      <c r="I115" t="s">
        <v>741</v>
      </c>
      <c r="J115" t="s">
        <v>743</v>
      </c>
      <c r="K115" t="s">
        <v>742</v>
      </c>
      <c r="L115">
        <v>1367</v>
      </c>
      <c r="N115">
        <v>1011</v>
      </c>
      <c r="O115" t="s">
        <v>738</v>
      </c>
      <c r="P115" t="s">
        <v>738</v>
      </c>
      <c r="Q115">
        <v>1</v>
      </c>
      <c r="W115">
        <v>0</v>
      </c>
      <c r="X115">
        <v>-646811103</v>
      </c>
      <c r="Y115">
        <v>0.65</v>
      </c>
      <c r="AA115">
        <v>0</v>
      </c>
      <c r="AB115">
        <v>1576.56</v>
      </c>
      <c r="AC115">
        <v>443.16</v>
      </c>
      <c r="AD115">
        <v>0</v>
      </c>
      <c r="AE115">
        <v>0</v>
      </c>
      <c r="AF115">
        <v>177.54</v>
      </c>
      <c r="AG115">
        <v>17.420000000000002</v>
      </c>
      <c r="AH115">
        <v>0</v>
      </c>
      <c r="AI115">
        <v>1</v>
      </c>
      <c r="AJ115">
        <v>8.8800000000000008</v>
      </c>
      <c r="AK115">
        <v>25.44</v>
      </c>
      <c r="AL115">
        <v>1</v>
      </c>
      <c r="AN115">
        <v>0</v>
      </c>
      <c r="AO115">
        <v>1</v>
      </c>
      <c r="AP115">
        <v>1</v>
      </c>
      <c r="AQ115">
        <v>0</v>
      </c>
      <c r="AR115">
        <v>0</v>
      </c>
      <c r="AS115" t="s">
        <v>3</v>
      </c>
      <c r="AT115">
        <v>0.52</v>
      </c>
      <c r="AU115" t="s">
        <v>20</v>
      </c>
      <c r="AV115">
        <v>0</v>
      </c>
      <c r="AW115">
        <v>2</v>
      </c>
      <c r="AX115">
        <v>42938617</v>
      </c>
      <c r="AY115">
        <v>1</v>
      </c>
      <c r="AZ115">
        <v>0</v>
      </c>
      <c r="BA115">
        <v>113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CX115">
        <f>Y115*Source!I103</f>
        <v>0.41600000000000004</v>
      </c>
      <c r="CY115">
        <f>AB115</f>
        <v>1576.56</v>
      </c>
      <c r="CZ115">
        <f>AF115</f>
        <v>177.54</v>
      </c>
      <c r="DA115">
        <f>AJ115</f>
        <v>8.8800000000000008</v>
      </c>
      <c r="DB115">
        <f>ROUND((ROUND(AT115*CZ115,2)*1.25),6)</f>
        <v>115.4</v>
      </c>
      <c r="DC115">
        <f>ROUND((ROUND(AT115*AG115,2)*1.25),6)</f>
        <v>11.324999999999999</v>
      </c>
    </row>
    <row r="116" spans="1:107" x14ac:dyDescent="0.2">
      <c r="A116">
        <f>ROW(Source!A103)</f>
        <v>103</v>
      </c>
      <c r="B116">
        <v>42938047</v>
      </c>
      <c r="C116">
        <v>42938522</v>
      </c>
      <c r="D116">
        <v>36020415</v>
      </c>
      <c r="E116">
        <v>1</v>
      </c>
      <c r="F116">
        <v>1</v>
      </c>
      <c r="G116">
        <v>35973048</v>
      </c>
      <c r="H116">
        <v>3</v>
      </c>
      <c r="I116" t="s">
        <v>469</v>
      </c>
      <c r="J116" t="s">
        <v>471</v>
      </c>
      <c r="K116" t="s">
        <v>470</v>
      </c>
      <c r="L116">
        <v>1339</v>
      </c>
      <c r="N116">
        <v>1007</v>
      </c>
      <c r="O116" t="s">
        <v>84</v>
      </c>
      <c r="P116" t="s">
        <v>84</v>
      </c>
      <c r="Q116">
        <v>1</v>
      </c>
      <c r="W116">
        <v>0</v>
      </c>
      <c r="X116">
        <v>-862991314</v>
      </c>
      <c r="Y116">
        <v>5</v>
      </c>
      <c r="AA116">
        <v>36.340000000000003</v>
      </c>
      <c r="AB116">
        <v>0</v>
      </c>
      <c r="AC116">
        <v>0</v>
      </c>
      <c r="AD116">
        <v>0</v>
      </c>
      <c r="AE116">
        <v>7.07</v>
      </c>
      <c r="AF116">
        <v>0</v>
      </c>
      <c r="AG116">
        <v>0</v>
      </c>
      <c r="AH116">
        <v>0</v>
      </c>
      <c r="AI116">
        <v>5.14</v>
      </c>
      <c r="AJ116">
        <v>1</v>
      </c>
      <c r="AK116">
        <v>1</v>
      </c>
      <c r="AL116">
        <v>1</v>
      </c>
      <c r="AN116">
        <v>0</v>
      </c>
      <c r="AO116">
        <v>1</v>
      </c>
      <c r="AP116">
        <v>0</v>
      </c>
      <c r="AQ116">
        <v>0</v>
      </c>
      <c r="AR116">
        <v>0</v>
      </c>
      <c r="AS116" t="s">
        <v>3</v>
      </c>
      <c r="AT116">
        <v>5</v>
      </c>
      <c r="AU116" t="s">
        <v>3</v>
      </c>
      <c r="AV116">
        <v>0</v>
      </c>
      <c r="AW116">
        <v>2</v>
      </c>
      <c r="AX116">
        <v>42938618</v>
      </c>
      <c r="AY116">
        <v>1</v>
      </c>
      <c r="AZ116">
        <v>0</v>
      </c>
      <c r="BA116">
        <v>114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CX116">
        <f>Y116*Source!I103</f>
        <v>3.2</v>
      </c>
      <c r="CY116">
        <f>AA116</f>
        <v>36.340000000000003</v>
      </c>
      <c r="CZ116">
        <f>AE116</f>
        <v>7.07</v>
      </c>
      <c r="DA116">
        <f>AI116</f>
        <v>5.14</v>
      </c>
      <c r="DB116">
        <f>ROUND(ROUND(AT116*CZ116,2),6)</f>
        <v>35.35</v>
      </c>
      <c r="DC116">
        <f>ROUND(ROUND(AT116*AG116,2),6)</f>
        <v>0</v>
      </c>
    </row>
    <row r="117" spans="1:107" x14ac:dyDescent="0.2">
      <c r="A117">
        <f>ROW(Source!A103)</f>
        <v>103</v>
      </c>
      <c r="B117">
        <v>42938047</v>
      </c>
      <c r="C117">
        <v>42938522</v>
      </c>
      <c r="D117">
        <v>36020974</v>
      </c>
      <c r="E117">
        <v>1</v>
      </c>
      <c r="F117">
        <v>1</v>
      </c>
      <c r="G117">
        <v>35973048</v>
      </c>
      <c r="H117">
        <v>3</v>
      </c>
      <c r="I117" t="s">
        <v>91</v>
      </c>
      <c r="J117" t="s">
        <v>93</v>
      </c>
      <c r="K117" t="s">
        <v>92</v>
      </c>
      <c r="L117">
        <v>1339</v>
      </c>
      <c r="N117">
        <v>1007</v>
      </c>
      <c r="O117" t="s">
        <v>84</v>
      </c>
      <c r="P117" t="s">
        <v>84</v>
      </c>
      <c r="Q117">
        <v>1</v>
      </c>
      <c r="W117">
        <v>0</v>
      </c>
      <c r="X117">
        <v>2069056849</v>
      </c>
      <c r="Y117">
        <v>100</v>
      </c>
      <c r="AA117">
        <v>579.65</v>
      </c>
      <c r="AB117">
        <v>0</v>
      </c>
      <c r="AC117">
        <v>0</v>
      </c>
      <c r="AD117">
        <v>0</v>
      </c>
      <c r="AE117">
        <v>104.99</v>
      </c>
      <c r="AF117">
        <v>0</v>
      </c>
      <c r="AG117">
        <v>0</v>
      </c>
      <c r="AH117">
        <v>0</v>
      </c>
      <c r="AI117">
        <v>5.51</v>
      </c>
      <c r="AJ117">
        <v>1</v>
      </c>
      <c r="AK117">
        <v>1</v>
      </c>
      <c r="AL117">
        <v>1</v>
      </c>
      <c r="AN117">
        <v>0</v>
      </c>
      <c r="AO117">
        <v>0</v>
      </c>
      <c r="AP117">
        <v>0</v>
      </c>
      <c r="AQ117">
        <v>0</v>
      </c>
      <c r="AR117">
        <v>0</v>
      </c>
      <c r="AS117" t="s">
        <v>3</v>
      </c>
      <c r="AT117">
        <v>100</v>
      </c>
      <c r="AU117" t="s">
        <v>3</v>
      </c>
      <c r="AV117">
        <v>0</v>
      </c>
      <c r="AW117">
        <v>1</v>
      </c>
      <c r="AX117">
        <v>-1</v>
      </c>
      <c r="AY117">
        <v>0</v>
      </c>
      <c r="AZ117">
        <v>0</v>
      </c>
      <c r="BA117" t="s">
        <v>3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CX117">
        <f>Y117*Source!I103</f>
        <v>64</v>
      </c>
      <c r="CY117">
        <f>AA117</f>
        <v>579.65</v>
      </c>
      <c r="CZ117">
        <f>AE117</f>
        <v>104.99</v>
      </c>
      <c r="DA117">
        <f>AI117</f>
        <v>5.51</v>
      </c>
      <c r="DB117">
        <f>ROUND(ROUND(AT117*CZ117,2),6)</f>
        <v>10499</v>
      </c>
      <c r="DC117">
        <f>ROUND(ROUND(AT117*AG117,2),6)</f>
        <v>0</v>
      </c>
    </row>
    <row r="118" spans="1:107" x14ac:dyDescent="0.2">
      <c r="A118">
        <f>ROW(Source!A105)</f>
        <v>105</v>
      </c>
      <c r="B118">
        <v>42938047</v>
      </c>
      <c r="C118">
        <v>42938404</v>
      </c>
      <c r="D118">
        <v>35973053</v>
      </c>
      <c r="E118">
        <v>35973048</v>
      </c>
      <c r="F118">
        <v>1</v>
      </c>
      <c r="G118">
        <v>35973048</v>
      </c>
      <c r="H118">
        <v>1</v>
      </c>
      <c r="I118" t="s">
        <v>1228</v>
      </c>
      <c r="J118" t="s">
        <v>3</v>
      </c>
      <c r="K118" t="s">
        <v>1229</v>
      </c>
      <c r="L118">
        <v>1191</v>
      </c>
      <c r="N118">
        <v>1013</v>
      </c>
      <c r="O118" t="s">
        <v>1230</v>
      </c>
      <c r="P118" t="s">
        <v>1230</v>
      </c>
      <c r="Q118">
        <v>1</v>
      </c>
      <c r="W118">
        <v>0</v>
      </c>
      <c r="X118">
        <v>476480486</v>
      </c>
      <c r="Y118">
        <v>12.42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1</v>
      </c>
      <c r="AJ118">
        <v>1</v>
      </c>
      <c r="AK118">
        <v>1</v>
      </c>
      <c r="AL118">
        <v>25.44</v>
      </c>
      <c r="AN118">
        <v>0</v>
      </c>
      <c r="AO118">
        <v>1</v>
      </c>
      <c r="AP118">
        <v>1</v>
      </c>
      <c r="AQ118">
        <v>0</v>
      </c>
      <c r="AR118">
        <v>0</v>
      </c>
      <c r="AS118" t="s">
        <v>3</v>
      </c>
      <c r="AT118">
        <v>10.8</v>
      </c>
      <c r="AU118" t="s">
        <v>21</v>
      </c>
      <c r="AV118">
        <v>1</v>
      </c>
      <c r="AW118">
        <v>2</v>
      </c>
      <c r="AX118">
        <v>42938408</v>
      </c>
      <c r="AY118">
        <v>1</v>
      </c>
      <c r="AZ118">
        <v>0</v>
      </c>
      <c r="BA118">
        <v>116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CX118">
        <f>Y118*Source!I105</f>
        <v>3.9744000000000002</v>
      </c>
      <c r="CY118">
        <f>AD118</f>
        <v>0</v>
      </c>
      <c r="CZ118">
        <f>AH118</f>
        <v>0</v>
      </c>
      <c r="DA118">
        <f>AL118</f>
        <v>25.44</v>
      </c>
      <c r="DB118">
        <f>ROUND((ROUND(AT118*CZ118,2)*1.15),6)</f>
        <v>0</v>
      </c>
      <c r="DC118">
        <f>ROUND((ROUND(AT118*AG118,2)*1.15),6)</f>
        <v>0</v>
      </c>
    </row>
    <row r="119" spans="1:107" x14ac:dyDescent="0.2">
      <c r="A119">
        <f>ROW(Source!A105)</f>
        <v>105</v>
      </c>
      <c r="B119">
        <v>42938047</v>
      </c>
      <c r="C119">
        <v>42938404</v>
      </c>
      <c r="D119">
        <v>36044927</v>
      </c>
      <c r="E119">
        <v>1</v>
      </c>
      <c r="F119">
        <v>1</v>
      </c>
      <c r="G119">
        <v>35973048</v>
      </c>
      <c r="H119">
        <v>2</v>
      </c>
      <c r="I119" t="s">
        <v>1335</v>
      </c>
      <c r="J119" t="s">
        <v>1336</v>
      </c>
      <c r="K119" t="s">
        <v>1337</v>
      </c>
      <c r="L119">
        <v>1367</v>
      </c>
      <c r="N119">
        <v>1011</v>
      </c>
      <c r="O119" t="s">
        <v>738</v>
      </c>
      <c r="P119" t="s">
        <v>738</v>
      </c>
      <c r="Q119">
        <v>1</v>
      </c>
      <c r="W119">
        <v>0</v>
      </c>
      <c r="X119">
        <v>-1426791</v>
      </c>
      <c r="Y119">
        <v>13.125</v>
      </c>
      <c r="AA119">
        <v>0</v>
      </c>
      <c r="AB119">
        <v>762.06</v>
      </c>
      <c r="AC119">
        <v>470.13</v>
      </c>
      <c r="AD119">
        <v>0</v>
      </c>
      <c r="AE119">
        <v>0</v>
      </c>
      <c r="AF119">
        <v>60.77</v>
      </c>
      <c r="AG119">
        <v>18.48</v>
      </c>
      <c r="AH119">
        <v>0</v>
      </c>
      <c r="AI119">
        <v>1</v>
      </c>
      <c r="AJ119">
        <v>12.54</v>
      </c>
      <c r="AK119">
        <v>25.44</v>
      </c>
      <c r="AL119">
        <v>1</v>
      </c>
      <c r="AN119">
        <v>0</v>
      </c>
      <c r="AO119">
        <v>1</v>
      </c>
      <c r="AP119">
        <v>1</v>
      </c>
      <c r="AQ119">
        <v>0</v>
      </c>
      <c r="AR119">
        <v>0</v>
      </c>
      <c r="AS119" t="s">
        <v>3</v>
      </c>
      <c r="AT119">
        <v>10.5</v>
      </c>
      <c r="AU119" t="s">
        <v>20</v>
      </c>
      <c r="AV119">
        <v>0</v>
      </c>
      <c r="AW119">
        <v>2</v>
      </c>
      <c r="AX119">
        <v>42938409</v>
      </c>
      <c r="AY119">
        <v>1</v>
      </c>
      <c r="AZ119">
        <v>0</v>
      </c>
      <c r="BA119">
        <v>117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CX119">
        <f>Y119*Source!I105</f>
        <v>4.2</v>
      </c>
      <c r="CY119">
        <f>AB119</f>
        <v>762.06</v>
      </c>
      <c r="CZ119">
        <f>AF119</f>
        <v>60.77</v>
      </c>
      <c r="DA119">
        <f>AJ119</f>
        <v>12.54</v>
      </c>
      <c r="DB119">
        <f>ROUND((ROUND(AT119*CZ119,2)*1.25),6)</f>
        <v>797.61249999999995</v>
      </c>
      <c r="DC119">
        <f>ROUND((ROUND(AT119*AG119,2)*1.25),6)</f>
        <v>242.55</v>
      </c>
    </row>
    <row r="120" spans="1:107" x14ac:dyDescent="0.2">
      <c r="A120">
        <f>ROW(Source!A105)</f>
        <v>105</v>
      </c>
      <c r="B120">
        <v>42938047</v>
      </c>
      <c r="C120">
        <v>42938404</v>
      </c>
      <c r="D120">
        <v>36045337</v>
      </c>
      <c r="E120">
        <v>1</v>
      </c>
      <c r="F120">
        <v>1</v>
      </c>
      <c r="G120">
        <v>35973048</v>
      </c>
      <c r="H120">
        <v>2</v>
      </c>
      <c r="I120" t="s">
        <v>1299</v>
      </c>
      <c r="J120" t="s">
        <v>1300</v>
      </c>
      <c r="K120" t="s">
        <v>1301</v>
      </c>
      <c r="L120">
        <v>1367</v>
      </c>
      <c r="N120">
        <v>1011</v>
      </c>
      <c r="O120" t="s">
        <v>738</v>
      </c>
      <c r="P120" t="s">
        <v>738</v>
      </c>
      <c r="Q120">
        <v>1</v>
      </c>
      <c r="W120">
        <v>0</v>
      </c>
      <c r="X120">
        <v>1280158331</v>
      </c>
      <c r="Y120">
        <v>13.125</v>
      </c>
      <c r="AA120">
        <v>0</v>
      </c>
      <c r="AB120">
        <v>3.85</v>
      </c>
      <c r="AC120">
        <v>2.29</v>
      </c>
      <c r="AD120">
        <v>0</v>
      </c>
      <c r="AE120">
        <v>0</v>
      </c>
      <c r="AF120">
        <v>0.56000000000000005</v>
      </c>
      <c r="AG120">
        <v>0.09</v>
      </c>
      <c r="AH120">
        <v>0</v>
      </c>
      <c r="AI120">
        <v>1</v>
      </c>
      <c r="AJ120">
        <v>6.88</v>
      </c>
      <c r="AK120">
        <v>25.44</v>
      </c>
      <c r="AL120">
        <v>1</v>
      </c>
      <c r="AN120">
        <v>0</v>
      </c>
      <c r="AO120">
        <v>1</v>
      </c>
      <c r="AP120">
        <v>1</v>
      </c>
      <c r="AQ120">
        <v>0</v>
      </c>
      <c r="AR120">
        <v>0</v>
      </c>
      <c r="AS120" t="s">
        <v>3</v>
      </c>
      <c r="AT120">
        <v>10.5</v>
      </c>
      <c r="AU120" t="s">
        <v>20</v>
      </c>
      <c r="AV120">
        <v>0</v>
      </c>
      <c r="AW120">
        <v>2</v>
      </c>
      <c r="AX120">
        <v>42938410</v>
      </c>
      <c r="AY120">
        <v>1</v>
      </c>
      <c r="AZ120">
        <v>0</v>
      </c>
      <c r="BA120">
        <v>118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CX120">
        <f>Y120*Source!I105</f>
        <v>4.2</v>
      </c>
      <c r="CY120">
        <f>AB120</f>
        <v>3.85</v>
      </c>
      <c r="CZ120">
        <f>AF120</f>
        <v>0.56000000000000005</v>
      </c>
      <c r="DA120">
        <f>AJ120</f>
        <v>6.88</v>
      </c>
      <c r="DB120">
        <f>ROUND((ROUND(AT120*CZ120,2)*1.25),6)</f>
        <v>7.35</v>
      </c>
      <c r="DC120">
        <f>ROUND((ROUND(AT120*AG120,2)*1.25),6)</f>
        <v>1.1875</v>
      </c>
    </row>
    <row r="121" spans="1:107" x14ac:dyDescent="0.2">
      <c r="A121">
        <f>ROW(Source!A106)</f>
        <v>106</v>
      </c>
      <c r="B121">
        <v>42938047</v>
      </c>
      <c r="C121">
        <v>42938411</v>
      </c>
      <c r="D121">
        <v>35973053</v>
      </c>
      <c r="E121">
        <v>35973048</v>
      </c>
      <c r="F121">
        <v>1</v>
      </c>
      <c r="G121">
        <v>35973048</v>
      </c>
      <c r="H121">
        <v>1</v>
      </c>
      <c r="I121" t="s">
        <v>1228</v>
      </c>
      <c r="J121" t="s">
        <v>3</v>
      </c>
      <c r="K121" t="s">
        <v>1229</v>
      </c>
      <c r="L121">
        <v>1191</v>
      </c>
      <c r="N121">
        <v>1013</v>
      </c>
      <c r="O121" t="s">
        <v>1230</v>
      </c>
      <c r="P121" t="s">
        <v>1230</v>
      </c>
      <c r="Q121">
        <v>1</v>
      </c>
      <c r="W121">
        <v>0</v>
      </c>
      <c r="X121">
        <v>476480486</v>
      </c>
      <c r="Y121">
        <v>31.855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1</v>
      </c>
      <c r="AJ121">
        <v>1</v>
      </c>
      <c r="AK121">
        <v>1</v>
      </c>
      <c r="AL121">
        <v>25.44</v>
      </c>
      <c r="AN121">
        <v>0</v>
      </c>
      <c r="AO121">
        <v>1</v>
      </c>
      <c r="AP121">
        <v>1</v>
      </c>
      <c r="AQ121">
        <v>0</v>
      </c>
      <c r="AR121">
        <v>0</v>
      </c>
      <c r="AS121" t="s">
        <v>3</v>
      </c>
      <c r="AT121">
        <v>27.7</v>
      </c>
      <c r="AU121" t="s">
        <v>21</v>
      </c>
      <c r="AV121">
        <v>1</v>
      </c>
      <c r="AW121">
        <v>2</v>
      </c>
      <c r="AX121">
        <v>42938423</v>
      </c>
      <c r="AY121">
        <v>1</v>
      </c>
      <c r="AZ121">
        <v>2048</v>
      </c>
      <c r="BA121">
        <v>119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CX121">
        <f>Y121*Source!I106</f>
        <v>10.1936</v>
      </c>
      <c r="CY121">
        <f>AD121</f>
        <v>0</v>
      </c>
      <c r="CZ121">
        <f>AH121</f>
        <v>0</v>
      </c>
      <c r="DA121">
        <f>AL121</f>
        <v>25.44</v>
      </c>
      <c r="DB121">
        <f>ROUND((ROUND(AT121*CZ121,2)*1.15),6)</f>
        <v>0</v>
      </c>
      <c r="DC121">
        <f>ROUND((ROUND(AT121*AG121,2)*1.15),6)</f>
        <v>0</v>
      </c>
    </row>
    <row r="122" spans="1:107" x14ac:dyDescent="0.2">
      <c r="A122">
        <f>ROW(Source!A106)</f>
        <v>106</v>
      </c>
      <c r="B122">
        <v>42938047</v>
      </c>
      <c r="C122">
        <v>42938411</v>
      </c>
      <c r="D122">
        <v>36044488</v>
      </c>
      <c r="E122">
        <v>1</v>
      </c>
      <c r="F122">
        <v>1</v>
      </c>
      <c r="G122">
        <v>35973048</v>
      </c>
      <c r="H122">
        <v>2</v>
      </c>
      <c r="I122" t="s">
        <v>1252</v>
      </c>
      <c r="J122" t="s">
        <v>1253</v>
      </c>
      <c r="K122" t="s">
        <v>1254</v>
      </c>
      <c r="L122">
        <v>1367</v>
      </c>
      <c r="N122">
        <v>1011</v>
      </c>
      <c r="O122" t="s">
        <v>738</v>
      </c>
      <c r="P122" t="s">
        <v>738</v>
      </c>
      <c r="Q122">
        <v>1</v>
      </c>
      <c r="W122">
        <v>0</v>
      </c>
      <c r="X122">
        <v>1387947568</v>
      </c>
      <c r="Y122">
        <v>3.15</v>
      </c>
      <c r="AA122">
        <v>0</v>
      </c>
      <c r="AB122">
        <v>1464.71</v>
      </c>
      <c r="AC122">
        <v>450.29</v>
      </c>
      <c r="AD122">
        <v>0</v>
      </c>
      <c r="AE122">
        <v>0</v>
      </c>
      <c r="AF122">
        <v>161.49</v>
      </c>
      <c r="AG122">
        <v>17.7</v>
      </c>
      <c r="AH122">
        <v>0</v>
      </c>
      <c r="AI122">
        <v>1</v>
      </c>
      <c r="AJ122">
        <v>9.07</v>
      </c>
      <c r="AK122">
        <v>25.44</v>
      </c>
      <c r="AL122">
        <v>1</v>
      </c>
      <c r="AN122">
        <v>0</v>
      </c>
      <c r="AO122">
        <v>1</v>
      </c>
      <c r="AP122">
        <v>1</v>
      </c>
      <c r="AQ122">
        <v>0</v>
      </c>
      <c r="AR122">
        <v>0</v>
      </c>
      <c r="AS122" t="s">
        <v>3</v>
      </c>
      <c r="AT122">
        <v>2.52</v>
      </c>
      <c r="AU122" t="s">
        <v>20</v>
      </c>
      <c r="AV122">
        <v>0</v>
      </c>
      <c r="AW122">
        <v>2</v>
      </c>
      <c r="AX122">
        <v>42938424</v>
      </c>
      <c r="AY122">
        <v>1</v>
      </c>
      <c r="AZ122">
        <v>0</v>
      </c>
      <c r="BA122">
        <v>120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CX122">
        <f>Y122*Source!I106</f>
        <v>1.008</v>
      </c>
      <c r="CY122">
        <f>AB122</f>
        <v>1464.71</v>
      </c>
      <c r="CZ122">
        <f>AF122</f>
        <v>161.49</v>
      </c>
      <c r="DA122">
        <f>AJ122</f>
        <v>9.07</v>
      </c>
      <c r="DB122">
        <f>ROUND((ROUND(AT122*CZ122,2)*1.25),6)</f>
        <v>508.6875</v>
      </c>
      <c r="DC122">
        <f>ROUND((ROUND(AT122*AG122,2)*1.25),6)</f>
        <v>55.75</v>
      </c>
    </row>
    <row r="123" spans="1:107" x14ac:dyDescent="0.2">
      <c r="A123">
        <f>ROW(Source!A106)</f>
        <v>106</v>
      </c>
      <c r="B123">
        <v>42938047</v>
      </c>
      <c r="C123">
        <v>42938411</v>
      </c>
      <c r="D123">
        <v>36044727</v>
      </c>
      <c r="E123">
        <v>1</v>
      </c>
      <c r="F123">
        <v>1</v>
      </c>
      <c r="G123">
        <v>35973048</v>
      </c>
      <c r="H123">
        <v>2</v>
      </c>
      <c r="I123" t="s">
        <v>1291</v>
      </c>
      <c r="J123" t="s">
        <v>1292</v>
      </c>
      <c r="K123" t="s">
        <v>1293</v>
      </c>
      <c r="L123">
        <v>1367</v>
      </c>
      <c r="N123">
        <v>1011</v>
      </c>
      <c r="O123" t="s">
        <v>738</v>
      </c>
      <c r="P123" t="s">
        <v>738</v>
      </c>
      <c r="Q123">
        <v>1</v>
      </c>
      <c r="W123">
        <v>0</v>
      </c>
      <c r="X123">
        <v>-1293364201</v>
      </c>
      <c r="Y123">
        <v>1.2749999999999999</v>
      </c>
      <c r="AA123">
        <v>0</v>
      </c>
      <c r="AB123">
        <v>2153.7199999999998</v>
      </c>
      <c r="AC123">
        <v>441.13</v>
      </c>
      <c r="AD123">
        <v>0</v>
      </c>
      <c r="AE123">
        <v>0</v>
      </c>
      <c r="AF123">
        <v>258.24</v>
      </c>
      <c r="AG123">
        <v>17.34</v>
      </c>
      <c r="AH123">
        <v>0</v>
      </c>
      <c r="AI123">
        <v>1</v>
      </c>
      <c r="AJ123">
        <v>8.34</v>
      </c>
      <c r="AK123">
        <v>25.44</v>
      </c>
      <c r="AL123">
        <v>1</v>
      </c>
      <c r="AN123">
        <v>0</v>
      </c>
      <c r="AO123">
        <v>1</v>
      </c>
      <c r="AP123">
        <v>1</v>
      </c>
      <c r="AQ123">
        <v>0</v>
      </c>
      <c r="AR123">
        <v>0</v>
      </c>
      <c r="AS123" t="s">
        <v>3</v>
      </c>
      <c r="AT123">
        <v>1.02</v>
      </c>
      <c r="AU123" t="s">
        <v>20</v>
      </c>
      <c r="AV123">
        <v>0</v>
      </c>
      <c r="AW123">
        <v>2</v>
      </c>
      <c r="AX123">
        <v>42938425</v>
      </c>
      <c r="AY123">
        <v>1</v>
      </c>
      <c r="AZ123">
        <v>0</v>
      </c>
      <c r="BA123">
        <v>121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CX123">
        <f>Y123*Source!I106</f>
        <v>0.40799999999999997</v>
      </c>
      <c r="CY123">
        <f>AB123</f>
        <v>2153.7199999999998</v>
      </c>
      <c r="CZ123">
        <f>AF123</f>
        <v>258.24</v>
      </c>
      <c r="DA123">
        <f>AJ123</f>
        <v>8.34</v>
      </c>
      <c r="DB123">
        <f>ROUND((ROUND(AT123*CZ123,2)*1.25),6)</f>
        <v>329.25</v>
      </c>
      <c r="DC123">
        <f>ROUND((ROUND(AT123*AG123,2)*1.25),6)</f>
        <v>22.112500000000001</v>
      </c>
    </row>
    <row r="124" spans="1:107" x14ac:dyDescent="0.2">
      <c r="A124">
        <f>ROW(Source!A106)</f>
        <v>106</v>
      </c>
      <c r="B124">
        <v>42938047</v>
      </c>
      <c r="C124">
        <v>42938411</v>
      </c>
      <c r="D124">
        <v>36021763</v>
      </c>
      <c r="E124">
        <v>1</v>
      </c>
      <c r="F124">
        <v>1</v>
      </c>
      <c r="G124">
        <v>35973048</v>
      </c>
      <c r="H124">
        <v>3</v>
      </c>
      <c r="I124" t="s">
        <v>294</v>
      </c>
      <c r="J124" t="s">
        <v>296</v>
      </c>
      <c r="K124" t="s">
        <v>295</v>
      </c>
      <c r="L124">
        <v>1327</v>
      </c>
      <c r="N124">
        <v>1005</v>
      </c>
      <c r="O124" t="s">
        <v>120</v>
      </c>
      <c r="P124" t="s">
        <v>120</v>
      </c>
      <c r="Q124">
        <v>1</v>
      </c>
      <c r="W124">
        <v>0</v>
      </c>
      <c r="X124">
        <v>544087257</v>
      </c>
      <c r="Y124">
        <v>1093.75</v>
      </c>
      <c r="AA124">
        <v>59.2</v>
      </c>
      <c r="AB124">
        <v>0</v>
      </c>
      <c r="AC124">
        <v>0</v>
      </c>
      <c r="AD124">
        <v>0</v>
      </c>
      <c r="AE124">
        <v>13.87</v>
      </c>
      <c r="AF124">
        <v>0</v>
      </c>
      <c r="AG124">
        <v>0</v>
      </c>
      <c r="AH124">
        <v>0</v>
      </c>
      <c r="AI124">
        <v>4.26</v>
      </c>
      <c r="AJ124">
        <v>1</v>
      </c>
      <c r="AK124">
        <v>1</v>
      </c>
      <c r="AL124">
        <v>1</v>
      </c>
      <c r="AN124">
        <v>0</v>
      </c>
      <c r="AO124">
        <v>0</v>
      </c>
      <c r="AP124">
        <v>0</v>
      </c>
      <c r="AQ124">
        <v>0</v>
      </c>
      <c r="AR124">
        <v>0</v>
      </c>
      <c r="AS124" t="s">
        <v>3</v>
      </c>
      <c r="AT124">
        <v>1093.75</v>
      </c>
      <c r="AU124" t="s">
        <v>3</v>
      </c>
      <c r="AV124">
        <v>0</v>
      </c>
      <c r="AW124">
        <v>1</v>
      </c>
      <c r="AX124">
        <v>-1</v>
      </c>
      <c r="AY124">
        <v>0</v>
      </c>
      <c r="AZ124">
        <v>0</v>
      </c>
      <c r="BA124" t="s">
        <v>3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CX124">
        <f>Y124*Source!I106</f>
        <v>350</v>
      </c>
      <c r="CY124">
        <f>AA124</f>
        <v>59.2</v>
      </c>
      <c r="CZ124">
        <f>AE124</f>
        <v>13.87</v>
      </c>
      <c r="DA124">
        <f>AI124</f>
        <v>4.26</v>
      </c>
      <c r="DB124">
        <f>ROUND(ROUND(AT124*CZ124,2),6)</f>
        <v>15170.31</v>
      </c>
      <c r="DC124">
        <f>ROUND(ROUND(AT124*AG124,2),6)</f>
        <v>0</v>
      </c>
    </row>
    <row r="125" spans="1:107" x14ac:dyDescent="0.2">
      <c r="A125">
        <f>ROW(Source!A106)</f>
        <v>106</v>
      </c>
      <c r="B125">
        <v>42938047</v>
      </c>
      <c r="C125">
        <v>42938411</v>
      </c>
      <c r="D125">
        <v>35994366</v>
      </c>
      <c r="E125">
        <v>35973048</v>
      </c>
      <c r="F125">
        <v>1</v>
      </c>
      <c r="G125">
        <v>35973048</v>
      </c>
      <c r="H125">
        <v>3</v>
      </c>
      <c r="I125" t="s">
        <v>1294</v>
      </c>
      <c r="J125" t="s">
        <v>3</v>
      </c>
      <c r="K125" t="s">
        <v>1295</v>
      </c>
      <c r="L125">
        <v>1344</v>
      </c>
      <c r="N125">
        <v>1008</v>
      </c>
      <c r="O125" t="s">
        <v>1245</v>
      </c>
      <c r="P125" t="s">
        <v>1245</v>
      </c>
      <c r="Q125">
        <v>1</v>
      </c>
      <c r="W125">
        <v>0</v>
      </c>
      <c r="X125">
        <v>-94250534</v>
      </c>
      <c r="Y125">
        <v>0.49</v>
      </c>
      <c r="AA125">
        <v>6.58</v>
      </c>
      <c r="AB125">
        <v>0</v>
      </c>
      <c r="AC125">
        <v>0</v>
      </c>
      <c r="AD125">
        <v>0</v>
      </c>
      <c r="AE125">
        <v>1</v>
      </c>
      <c r="AF125">
        <v>0</v>
      </c>
      <c r="AG125">
        <v>0</v>
      </c>
      <c r="AH125">
        <v>0</v>
      </c>
      <c r="AI125">
        <v>6.57</v>
      </c>
      <c r="AJ125">
        <v>1</v>
      </c>
      <c r="AK125">
        <v>1</v>
      </c>
      <c r="AL125">
        <v>1</v>
      </c>
      <c r="AN125">
        <v>0</v>
      </c>
      <c r="AO125">
        <v>1</v>
      </c>
      <c r="AP125">
        <v>0</v>
      </c>
      <c r="AQ125">
        <v>0</v>
      </c>
      <c r="AR125">
        <v>0</v>
      </c>
      <c r="AS125" t="s">
        <v>3</v>
      </c>
      <c r="AT125">
        <v>0.49</v>
      </c>
      <c r="AU125" t="s">
        <v>3</v>
      </c>
      <c r="AV125">
        <v>0</v>
      </c>
      <c r="AW125">
        <v>2</v>
      </c>
      <c r="AX125">
        <v>42938427</v>
      </c>
      <c r="AY125">
        <v>1</v>
      </c>
      <c r="AZ125">
        <v>0</v>
      </c>
      <c r="BA125">
        <v>123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CX125">
        <f>Y125*Source!I106</f>
        <v>0.15679999999999999</v>
      </c>
      <c r="CY125">
        <f>AA125</f>
        <v>6.58</v>
      </c>
      <c r="CZ125">
        <f>AE125</f>
        <v>1</v>
      </c>
      <c r="DA125">
        <f>AI125</f>
        <v>6.57</v>
      </c>
      <c r="DB125">
        <f>ROUND(ROUND(AT125*CZ125,2),6)</f>
        <v>0.49</v>
      </c>
      <c r="DC125">
        <f>ROUND(ROUND(AT125*AG125,2),6)</f>
        <v>0</v>
      </c>
    </row>
    <row r="126" spans="1:107" x14ac:dyDescent="0.2">
      <c r="A126">
        <f>ROW(Source!A108)</f>
        <v>108</v>
      </c>
      <c r="B126">
        <v>42938047</v>
      </c>
      <c r="C126">
        <v>42938431</v>
      </c>
      <c r="D126">
        <v>35973053</v>
      </c>
      <c r="E126">
        <v>35973048</v>
      </c>
      <c r="F126">
        <v>1</v>
      </c>
      <c r="G126">
        <v>35973048</v>
      </c>
      <c r="H126">
        <v>1</v>
      </c>
      <c r="I126" t="s">
        <v>1228</v>
      </c>
      <c r="J126" t="s">
        <v>3</v>
      </c>
      <c r="K126" t="s">
        <v>1229</v>
      </c>
      <c r="L126">
        <v>1191</v>
      </c>
      <c r="N126">
        <v>1013</v>
      </c>
      <c r="O126" t="s">
        <v>1230</v>
      </c>
      <c r="P126" t="s">
        <v>1230</v>
      </c>
      <c r="Q126">
        <v>1</v>
      </c>
      <c r="W126">
        <v>0</v>
      </c>
      <c r="X126">
        <v>476480486</v>
      </c>
      <c r="Y126">
        <v>138.1035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1</v>
      </c>
      <c r="AJ126">
        <v>1</v>
      </c>
      <c r="AK126">
        <v>1</v>
      </c>
      <c r="AL126">
        <v>25.44</v>
      </c>
      <c r="AN126">
        <v>0</v>
      </c>
      <c r="AO126">
        <v>1</v>
      </c>
      <c r="AP126">
        <v>1</v>
      </c>
      <c r="AQ126">
        <v>0</v>
      </c>
      <c r="AR126">
        <v>0</v>
      </c>
      <c r="AS126" t="s">
        <v>3</v>
      </c>
      <c r="AT126">
        <v>120.09</v>
      </c>
      <c r="AU126" t="s">
        <v>21</v>
      </c>
      <c r="AV126">
        <v>1</v>
      </c>
      <c r="AW126">
        <v>2</v>
      </c>
      <c r="AX126">
        <v>42938452</v>
      </c>
      <c r="AY126">
        <v>1</v>
      </c>
      <c r="AZ126">
        <v>0</v>
      </c>
      <c r="BA126">
        <v>124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CX126">
        <f>Y126*Source!I108</f>
        <v>441.93119999999999</v>
      </c>
      <c r="CY126">
        <f>AD126</f>
        <v>0</v>
      </c>
      <c r="CZ126">
        <f>AH126</f>
        <v>0</v>
      </c>
      <c r="DA126">
        <f>AL126</f>
        <v>25.44</v>
      </c>
      <c r="DB126">
        <f>ROUND((ROUND(AT126*CZ126,2)*1.15),6)</f>
        <v>0</v>
      </c>
      <c r="DC126">
        <f>ROUND((ROUND(AT126*AG126,2)*1.15),6)</f>
        <v>0</v>
      </c>
    </row>
    <row r="127" spans="1:107" x14ac:dyDescent="0.2">
      <c r="A127">
        <f>ROW(Source!A108)</f>
        <v>108</v>
      </c>
      <c r="B127">
        <v>42938047</v>
      </c>
      <c r="C127">
        <v>42938431</v>
      </c>
      <c r="D127">
        <v>36045202</v>
      </c>
      <c r="E127">
        <v>1</v>
      </c>
      <c r="F127">
        <v>1</v>
      </c>
      <c r="G127">
        <v>35973048</v>
      </c>
      <c r="H127">
        <v>2</v>
      </c>
      <c r="I127" t="s">
        <v>1338</v>
      </c>
      <c r="J127" t="s">
        <v>1339</v>
      </c>
      <c r="K127" t="s">
        <v>1340</v>
      </c>
      <c r="L127">
        <v>1367</v>
      </c>
      <c r="N127">
        <v>1011</v>
      </c>
      <c r="O127" t="s">
        <v>738</v>
      </c>
      <c r="P127" t="s">
        <v>738</v>
      </c>
      <c r="Q127">
        <v>1</v>
      </c>
      <c r="W127">
        <v>0</v>
      </c>
      <c r="X127">
        <v>-1049359691</v>
      </c>
      <c r="Y127">
        <v>4.0999999999999996</v>
      </c>
      <c r="AA127">
        <v>0</v>
      </c>
      <c r="AB127">
        <v>97.03</v>
      </c>
      <c r="AC127">
        <v>3.82</v>
      </c>
      <c r="AD127">
        <v>0</v>
      </c>
      <c r="AE127">
        <v>0</v>
      </c>
      <c r="AF127">
        <v>17.420000000000002</v>
      </c>
      <c r="AG127">
        <v>0.15</v>
      </c>
      <c r="AH127">
        <v>0</v>
      </c>
      <c r="AI127">
        <v>1</v>
      </c>
      <c r="AJ127">
        <v>5.57</v>
      </c>
      <c r="AK127">
        <v>25.44</v>
      </c>
      <c r="AL127">
        <v>1</v>
      </c>
      <c r="AN127">
        <v>0</v>
      </c>
      <c r="AO127">
        <v>1</v>
      </c>
      <c r="AP127">
        <v>1</v>
      </c>
      <c r="AQ127">
        <v>0</v>
      </c>
      <c r="AR127">
        <v>0</v>
      </c>
      <c r="AS127" t="s">
        <v>3</v>
      </c>
      <c r="AT127">
        <v>3.28</v>
      </c>
      <c r="AU127" t="s">
        <v>20</v>
      </c>
      <c r="AV127">
        <v>0</v>
      </c>
      <c r="AW127">
        <v>2</v>
      </c>
      <c r="AX127">
        <v>42938453</v>
      </c>
      <c r="AY127">
        <v>1</v>
      </c>
      <c r="AZ127">
        <v>0</v>
      </c>
      <c r="BA127">
        <v>125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CX127">
        <f>Y127*Source!I108</f>
        <v>13.12</v>
      </c>
      <c r="CY127">
        <f>AB127</f>
        <v>97.03</v>
      </c>
      <c r="CZ127">
        <f>AF127</f>
        <v>17.420000000000002</v>
      </c>
      <c r="DA127">
        <f>AJ127</f>
        <v>5.57</v>
      </c>
      <c r="DB127">
        <f>ROUND((ROUND(AT127*CZ127,2)*1.25),6)</f>
        <v>71.424999999999997</v>
      </c>
      <c r="DC127">
        <f>ROUND((ROUND(AT127*AG127,2)*1.25),6)</f>
        <v>0.61250000000000004</v>
      </c>
    </row>
    <row r="128" spans="1:107" x14ac:dyDescent="0.2">
      <c r="A128">
        <f>ROW(Source!A108)</f>
        <v>108</v>
      </c>
      <c r="B128">
        <v>42938047</v>
      </c>
      <c r="C128">
        <v>42938431</v>
      </c>
      <c r="D128">
        <v>36045308</v>
      </c>
      <c r="E128">
        <v>1</v>
      </c>
      <c r="F128">
        <v>1</v>
      </c>
      <c r="G128">
        <v>35973048</v>
      </c>
      <c r="H128">
        <v>2</v>
      </c>
      <c r="I128" t="s">
        <v>1231</v>
      </c>
      <c r="J128" t="s">
        <v>1232</v>
      </c>
      <c r="K128" t="s">
        <v>1233</v>
      </c>
      <c r="L128">
        <v>1367</v>
      </c>
      <c r="N128">
        <v>1011</v>
      </c>
      <c r="O128" t="s">
        <v>738</v>
      </c>
      <c r="P128" t="s">
        <v>738</v>
      </c>
      <c r="Q128">
        <v>1</v>
      </c>
      <c r="W128">
        <v>0</v>
      </c>
      <c r="X128">
        <v>-628430174</v>
      </c>
      <c r="Y128">
        <v>1.0125</v>
      </c>
      <c r="AA128">
        <v>0</v>
      </c>
      <c r="AB128">
        <v>748.13</v>
      </c>
      <c r="AC128">
        <v>365.32</v>
      </c>
      <c r="AD128">
        <v>0</v>
      </c>
      <c r="AE128">
        <v>0</v>
      </c>
      <c r="AF128">
        <v>76.81</v>
      </c>
      <c r="AG128">
        <v>14.36</v>
      </c>
      <c r="AH128">
        <v>0</v>
      </c>
      <c r="AI128">
        <v>1</v>
      </c>
      <c r="AJ128">
        <v>9.74</v>
      </c>
      <c r="AK128">
        <v>25.44</v>
      </c>
      <c r="AL128">
        <v>1</v>
      </c>
      <c r="AN128">
        <v>0</v>
      </c>
      <c r="AO128">
        <v>1</v>
      </c>
      <c r="AP128">
        <v>1</v>
      </c>
      <c r="AQ128">
        <v>0</v>
      </c>
      <c r="AR128">
        <v>0</v>
      </c>
      <c r="AS128" t="s">
        <v>3</v>
      </c>
      <c r="AT128">
        <v>0.81</v>
      </c>
      <c r="AU128" t="s">
        <v>20</v>
      </c>
      <c r="AV128">
        <v>0</v>
      </c>
      <c r="AW128">
        <v>2</v>
      </c>
      <c r="AX128">
        <v>42938454</v>
      </c>
      <c r="AY128">
        <v>1</v>
      </c>
      <c r="AZ128">
        <v>2048</v>
      </c>
      <c r="BA128">
        <v>126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CX128">
        <f>Y128*Source!I108</f>
        <v>3.24</v>
      </c>
      <c r="CY128">
        <f>AB128</f>
        <v>748.13</v>
      </c>
      <c r="CZ128">
        <f>AF128</f>
        <v>76.81</v>
      </c>
      <c r="DA128">
        <f>AJ128</f>
        <v>9.74</v>
      </c>
      <c r="DB128">
        <f>ROUND((ROUND(AT128*CZ128,2)*1.25),6)</f>
        <v>77.775000000000006</v>
      </c>
      <c r="DC128">
        <f>ROUND((ROUND(AT128*AG128,2)*1.25),6)</f>
        <v>14.5375</v>
      </c>
    </row>
    <row r="129" spans="1:107" x14ac:dyDescent="0.2">
      <c r="A129">
        <f>ROW(Source!A108)</f>
        <v>108</v>
      </c>
      <c r="B129">
        <v>42938047</v>
      </c>
      <c r="C129">
        <v>42938431</v>
      </c>
      <c r="D129">
        <v>36045362</v>
      </c>
      <c r="E129">
        <v>1</v>
      </c>
      <c r="F129">
        <v>1</v>
      </c>
      <c r="G129">
        <v>35973048</v>
      </c>
      <c r="H129">
        <v>2</v>
      </c>
      <c r="I129" t="s">
        <v>1341</v>
      </c>
      <c r="J129" t="s">
        <v>1342</v>
      </c>
      <c r="K129" t="s">
        <v>1343</v>
      </c>
      <c r="L129">
        <v>1367</v>
      </c>
      <c r="N129">
        <v>1011</v>
      </c>
      <c r="O129" t="s">
        <v>738</v>
      </c>
      <c r="P129" t="s">
        <v>738</v>
      </c>
      <c r="Q129">
        <v>1</v>
      </c>
      <c r="W129">
        <v>0</v>
      </c>
      <c r="X129">
        <v>2073069139</v>
      </c>
      <c r="Y129">
        <v>0.41249999999999998</v>
      </c>
      <c r="AA129">
        <v>0</v>
      </c>
      <c r="AB129">
        <v>4.5</v>
      </c>
      <c r="AC129">
        <v>0.76</v>
      </c>
      <c r="AD129">
        <v>0</v>
      </c>
      <c r="AE129">
        <v>0</v>
      </c>
      <c r="AF129">
        <v>0.81</v>
      </c>
      <c r="AG129">
        <v>0.03</v>
      </c>
      <c r="AH129">
        <v>0</v>
      </c>
      <c r="AI129">
        <v>1</v>
      </c>
      <c r="AJ129">
        <v>5.56</v>
      </c>
      <c r="AK129">
        <v>25.44</v>
      </c>
      <c r="AL129">
        <v>1</v>
      </c>
      <c r="AN129">
        <v>0</v>
      </c>
      <c r="AO129">
        <v>1</v>
      </c>
      <c r="AP129">
        <v>1</v>
      </c>
      <c r="AQ129">
        <v>0</v>
      </c>
      <c r="AR129">
        <v>0</v>
      </c>
      <c r="AS129" t="s">
        <v>3</v>
      </c>
      <c r="AT129">
        <v>0.33</v>
      </c>
      <c r="AU129" t="s">
        <v>20</v>
      </c>
      <c r="AV129">
        <v>0</v>
      </c>
      <c r="AW129">
        <v>2</v>
      </c>
      <c r="AX129">
        <v>42938456</v>
      </c>
      <c r="AY129">
        <v>1</v>
      </c>
      <c r="AZ129">
        <v>2048</v>
      </c>
      <c r="BA129">
        <v>127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CX129">
        <f>Y129*Source!I108</f>
        <v>1.32</v>
      </c>
      <c r="CY129">
        <f>AB129</f>
        <v>4.5</v>
      </c>
      <c r="CZ129">
        <f>AF129</f>
        <v>0.81</v>
      </c>
      <c r="DA129">
        <f>AJ129</f>
        <v>5.56</v>
      </c>
      <c r="DB129">
        <f>ROUND((ROUND(AT129*CZ129,2)*1.25),6)</f>
        <v>0.33750000000000002</v>
      </c>
      <c r="DC129">
        <f>ROUND((ROUND(AT129*AG129,2)*1.25),6)</f>
        <v>1.2500000000000001E-2</v>
      </c>
    </row>
    <row r="130" spans="1:107" x14ac:dyDescent="0.2">
      <c r="A130">
        <f>ROW(Source!A108)</f>
        <v>108</v>
      </c>
      <c r="B130">
        <v>42938047</v>
      </c>
      <c r="C130">
        <v>42938431</v>
      </c>
      <c r="D130">
        <v>36044555</v>
      </c>
      <c r="E130">
        <v>1</v>
      </c>
      <c r="F130">
        <v>1</v>
      </c>
      <c r="G130">
        <v>35973048</v>
      </c>
      <c r="H130">
        <v>2</v>
      </c>
      <c r="I130" t="s">
        <v>1267</v>
      </c>
      <c r="J130" t="s">
        <v>1268</v>
      </c>
      <c r="K130" t="s">
        <v>1269</v>
      </c>
      <c r="L130">
        <v>1367</v>
      </c>
      <c r="N130">
        <v>1011</v>
      </c>
      <c r="O130" t="s">
        <v>738</v>
      </c>
      <c r="P130" t="s">
        <v>738</v>
      </c>
      <c r="Q130">
        <v>1</v>
      </c>
      <c r="W130">
        <v>0</v>
      </c>
      <c r="X130">
        <v>-266174272</v>
      </c>
      <c r="Y130">
        <v>1.0125</v>
      </c>
      <c r="AA130">
        <v>0</v>
      </c>
      <c r="AB130">
        <v>1636.27</v>
      </c>
      <c r="AC130">
        <v>461.74</v>
      </c>
      <c r="AD130">
        <v>0</v>
      </c>
      <c r="AE130">
        <v>0</v>
      </c>
      <c r="AF130">
        <v>190.93</v>
      </c>
      <c r="AG130">
        <v>18.149999999999999</v>
      </c>
      <c r="AH130">
        <v>0</v>
      </c>
      <c r="AI130">
        <v>1</v>
      </c>
      <c r="AJ130">
        <v>8.57</v>
      </c>
      <c r="AK130">
        <v>25.44</v>
      </c>
      <c r="AL130">
        <v>1</v>
      </c>
      <c r="AN130">
        <v>0</v>
      </c>
      <c r="AO130">
        <v>1</v>
      </c>
      <c r="AP130">
        <v>1</v>
      </c>
      <c r="AQ130">
        <v>0</v>
      </c>
      <c r="AR130">
        <v>0</v>
      </c>
      <c r="AS130" t="s">
        <v>3</v>
      </c>
      <c r="AT130">
        <v>0.81</v>
      </c>
      <c r="AU130" t="s">
        <v>20</v>
      </c>
      <c r="AV130">
        <v>0</v>
      </c>
      <c r="AW130">
        <v>2</v>
      </c>
      <c r="AX130">
        <v>42938455</v>
      </c>
      <c r="AY130">
        <v>1</v>
      </c>
      <c r="AZ130">
        <v>2048</v>
      </c>
      <c r="BA130">
        <v>128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CX130">
        <f>Y130*Source!I108</f>
        <v>3.24</v>
      </c>
      <c r="CY130">
        <f>AB130</f>
        <v>1636.27</v>
      </c>
      <c r="CZ130">
        <f>AF130</f>
        <v>190.93</v>
      </c>
      <c r="DA130">
        <f>AJ130</f>
        <v>8.57</v>
      </c>
      <c r="DB130">
        <f>ROUND((ROUND(AT130*CZ130,2)*1.25),6)</f>
        <v>193.3125</v>
      </c>
      <c r="DC130">
        <f>ROUND((ROUND(AT130*AG130,2)*1.25),6)</f>
        <v>18.375</v>
      </c>
    </row>
    <row r="131" spans="1:107" x14ac:dyDescent="0.2">
      <c r="A131">
        <f>ROW(Source!A108)</f>
        <v>108</v>
      </c>
      <c r="B131">
        <v>42938047</v>
      </c>
      <c r="C131">
        <v>42938431</v>
      </c>
      <c r="D131">
        <v>35973762</v>
      </c>
      <c r="E131">
        <v>35973048</v>
      </c>
      <c r="F131">
        <v>1</v>
      </c>
      <c r="G131">
        <v>35973048</v>
      </c>
      <c r="H131">
        <v>2</v>
      </c>
      <c r="I131" t="s">
        <v>1243</v>
      </c>
      <c r="J131" t="s">
        <v>3</v>
      </c>
      <c r="K131" t="s">
        <v>1244</v>
      </c>
      <c r="L131">
        <v>1344</v>
      </c>
      <c r="N131">
        <v>1008</v>
      </c>
      <c r="O131" t="s">
        <v>1245</v>
      </c>
      <c r="P131" t="s">
        <v>1245</v>
      </c>
      <c r="Q131">
        <v>1</v>
      </c>
      <c r="W131">
        <v>0</v>
      </c>
      <c r="X131">
        <v>-1180195794</v>
      </c>
      <c r="Y131">
        <v>1.2500000000000001E-2</v>
      </c>
      <c r="AA131">
        <v>0</v>
      </c>
      <c r="AB131">
        <v>8.2100000000000009</v>
      </c>
      <c r="AC131">
        <v>0</v>
      </c>
      <c r="AD131">
        <v>0</v>
      </c>
      <c r="AE131">
        <v>0</v>
      </c>
      <c r="AF131">
        <v>1</v>
      </c>
      <c r="AG131">
        <v>0</v>
      </c>
      <c r="AH131">
        <v>0</v>
      </c>
      <c r="AI131">
        <v>1</v>
      </c>
      <c r="AJ131">
        <v>8.2100000000000009</v>
      </c>
      <c r="AK131">
        <v>25.44</v>
      </c>
      <c r="AL131">
        <v>1</v>
      </c>
      <c r="AN131">
        <v>0</v>
      </c>
      <c r="AO131">
        <v>1</v>
      </c>
      <c r="AP131">
        <v>1</v>
      </c>
      <c r="AQ131">
        <v>0</v>
      </c>
      <c r="AR131">
        <v>0</v>
      </c>
      <c r="AS131" t="s">
        <v>3</v>
      </c>
      <c r="AT131">
        <v>0.01</v>
      </c>
      <c r="AU131" t="s">
        <v>20</v>
      </c>
      <c r="AV131">
        <v>0</v>
      </c>
      <c r="AW131">
        <v>2</v>
      </c>
      <c r="AX131">
        <v>42938457</v>
      </c>
      <c r="AY131">
        <v>1</v>
      </c>
      <c r="AZ131">
        <v>0</v>
      </c>
      <c r="BA131">
        <v>129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CX131">
        <f>Y131*Source!I108</f>
        <v>4.0000000000000008E-2</v>
      </c>
      <c r="CY131">
        <f>AB131</f>
        <v>8.2100000000000009</v>
      </c>
      <c r="CZ131">
        <f>AF131</f>
        <v>1</v>
      </c>
      <c r="DA131">
        <f>AJ131</f>
        <v>8.2100000000000009</v>
      </c>
      <c r="DB131">
        <f>ROUND((ROUND(AT131*CZ131,2)*1.25),6)</f>
        <v>1.2500000000000001E-2</v>
      </c>
      <c r="DC131">
        <f>ROUND((ROUND(AT131*AG131,2)*1.25),6)</f>
        <v>0</v>
      </c>
    </row>
    <row r="132" spans="1:107" x14ac:dyDescent="0.2">
      <c r="A132">
        <f>ROW(Source!A108)</f>
        <v>108</v>
      </c>
      <c r="B132">
        <v>42938047</v>
      </c>
      <c r="C132">
        <v>42938431</v>
      </c>
      <c r="D132">
        <v>36020974</v>
      </c>
      <c r="E132">
        <v>1</v>
      </c>
      <c r="F132">
        <v>1</v>
      </c>
      <c r="G132">
        <v>35973048</v>
      </c>
      <c r="H132">
        <v>3</v>
      </c>
      <c r="I132" t="s">
        <v>91</v>
      </c>
      <c r="J132" t="s">
        <v>93</v>
      </c>
      <c r="K132" t="s">
        <v>92</v>
      </c>
      <c r="L132">
        <v>1339</v>
      </c>
      <c r="N132">
        <v>1007</v>
      </c>
      <c r="O132" t="s">
        <v>84</v>
      </c>
      <c r="P132" t="s">
        <v>84</v>
      </c>
      <c r="Q132">
        <v>1</v>
      </c>
      <c r="W132">
        <v>0</v>
      </c>
      <c r="X132">
        <v>2069056849</v>
      </c>
      <c r="Y132">
        <v>0.25</v>
      </c>
      <c r="AA132">
        <v>578.49</v>
      </c>
      <c r="AB132">
        <v>0</v>
      </c>
      <c r="AC132">
        <v>0</v>
      </c>
      <c r="AD132">
        <v>0</v>
      </c>
      <c r="AE132">
        <v>104.99</v>
      </c>
      <c r="AF132">
        <v>0</v>
      </c>
      <c r="AG132">
        <v>0</v>
      </c>
      <c r="AH132">
        <v>0</v>
      </c>
      <c r="AI132">
        <v>5.51</v>
      </c>
      <c r="AJ132">
        <v>1</v>
      </c>
      <c r="AK132">
        <v>1</v>
      </c>
      <c r="AL132">
        <v>1</v>
      </c>
      <c r="AN132">
        <v>0</v>
      </c>
      <c r="AO132">
        <v>1</v>
      </c>
      <c r="AP132">
        <v>1</v>
      </c>
      <c r="AQ132">
        <v>0</v>
      </c>
      <c r="AR132">
        <v>0</v>
      </c>
      <c r="AS132" t="s">
        <v>3</v>
      </c>
      <c r="AT132">
        <v>0.25</v>
      </c>
      <c r="AU132" t="s">
        <v>3</v>
      </c>
      <c r="AV132">
        <v>0</v>
      </c>
      <c r="AW132">
        <v>2</v>
      </c>
      <c r="AX132">
        <v>42938458</v>
      </c>
      <c r="AY132">
        <v>1</v>
      </c>
      <c r="AZ132">
        <v>0</v>
      </c>
      <c r="BA132">
        <v>130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CX132">
        <f>Y132*Source!I108</f>
        <v>0.8</v>
      </c>
      <c r="CY132">
        <f>AA132</f>
        <v>578.49</v>
      </c>
      <c r="CZ132">
        <f>AE132</f>
        <v>104.99</v>
      </c>
      <c r="DA132">
        <f>AI132</f>
        <v>5.51</v>
      </c>
      <c r="DB132">
        <f t="shared" ref="DB132:DB141" si="30">ROUND(ROUND(AT132*CZ132,2),6)</f>
        <v>26.25</v>
      </c>
      <c r="DC132">
        <f t="shared" ref="DC132:DC141" si="31">ROUND(ROUND(AT132*AG132,2),6)</f>
        <v>0</v>
      </c>
    </row>
    <row r="133" spans="1:107" x14ac:dyDescent="0.2">
      <c r="A133">
        <f>ROW(Source!A108)</f>
        <v>108</v>
      </c>
      <c r="B133">
        <v>42938047</v>
      </c>
      <c r="C133">
        <v>42938431</v>
      </c>
      <c r="D133">
        <v>36038939</v>
      </c>
      <c r="E133">
        <v>1</v>
      </c>
      <c r="F133">
        <v>1</v>
      </c>
      <c r="G133">
        <v>35973048</v>
      </c>
      <c r="H133">
        <v>3</v>
      </c>
      <c r="I133" t="s">
        <v>309</v>
      </c>
      <c r="J133" t="s">
        <v>311</v>
      </c>
      <c r="K133" t="s">
        <v>310</v>
      </c>
      <c r="L133">
        <v>1348</v>
      </c>
      <c r="N133">
        <v>1009</v>
      </c>
      <c r="O133" t="s">
        <v>104</v>
      </c>
      <c r="P133" t="s">
        <v>104</v>
      </c>
      <c r="Q133">
        <v>1000</v>
      </c>
      <c r="W133">
        <v>0</v>
      </c>
      <c r="X133">
        <v>1646049638</v>
      </c>
      <c r="Y133">
        <v>0.15625</v>
      </c>
      <c r="AA133">
        <v>4320.1499999999996</v>
      </c>
      <c r="AB133">
        <v>0</v>
      </c>
      <c r="AC133">
        <v>0</v>
      </c>
      <c r="AD133">
        <v>0</v>
      </c>
      <c r="AE133">
        <v>504.69</v>
      </c>
      <c r="AF133">
        <v>0</v>
      </c>
      <c r="AG133">
        <v>0</v>
      </c>
      <c r="AH133">
        <v>0</v>
      </c>
      <c r="AI133">
        <v>8.56</v>
      </c>
      <c r="AJ133">
        <v>1</v>
      </c>
      <c r="AK133">
        <v>1</v>
      </c>
      <c r="AL133">
        <v>1</v>
      </c>
      <c r="AN133">
        <v>0</v>
      </c>
      <c r="AO133">
        <v>0</v>
      </c>
      <c r="AP133">
        <v>0</v>
      </c>
      <c r="AQ133">
        <v>0</v>
      </c>
      <c r="AR133">
        <v>0</v>
      </c>
      <c r="AS133" t="s">
        <v>3</v>
      </c>
      <c r="AT133">
        <v>0.15625</v>
      </c>
      <c r="AU133" t="s">
        <v>3</v>
      </c>
      <c r="AV133">
        <v>0</v>
      </c>
      <c r="AW133">
        <v>1</v>
      </c>
      <c r="AX133">
        <v>-1</v>
      </c>
      <c r="AY133">
        <v>0</v>
      </c>
      <c r="AZ133">
        <v>0</v>
      </c>
      <c r="BA133" t="s">
        <v>3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CX133">
        <f>Y133*Source!I108</f>
        <v>0.5</v>
      </c>
      <c r="CY133">
        <f>AA133</f>
        <v>4320.1499999999996</v>
      </c>
      <c r="CZ133">
        <f>AE133</f>
        <v>504.69</v>
      </c>
      <c r="DA133">
        <f>AI133</f>
        <v>8.56</v>
      </c>
      <c r="DB133">
        <f t="shared" si="30"/>
        <v>78.86</v>
      </c>
      <c r="DC133">
        <f t="shared" si="31"/>
        <v>0</v>
      </c>
    </row>
    <row r="134" spans="1:107" x14ac:dyDescent="0.2">
      <c r="A134">
        <f>ROW(Source!A108)</f>
        <v>108</v>
      </c>
      <c r="B134">
        <v>42938047</v>
      </c>
      <c r="C134">
        <v>42938431</v>
      </c>
      <c r="D134">
        <v>36042580</v>
      </c>
      <c r="E134">
        <v>1</v>
      </c>
      <c r="F134">
        <v>1</v>
      </c>
      <c r="G134">
        <v>35973048</v>
      </c>
      <c r="H134">
        <v>3</v>
      </c>
      <c r="I134" t="s">
        <v>305</v>
      </c>
      <c r="J134" t="s">
        <v>307</v>
      </c>
      <c r="K134" t="s">
        <v>306</v>
      </c>
      <c r="L134">
        <v>1354</v>
      </c>
      <c r="N134">
        <v>1010</v>
      </c>
      <c r="O134" t="s">
        <v>169</v>
      </c>
      <c r="P134" t="s">
        <v>169</v>
      </c>
      <c r="Q134">
        <v>1</v>
      </c>
      <c r="W134">
        <v>0</v>
      </c>
      <c r="X134">
        <v>1978578417</v>
      </c>
      <c r="Y134">
        <v>1</v>
      </c>
      <c r="AA134">
        <v>5902.18</v>
      </c>
      <c r="AB134">
        <v>0</v>
      </c>
      <c r="AC134">
        <v>0</v>
      </c>
      <c r="AD134">
        <v>0</v>
      </c>
      <c r="AE134">
        <v>2634.9</v>
      </c>
      <c r="AF134">
        <v>0</v>
      </c>
      <c r="AG134">
        <v>0</v>
      </c>
      <c r="AH134">
        <v>0</v>
      </c>
      <c r="AI134">
        <v>2.2400000000000002</v>
      </c>
      <c r="AJ134">
        <v>1</v>
      </c>
      <c r="AK134">
        <v>1</v>
      </c>
      <c r="AL134">
        <v>1</v>
      </c>
      <c r="AN134">
        <v>0</v>
      </c>
      <c r="AO134">
        <v>0</v>
      </c>
      <c r="AP134">
        <v>0</v>
      </c>
      <c r="AQ134">
        <v>0</v>
      </c>
      <c r="AR134">
        <v>0</v>
      </c>
      <c r="AS134" t="s">
        <v>3</v>
      </c>
      <c r="AT134">
        <v>1</v>
      </c>
      <c r="AU134" t="s">
        <v>3</v>
      </c>
      <c r="AV134">
        <v>0</v>
      </c>
      <c r="AW134">
        <v>1</v>
      </c>
      <c r="AX134">
        <v>-1</v>
      </c>
      <c r="AY134">
        <v>0</v>
      </c>
      <c r="AZ134">
        <v>0</v>
      </c>
      <c r="BA134" t="s">
        <v>3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CX134">
        <f>Y134*Source!I108</f>
        <v>3.2</v>
      </c>
      <c r="CY134">
        <f>AA134</f>
        <v>5902.18</v>
      </c>
      <c r="CZ134">
        <f>AE134</f>
        <v>2634.9</v>
      </c>
      <c r="DA134">
        <f>AI134</f>
        <v>2.2400000000000002</v>
      </c>
      <c r="DB134">
        <f t="shared" si="30"/>
        <v>2634.9</v>
      </c>
      <c r="DC134">
        <f t="shared" si="31"/>
        <v>0</v>
      </c>
    </row>
    <row r="135" spans="1:107" x14ac:dyDescent="0.2">
      <c r="A135">
        <f>ROW(Source!A108)</f>
        <v>108</v>
      </c>
      <c r="B135">
        <v>42938047</v>
      </c>
      <c r="C135">
        <v>42938431</v>
      </c>
      <c r="D135">
        <v>0</v>
      </c>
      <c r="E135">
        <v>0</v>
      </c>
      <c r="F135">
        <v>1</v>
      </c>
      <c r="G135">
        <v>35973048</v>
      </c>
      <c r="H135">
        <v>3</v>
      </c>
      <c r="I135" t="s">
        <v>118</v>
      </c>
      <c r="J135" t="s">
        <v>3</v>
      </c>
      <c r="K135" t="s">
        <v>313</v>
      </c>
      <c r="L135">
        <v>1327</v>
      </c>
      <c r="N135">
        <v>1005</v>
      </c>
      <c r="O135" t="s">
        <v>120</v>
      </c>
      <c r="P135" t="s">
        <v>120</v>
      </c>
      <c r="Q135">
        <v>1</v>
      </c>
      <c r="W135">
        <v>0</v>
      </c>
      <c r="X135">
        <v>1727115970</v>
      </c>
      <c r="Y135">
        <v>112.5</v>
      </c>
      <c r="AA135">
        <v>852.54</v>
      </c>
      <c r="AB135">
        <v>0</v>
      </c>
      <c r="AC135">
        <v>0</v>
      </c>
      <c r="AD135">
        <v>0</v>
      </c>
      <c r="AE135">
        <v>134.47</v>
      </c>
      <c r="AF135">
        <v>0</v>
      </c>
      <c r="AG135">
        <v>0</v>
      </c>
      <c r="AH135">
        <v>0</v>
      </c>
      <c r="AI135">
        <v>6.34</v>
      </c>
      <c r="AJ135">
        <v>1</v>
      </c>
      <c r="AK135">
        <v>1</v>
      </c>
      <c r="AL135">
        <v>1</v>
      </c>
      <c r="AN135">
        <v>0</v>
      </c>
      <c r="AO135">
        <v>0</v>
      </c>
      <c r="AP135">
        <v>0</v>
      </c>
      <c r="AQ135">
        <v>0</v>
      </c>
      <c r="AR135">
        <v>0</v>
      </c>
      <c r="AS135" t="s">
        <v>3</v>
      </c>
      <c r="AT135">
        <v>112.5</v>
      </c>
      <c r="AU135" t="s">
        <v>3</v>
      </c>
      <c r="AV135">
        <v>0</v>
      </c>
      <c r="AW135">
        <v>1</v>
      </c>
      <c r="AX135">
        <v>-1</v>
      </c>
      <c r="AY135">
        <v>0</v>
      </c>
      <c r="AZ135">
        <v>0</v>
      </c>
      <c r="BA135" t="s">
        <v>3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CX135">
        <f>Y135*Source!I108</f>
        <v>360</v>
      </c>
      <c r="CY135">
        <f>AA135</f>
        <v>852.54</v>
      </c>
      <c r="CZ135">
        <f>AE135</f>
        <v>134.47</v>
      </c>
      <c r="DA135">
        <f>AI135</f>
        <v>6.34</v>
      </c>
      <c r="DB135">
        <f t="shared" si="30"/>
        <v>15127.88</v>
      </c>
      <c r="DC135">
        <f t="shared" si="31"/>
        <v>0</v>
      </c>
    </row>
    <row r="136" spans="1:107" x14ac:dyDescent="0.2">
      <c r="A136">
        <f>ROW(Source!A112)</f>
        <v>112</v>
      </c>
      <c r="B136">
        <v>42938047</v>
      </c>
      <c r="C136">
        <v>42938626</v>
      </c>
      <c r="D136">
        <v>35973762</v>
      </c>
      <c r="E136">
        <v>35973048</v>
      </c>
      <c r="F136">
        <v>1</v>
      </c>
      <c r="G136">
        <v>35973048</v>
      </c>
      <c r="H136">
        <v>2</v>
      </c>
      <c r="I136" t="s">
        <v>1243</v>
      </c>
      <c r="J136" t="s">
        <v>3</v>
      </c>
      <c r="K136" t="s">
        <v>1244</v>
      </c>
      <c r="L136">
        <v>1344</v>
      </c>
      <c r="N136">
        <v>1008</v>
      </c>
      <c r="O136" t="s">
        <v>1245</v>
      </c>
      <c r="P136" t="s">
        <v>1245</v>
      </c>
      <c r="Q136">
        <v>1</v>
      </c>
      <c r="W136">
        <v>0</v>
      </c>
      <c r="X136">
        <v>-1180195794</v>
      </c>
      <c r="Y136">
        <v>8.86</v>
      </c>
      <c r="AA136">
        <v>0</v>
      </c>
      <c r="AB136">
        <v>9.5500000000000007</v>
      </c>
      <c r="AC136">
        <v>0</v>
      </c>
      <c r="AD136">
        <v>0</v>
      </c>
      <c r="AE136">
        <v>0</v>
      </c>
      <c r="AF136">
        <v>1</v>
      </c>
      <c r="AG136">
        <v>0</v>
      </c>
      <c r="AH136">
        <v>0</v>
      </c>
      <c r="AI136">
        <v>1</v>
      </c>
      <c r="AJ136">
        <v>9.1199999999999992</v>
      </c>
      <c r="AK136">
        <v>25.44</v>
      </c>
      <c r="AL136">
        <v>1</v>
      </c>
      <c r="AN136">
        <v>0</v>
      </c>
      <c r="AO136">
        <v>1</v>
      </c>
      <c r="AP136">
        <v>0</v>
      </c>
      <c r="AQ136">
        <v>0</v>
      </c>
      <c r="AR136">
        <v>0</v>
      </c>
      <c r="AS136" t="s">
        <v>3</v>
      </c>
      <c r="AT136">
        <v>8.86</v>
      </c>
      <c r="AU136" t="s">
        <v>3</v>
      </c>
      <c r="AV136">
        <v>0</v>
      </c>
      <c r="AW136">
        <v>2</v>
      </c>
      <c r="AX136">
        <v>42938628</v>
      </c>
      <c r="AY136">
        <v>1</v>
      </c>
      <c r="AZ136">
        <v>0</v>
      </c>
      <c r="BA136">
        <v>134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CX136">
        <f>Y136*Source!I112</f>
        <v>544.35839999999996</v>
      </c>
      <c r="CY136">
        <f>AB136</f>
        <v>9.5500000000000007</v>
      </c>
      <c r="CZ136">
        <f>AF136</f>
        <v>1</v>
      </c>
      <c r="DA136">
        <f>AJ136</f>
        <v>9.1199999999999992</v>
      </c>
      <c r="DB136">
        <f t="shared" si="30"/>
        <v>8.86</v>
      </c>
      <c r="DC136">
        <f t="shared" si="31"/>
        <v>0</v>
      </c>
    </row>
    <row r="137" spans="1:107" x14ac:dyDescent="0.2">
      <c r="A137">
        <f>ROW(Source!A113)</f>
        <v>113</v>
      </c>
      <c r="B137">
        <v>42938047</v>
      </c>
      <c r="C137">
        <v>42938627</v>
      </c>
      <c r="D137">
        <v>36759507</v>
      </c>
      <c r="E137">
        <v>1</v>
      </c>
      <c r="F137">
        <v>1</v>
      </c>
      <c r="G137">
        <v>35973048</v>
      </c>
      <c r="H137">
        <v>2</v>
      </c>
      <c r="I137" t="s">
        <v>1329</v>
      </c>
      <c r="J137" t="s">
        <v>1330</v>
      </c>
      <c r="K137" t="s">
        <v>1331</v>
      </c>
      <c r="L137">
        <v>1367</v>
      </c>
      <c r="N137">
        <v>1011</v>
      </c>
      <c r="O137" t="s">
        <v>738</v>
      </c>
      <c r="P137" t="s">
        <v>738</v>
      </c>
      <c r="Q137">
        <v>1</v>
      </c>
      <c r="W137">
        <v>0</v>
      </c>
      <c r="X137">
        <v>-1132105959</v>
      </c>
      <c r="Y137">
        <v>1</v>
      </c>
      <c r="AA137">
        <v>0</v>
      </c>
      <c r="AB137">
        <v>115.66</v>
      </c>
      <c r="AC137">
        <v>14.4</v>
      </c>
      <c r="AD137">
        <v>0</v>
      </c>
      <c r="AE137">
        <v>0</v>
      </c>
      <c r="AF137">
        <v>115.66</v>
      </c>
      <c r="AG137">
        <v>14.4</v>
      </c>
      <c r="AH137">
        <v>0</v>
      </c>
      <c r="AI137">
        <v>1</v>
      </c>
      <c r="AJ137">
        <v>1</v>
      </c>
      <c r="AK137">
        <v>1</v>
      </c>
      <c r="AL137">
        <v>1</v>
      </c>
      <c r="AN137">
        <v>0</v>
      </c>
      <c r="AO137">
        <v>1</v>
      </c>
      <c r="AP137">
        <v>0</v>
      </c>
      <c r="AQ137">
        <v>0</v>
      </c>
      <c r="AR137">
        <v>0</v>
      </c>
      <c r="AS137" t="s">
        <v>3</v>
      </c>
      <c r="AT137">
        <v>1</v>
      </c>
      <c r="AU137" t="s">
        <v>3</v>
      </c>
      <c r="AV137">
        <v>0</v>
      </c>
      <c r="AW137">
        <v>2</v>
      </c>
      <c r="AX137">
        <v>42938629</v>
      </c>
      <c r="AY137">
        <v>1</v>
      </c>
      <c r="AZ137">
        <v>0</v>
      </c>
      <c r="BA137">
        <v>135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CX137">
        <f>Y137*Source!I113</f>
        <v>61.44</v>
      </c>
      <c r="CY137">
        <f>AB137</f>
        <v>115.66</v>
      </c>
      <c r="CZ137">
        <f>AF137</f>
        <v>115.66</v>
      </c>
      <c r="DA137">
        <f>AJ137</f>
        <v>1</v>
      </c>
      <c r="DB137">
        <f t="shared" si="30"/>
        <v>115.66</v>
      </c>
      <c r="DC137">
        <f t="shared" si="31"/>
        <v>14.4</v>
      </c>
    </row>
    <row r="138" spans="1:107" x14ac:dyDescent="0.2">
      <c r="A138">
        <f>ROW(Source!A114)</f>
        <v>114</v>
      </c>
      <c r="B138">
        <v>42938047</v>
      </c>
      <c r="C138">
        <v>42938630</v>
      </c>
      <c r="D138">
        <v>35973762</v>
      </c>
      <c r="E138">
        <v>35973048</v>
      </c>
      <c r="F138">
        <v>1</v>
      </c>
      <c r="G138">
        <v>35973048</v>
      </c>
      <c r="H138">
        <v>2</v>
      </c>
      <c r="I138" t="s">
        <v>1243</v>
      </c>
      <c r="J138" t="s">
        <v>3</v>
      </c>
      <c r="K138" t="s">
        <v>1244</v>
      </c>
      <c r="L138">
        <v>1344</v>
      </c>
      <c r="N138">
        <v>1008</v>
      </c>
      <c r="O138" t="s">
        <v>1245</v>
      </c>
      <c r="P138" t="s">
        <v>1245</v>
      </c>
      <c r="Q138">
        <v>1</v>
      </c>
      <c r="W138">
        <v>0</v>
      </c>
      <c r="X138">
        <v>-1180195794</v>
      </c>
      <c r="Y138">
        <v>21.71</v>
      </c>
      <c r="AA138">
        <v>0</v>
      </c>
      <c r="AB138">
        <v>1</v>
      </c>
      <c r="AC138">
        <v>0</v>
      </c>
      <c r="AD138">
        <v>0</v>
      </c>
      <c r="AE138">
        <v>0</v>
      </c>
      <c r="AF138">
        <v>1</v>
      </c>
      <c r="AG138">
        <v>0</v>
      </c>
      <c r="AH138">
        <v>0</v>
      </c>
      <c r="AI138">
        <v>1</v>
      </c>
      <c r="AJ138">
        <v>1</v>
      </c>
      <c r="AK138">
        <v>1</v>
      </c>
      <c r="AL138">
        <v>1</v>
      </c>
      <c r="AN138">
        <v>0</v>
      </c>
      <c r="AO138">
        <v>1</v>
      </c>
      <c r="AP138">
        <v>0</v>
      </c>
      <c r="AQ138">
        <v>0</v>
      </c>
      <c r="AR138">
        <v>0</v>
      </c>
      <c r="AS138" t="s">
        <v>3</v>
      </c>
      <c r="AT138">
        <v>21.71</v>
      </c>
      <c r="AU138" t="s">
        <v>3</v>
      </c>
      <c r="AV138">
        <v>0</v>
      </c>
      <c r="AW138">
        <v>2</v>
      </c>
      <c r="AX138">
        <v>42938631</v>
      </c>
      <c r="AY138">
        <v>1</v>
      </c>
      <c r="AZ138">
        <v>0</v>
      </c>
      <c r="BA138">
        <v>136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CX138">
        <f>Y138*Source!I114</f>
        <v>1333.8624</v>
      </c>
      <c r="CY138">
        <f>AB138</f>
        <v>1</v>
      </c>
      <c r="CZ138">
        <f>AF138</f>
        <v>1</v>
      </c>
      <c r="DA138">
        <f>AJ138</f>
        <v>1</v>
      </c>
      <c r="DB138">
        <f t="shared" si="30"/>
        <v>21.71</v>
      </c>
      <c r="DC138">
        <f t="shared" si="31"/>
        <v>0</v>
      </c>
    </row>
    <row r="139" spans="1:107" x14ac:dyDescent="0.2">
      <c r="A139">
        <f>ROW(Source!A115)</f>
        <v>115</v>
      </c>
      <c r="B139">
        <v>42938047</v>
      </c>
      <c r="C139">
        <v>43136913</v>
      </c>
      <c r="D139">
        <v>36759504</v>
      </c>
      <c r="E139">
        <v>1</v>
      </c>
      <c r="F139">
        <v>1</v>
      </c>
      <c r="G139">
        <v>35973048</v>
      </c>
      <c r="H139">
        <v>2</v>
      </c>
      <c r="I139" t="s">
        <v>1332</v>
      </c>
      <c r="J139" t="s">
        <v>1333</v>
      </c>
      <c r="K139" t="s">
        <v>1334</v>
      </c>
      <c r="L139">
        <v>1367</v>
      </c>
      <c r="N139">
        <v>1011</v>
      </c>
      <c r="O139" t="s">
        <v>738</v>
      </c>
      <c r="P139" t="s">
        <v>738</v>
      </c>
      <c r="Q139">
        <v>1</v>
      </c>
      <c r="W139">
        <v>0</v>
      </c>
      <c r="X139">
        <v>1815391720</v>
      </c>
      <c r="Y139">
        <v>1</v>
      </c>
      <c r="AA139">
        <v>0</v>
      </c>
      <c r="AB139">
        <v>100.09</v>
      </c>
      <c r="AC139">
        <v>13.81</v>
      </c>
      <c r="AD139">
        <v>0</v>
      </c>
      <c r="AE139">
        <v>0</v>
      </c>
      <c r="AF139">
        <v>100.09</v>
      </c>
      <c r="AG139">
        <v>13.81</v>
      </c>
      <c r="AH139">
        <v>0</v>
      </c>
      <c r="AI139">
        <v>1</v>
      </c>
      <c r="AJ139">
        <v>1</v>
      </c>
      <c r="AK139">
        <v>1</v>
      </c>
      <c r="AL139">
        <v>1</v>
      </c>
      <c r="AN139">
        <v>0</v>
      </c>
      <c r="AO139">
        <v>1</v>
      </c>
      <c r="AP139">
        <v>0</v>
      </c>
      <c r="AQ139">
        <v>0</v>
      </c>
      <c r="AR139">
        <v>0</v>
      </c>
      <c r="AS139" t="s">
        <v>3</v>
      </c>
      <c r="AT139">
        <v>1</v>
      </c>
      <c r="AU139" t="s">
        <v>3</v>
      </c>
      <c r="AV139">
        <v>0</v>
      </c>
      <c r="AW139">
        <v>2</v>
      </c>
      <c r="AX139">
        <v>43136917</v>
      </c>
      <c r="AY139">
        <v>1</v>
      </c>
      <c r="AZ139">
        <v>0</v>
      </c>
      <c r="BA139">
        <v>137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CX139">
        <f>Y139*Source!I115</f>
        <v>120</v>
      </c>
      <c r="CY139">
        <f>AB139</f>
        <v>100.09</v>
      </c>
      <c r="CZ139">
        <f>AF139</f>
        <v>100.09</v>
      </c>
      <c r="DA139">
        <f>AJ139</f>
        <v>1</v>
      </c>
      <c r="DB139">
        <f t="shared" si="30"/>
        <v>100.09</v>
      </c>
      <c r="DC139">
        <f t="shared" si="31"/>
        <v>13.81</v>
      </c>
    </row>
    <row r="140" spans="1:107" x14ac:dyDescent="0.2">
      <c r="A140">
        <f>ROW(Source!A116)</f>
        <v>116</v>
      </c>
      <c r="B140">
        <v>42938047</v>
      </c>
      <c r="C140">
        <v>43136914</v>
      </c>
      <c r="D140">
        <v>35973762</v>
      </c>
      <c r="E140">
        <v>35973048</v>
      </c>
      <c r="F140">
        <v>1</v>
      </c>
      <c r="G140">
        <v>35973048</v>
      </c>
      <c r="H140">
        <v>2</v>
      </c>
      <c r="I140" t="s">
        <v>1243</v>
      </c>
      <c r="J140" t="s">
        <v>3</v>
      </c>
      <c r="K140" t="s">
        <v>1244</v>
      </c>
      <c r="L140">
        <v>1344</v>
      </c>
      <c r="N140">
        <v>1008</v>
      </c>
      <c r="O140" t="s">
        <v>1245</v>
      </c>
      <c r="P140" t="s">
        <v>1245</v>
      </c>
      <c r="Q140">
        <v>1</v>
      </c>
      <c r="W140">
        <v>0</v>
      </c>
      <c r="X140">
        <v>-1180195794</v>
      </c>
      <c r="Y140">
        <v>12.61</v>
      </c>
      <c r="AA140">
        <v>0</v>
      </c>
      <c r="AB140">
        <v>1</v>
      </c>
      <c r="AC140">
        <v>0</v>
      </c>
      <c r="AD140">
        <v>0</v>
      </c>
      <c r="AE140">
        <v>0</v>
      </c>
      <c r="AF140">
        <v>1</v>
      </c>
      <c r="AG140">
        <v>0</v>
      </c>
      <c r="AH140">
        <v>0</v>
      </c>
      <c r="AI140">
        <v>1</v>
      </c>
      <c r="AJ140">
        <v>1</v>
      </c>
      <c r="AK140">
        <v>1</v>
      </c>
      <c r="AL140">
        <v>1</v>
      </c>
      <c r="AN140">
        <v>0</v>
      </c>
      <c r="AO140">
        <v>1</v>
      </c>
      <c r="AP140">
        <v>0</v>
      </c>
      <c r="AQ140">
        <v>0</v>
      </c>
      <c r="AR140">
        <v>0</v>
      </c>
      <c r="AS140" t="s">
        <v>3</v>
      </c>
      <c r="AT140">
        <v>12.61</v>
      </c>
      <c r="AU140" t="s">
        <v>3</v>
      </c>
      <c r="AV140">
        <v>0</v>
      </c>
      <c r="AW140">
        <v>2</v>
      </c>
      <c r="AX140">
        <v>43136916</v>
      </c>
      <c r="AY140">
        <v>1</v>
      </c>
      <c r="AZ140">
        <v>0</v>
      </c>
      <c r="BA140">
        <v>138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CX140">
        <f>Y140*Source!I116</f>
        <v>1513.1999999999998</v>
      </c>
      <c r="CY140">
        <f>AB140</f>
        <v>1</v>
      </c>
      <c r="CZ140">
        <f>AF140</f>
        <v>1</v>
      </c>
      <c r="DA140">
        <f>AJ140</f>
        <v>1</v>
      </c>
      <c r="DB140">
        <f t="shared" si="30"/>
        <v>12.61</v>
      </c>
      <c r="DC140">
        <f t="shared" si="31"/>
        <v>0</v>
      </c>
    </row>
    <row r="141" spans="1:107" x14ac:dyDescent="0.2">
      <c r="A141">
        <f>ROW(Source!A152)</f>
        <v>152</v>
      </c>
      <c r="B141">
        <v>42938047</v>
      </c>
      <c r="C141">
        <v>42938308</v>
      </c>
      <c r="D141">
        <v>35973053</v>
      </c>
      <c r="E141">
        <v>35973048</v>
      </c>
      <c r="F141">
        <v>1</v>
      </c>
      <c r="G141">
        <v>35973048</v>
      </c>
      <c r="H141">
        <v>1</v>
      </c>
      <c r="I141" t="s">
        <v>1228</v>
      </c>
      <c r="J141" t="s">
        <v>3</v>
      </c>
      <c r="K141" t="s">
        <v>1229</v>
      </c>
      <c r="L141">
        <v>1191</v>
      </c>
      <c r="N141">
        <v>1013</v>
      </c>
      <c r="O141" t="s">
        <v>1230</v>
      </c>
      <c r="P141" t="s">
        <v>1230</v>
      </c>
      <c r="Q141">
        <v>1</v>
      </c>
      <c r="W141">
        <v>0</v>
      </c>
      <c r="X141">
        <v>476480486</v>
      </c>
      <c r="Y141">
        <v>76.7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1</v>
      </c>
      <c r="AJ141">
        <v>1</v>
      </c>
      <c r="AK141">
        <v>1</v>
      </c>
      <c r="AL141">
        <v>25.44</v>
      </c>
      <c r="AN141">
        <v>0</v>
      </c>
      <c r="AO141">
        <v>1</v>
      </c>
      <c r="AP141">
        <v>0</v>
      </c>
      <c r="AQ141">
        <v>0</v>
      </c>
      <c r="AR141">
        <v>0</v>
      </c>
      <c r="AS141" t="s">
        <v>3</v>
      </c>
      <c r="AT141">
        <v>76.7</v>
      </c>
      <c r="AU141" t="s">
        <v>3</v>
      </c>
      <c r="AV141">
        <v>1</v>
      </c>
      <c r="AW141">
        <v>2</v>
      </c>
      <c r="AX141">
        <v>43136571</v>
      </c>
      <c r="AY141">
        <v>1</v>
      </c>
      <c r="AZ141">
        <v>0</v>
      </c>
      <c r="BA141">
        <v>139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CX141">
        <f>Y141*Source!I152</f>
        <v>730.95100000000002</v>
      </c>
      <c r="CY141">
        <f>AD141</f>
        <v>0</v>
      </c>
      <c r="CZ141">
        <f>AH141</f>
        <v>0</v>
      </c>
      <c r="DA141">
        <f>AL141</f>
        <v>25.44</v>
      </c>
      <c r="DB141">
        <f t="shared" si="30"/>
        <v>0</v>
      </c>
      <c r="DC141">
        <f t="shared" si="31"/>
        <v>0</v>
      </c>
    </row>
    <row r="142" spans="1:107" x14ac:dyDescent="0.2">
      <c r="A142">
        <f>ROW(Source!A153)</f>
        <v>153</v>
      </c>
      <c r="B142">
        <v>42938047</v>
      </c>
      <c r="C142">
        <v>43136689</v>
      </c>
      <c r="D142">
        <v>35973053</v>
      </c>
      <c r="E142">
        <v>35973048</v>
      </c>
      <c r="F142">
        <v>1</v>
      </c>
      <c r="G142">
        <v>35973048</v>
      </c>
      <c r="H142">
        <v>1</v>
      </c>
      <c r="I142" t="s">
        <v>1228</v>
      </c>
      <c r="J142" t="s">
        <v>3</v>
      </c>
      <c r="K142" t="s">
        <v>1229</v>
      </c>
      <c r="L142">
        <v>1191</v>
      </c>
      <c r="N142">
        <v>1013</v>
      </c>
      <c r="O142" t="s">
        <v>1230</v>
      </c>
      <c r="P142" t="s">
        <v>1230</v>
      </c>
      <c r="Q142">
        <v>1</v>
      </c>
      <c r="W142">
        <v>0</v>
      </c>
      <c r="X142">
        <v>476480486</v>
      </c>
      <c r="Y142">
        <v>221.60499999999999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1</v>
      </c>
      <c r="AJ142">
        <v>1</v>
      </c>
      <c r="AK142">
        <v>1</v>
      </c>
      <c r="AL142">
        <v>25.44</v>
      </c>
      <c r="AN142">
        <v>0</v>
      </c>
      <c r="AO142">
        <v>1</v>
      </c>
      <c r="AP142">
        <v>1</v>
      </c>
      <c r="AQ142">
        <v>0</v>
      </c>
      <c r="AR142">
        <v>0</v>
      </c>
      <c r="AS142" t="s">
        <v>3</v>
      </c>
      <c r="AT142">
        <v>192.7</v>
      </c>
      <c r="AU142" t="s">
        <v>21</v>
      </c>
      <c r="AV142">
        <v>1</v>
      </c>
      <c r="AW142">
        <v>2</v>
      </c>
      <c r="AX142">
        <v>43136698</v>
      </c>
      <c r="AY142">
        <v>1</v>
      </c>
      <c r="AZ142">
        <v>2048</v>
      </c>
      <c r="BA142">
        <v>140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CX142">
        <f>Y142*Source!I153</f>
        <v>168.951652</v>
      </c>
      <c r="CY142">
        <f>AD142</f>
        <v>0</v>
      </c>
      <c r="CZ142">
        <f>AH142</f>
        <v>0</v>
      </c>
      <c r="DA142">
        <f>AL142</f>
        <v>25.44</v>
      </c>
      <c r="DB142">
        <f>ROUND((ROUND(AT142*CZ142,2)*1.15),6)</f>
        <v>0</v>
      </c>
      <c r="DC142">
        <f>ROUND((ROUND(AT142*AG142,2)*1.15),6)</f>
        <v>0</v>
      </c>
    </row>
    <row r="143" spans="1:107" x14ac:dyDescent="0.2">
      <c r="A143">
        <f>ROW(Source!A154)</f>
        <v>154</v>
      </c>
      <c r="B143">
        <v>42938047</v>
      </c>
      <c r="C143">
        <v>42938309</v>
      </c>
      <c r="D143">
        <v>35973053</v>
      </c>
      <c r="E143">
        <v>35973048</v>
      </c>
      <c r="F143">
        <v>1</v>
      </c>
      <c r="G143">
        <v>35973048</v>
      </c>
      <c r="H143">
        <v>1</v>
      </c>
      <c r="I143" t="s">
        <v>1228</v>
      </c>
      <c r="J143" t="s">
        <v>3</v>
      </c>
      <c r="K143" t="s">
        <v>1229</v>
      </c>
      <c r="L143">
        <v>1191</v>
      </c>
      <c r="N143">
        <v>1013</v>
      </c>
      <c r="O143" t="s">
        <v>1230</v>
      </c>
      <c r="P143" t="s">
        <v>1230</v>
      </c>
      <c r="Q143">
        <v>1</v>
      </c>
      <c r="W143">
        <v>0</v>
      </c>
      <c r="X143">
        <v>476480486</v>
      </c>
      <c r="Y143">
        <v>72.956000000000003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1</v>
      </c>
      <c r="AJ143">
        <v>1</v>
      </c>
      <c r="AK143">
        <v>1</v>
      </c>
      <c r="AL143">
        <v>25.44</v>
      </c>
      <c r="AN143">
        <v>0</v>
      </c>
      <c r="AO143">
        <v>1</v>
      </c>
      <c r="AP143">
        <v>1</v>
      </c>
      <c r="AQ143">
        <v>0</v>
      </c>
      <c r="AR143">
        <v>0</v>
      </c>
      <c r="AS143" t="s">
        <v>3</v>
      </c>
      <c r="AT143">
        <v>63.44</v>
      </c>
      <c r="AU143" t="s">
        <v>21</v>
      </c>
      <c r="AV143">
        <v>1</v>
      </c>
      <c r="AW143">
        <v>2</v>
      </c>
      <c r="AX143">
        <v>43136572</v>
      </c>
      <c r="AY143">
        <v>1</v>
      </c>
      <c r="AZ143">
        <v>2048</v>
      </c>
      <c r="BA143">
        <v>141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CX143">
        <f>Y143*Source!I154</f>
        <v>695.27067999999997</v>
      </c>
      <c r="CY143">
        <f>AD143</f>
        <v>0</v>
      </c>
      <c r="CZ143">
        <f>AH143</f>
        <v>0</v>
      </c>
      <c r="DA143">
        <f>AL143</f>
        <v>25.44</v>
      </c>
      <c r="DB143">
        <f>ROUND((ROUND(AT143*CZ143,2)*1.15),6)</f>
        <v>0</v>
      </c>
      <c r="DC143">
        <f>ROUND((ROUND(AT143*AG143,2)*1.15),6)</f>
        <v>0</v>
      </c>
    </row>
    <row r="144" spans="1:107" x14ac:dyDescent="0.2">
      <c r="A144">
        <f>ROW(Source!A154)</f>
        <v>154</v>
      </c>
      <c r="B144">
        <v>42938047</v>
      </c>
      <c r="C144">
        <v>42938309</v>
      </c>
      <c r="D144">
        <v>36045308</v>
      </c>
      <c r="E144">
        <v>1</v>
      </c>
      <c r="F144">
        <v>1</v>
      </c>
      <c r="G144">
        <v>35973048</v>
      </c>
      <c r="H144">
        <v>2</v>
      </c>
      <c r="I144" t="s">
        <v>1231</v>
      </c>
      <c r="J144" t="s">
        <v>1232</v>
      </c>
      <c r="K144" t="s">
        <v>1233</v>
      </c>
      <c r="L144">
        <v>1367</v>
      </c>
      <c r="N144">
        <v>1011</v>
      </c>
      <c r="O144" t="s">
        <v>738</v>
      </c>
      <c r="P144" t="s">
        <v>738</v>
      </c>
      <c r="Q144">
        <v>1</v>
      </c>
      <c r="W144">
        <v>0</v>
      </c>
      <c r="X144">
        <v>-628430174</v>
      </c>
      <c r="Y144">
        <v>0.17499999999999999</v>
      </c>
      <c r="AA144">
        <v>0</v>
      </c>
      <c r="AB144">
        <v>748.13</v>
      </c>
      <c r="AC144">
        <v>365.32</v>
      </c>
      <c r="AD144">
        <v>0</v>
      </c>
      <c r="AE144">
        <v>0</v>
      </c>
      <c r="AF144">
        <v>76.81</v>
      </c>
      <c r="AG144">
        <v>14.36</v>
      </c>
      <c r="AH144">
        <v>0</v>
      </c>
      <c r="AI144">
        <v>1</v>
      </c>
      <c r="AJ144">
        <v>9.74</v>
      </c>
      <c r="AK144">
        <v>25.44</v>
      </c>
      <c r="AL144">
        <v>1</v>
      </c>
      <c r="AN144">
        <v>0</v>
      </c>
      <c r="AO144">
        <v>1</v>
      </c>
      <c r="AP144">
        <v>1</v>
      </c>
      <c r="AQ144">
        <v>0</v>
      </c>
      <c r="AR144">
        <v>0</v>
      </c>
      <c r="AS144" t="s">
        <v>3</v>
      </c>
      <c r="AT144">
        <v>0.14000000000000001</v>
      </c>
      <c r="AU144" t="s">
        <v>20</v>
      </c>
      <c r="AV144">
        <v>0</v>
      </c>
      <c r="AW144">
        <v>2</v>
      </c>
      <c r="AX144">
        <v>43136573</v>
      </c>
      <c r="AY144">
        <v>1</v>
      </c>
      <c r="AZ144">
        <v>2048</v>
      </c>
      <c r="BA144">
        <v>142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CX144">
        <f>Y144*Source!I154</f>
        <v>1.6677499999999998</v>
      </c>
      <c r="CY144">
        <f>AB144</f>
        <v>748.13</v>
      </c>
      <c r="CZ144">
        <f>AF144</f>
        <v>76.81</v>
      </c>
      <c r="DA144">
        <f>AJ144</f>
        <v>9.74</v>
      </c>
      <c r="DB144">
        <f>ROUND((ROUND(AT144*CZ144,2)*1.25),6)</f>
        <v>13.4375</v>
      </c>
      <c r="DC144">
        <f>ROUND((ROUND(AT144*AG144,2)*1.25),6)</f>
        <v>2.5125000000000002</v>
      </c>
    </row>
    <row r="145" spans="1:107" x14ac:dyDescent="0.2">
      <c r="A145">
        <f>ROW(Source!A154)</f>
        <v>154</v>
      </c>
      <c r="B145">
        <v>42938047</v>
      </c>
      <c r="C145">
        <v>42938309</v>
      </c>
      <c r="D145">
        <v>36044555</v>
      </c>
      <c r="E145">
        <v>1</v>
      </c>
      <c r="F145">
        <v>1</v>
      </c>
      <c r="G145">
        <v>35973048</v>
      </c>
      <c r="H145">
        <v>2</v>
      </c>
      <c r="I145" t="s">
        <v>1267</v>
      </c>
      <c r="J145" t="s">
        <v>1268</v>
      </c>
      <c r="K145" t="s">
        <v>1269</v>
      </c>
      <c r="L145">
        <v>1367</v>
      </c>
      <c r="N145">
        <v>1011</v>
      </c>
      <c r="O145" t="s">
        <v>738</v>
      </c>
      <c r="P145" t="s">
        <v>738</v>
      </c>
      <c r="Q145">
        <v>1</v>
      </c>
      <c r="W145">
        <v>0</v>
      </c>
      <c r="X145">
        <v>-266174272</v>
      </c>
      <c r="Y145">
        <v>0.17499999999999999</v>
      </c>
      <c r="AA145">
        <v>0</v>
      </c>
      <c r="AB145">
        <v>1636.27</v>
      </c>
      <c r="AC145">
        <v>461.74</v>
      </c>
      <c r="AD145">
        <v>0</v>
      </c>
      <c r="AE145">
        <v>0</v>
      </c>
      <c r="AF145">
        <v>190.93</v>
      </c>
      <c r="AG145">
        <v>18.149999999999999</v>
      </c>
      <c r="AH145">
        <v>0</v>
      </c>
      <c r="AI145">
        <v>1</v>
      </c>
      <c r="AJ145">
        <v>8.57</v>
      </c>
      <c r="AK145">
        <v>25.44</v>
      </c>
      <c r="AL145">
        <v>1</v>
      </c>
      <c r="AN145">
        <v>0</v>
      </c>
      <c r="AO145">
        <v>1</v>
      </c>
      <c r="AP145">
        <v>1</v>
      </c>
      <c r="AQ145">
        <v>0</v>
      </c>
      <c r="AR145">
        <v>0</v>
      </c>
      <c r="AS145" t="s">
        <v>3</v>
      </c>
      <c r="AT145">
        <v>0.14000000000000001</v>
      </c>
      <c r="AU145" t="s">
        <v>20</v>
      </c>
      <c r="AV145">
        <v>0</v>
      </c>
      <c r="AW145">
        <v>2</v>
      </c>
      <c r="AX145">
        <v>43136574</v>
      </c>
      <c r="AY145">
        <v>1</v>
      </c>
      <c r="AZ145">
        <v>2048</v>
      </c>
      <c r="BA145">
        <v>143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CX145">
        <f>Y145*Source!I154</f>
        <v>1.6677499999999998</v>
      </c>
      <c r="CY145">
        <f>AB145</f>
        <v>1636.27</v>
      </c>
      <c r="CZ145">
        <f>AF145</f>
        <v>190.93</v>
      </c>
      <c r="DA145">
        <f>AJ145</f>
        <v>8.57</v>
      </c>
      <c r="DB145">
        <f>ROUND((ROUND(AT145*CZ145,2)*1.25),6)</f>
        <v>33.412500000000001</v>
      </c>
      <c r="DC145">
        <f>ROUND((ROUND(AT145*AG145,2)*1.25),6)</f>
        <v>3.1749999999999998</v>
      </c>
    </row>
    <row r="146" spans="1:107" x14ac:dyDescent="0.2">
      <c r="A146">
        <f>ROW(Source!A154)</f>
        <v>154</v>
      </c>
      <c r="B146">
        <v>42938047</v>
      </c>
      <c r="C146">
        <v>42938309</v>
      </c>
      <c r="D146">
        <v>36044648</v>
      </c>
      <c r="E146">
        <v>1</v>
      </c>
      <c r="F146">
        <v>1</v>
      </c>
      <c r="G146">
        <v>35973048</v>
      </c>
      <c r="H146">
        <v>2</v>
      </c>
      <c r="I146" t="s">
        <v>1270</v>
      </c>
      <c r="J146" t="s">
        <v>1271</v>
      </c>
      <c r="K146" t="s">
        <v>1272</v>
      </c>
      <c r="L146">
        <v>1367</v>
      </c>
      <c r="N146">
        <v>1011</v>
      </c>
      <c r="O146" t="s">
        <v>738</v>
      </c>
      <c r="P146" t="s">
        <v>738</v>
      </c>
      <c r="Q146">
        <v>1</v>
      </c>
      <c r="W146">
        <v>0</v>
      </c>
      <c r="X146">
        <v>482200787</v>
      </c>
      <c r="Y146">
        <v>0.27500000000000002</v>
      </c>
      <c r="AA146">
        <v>0</v>
      </c>
      <c r="AB146">
        <v>730</v>
      </c>
      <c r="AC146">
        <v>429.94</v>
      </c>
      <c r="AD146">
        <v>0</v>
      </c>
      <c r="AE146">
        <v>0</v>
      </c>
      <c r="AF146">
        <v>73</v>
      </c>
      <c r="AG146">
        <v>16.899999999999999</v>
      </c>
      <c r="AH146">
        <v>0</v>
      </c>
      <c r="AI146">
        <v>1</v>
      </c>
      <c r="AJ146">
        <v>10</v>
      </c>
      <c r="AK146">
        <v>25.44</v>
      </c>
      <c r="AL146">
        <v>1</v>
      </c>
      <c r="AN146">
        <v>0</v>
      </c>
      <c r="AO146">
        <v>1</v>
      </c>
      <c r="AP146">
        <v>1</v>
      </c>
      <c r="AQ146">
        <v>0</v>
      </c>
      <c r="AR146">
        <v>0</v>
      </c>
      <c r="AS146" t="s">
        <v>3</v>
      </c>
      <c r="AT146">
        <v>0.22</v>
      </c>
      <c r="AU146" t="s">
        <v>20</v>
      </c>
      <c r="AV146">
        <v>0</v>
      </c>
      <c r="AW146">
        <v>2</v>
      </c>
      <c r="AX146">
        <v>43136575</v>
      </c>
      <c r="AY146">
        <v>1</v>
      </c>
      <c r="AZ146">
        <v>0</v>
      </c>
      <c r="BA146">
        <v>144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CX146">
        <f>Y146*Source!I154</f>
        <v>2.6207500000000001</v>
      </c>
      <c r="CY146">
        <f>AB146</f>
        <v>730</v>
      </c>
      <c r="CZ146">
        <f>AF146</f>
        <v>73</v>
      </c>
      <c r="DA146">
        <f>AJ146</f>
        <v>10</v>
      </c>
      <c r="DB146">
        <f>ROUND((ROUND(AT146*CZ146,2)*1.25),6)</f>
        <v>20.074999999999999</v>
      </c>
      <c r="DC146">
        <f>ROUND((ROUND(AT146*AG146,2)*1.25),6)</f>
        <v>4.6500000000000004</v>
      </c>
    </row>
    <row r="147" spans="1:107" x14ac:dyDescent="0.2">
      <c r="A147">
        <f>ROW(Source!A154)</f>
        <v>154</v>
      </c>
      <c r="B147">
        <v>42938047</v>
      </c>
      <c r="C147">
        <v>42938309</v>
      </c>
      <c r="D147">
        <v>36020428</v>
      </c>
      <c r="E147">
        <v>1</v>
      </c>
      <c r="F147">
        <v>1</v>
      </c>
      <c r="G147">
        <v>35973048</v>
      </c>
      <c r="H147">
        <v>3</v>
      </c>
      <c r="I147" t="s">
        <v>372</v>
      </c>
      <c r="J147" t="s">
        <v>374</v>
      </c>
      <c r="K147" t="s">
        <v>373</v>
      </c>
      <c r="L147">
        <v>1348</v>
      </c>
      <c r="N147">
        <v>1009</v>
      </c>
      <c r="O147" t="s">
        <v>104</v>
      </c>
      <c r="P147" t="s">
        <v>104</v>
      </c>
      <c r="Q147">
        <v>1000</v>
      </c>
      <c r="W147">
        <v>0</v>
      </c>
      <c r="X147">
        <v>563176784</v>
      </c>
      <c r="Y147">
        <v>1E-3</v>
      </c>
      <c r="AA147">
        <v>58366.71</v>
      </c>
      <c r="AB147">
        <v>0</v>
      </c>
      <c r="AC147">
        <v>0</v>
      </c>
      <c r="AD147">
        <v>0</v>
      </c>
      <c r="AE147">
        <v>6521.42</v>
      </c>
      <c r="AF147">
        <v>0</v>
      </c>
      <c r="AG147">
        <v>0</v>
      </c>
      <c r="AH147">
        <v>0</v>
      </c>
      <c r="AI147">
        <v>8.9499999999999993</v>
      </c>
      <c r="AJ147">
        <v>1</v>
      </c>
      <c r="AK147">
        <v>1</v>
      </c>
      <c r="AL147">
        <v>1</v>
      </c>
      <c r="AN147">
        <v>0</v>
      </c>
      <c r="AO147">
        <v>1</v>
      </c>
      <c r="AP147">
        <v>0</v>
      </c>
      <c r="AQ147">
        <v>0</v>
      </c>
      <c r="AR147">
        <v>0</v>
      </c>
      <c r="AS147" t="s">
        <v>3</v>
      </c>
      <c r="AT147">
        <v>1E-3</v>
      </c>
      <c r="AU147" t="s">
        <v>3</v>
      </c>
      <c r="AV147">
        <v>0</v>
      </c>
      <c r="AW147">
        <v>2</v>
      </c>
      <c r="AX147">
        <v>43136576</v>
      </c>
      <c r="AY147">
        <v>1</v>
      </c>
      <c r="AZ147">
        <v>0</v>
      </c>
      <c r="BA147">
        <v>145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CX147">
        <f>Y147*Source!I154</f>
        <v>9.5300000000000003E-3</v>
      </c>
      <c r="CY147">
        <f t="shared" ref="CY147:CY152" si="32">AA147</f>
        <v>58366.71</v>
      </c>
      <c r="CZ147">
        <f t="shared" ref="CZ147:CZ152" si="33">AE147</f>
        <v>6521.42</v>
      </c>
      <c r="DA147">
        <f t="shared" ref="DA147:DA152" si="34">AI147</f>
        <v>8.9499999999999993</v>
      </c>
      <c r="DB147">
        <f t="shared" ref="DB147:DB157" si="35">ROUND(ROUND(AT147*CZ147,2),6)</f>
        <v>6.52</v>
      </c>
      <c r="DC147">
        <f t="shared" ref="DC147:DC157" si="36">ROUND(ROUND(AT147*AG147,2),6)</f>
        <v>0</v>
      </c>
    </row>
    <row r="148" spans="1:107" x14ac:dyDescent="0.2">
      <c r="A148">
        <f>ROW(Source!A154)</f>
        <v>154</v>
      </c>
      <c r="B148">
        <v>42938047</v>
      </c>
      <c r="C148">
        <v>42938309</v>
      </c>
      <c r="D148">
        <v>36021686</v>
      </c>
      <c r="E148">
        <v>1</v>
      </c>
      <c r="F148">
        <v>1</v>
      </c>
      <c r="G148">
        <v>35973048</v>
      </c>
      <c r="H148">
        <v>3</v>
      </c>
      <c r="I148" t="s">
        <v>341</v>
      </c>
      <c r="J148" t="s">
        <v>343</v>
      </c>
      <c r="K148" t="s">
        <v>342</v>
      </c>
      <c r="L148">
        <v>1339</v>
      </c>
      <c r="N148">
        <v>1007</v>
      </c>
      <c r="O148" t="s">
        <v>84</v>
      </c>
      <c r="P148" t="s">
        <v>84</v>
      </c>
      <c r="Q148">
        <v>1</v>
      </c>
      <c r="W148">
        <v>0</v>
      </c>
      <c r="X148">
        <v>-1030024616</v>
      </c>
      <c r="Y148">
        <v>2.0986359999999999</v>
      </c>
      <c r="AA148">
        <v>1939.67</v>
      </c>
      <c r="AB148">
        <v>0</v>
      </c>
      <c r="AC148">
        <v>0</v>
      </c>
      <c r="AD148">
        <v>0</v>
      </c>
      <c r="AE148">
        <v>185.17</v>
      </c>
      <c r="AF148">
        <v>0</v>
      </c>
      <c r="AG148">
        <v>0</v>
      </c>
      <c r="AH148">
        <v>0</v>
      </c>
      <c r="AI148">
        <v>10.17</v>
      </c>
      <c r="AJ148">
        <v>1</v>
      </c>
      <c r="AK148">
        <v>1</v>
      </c>
      <c r="AL148">
        <v>1</v>
      </c>
      <c r="AN148">
        <v>0</v>
      </c>
      <c r="AO148">
        <v>0</v>
      </c>
      <c r="AP148">
        <v>0</v>
      </c>
      <c r="AQ148">
        <v>0</v>
      </c>
      <c r="AR148">
        <v>0</v>
      </c>
      <c r="AS148" t="s">
        <v>3</v>
      </c>
      <c r="AT148">
        <v>2.0986359999999999</v>
      </c>
      <c r="AU148" t="s">
        <v>3</v>
      </c>
      <c r="AV148">
        <v>0</v>
      </c>
      <c r="AW148">
        <v>1</v>
      </c>
      <c r="AX148">
        <v>-1</v>
      </c>
      <c r="AY148">
        <v>0</v>
      </c>
      <c r="AZ148">
        <v>0</v>
      </c>
      <c r="BA148" t="s">
        <v>3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CX148">
        <f>Y148*Source!I154</f>
        <v>20.000001079999997</v>
      </c>
      <c r="CY148">
        <f t="shared" si="32"/>
        <v>1939.67</v>
      </c>
      <c r="CZ148">
        <f t="shared" si="33"/>
        <v>185.17</v>
      </c>
      <c r="DA148">
        <f t="shared" si="34"/>
        <v>10.17</v>
      </c>
      <c r="DB148">
        <f t="shared" si="35"/>
        <v>388.6</v>
      </c>
      <c r="DC148">
        <f t="shared" si="36"/>
        <v>0</v>
      </c>
    </row>
    <row r="149" spans="1:107" x14ac:dyDescent="0.2">
      <c r="A149">
        <f>ROW(Source!A154)</f>
        <v>154</v>
      </c>
      <c r="B149">
        <v>42938047</v>
      </c>
      <c r="C149">
        <v>42938309</v>
      </c>
      <c r="D149">
        <v>36020522</v>
      </c>
      <c r="E149">
        <v>1</v>
      </c>
      <c r="F149">
        <v>1</v>
      </c>
      <c r="G149">
        <v>35973048</v>
      </c>
      <c r="H149">
        <v>3</v>
      </c>
      <c r="I149" t="s">
        <v>1344</v>
      </c>
      <c r="J149" t="s">
        <v>1345</v>
      </c>
      <c r="K149" t="s">
        <v>1346</v>
      </c>
      <c r="L149">
        <v>1339</v>
      </c>
      <c r="N149">
        <v>1007</v>
      </c>
      <c r="O149" t="s">
        <v>84</v>
      </c>
      <c r="P149" t="s">
        <v>84</v>
      </c>
      <c r="Q149">
        <v>1</v>
      </c>
      <c r="W149">
        <v>0</v>
      </c>
      <c r="X149">
        <v>-164923881</v>
      </c>
      <c r="Y149">
        <v>0.17</v>
      </c>
      <c r="AA149">
        <v>3035.41</v>
      </c>
      <c r="AB149">
        <v>0</v>
      </c>
      <c r="AC149">
        <v>0</v>
      </c>
      <c r="AD149">
        <v>0</v>
      </c>
      <c r="AE149">
        <v>1828.56</v>
      </c>
      <c r="AF149">
        <v>0</v>
      </c>
      <c r="AG149">
        <v>0</v>
      </c>
      <c r="AH149">
        <v>0</v>
      </c>
      <c r="AI149">
        <v>1.66</v>
      </c>
      <c r="AJ149">
        <v>1</v>
      </c>
      <c r="AK149">
        <v>1</v>
      </c>
      <c r="AL149">
        <v>1</v>
      </c>
      <c r="AN149">
        <v>0</v>
      </c>
      <c r="AO149">
        <v>1</v>
      </c>
      <c r="AP149">
        <v>0</v>
      </c>
      <c r="AQ149">
        <v>0</v>
      </c>
      <c r="AR149">
        <v>0</v>
      </c>
      <c r="AS149" t="s">
        <v>3</v>
      </c>
      <c r="AT149">
        <v>0.17</v>
      </c>
      <c r="AU149" t="s">
        <v>3</v>
      </c>
      <c r="AV149">
        <v>0</v>
      </c>
      <c r="AW149">
        <v>2</v>
      </c>
      <c r="AX149">
        <v>43136577</v>
      </c>
      <c r="AY149">
        <v>1</v>
      </c>
      <c r="AZ149">
        <v>0</v>
      </c>
      <c r="BA149">
        <v>146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CX149">
        <f>Y149*Source!I154</f>
        <v>1.6201000000000001</v>
      </c>
      <c r="CY149">
        <f t="shared" si="32"/>
        <v>3035.41</v>
      </c>
      <c r="CZ149">
        <f t="shared" si="33"/>
        <v>1828.56</v>
      </c>
      <c r="DA149">
        <f t="shared" si="34"/>
        <v>1.66</v>
      </c>
      <c r="DB149">
        <f t="shared" si="35"/>
        <v>310.86</v>
      </c>
      <c r="DC149">
        <f t="shared" si="36"/>
        <v>0</v>
      </c>
    </row>
    <row r="150" spans="1:107" x14ac:dyDescent="0.2">
      <c r="A150">
        <f>ROW(Source!A154)</f>
        <v>154</v>
      </c>
      <c r="B150">
        <v>42938047</v>
      </c>
      <c r="C150">
        <v>42938309</v>
      </c>
      <c r="D150">
        <v>36038791</v>
      </c>
      <c r="E150">
        <v>1</v>
      </c>
      <c r="F150">
        <v>1</v>
      </c>
      <c r="G150">
        <v>35973048</v>
      </c>
      <c r="H150">
        <v>3</v>
      </c>
      <c r="I150" t="s">
        <v>107</v>
      </c>
      <c r="J150" t="s">
        <v>109</v>
      </c>
      <c r="K150" t="s">
        <v>108</v>
      </c>
      <c r="L150">
        <v>1339</v>
      </c>
      <c r="N150">
        <v>1007</v>
      </c>
      <c r="O150" t="s">
        <v>84</v>
      </c>
      <c r="P150" t="s">
        <v>84</v>
      </c>
      <c r="Q150">
        <v>1</v>
      </c>
      <c r="W150">
        <v>1</v>
      </c>
      <c r="X150">
        <v>-758282629</v>
      </c>
      <c r="Y150">
        <v>-4.8</v>
      </c>
      <c r="AA150">
        <v>4363.4799999999996</v>
      </c>
      <c r="AB150">
        <v>0</v>
      </c>
      <c r="AC150">
        <v>0</v>
      </c>
      <c r="AD150">
        <v>0</v>
      </c>
      <c r="AE150">
        <v>704.89</v>
      </c>
      <c r="AF150">
        <v>0</v>
      </c>
      <c r="AG150">
        <v>0</v>
      </c>
      <c r="AH150">
        <v>0</v>
      </c>
      <c r="AI150">
        <v>6.01</v>
      </c>
      <c r="AJ150">
        <v>1</v>
      </c>
      <c r="AK150">
        <v>1</v>
      </c>
      <c r="AL150">
        <v>1</v>
      </c>
      <c r="AN150">
        <v>0</v>
      </c>
      <c r="AO150">
        <v>1</v>
      </c>
      <c r="AP150">
        <v>0</v>
      </c>
      <c r="AQ150">
        <v>0</v>
      </c>
      <c r="AR150">
        <v>0</v>
      </c>
      <c r="AS150" t="s">
        <v>3</v>
      </c>
      <c r="AT150">
        <v>-4.8</v>
      </c>
      <c r="AU150" t="s">
        <v>3</v>
      </c>
      <c r="AV150">
        <v>0</v>
      </c>
      <c r="AW150">
        <v>2</v>
      </c>
      <c r="AX150">
        <v>43136578</v>
      </c>
      <c r="AY150">
        <v>1</v>
      </c>
      <c r="AZ150">
        <v>6144</v>
      </c>
      <c r="BA150">
        <v>147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CX150">
        <f>Y150*Source!I154</f>
        <v>-45.743999999999993</v>
      </c>
      <c r="CY150">
        <f t="shared" si="32"/>
        <v>4363.4799999999996</v>
      </c>
      <c r="CZ150">
        <f t="shared" si="33"/>
        <v>704.89</v>
      </c>
      <c r="DA150">
        <f t="shared" si="34"/>
        <v>6.01</v>
      </c>
      <c r="DB150">
        <f t="shared" si="35"/>
        <v>-3383.47</v>
      </c>
      <c r="DC150">
        <f t="shared" si="36"/>
        <v>0</v>
      </c>
    </row>
    <row r="151" spans="1:107" x14ac:dyDescent="0.2">
      <c r="A151">
        <f>ROW(Source!A154)</f>
        <v>154</v>
      </c>
      <c r="B151">
        <v>42938047</v>
      </c>
      <c r="C151">
        <v>42938309</v>
      </c>
      <c r="D151">
        <v>36038791</v>
      </c>
      <c r="E151">
        <v>1</v>
      </c>
      <c r="F151">
        <v>1</v>
      </c>
      <c r="G151">
        <v>35973048</v>
      </c>
      <c r="H151">
        <v>3</v>
      </c>
      <c r="I151" t="s">
        <v>107</v>
      </c>
      <c r="J151" t="s">
        <v>109</v>
      </c>
      <c r="K151" t="s">
        <v>108</v>
      </c>
      <c r="L151">
        <v>1339</v>
      </c>
      <c r="N151">
        <v>1007</v>
      </c>
      <c r="O151" t="s">
        <v>84</v>
      </c>
      <c r="P151" t="s">
        <v>84</v>
      </c>
      <c r="Q151">
        <v>1</v>
      </c>
      <c r="W151">
        <v>0</v>
      </c>
      <c r="X151">
        <v>-758282629</v>
      </c>
      <c r="Y151">
        <v>1.9937039999999999</v>
      </c>
      <c r="AA151">
        <v>4363.4799999999996</v>
      </c>
      <c r="AB151">
        <v>0</v>
      </c>
      <c r="AC151">
        <v>0</v>
      </c>
      <c r="AD151">
        <v>0</v>
      </c>
      <c r="AE151">
        <v>704.89</v>
      </c>
      <c r="AF151">
        <v>0</v>
      </c>
      <c r="AG151">
        <v>0</v>
      </c>
      <c r="AH151">
        <v>0</v>
      </c>
      <c r="AI151">
        <v>6.01</v>
      </c>
      <c r="AJ151">
        <v>1</v>
      </c>
      <c r="AK151">
        <v>1</v>
      </c>
      <c r="AL151">
        <v>1</v>
      </c>
      <c r="AN151">
        <v>0</v>
      </c>
      <c r="AO151">
        <v>0</v>
      </c>
      <c r="AP151">
        <v>0</v>
      </c>
      <c r="AQ151">
        <v>0</v>
      </c>
      <c r="AR151">
        <v>0</v>
      </c>
      <c r="AS151" t="s">
        <v>3</v>
      </c>
      <c r="AT151">
        <v>1.9937039999999999</v>
      </c>
      <c r="AU151" t="s">
        <v>3</v>
      </c>
      <c r="AV151">
        <v>0</v>
      </c>
      <c r="AW151">
        <v>1</v>
      </c>
      <c r="AX151">
        <v>-1</v>
      </c>
      <c r="AY151">
        <v>0</v>
      </c>
      <c r="AZ151">
        <v>0</v>
      </c>
      <c r="BA151" t="s">
        <v>3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CX151">
        <f>Y151*Source!I154</f>
        <v>18.999999119999998</v>
      </c>
      <c r="CY151">
        <f t="shared" si="32"/>
        <v>4363.4799999999996</v>
      </c>
      <c r="CZ151">
        <f t="shared" si="33"/>
        <v>704.89</v>
      </c>
      <c r="DA151">
        <f t="shared" si="34"/>
        <v>6.01</v>
      </c>
      <c r="DB151">
        <f t="shared" si="35"/>
        <v>1405.34</v>
      </c>
      <c r="DC151">
        <f t="shared" si="36"/>
        <v>0</v>
      </c>
    </row>
    <row r="152" spans="1:107" x14ac:dyDescent="0.2">
      <c r="A152">
        <f>ROW(Source!A154)</f>
        <v>154</v>
      </c>
      <c r="B152">
        <v>42938047</v>
      </c>
      <c r="C152">
        <v>42938309</v>
      </c>
      <c r="D152">
        <v>36038925</v>
      </c>
      <c r="E152">
        <v>1</v>
      </c>
      <c r="F152">
        <v>1</v>
      </c>
      <c r="G152">
        <v>35973048</v>
      </c>
      <c r="H152">
        <v>3</v>
      </c>
      <c r="I152" t="s">
        <v>1347</v>
      </c>
      <c r="J152" t="s">
        <v>1348</v>
      </c>
      <c r="K152" t="s">
        <v>1349</v>
      </c>
      <c r="L152">
        <v>1339</v>
      </c>
      <c r="N152">
        <v>1007</v>
      </c>
      <c r="O152" t="s">
        <v>84</v>
      </c>
      <c r="P152" t="s">
        <v>84</v>
      </c>
      <c r="Q152">
        <v>1</v>
      </c>
      <c r="W152">
        <v>0</v>
      </c>
      <c r="X152">
        <v>-718781615</v>
      </c>
      <c r="Y152">
        <v>0.02</v>
      </c>
      <c r="AA152">
        <v>2991.06</v>
      </c>
      <c r="AB152">
        <v>0</v>
      </c>
      <c r="AC152">
        <v>0</v>
      </c>
      <c r="AD152">
        <v>0</v>
      </c>
      <c r="AE152">
        <v>451.14</v>
      </c>
      <c r="AF152">
        <v>0</v>
      </c>
      <c r="AG152">
        <v>0</v>
      </c>
      <c r="AH152">
        <v>0</v>
      </c>
      <c r="AI152">
        <v>6.63</v>
      </c>
      <c r="AJ152">
        <v>1</v>
      </c>
      <c r="AK152">
        <v>1</v>
      </c>
      <c r="AL152">
        <v>1</v>
      </c>
      <c r="AN152">
        <v>0</v>
      </c>
      <c r="AO152">
        <v>1</v>
      </c>
      <c r="AP152">
        <v>0</v>
      </c>
      <c r="AQ152">
        <v>0</v>
      </c>
      <c r="AR152">
        <v>0</v>
      </c>
      <c r="AS152" t="s">
        <v>3</v>
      </c>
      <c r="AT152">
        <v>0.02</v>
      </c>
      <c r="AU152" t="s">
        <v>3</v>
      </c>
      <c r="AV152">
        <v>0</v>
      </c>
      <c r="AW152">
        <v>2</v>
      </c>
      <c r="AX152">
        <v>43136579</v>
      </c>
      <c r="AY152">
        <v>1</v>
      </c>
      <c r="AZ152">
        <v>0</v>
      </c>
      <c r="BA152">
        <v>148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CX152">
        <f>Y152*Source!I154</f>
        <v>0.19059999999999999</v>
      </c>
      <c r="CY152">
        <f t="shared" si="32"/>
        <v>2991.06</v>
      </c>
      <c r="CZ152">
        <f t="shared" si="33"/>
        <v>451.14</v>
      </c>
      <c r="DA152">
        <f t="shared" si="34"/>
        <v>6.63</v>
      </c>
      <c r="DB152">
        <f t="shared" si="35"/>
        <v>9.02</v>
      </c>
      <c r="DC152">
        <f t="shared" si="36"/>
        <v>0</v>
      </c>
    </row>
    <row r="153" spans="1:107" x14ac:dyDescent="0.2">
      <c r="A153">
        <f>ROW(Source!A159)</f>
        <v>159</v>
      </c>
      <c r="B153">
        <v>42938047</v>
      </c>
      <c r="C153">
        <v>42938310</v>
      </c>
      <c r="D153">
        <v>35973762</v>
      </c>
      <c r="E153">
        <v>35973048</v>
      </c>
      <c r="F153">
        <v>1</v>
      </c>
      <c r="G153">
        <v>35973048</v>
      </c>
      <c r="H153">
        <v>2</v>
      </c>
      <c r="I153" t="s">
        <v>1243</v>
      </c>
      <c r="J153" t="s">
        <v>3</v>
      </c>
      <c r="K153" t="s">
        <v>1244</v>
      </c>
      <c r="L153">
        <v>1344</v>
      </c>
      <c r="N153">
        <v>1008</v>
      </c>
      <c r="O153" t="s">
        <v>1245</v>
      </c>
      <c r="P153" t="s">
        <v>1245</v>
      </c>
      <c r="Q153">
        <v>1</v>
      </c>
      <c r="W153">
        <v>0</v>
      </c>
      <c r="X153">
        <v>-1180195794</v>
      </c>
      <c r="Y153">
        <v>8.86</v>
      </c>
      <c r="AA153">
        <v>0</v>
      </c>
      <c r="AB153">
        <v>9.5500000000000007</v>
      </c>
      <c r="AC153">
        <v>0</v>
      </c>
      <c r="AD153">
        <v>0</v>
      </c>
      <c r="AE153">
        <v>0</v>
      </c>
      <c r="AF153">
        <v>1</v>
      </c>
      <c r="AG153">
        <v>0</v>
      </c>
      <c r="AH153">
        <v>0</v>
      </c>
      <c r="AI153">
        <v>1</v>
      </c>
      <c r="AJ153">
        <v>9.1199999999999992</v>
      </c>
      <c r="AK153">
        <v>25.44</v>
      </c>
      <c r="AL153">
        <v>1</v>
      </c>
      <c r="AN153">
        <v>0</v>
      </c>
      <c r="AO153">
        <v>1</v>
      </c>
      <c r="AP153">
        <v>0</v>
      </c>
      <c r="AQ153">
        <v>0</v>
      </c>
      <c r="AR153">
        <v>0</v>
      </c>
      <c r="AS153" t="s">
        <v>3</v>
      </c>
      <c r="AT153">
        <v>8.86</v>
      </c>
      <c r="AU153" t="s">
        <v>3</v>
      </c>
      <c r="AV153">
        <v>0</v>
      </c>
      <c r="AW153">
        <v>2</v>
      </c>
      <c r="AX153">
        <v>42938661</v>
      </c>
      <c r="AY153">
        <v>1</v>
      </c>
      <c r="AZ153">
        <v>0</v>
      </c>
      <c r="BA153">
        <v>150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CX153">
        <f>Y153*Source!I159</f>
        <v>879.82457999999997</v>
      </c>
      <c r="CY153">
        <f>AB153</f>
        <v>9.5500000000000007</v>
      </c>
      <c r="CZ153">
        <f>AF153</f>
        <v>1</v>
      </c>
      <c r="DA153">
        <f>AJ153</f>
        <v>9.1199999999999992</v>
      </c>
      <c r="DB153">
        <f t="shared" si="35"/>
        <v>8.86</v>
      </c>
      <c r="DC153">
        <f t="shared" si="36"/>
        <v>0</v>
      </c>
    </row>
    <row r="154" spans="1:107" x14ac:dyDescent="0.2">
      <c r="A154">
        <f>ROW(Source!A160)</f>
        <v>160</v>
      </c>
      <c r="B154">
        <v>42938047</v>
      </c>
      <c r="C154">
        <v>42938662</v>
      </c>
      <c r="D154">
        <v>36759507</v>
      </c>
      <c r="E154">
        <v>1</v>
      </c>
      <c r="F154">
        <v>1</v>
      </c>
      <c r="G154">
        <v>35973048</v>
      </c>
      <c r="H154">
        <v>2</v>
      </c>
      <c r="I154" t="s">
        <v>1329</v>
      </c>
      <c r="J154" t="s">
        <v>1330</v>
      </c>
      <c r="K154" t="s">
        <v>1331</v>
      </c>
      <c r="L154">
        <v>1367</v>
      </c>
      <c r="N154">
        <v>1011</v>
      </c>
      <c r="O154" t="s">
        <v>738</v>
      </c>
      <c r="P154" t="s">
        <v>738</v>
      </c>
      <c r="Q154">
        <v>1</v>
      </c>
      <c r="W154">
        <v>0</v>
      </c>
      <c r="X154">
        <v>-1132105959</v>
      </c>
      <c r="Y154">
        <v>1</v>
      </c>
      <c r="AA154">
        <v>0</v>
      </c>
      <c r="AB154">
        <v>115.66</v>
      </c>
      <c r="AC154">
        <v>14.4</v>
      </c>
      <c r="AD154">
        <v>0</v>
      </c>
      <c r="AE154">
        <v>0</v>
      </c>
      <c r="AF154">
        <v>115.66</v>
      </c>
      <c r="AG154">
        <v>14.4</v>
      </c>
      <c r="AH154">
        <v>0</v>
      </c>
      <c r="AI154">
        <v>1</v>
      </c>
      <c r="AJ154">
        <v>1</v>
      </c>
      <c r="AK154">
        <v>1</v>
      </c>
      <c r="AL154">
        <v>1</v>
      </c>
      <c r="AN154">
        <v>0</v>
      </c>
      <c r="AO154">
        <v>1</v>
      </c>
      <c r="AP154">
        <v>0</v>
      </c>
      <c r="AQ154">
        <v>0</v>
      </c>
      <c r="AR154">
        <v>0</v>
      </c>
      <c r="AS154" t="s">
        <v>3</v>
      </c>
      <c r="AT154">
        <v>1</v>
      </c>
      <c r="AU154" t="s">
        <v>3</v>
      </c>
      <c r="AV154">
        <v>0</v>
      </c>
      <c r="AW154">
        <v>2</v>
      </c>
      <c r="AX154">
        <v>42938664</v>
      </c>
      <c r="AY154">
        <v>1</v>
      </c>
      <c r="AZ154">
        <v>0</v>
      </c>
      <c r="BA154">
        <v>151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CX154">
        <f>Y154*Source!I160</f>
        <v>99.302999999999997</v>
      </c>
      <c r="CY154">
        <f>AB154</f>
        <v>115.66</v>
      </c>
      <c r="CZ154">
        <f>AF154</f>
        <v>115.66</v>
      </c>
      <c r="DA154">
        <f>AJ154</f>
        <v>1</v>
      </c>
      <c r="DB154">
        <f t="shared" si="35"/>
        <v>115.66</v>
      </c>
      <c r="DC154">
        <f t="shared" si="36"/>
        <v>14.4</v>
      </c>
    </row>
    <row r="155" spans="1:107" x14ac:dyDescent="0.2">
      <c r="A155">
        <f>ROW(Source!A161)</f>
        <v>161</v>
      </c>
      <c r="B155">
        <v>42938047</v>
      </c>
      <c r="C155">
        <v>42938665</v>
      </c>
      <c r="D155">
        <v>35973762</v>
      </c>
      <c r="E155">
        <v>35973048</v>
      </c>
      <c r="F155">
        <v>1</v>
      </c>
      <c r="G155">
        <v>35973048</v>
      </c>
      <c r="H155">
        <v>2</v>
      </c>
      <c r="I155" t="s">
        <v>1243</v>
      </c>
      <c r="J155" t="s">
        <v>3</v>
      </c>
      <c r="K155" t="s">
        <v>1244</v>
      </c>
      <c r="L155">
        <v>1344</v>
      </c>
      <c r="N155">
        <v>1008</v>
      </c>
      <c r="O155" t="s">
        <v>1245</v>
      </c>
      <c r="P155" t="s">
        <v>1245</v>
      </c>
      <c r="Q155">
        <v>1</v>
      </c>
      <c r="W155">
        <v>0</v>
      </c>
      <c r="X155">
        <v>-1180195794</v>
      </c>
      <c r="Y155">
        <v>21.71</v>
      </c>
      <c r="AA155">
        <v>0</v>
      </c>
      <c r="AB155">
        <v>1</v>
      </c>
      <c r="AC155">
        <v>0</v>
      </c>
      <c r="AD155">
        <v>0</v>
      </c>
      <c r="AE155">
        <v>0</v>
      </c>
      <c r="AF155">
        <v>1</v>
      </c>
      <c r="AG155">
        <v>0</v>
      </c>
      <c r="AH155">
        <v>0</v>
      </c>
      <c r="AI155">
        <v>1</v>
      </c>
      <c r="AJ155">
        <v>1</v>
      </c>
      <c r="AK155">
        <v>1</v>
      </c>
      <c r="AL155">
        <v>1</v>
      </c>
      <c r="AN155">
        <v>0</v>
      </c>
      <c r="AO155">
        <v>1</v>
      </c>
      <c r="AP155">
        <v>0</v>
      </c>
      <c r="AQ155">
        <v>0</v>
      </c>
      <c r="AR155">
        <v>0</v>
      </c>
      <c r="AS155" t="s">
        <v>3</v>
      </c>
      <c r="AT155">
        <v>21.71</v>
      </c>
      <c r="AU155" t="s">
        <v>3</v>
      </c>
      <c r="AV155">
        <v>0</v>
      </c>
      <c r="AW155">
        <v>2</v>
      </c>
      <c r="AX155">
        <v>42938666</v>
      </c>
      <c r="AY155">
        <v>1</v>
      </c>
      <c r="AZ155">
        <v>0</v>
      </c>
      <c r="BA155">
        <v>152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CX155">
        <f>Y155*Source!I161</f>
        <v>2155.8681299999998</v>
      </c>
      <c r="CY155">
        <f>AB155</f>
        <v>1</v>
      </c>
      <c r="CZ155">
        <f>AF155</f>
        <v>1</v>
      </c>
      <c r="DA155">
        <f>AJ155</f>
        <v>1</v>
      </c>
      <c r="DB155">
        <f t="shared" si="35"/>
        <v>21.71</v>
      </c>
      <c r="DC155">
        <f t="shared" si="36"/>
        <v>0</v>
      </c>
    </row>
    <row r="156" spans="1:107" x14ac:dyDescent="0.2">
      <c r="A156">
        <f>ROW(Source!A162)</f>
        <v>162</v>
      </c>
      <c r="B156">
        <v>42938047</v>
      </c>
      <c r="C156">
        <v>43136699</v>
      </c>
      <c r="D156">
        <v>36759504</v>
      </c>
      <c r="E156">
        <v>1</v>
      </c>
      <c r="F156">
        <v>1</v>
      </c>
      <c r="G156">
        <v>35973048</v>
      </c>
      <c r="H156">
        <v>2</v>
      </c>
      <c r="I156" t="s">
        <v>1332</v>
      </c>
      <c r="J156" t="s">
        <v>1333</v>
      </c>
      <c r="K156" t="s">
        <v>1334</v>
      </c>
      <c r="L156">
        <v>1367</v>
      </c>
      <c r="N156">
        <v>1011</v>
      </c>
      <c r="O156" t="s">
        <v>738</v>
      </c>
      <c r="P156" t="s">
        <v>738</v>
      </c>
      <c r="Q156">
        <v>1</v>
      </c>
      <c r="W156">
        <v>0</v>
      </c>
      <c r="X156">
        <v>1815391720</v>
      </c>
      <c r="Y156">
        <v>1</v>
      </c>
      <c r="AA156">
        <v>0</v>
      </c>
      <c r="AB156">
        <v>100.09</v>
      </c>
      <c r="AC156">
        <v>13.81</v>
      </c>
      <c r="AD156">
        <v>0</v>
      </c>
      <c r="AE156">
        <v>0</v>
      </c>
      <c r="AF156">
        <v>100.09</v>
      </c>
      <c r="AG156">
        <v>13.81</v>
      </c>
      <c r="AH156">
        <v>0</v>
      </c>
      <c r="AI156">
        <v>1</v>
      </c>
      <c r="AJ156">
        <v>1</v>
      </c>
      <c r="AK156">
        <v>1</v>
      </c>
      <c r="AL156">
        <v>1</v>
      </c>
      <c r="AN156">
        <v>0</v>
      </c>
      <c r="AO156">
        <v>1</v>
      </c>
      <c r="AP156">
        <v>0</v>
      </c>
      <c r="AQ156">
        <v>0</v>
      </c>
      <c r="AR156">
        <v>0</v>
      </c>
      <c r="AS156" t="s">
        <v>3</v>
      </c>
      <c r="AT156">
        <v>1</v>
      </c>
      <c r="AU156" t="s">
        <v>3</v>
      </c>
      <c r="AV156">
        <v>0</v>
      </c>
      <c r="AW156">
        <v>2</v>
      </c>
      <c r="AX156">
        <v>43136703</v>
      </c>
      <c r="AY156">
        <v>1</v>
      </c>
      <c r="AZ156">
        <v>0</v>
      </c>
      <c r="BA156">
        <v>153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CX156">
        <f>Y156*Source!I162</f>
        <v>83.86</v>
      </c>
      <c r="CY156">
        <f>AB156</f>
        <v>100.09</v>
      </c>
      <c r="CZ156">
        <f>AF156</f>
        <v>100.09</v>
      </c>
      <c r="DA156">
        <f>AJ156</f>
        <v>1</v>
      </c>
      <c r="DB156">
        <f t="shared" si="35"/>
        <v>100.09</v>
      </c>
      <c r="DC156">
        <f t="shared" si="36"/>
        <v>13.81</v>
      </c>
    </row>
    <row r="157" spans="1:107" x14ac:dyDescent="0.2">
      <c r="A157">
        <f>ROW(Source!A163)</f>
        <v>163</v>
      </c>
      <c r="B157">
        <v>42938047</v>
      </c>
      <c r="C157">
        <v>43136704</v>
      </c>
      <c r="D157">
        <v>35973762</v>
      </c>
      <c r="E157">
        <v>35973048</v>
      </c>
      <c r="F157">
        <v>1</v>
      </c>
      <c r="G157">
        <v>35973048</v>
      </c>
      <c r="H157">
        <v>2</v>
      </c>
      <c r="I157" t="s">
        <v>1243</v>
      </c>
      <c r="J157" t="s">
        <v>3</v>
      </c>
      <c r="K157" t="s">
        <v>1244</v>
      </c>
      <c r="L157">
        <v>1344</v>
      </c>
      <c r="N157">
        <v>1008</v>
      </c>
      <c r="O157" t="s">
        <v>1245</v>
      </c>
      <c r="P157" t="s">
        <v>1245</v>
      </c>
      <c r="Q157">
        <v>1</v>
      </c>
      <c r="W157">
        <v>0</v>
      </c>
      <c r="X157">
        <v>-1180195794</v>
      </c>
      <c r="Y157">
        <v>12.61</v>
      </c>
      <c r="AA157">
        <v>0</v>
      </c>
      <c r="AB157">
        <v>1</v>
      </c>
      <c r="AC157">
        <v>0</v>
      </c>
      <c r="AD157">
        <v>0</v>
      </c>
      <c r="AE157">
        <v>0</v>
      </c>
      <c r="AF157">
        <v>1</v>
      </c>
      <c r="AG157">
        <v>0</v>
      </c>
      <c r="AH157">
        <v>0</v>
      </c>
      <c r="AI157">
        <v>1</v>
      </c>
      <c r="AJ157">
        <v>1</v>
      </c>
      <c r="AK157">
        <v>1</v>
      </c>
      <c r="AL157">
        <v>1</v>
      </c>
      <c r="AN157">
        <v>0</v>
      </c>
      <c r="AO157">
        <v>1</v>
      </c>
      <c r="AP157">
        <v>0</v>
      </c>
      <c r="AQ157">
        <v>0</v>
      </c>
      <c r="AR157">
        <v>0</v>
      </c>
      <c r="AS157" t="s">
        <v>3</v>
      </c>
      <c r="AT157">
        <v>12.61</v>
      </c>
      <c r="AU157" t="s">
        <v>3</v>
      </c>
      <c r="AV157">
        <v>0</v>
      </c>
      <c r="AW157">
        <v>2</v>
      </c>
      <c r="AX157">
        <v>43136705</v>
      </c>
      <c r="AY157">
        <v>1</v>
      </c>
      <c r="AZ157">
        <v>0</v>
      </c>
      <c r="BA157">
        <v>154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CX157">
        <f>Y157*Source!I163</f>
        <v>1057.4746</v>
      </c>
      <c r="CY157">
        <f>AB157</f>
        <v>1</v>
      </c>
      <c r="CZ157">
        <f>AF157</f>
        <v>1</v>
      </c>
      <c r="DA157">
        <f>AJ157</f>
        <v>1</v>
      </c>
      <c r="DB157">
        <f t="shared" si="35"/>
        <v>12.61</v>
      </c>
      <c r="DC157">
        <f t="shared" si="36"/>
        <v>0</v>
      </c>
    </row>
    <row r="158" spans="1:107" x14ac:dyDescent="0.2">
      <c r="A158">
        <f>ROW(Source!A199)</f>
        <v>199</v>
      </c>
      <c r="B158">
        <v>42938047</v>
      </c>
      <c r="C158">
        <v>42938667</v>
      </c>
      <c r="D158">
        <v>35973053</v>
      </c>
      <c r="E158">
        <v>35973048</v>
      </c>
      <c r="F158">
        <v>1</v>
      </c>
      <c r="G158">
        <v>35973048</v>
      </c>
      <c r="H158">
        <v>1</v>
      </c>
      <c r="I158" t="s">
        <v>1228</v>
      </c>
      <c r="J158" t="s">
        <v>3</v>
      </c>
      <c r="K158" t="s">
        <v>1229</v>
      </c>
      <c r="L158">
        <v>1191</v>
      </c>
      <c r="N158">
        <v>1013</v>
      </c>
      <c r="O158" t="s">
        <v>1230</v>
      </c>
      <c r="P158" t="s">
        <v>1230</v>
      </c>
      <c r="Q158">
        <v>1</v>
      </c>
      <c r="W158">
        <v>0</v>
      </c>
      <c r="X158">
        <v>476480486</v>
      </c>
      <c r="Y158">
        <v>2.6564999999999999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1</v>
      </c>
      <c r="AJ158">
        <v>1</v>
      </c>
      <c r="AK158">
        <v>1</v>
      </c>
      <c r="AL158">
        <v>25.44</v>
      </c>
      <c r="AN158">
        <v>0</v>
      </c>
      <c r="AO158">
        <v>1</v>
      </c>
      <c r="AP158">
        <v>1</v>
      </c>
      <c r="AQ158">
        <v>0</v>
      </c>
      <c r="AR158">
        <v>0</v>
      </c>
      <c r="AS158" t="s">
        <v>3</v>
      </c>
      <c r="AT158">
        <v>2.31</v>
      </c>
      <c r="AU158" t="s">
        <v>21</v>
      </c>
      <c r="AV158">
        <v>1</v>
      </c>
      <c r="AW158">
        <v>2</v>
      </c>
      <c r="AX158">
        <v>42938690</v>
      </c>
      <c r="AY158">
        <v>1</v>
      </c>
      <c r="AZ158">
        <v>0</v>
      </c>
      <c r="BA158">
        <v>155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CX158">
        <f>Y158*Source!I199</f>
        <v>33.206249999999997</v>
      </c>
      <c r="CY158">
        <f>AD158</f>
        <v>0</v>
      </c>
      <c r="CZ158">
        <f>AH158</f>
        <v>0</v>
      </c>
      <c r="DA158">
        <f>AL158</f>
        <v>25.44</v>
      </c>
      <c r="DB158">
        <f>ROUND((ROUND(AT158*CZ158,2)*1.15),6)</f>
        <v>0</v>
      </c>
      <c r="DC158">
        <f>ROUND((ROUND(AT158*AG158,2)*1.15),6)</f>
        <v>0</v>
      </c>
    </row>
    <row r="159" spans="1:107" x14ac:dyDescent="0.2">
      <c r="A159">
        <f>ROW(Source!A200)</f>
        <v>200</v>
      </c>
      <c r="B159">
        <v>42938047</v>
      </c>
      <c r="C159">
        <v>42938724</v>
      </c>
      <c r="D159">
        <v>35973053</v>
      </c>
      <c r="E159">
        <v>35973048</v>
      </c>
      <c r="F159">
        <v>1</v>
      </c>
      <c r="G159">
        <v>35973048</v>
      </c>
      <c r="H159">
        <v>1</v>
      </c>
      <c r="I159" t="s">
        <v>1228</v>
      </c>
      <c r="J159" t="s">
        <v>3</v>
      </c>
      <c r="K159" t="s">
        <v>1229</v>
      </c>
      <c r="L159">
        <v>1191</v>
      </c>
      <c r="N159">
        <v>1013</v>
      </c>
      <c r="O159" t="s">
        <v>1230</v>
      </c>
      <c r="P159" t="s">
        <v>1230</v>
      </c>
      <c r="Q159">
        <v>1</v>
      </c>
      <c r="W159">
        <v>0</v>
      </c>
      <c r="X159">
        <v>476480486</v>
      </c>
      <c r="Y159">
        <v>31.855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1</v>
      </c>
      <c r="AJ159">
        <v>1</v>
      </c>
      <c r="AK159">
        <v>1</v>
      </c>
      <c r="AL159">
        <v>25.44</v>
      </c>
      <c r="AN159">
        <v>0</v>
      </c>
      <c r="AO159">
        <v>1</v>
      </c>
      <c r="AP159">
        <v>1</v>
      </c>
      <c r="AQ159">
        <v>0</v>
      </c>
      <c r="AR159">
        <v>0</v>
      </c>
      <c r="AS159" t="s">
        <v>3</v>
      </c>
      <c r="AT159">
        <v>27.7</v>
      </c>
      <c r="AU159" t="s">
        <v>21</v>
      </c>
      <c r="AV159">
        <v>1</v>
      </c>
      <c r="AW159">
        <v>2</v>
      </c>
      <c r="AX159">
        <v>42938730</v>
      </c>
      <c r="AY159">
        <v>1</v>
      </c>
      <c r="AZ159">
        <v>2048</v>
      </c>
      <c r="BA159">
        <v>156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CX159">
        <f>Y159*Source!I200</f>
        <v>3.9818750000000001</v>
      </c>
      <c r="CY159">
        <f>AD159</f>
        <v>0</v>
      </c>
      <c r="CZ159">
        <f>AH159</f>
        <v>0</v>
      </c>
      <c r="DA159">
        <f>AL159</f>
        <v>25.44</v>
      </c>
      <c r="DB159">
        <f>ROUND((ROUND(AT159*CZ159,2)*1.15),6)</f>
        <v>0</v>
      </c>
      <c r="DC159">
        <f>ROUND((ROUND(AT159*AG159,2)*1.15),6)</f>
        <v>0</v>
      </c>
    </row>
    <row r="160" spans="1:107" x14ac:dyDescent="0.2">
      <c r="A160">
        <f>ROW(Source!A200)</f>
        <v>200</v>
      </c>
      <c r="B160">
        <v>42938047</v>
      </c>
      <c r="C160">
        <v>42938724</v>
      </c>
      <c r="D160">
        <v>36044488</v>
      </c>
      <c r="E160">
        <v>1</v>
      </c>
      <c r="F160">
        <v>1</v>
      </c>
      <c r="G160">
        <v>35973048</v>
      </c>
      <c r="H160">
        <v>2</v>
      </c>
      <c r="I160" t="s">
        <v>1252</v>
      </c>
      <c r="J160" t="s">
        <v>1253</v>
      </c>
      <c r="K160" t="s">
        <v>1254</v>
      </c>
      <c r="L160">
        <v>1367</v>
      </c>
      <c r="N160">
        <v>1011</v>
      </c>
      <c r="O160" t="s">
        <v>738</v>
      </c>
      <c r="P160" t="s">
        <v>738</v>
      </c>
      <c r="Q160">
        <v>1</v>
      </c>
      <c r="W160">
        <v>0</v>
      </c>
      <c r="X160">
        <v>1387947568</v>
      </c>
      <c r="Y160">
        <v>3.15</v>
      </c>
      <c r="AA160">
        <v>0</v>
      </c>
      <c r="AB160">
        <v>1464.71</v>
      </c>
      <c r="AC160">
        <v>450.29</v>
      </c>
      <c r="AD160">
        <v>0</v>
      </c>
      <c r="AE160">
        <v>0</v>
      </c>
      <c r="AF160">
        <v>161.49</v>
      </c>
      <c r="AG160">
        <v>17.7</v>
      </c>
      <c r="AH160">
        <v>0</v>
      </c>
      <c r="AI160">
        <v>1</v>
      </c>
      <c r="AJ160">
        <v>9.07</v>
      </c>
      <c r="AK160">
        <v>25.44</v>
      </c>
      <c r="AL160">
        <v>1</v>
      </c>
      <c r="AN160">
        <v>0</v>
      </c>
      <c r="AO160">
        <v>1</v>
      </c>
      <c r="AP160">
        <v>1</v>
      </c>
      <c r="AQ160">
        <v>0</v>
      </c>
      <c r="AR160">
        <v>0</v>
      </c>
      <c r="AS160" t="s">
        <v>3</v>
      </c>
      <c r="AT160">
        <v>2.52</v>
      </c>
      <c r="AU160" t="s">
        <v>20</v>
      </c>
      <c r="AV160">
        <v>0</v>
      </c>
      <c r="AW160">
        <v>2</v>
      </c>
      <c r="AX160">
        <v>42938731</v>
      </c>
      <c r="AY160">
        <v>1</v>
      </c>
      <c r="AZ160">
        <v>0</v>
      </c>
      <c r="BA160">
        <v>157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CX160">
        <f>Y160*Source!I200</f>
        <v>0.39374999999999999</v>
      </c>
      <c r="CY160">
        <f>AB160</f>
        <v>1464.71</v>
      </c>
      <c r="CZ160">
        <f>AF160</f>
        <v>161.49</v>
      </c>
      <c r="DA160">
        <f>AJ160</f>
        <v>9.07</v>
      </c>
      <c r="DB160">
        <f>ROUND((ROUND(AT160*CZ160,2)*1.25),6)</f>
        <v>508.6875</v>
      </c>
      <c r="DC160">
        <f>ROUND((ROUND(AT160*AG160,2)*1.25),6)</f>
        <v>55.75</v>
      </c>
    </row>
    <row r="161" spans="1:107" x14ac:dyDescent="0.2">
      <c r="A161">
        <f>ROW(Source!A200)</f>
        <v>200</v>
      </c>
      <c r="B161">
        <v>42938047</v>
      </c>
      <c r="C161">
        <v>42938724</v>
      </c>
      <c r="D161">
        <v>36044727</v>
      </c>
      <c r="E161">
        <v>1</v>
      </c>
      <c r="F161">
        <v>1</v>
      </c>
      <c r="G161">
        <v>35973048</v>
      </c>
      <c r="H161">
        <v>2</v>
      </c>
      <c r="I161" t="s">
        <v>1291</v>
      </c>
      <c r="J161" t="s">
        <v>1292</v>
      </c>
      <c r="K161" t="s">
        <v>1293</v>
      </c>
      <c r="L161">
        <v>1367</v>
      </c>
      <c r="N161">
        <v>1011</v>
      </c>
      <c r="O161" t="s">
        <v>738</v>
      </c>
      <c r="P161" t="s">
        <v>738</v>
      </c>
      <c r="Q161">
        <v>1</v>
      </c>
      <c r="W161">
        <v>0</v>
      </c>
      <c r="X161">
        <v>-1293364201</v>
      </c>
      <c r="Y161">
        <v>1.2749999999999999</v>
      </c>
      <c r="AA161">
        <v>0</v>
      </c>
      <c r="AB161">
        <v>2153.7199999999998</v>
      </c>
      <c r="AC161">
        <v>441.13</v>
      </c>
      <c r="AD161">
        <v>0</v>
      </c>
      <c r="AE161">
        <v>0</v>
      </c>
      <c r="AF161">
        <v>258.24</v>
      </c>
      <c r="AG161">
        <v>17.34</v>
      </c>
      <c r="AH161">
        <v>0</v>
      </c>
      <c r="AI161">
        <v>1</v>
      </c>
      <c r="AJ161">
        <v>8.34</v>
      </c>
      <c r="AK161">
        <v>25.44</v>
      </c>
      <c r="AL161">
        <v>1</v>
      </c>
      <c r="AN161">
        <v>0</v>
      </c>
      <c r="AO161">
        <v>1</v>
      </c>
      <c r="AP161">
        <v>1</v>
      </c>
      <c r="AQ161">
        <v>0</v>
      </c>
      <c r="AR161">
        <v>0</v>
      </c>
      <c r="AS161" t="s">
        <v>3</v>
      </c>
      <c r="AT161">
        <v>1.02</v>
      </c>
      <c r="AU161" t="s">
        <v>20</v>
      </c>
      <c r="AV161">
        <v>0</v>
      </c>
      <c r="AW161">
        <v>2</v>
      </c>
      <c r="AX161">
        <v>42938732</v>
      </c>
      <c r="AY161">
        <v>1</v>
      </c>
      <c r="AZ161">
        <v>0</v>
      </c>
      <c r="BA161">
        <v>158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CX161">
        <f>Y161*Source!I200</f>
        <v>0.15937499999999999</v>
      </c>
      <c r="CY161">
        <f>AB161</f>
        <v>2153.7199999999998</v>
      </c>
      <c r="CZ161">
        <f>AF161</f>
        <v>258.24</v>
      </c>
      <c r="DA161">
        <f>AJ161</f>
        <v>8.34</v>
      </c>
      <c r="DB161">
        <f>ROUND((ROUND(AT161*CZ161,2)*1.25),6)</f>
        <v>329.25</v>
      </c>
      <c r="DC161">
        <f>ROUND((ROUND(AT161*AG161,2)*1.25),6)</f>
        <v>22.112500000000001</v>
      </c>
    </row>
    <row r="162" spans="1:107" x14ac:dyDescent="0.2">
      <c r="A162">
        <f>ROW(Source!A200)</f>
        <v>200</v>
      </c>
      <c r="B162">
        <v>42938047</v>
      </c>
      <c r="C162">
        <v>42938724</v>
      </c>
      <c r="D162">
        <v>36021763</v>
      </c>
      <c r="E162">
        <v>1</v>
      </c>
      <c r="F162">
        <v>1</v>
      </c>
      <c r="G162">
        <v>35973048</v>
      </c>
      <c r="H162">
        <v>3</v>
      </c>
      <c r="I162" t="s">
        <v>294</v>
      </c>
      <c r="J162" t="s">
        <v>296</v>
      </c>
      <c r="K162" t="s">
        <v>295</v>
      </c>
      <c r="L162">
        <v>1327</v>
      </c>
      <c r="N162">
        <v>1005</v>
      </c>
      <c r="O162" t="s">
        <v>120</v>
      </c>
      <c r="P162" t="s">
        <v>120</v>
      </c>
      <c r="Q162">
        <v>1</v>
      </c>
      <c r="W162">
        <v>0</v>
      </c>
      <c r="X162">
        <v>544087257</v>
      </c>
      <c r="Y162">
        <v>1093.75</v>
      </c>
      <c r="AA162">
        <v>59.2</v>
      </c>
      <c r="AB162">
        <v>0</v>
      </c>
      <c r="AC162">
        <v>0</v>
      </c>
      <c r="AD162">
        <v>0</v>
      </c>
      <c r="AE162">
        <v>13.87</v>
      </c>
      <c r="AF162">
        <v>0</v>
      </c>
      <c r="AG162">
        <v>0</v>
      </c>
      <c r="AH162">
        <v>0</v>
      </c>
      <c r="AI162">
        <v>4.26</v>
      </c>
      <c r="AJ162">
        <v>1</v>
      </c>
      <c r="AK162">
        <v>1</v>
      </c>
      <c r="AL162">
        <v>1</v>
      </c>
      <c r="AN162">
        <v>0</v>
      </c>
      <c r="AO162">
        <v>0</v>
      </c>
      <c r="AP162">
        <v>0</v>
      </c>
      <c r="AQ162">
        <v>0</v>
      </c>
      <c r="AR162">
        <v>0</v>
      </c>
      <c r="AS162" t="s">
        <v>3</v>
      </c>
      <c r="AT162">
        <v>1093.75</v>
      </c>
      <c r="AU162" t="s">
        <v>3</v>
      </c>
      <c r="AV162">
        <v>0</v>
      </c>
      <c r="AW162">
        <v>1</v>
      </c>
      <c r="AX162">
        <v>-1</v>
      </c>
      <c r="AY162">
        <v>0</v>
      </c>
      <c r="AZ162">
        <v>0</v>
      </c>
      <c r="BA162" t="s">
        <v>3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CX162">
        <f>Y162*Source!I200</f>
        <v>136.71875</v>
      </c>
      <c r="CY162">
        <f>AA162</f>
        <v>59.2</v>
      </c>
      <c r="CZ162">
        <f>AE162</f>
        <v>13.87</v>
      </c>
      <c r="DA162">
        <f>AI162</f>
        <v>4.26</v>
      </c>
      <c r="DB162">
        <f>ROUND(ROUND(AT162*CZ162,2),6)</f>
        <v>15170.31</v>
      </c>
      <c r="DC162">
        <f>ROUND(ROUND(AT162*AG162,2),6)</f>
        <v>0</v>
      </c>
    </row>
    <row r="163" spans="1:107" x14ac:dyDescent="0.2">
      <c r="A163">
        <f>ROW(Source!A200)</f>
        <v>200</v>
      </c>
      <c r="B163">
        <v>42938047</v>
      </c>
      <c r="C163">
        <v>42938724</v>
      </c>
      <c r="D163">
        <v>35994366</v>
      </c>
      <c r="E163">
        <v>35973048</v>
      </c>
      <c r="F163">
        <v>1</v>
      </c>
      <c r="G163">
        <v>35973048</v>
      </c>
      <c r="H163">
        <v>3</v>
      </c>
      <c r="I163" t="s">
        <v>1294</v>
      </c>
      <c r="J163" t="s">
        <v>3</v>
      </c>
      <c r="K163" t="s">
        <v>1295</v>
      </c>
      <c r="L163">
        <v>1344</v>
      </c>
      <c r="N163">
        <v>1008</v>
      </c>
      <c r="O163" t="s">
        <v>1245</v>
      </c>
      <c r="P163" t="s">
        <v>1245</v>
      </c>
      <c r="Q163">
        <v>1</v>
      </c>
      <c r="W163">
        <v>0</v>
      </c>
      <c r="X163">
        <v>-94250534</v>
      </c>
      <c r="Y163">
        <v>0.49</v>
      </c>
      <c r="AA163">
        <v>6.58</v>
      </c>
      <c r="AB163">
        <v>0</v>
      </c>
      <c r="AC163">
        <v>0</v>
      </c>
      <c r="AD163">
        <v>0</v>
      </c>
      <c r="AE163">
        <v>1</v>
      </c>
      <c r="AF163">
        <v>0</v>
      </c>
      <c r="AG163">
        <v>0</v>
      </c>
      <c r="AH163">
        <v>0</v>
      </c>
      <c r="AI163">
        <v>6.57</v>
      </c>
      <c r="AJ163">
        <v>1</v>
      </c>
      <c r="AK163">
        <v>1</v>
      </c>
      <c r="AL163">
        <v>1</v>
      </c>
      <c r="AN163">
        <v>0</v>
      </c>
      <c r="AO163">
        <v>1</v>
      </c>
      <c r="AP163">
        <v>0</v>
      </c>
      <c r="AQ163">
        <v>0</v>
      </c>
      <c r="AR163">
        <v>0</v>
      </c>
      <c r="AS163" t="s">
        <v>3</v>
      </c>
      <c r="AT163">
        <v>0.49</v>
      </c>
      <c r="AU163" t="s">
        <v>3</v>
      </c>
      <c r="AV163">
        <v>0</v>
      </c>
      <c r="AW163">
        <v>2</v>
      </c>
      <c r="AX163">
        <v>42938734</v>
      </c>
      <c r="AY163">
        <v>1</v>
      </c>
      <c r="AZ163">
        <v>0</v>
      </c>
      <c r="BA163">
        <v>160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CX163">
        <f>Y163*Source!I200</f>
        <v>6.1249999999999999E-2</v>
      </c>
      <c r="CY163">
        <f>AA163</f>
        <v>6.58</v>
      </c>
      <c r="CZ163">
        <f>AE163</f>
        <v>1</v>
      </c>
      <c r="DA163">
        <f>AI163</f>
        <v>6.57</v>
      </c>
      <c r="DB163">
        <f>ROUND(ROUND(AT163*CZ163,2),6)</f>
        <v>0.49</v>
      </c>
      <c r="DC163">
        <f>ROUND(ROUND(AT163*AG163,2),6)</f>
        <v>0</v>
      </c>
    </row>
    <row r="164" spans="1:107" x14ac:dyDescent="0.2">
      <c r="A164">
        <f>ROW(Source!A202)</f>
        <v>202</v>
      </c>
      <c r="B164">
        <v>42938047</v>
      </c>
      <c r="C164">
        <v>42938746</v>
      </c>
      <c r="D164">
        <v>35973053</v>
      </c>
      <c r="E164">
        <v>35973048</v>
      </c>
      <c r="F164">
        <v>1</v>
      </c>
      <c r="G164">
        <v>35973048</v>
      </c>
      <c r="H164">
        <v>1</v>
      </c>
      <c r="I164" t="s">
        <v>1228</v>
      </c>
      <c r="J164" t="s">
        <v>3</v>
      </c>
      <c r="K164" t="s">
        <v>1229</v>
      </c>
      <c r="L164">
        <v>1191</v>
      </c>
      <c r="N164">
        <v>1013</v>
      </c>
      <c r="O164" t="s">
        <v>1230</v>
      </c>
      <c r="P164" t="s">
        <v>1230</v>
      </c>
      <c r="Q164">
        <v>1</v>
      </c>
      <c r="W164">
        <v>0</v>
      </c>
      <c r="X164">
        <v>476480486</v>
      </c>
      <c r="Y164">
        <v>8.7974999999999994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1</v>
      </c>
      <c r="AJ164">
        <v>1</v>
      </c>
      <c r="AK164">
        <v>1</v>
      </c>
      <c r="AL164">
        <v>25.44</v>
      </c>
      <c r="AN164">
        <v>0</v>
      </c>
      <c r="AO164">
        <v>1</v>
      </c>
      <c r="AP164">
        <v>1</v>
      </c>
      <c r="AQ164">
        <v>0</v>
      </c>
      <c r="AR164">
        <v>0</v>
      </c>
      <c r="AS164" t="s">
        <v>3</v>
      </c>
      <c r="AT164">
        <v>7.65</v>
      </c>
      <c r="AU164" t="s">
        <v>21</v>
      </c>
      <c r="AV164">
        <v>1</v>
      </c>
      <c r="AW164">
        <v>2</v>
      </c>
      <c r="AX164">
        <v>42938770</v>
      </c>
      <c r="AY164">
        <v>1</v>
      </c>
      <c r="AZ164">
        <v>0</v>
      </c>
      <c r="BA164">
        <v>161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CX164">
        <f>Y164*Source!I202</f>
        <v>9.7652250000000009</v>
      </c>
      <c r="CY164">
        <f>AD164</f>
        <v>0</v>
      </c>
      <c r="CZ164">
        <f>AH164</f>
        <v>0</v>
      </c>
      <c r="DA164">
        <f>AL164</f>
        <v>25.44</v>
      </c>
      <c r="DB164">
        <f>ROUND((ROUND(AT164*CZ164,2)*1.15),6)</f>
        <v>0</v>
      </c>
      <c r="DC164">
        <f>ROUND((ROUND(AT164*AG164,2)*1.15),6)</f>
        <v>0</v>
      </c>
    </row>
    <row r="165" spans="1:107" x14ac:dyDescent="0.2">
      <c r="A165">
        <f>ROW(Source!A202)</f>
        <v>202</v>
      </c>
      <c r="B165">
        <v>42938047</v>
      </c>
      <c r="C165">
        <v>42938746</v>
      </c>
      <c r="D165">
        <v>35973762</v>
      </c>
      <c r="E165">
        <v>35973048</v>
      </c>
      <c r="F165">
        <v>1</v>
      </c>
      <c r="G165">
        <v>35973048</v>
      </c>
      <c r="H165">
        <v>2</v>
      </c>
      <c r="I165" t="s">
        <v>1243</v>
      </c>
      <c r="J165" t="s">
        <v>3</v>
      </c>
      <c r="K165" t="s">
        <v>1244</v>
      </c>
      <c r="L165">
        <v>1344</v>
      </c>
      <c r="N165">
        <v>1008</v>
      </c>
      <c r="O165" t="s">
        <v>1245</v>
      </c>
      <c r="P165" t="s">
        <v>1245</v>
      </c>
      <c r="Q165">
        <v>1</v>
      </c>
      <c r="W165">
        <v>0</v>
      </c>
      <c r="X165">
        <v>-1180195794</v>
      </c>
      <c r="Y165">
        <v>7.45</v>
      </c>
      <c r="AA165">
        <v>0</v>
      </c>
      <c r="AB165">
        <v>10.97</v>
      </c>
      <c r="AC165">
        <v>0</v>
      </c>
      <c r="AD165">
        <v>0</v>
      </c>
      <c r="AE165">
        <v>0</v>
      </c>
      <c r="AF165">
        <v>1</v>
      </c>
      <c r="AG165">
        <v>0</v>
      </c>
      <c r="AH165">
        <v>0</v>
      </c>
      <c r="AI165">
        <v>1</v>
      </c>
      <c r="AJ165">
        <v>10.48</v>
      </c>
      <c r="AK165">
        <v>25.44</v>
      </c>
      <c r="AL165">
        <v>1</v>
      </c>
      <c r="AN165">
        <v>0</v>
      </c>
      <c r="AO165">
        <v>1</v>
      </c>
      <c r="AP165">
        <v>1</v>
      </c>
      <c r="AQ165">
        <v>0</v>
      </c>
      <c r="AR165">
        <v>0</v>
      </c>
      <c r="AS165" t="s">
        <v>3</v>
      </c>
      <c r="AT165">
        <v>5.96</v>
      </c>
      <c r="AU165" t="s">
        <v>20</v>
      </c>
      <c r="AV165">
        <v>0</v>
      </c>
      <c r="AW165">
        <v>2</v>
      </c>
      <c r="AX165">
        <v>42938771</v>
      </c>
      <c r="AY165">
        <v>1</v>
      </c>
      <c r="AZ165">
        <v>0</v>
      </c>
      <c r="BA165">
        <v>162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CX165">
        <f>Y165*Source!I202</f>
        <v>8.2695000000000007</v>
      </c>
      <c r="CY165">
        <f>AB165</f>
        <v>10.97</v>
      </c>
      <c r="CZ165">
        <f>AF165</f>
        <v>1</v>
      </c>
      <c r="DA165">
        <f>AJ165</f>
        <v>10.48</v>
      </c>
      <c r="DB165">
        <f>ROUND((ROUND(AT165*CZ165,2)*1.25),6)</f>
        <v>7.45</v>
      </c>
      <c r="DC165">
        <f>ROUND((ROUND(AT165*AG165,2)*1.25),6)</f>
        <v>0</v>
      </c>
    </row>
    <row r="166" spans="1:107" x14ac:dyDescent="0.2">
      <c r="A166">
        <f>ROW(Source!A202)</f>
        <v>202</v>
      </c>
      <c r="B166">
        <v>42938047</v>
      </c>
      <c r="C166">
        <v>42938746</v>
      </c>
      <c r="D166">
        <v>36020428</v>
      </c>
      <c r="E166">
        <v>1</v>
      </c>
      <c r="F166">
        <v>1</v>
      </c>
      <c r="G166">
        <v>35973048</v>
      </c>
      <c r="H166">
        <v>3</v>
      </c>
      <c r="I166" t="s">
        <v>372</v>
      </c>
      <c r="J166" t="s">
        <v>374</v>
      </c>
      <c r="K166" t="s">
        <v>373</v>
      </c>
      <c r="L166">
        <v>1348</v>
      </c>
      <c r="N166">
        <v>1009</v>
      </c>
      <c r="O166" t="s">
        <v>104</v>
      </c>
      <c r="P166" t="s">
        <v>104</v>
      </c>
      <c r="Q166">
        <v>1000</v>
      </c>
      <c r="W166">
        <v>1</v>
      </c>
      <c r="X166">
        <v>563176784</v>
      </c>
      <c r="Y166">
        <v>-4.2000000000000002E-4</v>
      </c>
      <c r="AA166">
        <v>58366.71</v>
      </c>
      <c r="AB166">
        <v>0</v>
      </c>
      <c r="AC166">
        <v>0</v>
      </c>
      <c r="AD166">
        <v>0</v>
      </c>
      <c r="AE166">
        <v>6521.42</v>
      </c>
      <c r="AF166">
        <v>0</v>
      </c>
      <c r="AG166">
        <v>0</v>
      </c>
      <c r="AH166">
        <v>0</v>
      </c>
      <c r="AI166">
        <v>8.9499999999999993</v>
      </c>
      <c r="AJ166">
        <v>1</v>
      </c>
      <c r="AK166">
        <v>1</v>
      </c>
      <c r="AL166">
        <v>1</v>
      </c>
      <c r="AN166">
        <v>0</v>
      </c>
      <c r="AO166">
        <v>1</v>
      </c>
      <c r="AP166">
        <v>0</v>
      </c>
      <c r="AQ166">
        <v>0</v>
      </c>
      <c r="AR166">
        <v>0</v>
      </c>
      <c r="AS166" t="s">
        <v>3</v>
      </c>
      <c r="AT166">
        <v>-4.2000000000000002E-4</v>
      </c>
      <c r="AU166" t="s">
        <v>3</v>
      </c>
      <c r="AV166">
        <v>0</v>
      </c>
      <c r="AW166">
        <v>2</v>
      </c>
      <c r="AX166">
        <v>42938772</v>
      </c>
      <c r="AY166">
        <v>1</v>
      </c>
      <c r="AZ166">
        <v>6144</v>
      </c>
      <c r="BA166">
        <v>163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CX166">
        <f>Y166*Source!I202</f>
        <v>-4.6620000000000006E-4</v>
      </c>
      <c r="CY166">
        <f>AA166</f>
        <v>58366.71</v>
      </c>
      <c r="CZ166">
        <f>AE166</f>
        <v>6521.42</v>
      </c>
      <c r="DA166">
        <f>AI166</f>
        <v>8.9499999999999993</v>
      </c>
      <c r="DB166">
        <f t="shared" ref="DB166:DB172" si="37">ROUND(ROUND(AT166*CZ166,2),6)</f>
        <v>-2.74</v>
      </c>
      <c r="DC166">
        <f t="shared" ref="DC166:DC172" si="38">ROUND(ROUND(AT166*AG166,2),6)</f>
        <v>0</v>
      </c>
    </row>
    <row r="167" spans="1:107" x14ac:dyDescent="0.2">
      <c r="A167">
        <f>ROW(Source!A202)</f>
        <v>202</v>
      </c>
      <c r="B167">
        <v>42938047</v>
      </c>
      <c r="C167">
        <v>42938746</v>
      </c>
      <c r="D167">
        <v>0</v>
      </c>
      <c r="E167">
        <v>0</v>
      </c>
      <c r="F167">
        <v>1</v>
      </c>
      <c r="G167">
        <v>35973048</v>
      </c>
      <c r="H167">
        <v>3</v>
      </c>
      <c r="I167" t="s">
        <v>118</v>
      </c>
      <c r="J167" t="s">
        <v>3</v>
      </c>
      <c r="K167" t="s">
        <v>376</v>
      </c>
      <c r="L167">
        <v>1301</v>
      </c>
      <c r="N167">
        <v>1003</v>
      </c>
      <c r="O167" t="s">
        <v>136</v>
      </c>
      <c r="P167" t="s">
        <v>136</v>
      </c>
      <c r="Q167">
        <v>1</v>
      </c>
      <c r="W167">
        <v>0</v>
      </c>
      <c r="X167">
        <v>1078315712</v>
      </c>
      <c r="Y167">
        <v>100</v>
      </c>
      <c r="AA167">
        <v>184.11</v>
      </c>
      <c r="AB167">
        <v>0</v>
      </c>
      <c r="AC167">
        <v>0</v>
      </c>
      <c r="AD167">
        <v>0</v>
      </c>
      <c r="AE167">
        <v>29.04</v>
      </c>
      <c r="AF167">
        <v>0</v>
      </c>
      <c r="AG167">
        <v>0</v>
      </c>
      <c r="AH167">
        <v>0</v>
      </c>
      <c r="AI167">
        <v>6.34</v>
      </c>
      <c r="AJ167">
        <v>1</v>
      </c>
      <c r="AK167">
        <v>1</v>
      </c>
      <c r="AL167">
        <v>1</v>
      </c>
      <c r="AN167">
        <v>0</v>
      </c>
      <c r="AO167">
        <v>0</v>
      </c>
      <c r="AP167">
        <v>0</v>
      </c>
      <c r="AQ167">
        <v>0</v>
      </c>
      <c r="AR167">
        <v>0</v>
      </c>
      <c r="AS167" t="s">
        <v>3</v>
      </c>
      <c r="AT167">
        <v>100</v>
      </c>
      <c r="AU167" t="s">
        <v>3</v>
      </c>
      <c r="AV167">
        <v>0</v>
      </c>
      <c r="AW167">
        <v>1</v>
      </c>
      <c r="AX167">
        <v>-1</v>
      </c>
      <c r="AY167">
        <v>0</v>
      </c>
      <c r="AZ167">
        <v>0</v>
      </c>
      <c r="BA167" t="s">
        <v>3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CX167">
        <f>Y167*Source!I202</f>
        <v>111.00000000000001</v>
      </c>
      <c r="CY167">
        <f>AA167</f>
        <v>184.11</v>
      </c>
      <c r="CZ167">
        <f>AE167</f>
        <v>29.04</v>
      </c>
      <c r="DA167">
        <f>AI167</f>
        <v>6.34</v>
      </c>
      <c r="DB167">
        <f t="shared" si="37"/>
        <v>2904</v>
      </c>
      <c r="DC167">
        <f t="shared" si="38"/>
        <v>0</v>
      </c>
    </row>
    <row r="168" spans="1:107" x14ac:dyDescent="0.2">
      <c r="A168">
        <f>ROW(Source!A202)</f>
        <v>202</v>
      </c>
      <c r="B168">
        <v>42938047</v>
      </c>
      <c r="C168">
        <v>42938746</v>
      </c>
      <c r="D168">
        <v>0</v>
      </c>
      <c r="E168">
        <v>0</v>
      </c>
      <c r="F168">
        <v>1</v>
      </c>
      <c r="G168">
        <v>35973048</v>
      </c>
      <c r="H168">
        <v>3</v>
      </c>
      <c r="I168" t="s">
        <v>118</v>
      </c>
      <c r="J168" t="s">
        <v>3</v>
      </c>
      <c r="K168" t="s">
        <v>379</v>
      </c>
      <c r="L168">
        <v>1354</v>
      </c>
      <c r="N168">
        <v>1010</v>
      </c>
      <c r="O168" t="s">
        <v>169</v>
      </c>
      <c r="P168" t="s">
        <v>169</v>
      </c>
      <c r="Q168">
        <v>1</v>
      </c>
      <c r="W168">
        <v>0</v>
      </c>
      <c r="X168">
        <v>2056681691</v>
      </c>
      <c r="Y168">
        <v>100</v>
      </c>
      <c r="AA168">
        <v>16.989999999999998</v>
      </c>
      <c r="AB168">
        <v>0</v>
      </c>
      <c r="AC168">
        <v>0</v>
      </c>
      <c r="AD168">
        <v>0</v>
      </c>
      <c r="AE168">
        <v>2.6799999999999997</v>
      </c>
      <c r="AF168">
        <v>0</v>
      </c>
      <c r="AG168">
        <v>0</v>
      </c>
      <c r="AH168">
        <v>0</v>
      </c>
      <c r="AI168">
        <v>6.34</v>
      </c>
      <c r="AJ168">
        <v>1</v>
      </c>
      <c r="AK168">
        <v>1</v>
      </c>
      <c r="AL168">
        <v>1</v>
      </c>
      <c r="AN168">
        <v>0</v>
      </c>
      <c r="AO168">
        <v>0</v>
      </c>
      <c r="AP168">
        <v>0</v>
      </c>
      <c r="AQ168">
        <v>0</v>
      </c>
      <c r="AR168">
        <v>0</v>
      </c>
      <c r="AS168" t="s">
        <v>3</v>
      </c>
      <c r="AT168">
        <v>100</v>
      </c>
      <c r="AU168" t="s">
        <v>3</v>
      </c>
      <c r="AV168">
        <v>0</v>
      </c>
      <c r="AW168">
        <v>1</v>
      </c>
      <c r="AX168">
        <v>-1</v>
      </c>
      <c r="AY168">
        <v>0</v>
      </c>
      <c r="AZ168">
        <v>0</v>
      </c>
      <c r="BA168" t="s">
        <v>3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CX168">
        <f>Y168*Source!I202</f>
        <v>111.00000000000001</v>
      </c>
      <c r="CY168">
        <f>AA168</f>
        <v>16.989999999999998</v>
      </c>
      <c r="CZ168">
        <f>AE168</f>
        <v>2.6799999999999997</v>
      </c>
      <c r="DA168">
        <f>AI168</f>
        <v>6.34</v>
      </c>
      <c r="DB168">
        <f t="shared" si="37"/>
        <v>268</v>
      </c>
      <c r="DC168">
        <f t="shared" si="38"/>
        <v>0</v>
      </c>
    </row>
    <row r="169" spans="1:107" x14ac:dyDescent="0.2">
      <c r="A169">
        <f>ROW(Source!A206)</f>
        <v>206</v>
      </c>
      <c r="B169">
        <v>42938047</v>
      </c>
      <c r="C169">
        <v>43136948</v>
      </c>
      <c r="D169">
        <v>35973053</v>
      </c>
      <c r="E169">
        <v>35973048</v>
      </c>
      <c r="F169">
        <v>1</v>
      </c>
      <c r="G169">
        <v>35973048</v>
      </c>
      <c r="H169">
        <v>1</v>
      </c>
      <c r="I169" t="s">
        <v>1228</v>
      </c>
      <c r="J169" t="s">
        <v>3</v>
      </c>
      <c r="K169" t="s">
        <v>1229</v>
      </c>
      <c r="L169">
        <v>1191</v>
      </c>
      <c r="N169">
        <v>1013</v>
      </c>
      <c r="O169" t="s">
        <v>1230</v>
      </c>
      <c r="P169" t="s">
        <v>1230</v>
      </c>
      <c r="Q169">
        <v>1</v>
      </c>
      <c r="W169">
        <v>0</v>
      </c>
      <c r="X169">
        <v>476480486</v>
      </c>
      <c r="Y169">
        <v>8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1</v>
      </c>
      <c r="AJ169">
        <v>1</v>
      </c>
      <c r="AK169">
        <v>1</v>
      </c>
      <c r="AL169">
        <v>25.44</v>
      </c>
      <c r="AN169">
        <v>0</v>
      </c>
      <c r="AO169">
        <v>1</v>
      </c>
      <c r="AP169">
        <v>0</v>
      </c>
      <c r="AQ169">
        <v>0</v>
      </c>
      <c r="AR169">
        <v>0</v>
      </c>
      <c r="AS169" t="s">
        <v>3</v>
      </c>
      <c r="AT169">
        <v>8</v>
      </c>
      <c r="AU169" t="s">
        <v>3</v>
      </c>
      <c r="AV169">
        <v>1</v>
      </c>
      <c r="AW169">
        <v>2</v>
      </c>
      <c r="AX169">
        <v>43136949</v>
      </c>
      <c r="AY169">
        <v>1</v>
      </c>
      <c r="AZ169">
        <v>0</v>
      </c>
      <c r="BA169">
        <v>166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CX169">
        <f>Y169*Source!I206</f>
        <v>10</v>
      </c>
      <c r="CY169">
        <f>AD169</f>
        <v>0</v>
      </c>
      <c r="CZ169">
        <f>AH169</f>
        <v>0</v>
      </c>
      <c r="DA169">
        <f>AL169</f>
        <v>25.44</v>
      </c>
      <c r="DB169">
        <f t="shared" si="37"/>
        <v>0</v>
      </c>
      <c r="DC169">
        <f t="shared" si="38"/>
        <v>0</v>
      </c>
    </row>
    <row r="170" spans="1:107" x14ac:dyDescent="0.2">
      <c r="A170">
        <f>ROW(Source!A206)</f>
        <v>206</v>
      </c>
      <c r="B170">
        <v>42938047</v>
      </c>
      <c r="C170">
        <v>43136948</v>
      </c>
      <c r="D170">
        <v>35973762</v>
      </c>
      <c r="E170">
        <v>35973048</v>
      </c>
      <c r="F170">
        <v>1</v>
      </c>
      <c r="G170">
        <v>35973048</v>
      </c>
      <c r="H170">
        <v>2</v>
      </c>
      <c r="I170" t="s">
        <v>1243</v>
      </c>
      <c r="J170" t="s">
        <v>3</v>
      </c>
      <c r="K170" t="s">
        <v>1244</v>
      </c>
      <c r="L170">
        <v>1344</v>
      </c>
      <c r="N170">
        <v>1008</v>
      </c>
      <c r="O170" t="s">
        <v>1245</v>
      </c>
      <c r="P170" t="s">
        <v>1245</v>
      </c>
      <c r="Q170">
        <v>1</v>
      </c>
      <c r="W170">
        <v>0</v>
      </c>
      <c r="X170">
        <v>-1180195794</v>
      </c>
      <c r="Y170">
        <v>35.380000000000003</v>
      </c>
      <c r="AA170">
        <v>0</v>
      </c>
      <c r="AB170">
        <v>12.18</v>
      </c>
      <c r="AC170">
        <v>0</v>
      </c>
      <c r="AD170">
        <v>0</v>
      </c>
      <c r="AE170">
        <v>0</v>
      </c>
      <c r="AF170">
        <v>1</v>
      </c>
      <c r="AG170">
        <v>0</v>
      </c>
      <c r="AH170">
        <v>0</v>
      </c>
      <c r="AI170">
        <v>1</v>
      </c>
      <c r="AJ170">
        <v>11.63</v>
      </c>
      <c r="AK170">
        <v>25.44</v>
      </c>
      <c r="AL170">
        <v>1</v>
      </c>
      <c r="AN170">
        <v>0</v>
      </c>
      <c r="AO170">
        <v>1</v>
      </c>
      <c r="AP170">
        <v>0</v>
      </c>
      <c r="AQ170">
        <v>0</v>
      </c>
      <c r="AR170">
        <v>0</v>
      </c>
      <c r="AS170" t="s">
        <v>3</v>
      </c>
      <c r="AT170">
        <v>35.380000000000003</v>
      </c>
      <c r="AU170" t="s">
        <v>3</v>
      </c>
      <c r="AV170">
        <v>0</v>
      </c>
      <c r="AW170">
        <v>2</v>
      </c>
      <c r="AX170">
        <v>43136950</v>
      </c>
      <c r="AY170">
        <v>1</v>
      </c>
      <c r="AZ170">
        <v>0</v>
      </c>
      <c r="BA170">
        <v>167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CX170">
        <f>Y170*Source!I206</f>
        <v>44.225000000000001</v>
      </c>
      <c r="CY170">
        <f>AB170</f>
        <v>12.18</v>
      </c>
      <c r="CZ170">
        <f>AF170</f>
        <v>1</v>
      </c>
      <c r="DA170">
        <f>AJ170</f>
        <v>11.63</v>
      </c>
      <c r="DB170">
        <f t="shared" si="37"/>
        <v>35.380000000000003</v>
      </c>
      <c r="DC170">
        <f t="shared" si="38"/>
        <v>0</v>
      </c>
    </row>
    <row r="171" spans="1:107" x14ac:dyDescent="0.2">
      <c r="A171">
        <f>ROW(Source!A206)</f>
        <v>206</v>
      </c>
      <c r="B171">
        <v>42938047</v>
      </c>
      <c r="C171">
        <v>43136948</v>
      </c>
      <c r="D171">
        <v>36022456</v>
      </c>
      <c r="E171">
        <v>1</v>
      </c>
      <c r="F171">
        <v>1</v>
      </c>
      <c r="G171">
        <v>35973048</v>
      </c>
      <c r="H171">
        <v>3</v>
      </c>
      <c r="I171" t="s">
        <v>388</v>
      </c>
      <c r="J171" t="s">
        <v>390</v>
      </c>
      <c r="K171" t="s">
        <v>389</v>
      </c>
      <c r="L171">
        <v>1339</v>
      </c>
      <c r="N171">
        <v>1007</v>
      </c>
      <c r="O171" t="s">
        <v>84</v>
      </c>
      <c r="P171" t="s">
        <v>84</v>
      </c>
      <c r="Q171">
        <v>1</v>
      </c>
      <c r="W171">
        <v>1</v>
      </c>
      <c r="X171">
        <v>-1664154218</v>
      </c>
      <c r="Y171">
        <v>-5.8</v>
      </c>
      <c r="AA171">
        <v>2116.48</v>
      </c>
      <c r="AB171">
        <v>0</v>
      </c>
      <c r="AC171">
        <v>0</v>
      </c>
      <c r="AD171">
        <v>0</v>
      </c>
      <c r="AE171">
        <v>264.97000000000003</v>
      </c>
      <c r="AF171">
        <v>0</v>
      </c>
      <c r="AG171">
        <v>0</v>
      </c>
      <c r="AH171">
        <v>0</v>
      </c>
      <c r="AI171">
        <v>7.94</v>
      </c>
      <c r="AJ171">
        <v>1</v>
      </c>
      <c r="AK171">
        <v>1</v>
      </c>
      <c r="AL171">
        <v>1</v>
      </c>
      <c r="AN171">
        <v>0</v>
      </c>
      <c r="AO171">
        <v>1</v>
      </c>
      <c r="AP171">
        <v>0</v>
      </c>
      <c r="AQ171">
        <v>0</v>
      </c>
      <c r="AR171">
        <v>0</v>
      </c>
      <c r="AS171" t="s">
        <v>3</v>
      </c>
      <c r="AT171">
        <v>-5.8</v>
      </c>
      <c r="AU171" t="s">
        <v>3</v>
      </c>
      <c r="AV171">
        <v>0</v>
      </c>
      <c r="AW171">
        <v>2</v>
      </c>
      <c r="AX171">
        <v>43136951</v>
      </c>
      <c r="AY171">
        <v>1</v>
      </c>
      <c r="AZ171">
        <v>6144</v>
      </c>
      <c r="BA171">
        <v>168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CX171">
        <f>Y171*Source!I206</f>
        <v>-7.25</v>
      </c>
      <c r="CY171">
        <f>AA171</f>
        <v>2116.48</v>
      </c>
      <c r="CZ171">
        <f>AE171</f>
        <v>264.97000000000003</v>
      </c>
      <c r="DA171">
        <f>AI171</f>
        <v>7.94</v>
      </c>
      <c r="DB171">
        <f t="shared" si="37"/>
        <v>-1536.83</v>
      </c>
      <c r="DC171">
        <f t="shared" si="38"/>
        <v>0</v>
      </c>
    </row>
    <row r="172" spans="1:107" x14ac:dyDescent="0.2">
      <c r="A172">
        <f>ROW(Source!A206)</f>
        <v>206</v>
      </c>
      <c r="B172">
        <v>42938047</v>
      </c>
      <c r="C172">
        <v>43136948</v>
      </c>
      <c r="D172">
        <v>0</v>
      </c>
      <c r="E172">
        <v>0</v>
      </c>
      <c r="F172">
        <v>1</v>
      </c>
      <c r="G172">
        <v>35973048</v>
      </c>
      <c r="H172">
        <v>3</v>
      </c>
      <c r="I172" t="s">
        <v>118</v>
      </c>
      <c r="J172" t="s">
        <v>3</v>
      </c>
      <c r="K172" t="s">
        <v>392</v>
      </c>
      <c r="L172">
        <v>1339</v>
      </c>
      <c r="N172">
        <v>1007</v>
      </c>
      <c r="O172" t="s">
        <v>84</v>
      </c>
      <c r="P172" t="s">
        <v>84</v>
      </c>
      <c r="Q172">
        <v>1</v>
      </c>
      <c r="W172">
        <v>0</v>
      </c>
      <c r="X172">
        <v>324134868</v>
      </c>
      <c r="Y172">
        <v>5.8</v>
      </c>
      <c r="AA172">
        <v>11025.65</v>
      </c>
      <c r="AB172">
        <v>0</v>
      </c>
      <c r="AC172">
        <v>0</v>
      </c>
      <c r="AD172">
        <v>0</v>
      </c>
      <c r="AE172">
        <v>1728.69</v>
      </c>
      <c r="AF172">
        <v>0</v>
      </c>
      <c r="AG172">
        <v>0</v>
      </c>
      <c r="AH172">
        <v>0</v>
      </c>
      <c r="AI172">
        <v>6.34</v>
      </c>
      <c r="AJ172">
        <v>1</v>
      </c>
      <c r="AK172">
        <v>1</v>
      </c>
      <c r="AL172">
        <v>1</v>
      </c>
      <c r="AN172">
        <v>0</v>
      </c>
      <c r="AO172">
        <v>0</v>
      </c>
      <c r="AP172">
        <v>0</v>
      </c>
      <c r="AQ172">
        <v>0</v>
      </c>
      <c r="AR172">
        <v>0</v>
      </c>
      <c r="AS172" t="s">
        <v>3</v>
      </c>
      <c r="AT172">
        <v>5.8</v>
      </c>
      <c r="AU172" t="s">
        <v>3</v>
      </c>
      <c r="AV172">
        <v>0</v>
      </c>
      <c r="AW172">
        <v>1</v>
      </c>
      <c r="AX172">
        <v>-1</v>
      </c>
      <c r="AY172">
        <v>0</v>
      </c>
      <c r="AZ172">
        <v>0</v>
      </c>
      <c r="BA172" t="s">
        <v>3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CX172">
        <f>Y172*Source!I206</f>
        <v>7.25</v>
      </c>
      <c r="CY172">
        <f>AA172</f>
        <v>11025.65</v>
      </c>
      <c r="CZ172">
        <f>AE172</f>
        <v>1728.69</v>
      </c>
      <c r="DA172">
        <f>AI172</f>
        <v>6.34</v>
      </c>
      <c r="DB172">
        <f t="shared" si="37"/>
        <v>10026.4</v>
      </c>
      <c r="DC172">
        <f t="shared" si="38"/>
        <v>0</v>
      </c>
    </row>
    <row r="173" spans="1:107" x14ac:dyDescent="0.2">
      <c r="A173">
        <f>ROW(Source!A209)</f>
        <v>209</v>
      </c>
      <c r="B173">
        <v>42938047</v>
      </c>
      <c r="C173">
        <v>43136956</v>
      </c>
      <c r="D173">
        <v>35973053</v>
      </c>
      <c r="E173">
        <v>35973048</v>
      </c>
      <c r="F173">
        <v>1</v>
      </c>
      <c r="G173">
        <v>35973048</v>
      </c>
      <c r="H173">
        <v>1</v>
      </c>
      <c r="I173" t="s">
        <v>1228</v>
      </c>
      <c r="J173" t="s">
        <v>3</v>
      </c>
      <c r="K173" t="s">
        <v>1229</v>
      </c>
      <c r="L173">
        <v>1191</v>
      </c>
      <c r="N173">
        <v>1013</v>
      </c>
      <c r="O173" t="s">
        <v>1230</v>
      </c>
      <c r="P173" t="s">
        <v>1230</v>
      </c>
      <c r="Q173">
        <v>1</v>
      </c>
      <c r="W173">
        <v>0</v>
      </c>
      <c r="X173">
        <v>476480486</v>
      </c>
      <c r="Y173">
        <v>5.75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1</v>
      </c>
      <c r="AJ173">
        <v>1</v>
      </c>
      <c r="AK173">
        <v>1</v>
      </c>
      <c r="AL173">
        <v>25.44</v>
      </c>
      <c r="AN173">
        <v>0</v>
      </c>
      <c r="AO173">
        <v>1</v>
      </c>
      <c r="AP173">
        <v>1</v>
      </c>
      <c r="AQ173">
        <v>0</v>
      </c>
      <c r="AR173">
        <v>0</v>
      </c>
      <c r="AS173" t="s">
        <v>3</v>
      </c>
      <c r="AT173">
        <v>1</v>
      </c>
      <c r="AU173" t="s">
        <v>400</v>
      </c>
      <c r="AV173">
        <v>1</v>
      </c>
      <c r="AW173">
        <v>2</v>
      </c>
      <c r="AX173">
        <v>43159288</v>
      </c>
      <c r="AY173">
        <v>1</v>
      </c>
      <c r="AZ173">
        <v>0</v>
      </c>
      <c r="BA173">
        <v>169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CX173">
        <f>Y173*Source!I209</f>
        <v>7.1875</v>
      </c>
      <c r="CY173">
        <f>AD173</f>
        <v>0</v>
      </c>
      <c r="CZ173">
        <f>AH173</f>
        <v>0</v>
      </c>
      <c r="DA173">
        <f>AL173</f>
        <v>25.44</v>
      </c>
      <c r="DB173">
        <f>ROUND((ROUND(AT173*CZ173,2)*1.15*5),6)</f>
        <v>0</v>
      </c>
      <c r="DC173">
        <f>ROUND((ROUND(AT173*AG173,2)*1.15*5),6)</f>
        <v>0</v>
      </c>
    </row>
    <row r="174" spans="1:107" x14ac:dyDescent="0.2">
      <c r="A174">
        <f>ROW(Source!A209)</f>
        <v>209</v>
      </c>
      <c r="B174">
        <v>42938047</v>
      </c>
      <c r="C174">
        <v>43136956</v>
      </c>
      <c r="D174">
        <v>36022456</v>
      </c>
      <c r="E174">
        <v>1</v>
      </c>
      <c r="F174">
        <v>1</v>
      </c>
      <c r="G174">
        <v>35973048</v>
      </c>
      <c r="H174">
        <v>3</v>
      </c>
      <c r="I174" t="s">
        <v>388</v>
      </c>
      <c r="J174" t="s">
        <v>390</v>
      </c>
      <c r="K174" t="s">
        <v>389</v>
      </c>
      <c r="L174">
        <v>1339</v>
      </c>
      <c r="N174">
        <v>1007</v>
      </c>
      <c r="O174" t="s">
        <v>84</v>
      </c>
      <c r="P174" t="s">
        <v>84</v>
      </c>
      <c r="Q174">
        <v>1</v>
      </c>
      <c r="W174">
        <v>1</v>
      </c>
      <c r="X174">
        <v>-1664154218</v>
      </c>
      <c r="Y174">
        <v>-5.8</v>
      </c>
      <c r="AA174">
        <v>2116.48</v>
      </c>
      <c r="AB174">
        <v>0</v>
      </c>
      <c r="AC174">
        <v>0</v>
      </c>
      <c r="AD174">
        <v>0</v>
      </c>
      <c r="AE174">
        <v>264.97000000000003</v>
      </c>
      <c r="AF174">
        <v>0</v>
      </c>
      <c r="AG174">
        <v>0</v>
      </c>
      <c r="AH174">
        <v>0</v>
      </c>
      <c r="AI174">
        <v>7.94</v>
      </c>
      <c r="AJ174">
        <v>1</v>
      </c>
      <c r="AK174">
        <v>1</v>
      </c>
      <c r="AL174">
        <v>1</v>
      </c>
      <c r="AN174">
        <v>0</v>
      </c>
      <c r="AO174">
        <v>1</v>
      </c>
      <c r="AP174">
        <v>1</v>
      </c>
      <c r="AQ174">
        <v>0</v>
      </c>
      <c r="AR174">
        <v>0</v>
      </c>
      <c r="AS174" t="s">
        <v>3</v>
      </c>
      <c r="AT174">
        <v>-1.1599999999999999</v>
      </c>
      <c r="AU174" t="s">
        <v>398</v>
      </c>
      <c r="AV174">
        <v>0</v>
      </c>
      <c r="AW174">
        <v>2</v>
      </c>
      <c r="AX174">
        <v>43159289</v>
      </c>
      <c r="AY174">
        <v>1</v>
      </c>
      <c r="AZ174">
        <v>6144</v>
      </c>
      <c r="BA174">
        <v>170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CX174">
        <f>Y174*Source!I209</f>
        <v>-7.25</v>
      </c>
      <c r="CY174">
        <f>AA174</f>
        <v>2116.48</v>
      </c>
      <c r="CZ174">
        <f>AE174</f>
        <v>264.97000000000003</v>
      </c>
      <c r="DA174">
        <f>AI174</f>
        <v>7.94</v>
      </c>
      <c r="DB174">
        <f>ROUND((ROUND(AT174*CZ174,2)*5),6)</f>
        <v>-1536.85</v>
      </c>
      <c r="DC174">
        <f>ROUND((ROUND(AT174*AG174,2)*5),6)</f>
        <v>0</v>
      </c>
    </row>
    <row r="175" spans="1:107" x14ac:dyDescent="0.2">
      <c r="A175">
        <f>ROW(Source!A209)</f>
        <v>209</v>
      </c>
      <c r="B175">
        <v>42938047</v>
      </c>
      <c r="C175">
        <v>43136956</v>
      </c>
      <c r="D175">
        <v>0</v>
      </c>
      <c r="E175">
        <v>0</v>
      </c>
      <c r="F175">
        <v>1</v>
      </c>
      <c r="G175">
        <v>35973048</v>
      </c>
      <c r="H175">
        <v>3</v>
      </c>
      <c r="I175" t="s">
        <v>118</v>
      </c>
      <c r="J175" t="s">
        <v>3</v>
      </c>
      <c r="K175" t="s">
        <v>392</v>
      </c>
      <c r="L175">
        <v>1339</v>
      </c>
      <c r="N175">
        <v>1007</v>
      </c>
      <c r="O175" t="s">
        <v>84</v>
      </c>
      <c r="P175" t="s">
        <v>84</v>
      </c>
      <c r="Q175">
        <v>1</v>
      </c>
      <c r="W175">
        <v>0</v>
      </c>
      <c r="X175">
        <v>324134868</v>
      </c>
      <c r="Y175">
        <v>5.8</v>
      </c>
      <c r="AA175">
        <v>11025.65</v>
      </c>
      <c r="AB175">
        <v>0</v>
      </c>
      <c r="AC175">
        <v>0</v>
      </c>
      <c r="AD175">
        <v>0</v>
      </c>
      <c r="AE175">
        <v>1728.69</v>
      </c>
      <c r="AF175">
        <v>0</v>
      </c>
      <c r="AG175">
        <v>0</v>
      </c>
      <c r="AH175">
        <v>0</v>
      </c>
      <c r="AI175">
        <v>6.34</v>
      </c>
      <c r="AJ175">
        <v>1</v>
      </c>
      <c r="AK175">
        <v>1</v>
      </c>
      <c r="AL175">
        <v>1</v>
      </c>
      <c r="AN175">
        <v>0</v>
      </c>
      <c r="AO175">
        <v>0</v>
      </c>
      <c r="AP175">
        <v>1</v>
      </c>
      <c r="AQ175">
        <v>0</v>
      </c>
      <c r="AR175">
        <v>0</v>
      </c>
      <c r="AS175" t="s">
        <v>3</v>
      </c>
      <c r="AT175">
        <v>1.1599999999999999</v>
      </c>
      <c r="AU175" t="s">
        <v>398</v>
      </c>
      <c r="AV175">
        <v>0</v>
      </c>
      <c r="AW175">
        <v>1</v>
      </c>
      <c r="AX175">
        <v>-1</v>
      </c>
      <c r="AY175">
        <v>0</v>
      </c>
      <c r="AZ175">
        <v>0</v>
      </c>
      <c r="BA175" t="s">
        <v>3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CX175">
        <f>Y175*Source!I209</f>
        <v>7.25</v>
      </c>
      <c r="CY175">
        <f>AA175</f>
        <v>11025.65</v>
      </c>
      <c r="CZ175">
        <f>AE175</f>
        <v>1728.69</v>
      </c>
      <c r="DA175">
        <f>AI175</f>
        <v>6.34</v>
      </c>
      <c r="DB175">
        <f>ROUND((ROUND(AT175*CZ175,2)*5),6)</f>
        <v>10026.4</v>
      </c>
      <c r="DC175">
        <f>ROUND((ROUND(AT175*AG175,2)*5),6)</f>
        <v>0</v>
      </c>
    </row>
    <row r="176" spans="1:107" x14ac:dyDescent="0.2">
      <c r="A176">
        <f>ROW(Source!A212)</f>
        <v>212</v>
      </c>
      <c r="B176">
        <v>42938047</v>
      </c>
      <c r="C176">
        <v>43136964</v>
      </c>
      <c r="D176">
        <v>36759504</v>
      </c>
      <c r="E176">
        <v>1</v>
      </c>
      <c r="F176">
        <v>1</v>
      </c>
      <c r="G176">
        <v>35973048</v>
      </c>
      <c r="H176">
        <v>2</v>
      </c>
      <c r="I176" t="s">
        <v>1332</v>
      </c>
      <c r="J176" t="s">
        <v>1333</v>
      </c>
      <c r="K176" t="s">
        <v>1334</v>
      </c>
      <c r="L176">
        <v>1367</v>
      </c>
      <c r="N176">
        <v>1011</v>
      </c>
      <c r="O176" t="s">
        <v>738</v>
      </c>
      <c r="P176" t="s">
        <v>738</v>
      </c>
      <c r="Q176">
        <v>1</v>
      </c>
      <c r="W176">
        <v>0</v>
      </c>
      <c r="X176">
        <v>1815391720</v>
      </c>
      <c r="Y176">
        <v>1</v>
      </c>
      <c r="AA176">
        <v>0</v>
      </c>
      <c r="AB176">
        <v>100.09</v>
      </c>
      <c r="AC176">
        <v>13.81</v>
      </c>
      <c r="AD176">
        <v>0</v>
      </c>
      <c r="AE176">
        <v>0</v>
      </c>
      <c r="AF176">
        <v>100.09</v>
      </c>
      <c r="AG176">
        <v>13.81</v>
      </c>
      <c r="AH176">
        <v>0</v>
      </c>
      <c r="AI176">
        <v>1</v>
      </c>
      <c r="AJ176">
        <v>1</v>
      </c>
      <c r="AK176">
        <v>1</v>
      </c>
      <c r="AL176">
        <v>1</v>
      </c>
      <c r="AN176">
        <v>0</v>
      </c>
      <c r="AO176">
        <v>1</v>
      </c>
      <c r="AP176">
        <v>0</v>
      </c>
      <c r="AQ176">
        <v>0</v>
      </c>
      <c r="AR176">
        <v>0</v>
      </c>
      <c r="AS176" t="s">
        <v>3</v>
      </c>
      <c r="AT176">
        <v>1</v>
      </c>
      <c r="AU176" t="s">
        <v>3</v>
      </c>
      <c r="AV176">
        <v>0</v>
      </c>
      <c r="AW176">
        <v>2</v>
      </c>
      <c r="AX176">
        <v>43136966</v>
      </c>
      <c r="AY176">
        <v>1</v>
      </c>
      <c r="AZ176">
        <v>0</v>
      </c>
      <c r="BA176">
        <v>171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CX176">
        <f>Y176*Source!I212</f>
        <v>18.75</v>
      </c>
      <c r="CY176">
        <f>AB176</f>
        <v>100.09</v>
      </c>
      <c r="CZ176">
        <f>AF176</f>
        <v>100.09</v>
      </c>
      <c r="DA176">
        <f>AJ176</f>
        <v>1</v>
      </c>
      <c r="DB176">
        <f>ROUND(ROUND(AT176*CZ176,2),6)</f>
        <v>100.09</v>
      </c>
      <c r="DC176">
        <f>ROUND(ROUND(AT176*AG176,2),6)</f>
        <v>13.81</v>
      </c>
    </row>
    <row r="177" spans="1:107" x14ac:dyDescent="0.2">
      <c r="A177">
        <f>ROW(Source!A213)</f>
        <v>213</v>
      </c>
      <c r="B177">
        <v>42938047</v>
      </c>
      <c r="C177">
        <v>43136965</v>
      </c>
      <c r="D177">
        <v>35973762</v>
      </c>
      <c r="E177">
        <v>35973048</v>
      </c>
      <c r="F177">
        <v>1</v>
      </c>
      <c r="G177">
        <v>35973048</v>
      </c>
      <c r="H177">
        <v>2</v>
      </c>
      <c r="I177" t="s">
        <v>1243</v>
      </c>
      <c r="J177" t="s">
        <v>3</v>
      </c>
      <c r="K177" t="s">
        <v>1244</v>
      </c>
      <c r="L177">
        <v>1344</v>
      </c>
      <c r="N177">
        <v>1008</v>
      </c>
      <c r="O177" t="s">
        <v>1245</v>
      </c>
      <c r="P177" t="s">
        <v>1245</v>
      </c>
      <c r="Q177">
        <v>1</v>
      </c>
      <c r="W177">
        <v>0</v>
      </c>
      <c r="X177">
        <v>-1180195794</v>
      </c>
      <c r="Y177">
        <v>12.61</v>
      </c>
      <c r="AA177">
        <v>0</v>
      </c>
      <c r="AB177">
        <v>1</v>
      </c>
      <c r="AC177">
        <v>0</v>
      </c>
      <c r="AD177">
        <v>0</v>
      </c>
      <c r="AE177">
        <v>0</v>
      </c>
      <c r="AF177">
        <v>1</v>
      </c>
      <c r="AG177">
        <v>0</v>
      </c>
      <c r="AH177">
        <v>0</v>
      </c>
      <c r="AI177">
        <v>1</v>
      </c>
      <c r="AJ177">
        <v>1</v>
      </c>
      <c r="AK177">
        <v>1</v>
      </c>
      <c r="AL177">
        <v>1</v>
      </c>
      <c r="AN177">
        <v>0</v>
      </c>
      <c r="AO177">
        <v>1</v>
      </c>
      <c r="AP177">
        <v>0</v>
      </c>
      <c r="AQ177">
        <v>0</v>
      </c>
      <c r="AR177">
        <v>0</v>
      </c>
      <c r="AS177" t="s">
        <v>3</v>
      </c>
      <c r="AT177">
        <v>12.61</v>
      </c>
      <c r="AU177" t="s">
        <v>3</v>
      </c>
      <c r="AV177">
        <v>0</v>
      </c>
      <c r="AW177">
        <v>2</v>
      </c>
      <c r="AX177">
        <v>43136967</v>
      </c>
      <c r="AY177">
        <v>1</v>
      </c>
      <c r="AZ177">
        <v>0</v>
      </c>
      <c r="BA177">
        <v>172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CX177">
        <f>Y177*Source!I213</f>
        <v>236.4375</v>
      </c>
      <c r="CY177">
        <f>AB177</f>
        <v>1</v>
      </c>
      <c r="CZ177">
        <f>AF177</f>
        <v>1</v>
      </c>
      <c r="DA177">
        <f>AJ177</f>
        <v>1</v>
      </c>
      <c r="DB177">
        <f>ROUND(ROUND(AT177*CZ177,2),6)</f>
        <v>12.61</v>
      </c>
      <c r="DC177">
        <f>ROUND(ROUND(AT177*AG177,2),6)</f>
        <v>0</v>
      </c>
    </row>
    <row r="178" spans="1:107" x14ac:dyDescent="0.2">
      <c r="A178">
        <f>ROW(Source!A249)</f>
        <v>249</v>
      </c>
      <c r="B178">
        <v>42938047</v>
      </c>
      <c r="C178">
        <v>42939399</v>
      </c>
      <c r="D178">
        <v>35973053</v>
      </c>
      <c r="E178">
        <v>35973048</v>
      </c>
      <c r="F178">
        <v>1</v>
      </c>
      <c r="G178">
        <v>35973048</v>
      </c>
      <c r="H178">
        <v>1</v>
      </c>
      <c r="I178" t="s">
        <v>1228</v>
      </c>
      <c r="J178" t="s">
        <v>3</v>
      </c>
      <c r="K178" t="s">
        <v>1229</v>
      </c>
      <c r="L178">
        <v>1191</v>
      </c>
      <c r="N178">
        <v>1013</v>
      </c>
      <c r="O178" t="s">
        <v>1230</v>
      </c>
      <c r="P178" t="s">
        <v>1230</v>
      </c>
      <c r="Q178">
        <v>1</v>
      </c>
      <c r="W178">
        <v>0</v>
      </c>
      <c r="X178">
        <v>476480486</v>
      </c>
      <c r="Y178">
        <v>14.26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1</v>
      </c>
      <c r="AJ178">
        <v>1</v>
      </c>
      <c r="AK178">
        <v>1</v>
      </c>
      <c r="AL178">
        <v>25.44</v>
      </c>
      <c r="AN178">
        <v>0</v>
      </c>
      <c r="AO178">
        <v>1</v>
      </c>
      <c r="AP178">
        <v>0</v>
      </c>
      <c r="AQ178">
        <v>0</v>
      </c>
      <c r="AR178">
        <v>0</v>
      </c>
      <c r="AS178" t="s">
        <v>3</v>
      </c>
      <c r="AT178">
        <v>14.26</v>
      </c>
      <c r="AU178" t="s">
        <v>3</v>
      </c>
      <c r="AV178">
        <v>1</v>
      </c>
      <c r="AW178">
        <v>2</v>
      </c>
      <c r="AX178">
        <v>43143081</v>
      </c>
      <c r="AY178">
        <v>1</v>
      </c>
      <c r="AZ178">
        <v>0</v>
      </c>
      <c r="BA178">
        <v>173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CX178">
        <f>Y178*Source!I249</f>
        <v>23.671599999999998</v>
      </c>
      <c r="CY178">
        <f>AD178</f>
        <v>0</v>
      </c>
      <c r="CZ178">
        <f>AH178</f>
        <v>0</v>
      </c>
      <c r="DA178">
        <f>AL178</f>
        <v>25.44</v>
      </c>
      <c r="DB178">
        <f>ROUND(ROUND(AT178*CZ178,2),6)</f>
        <v>0</v>
      </c>
      <c r="DC178">
        <f>ROUND(ROUND(AT178*AG178,2),6)</f>
        <v>0</v>
      </c>
    </row>
    <row r="179" spans="1:107" x14ac:dyDescent="0.2">
      <c r="A179">
        <f>ROW(Source!A249)</f>
        <v>249</v>
      </c>
      <c r="B179">
        <v>42938047</v>
      </c>
      <c r="C179">
        <v>42939399</v>
      </c>
      <c r="D179">
        <v>35973762</v>
      </c>
      <c r="E179">
        <v>35973048</v>
      </c>
      <c r="F179">
        <v>1</v>
      </c>
      <c r="G179">
        <v>35973048</v>
      </c>
      <c r="H179">
        <v>2</v>
      </c>
      <c r="I179" t="s">
        <v>1243</v>
      </c>
      <c r="J179" t="s">
        <v>3</v>
      </c>
      <c r="K179" t="s">
        <v>1244</v>
      </c>
      <c r="L179">
        <v>1344</v>
      </c>
      <c r="N179">
        <v>1008</v>
      </c>
      <c r="O179" t="s">
        <v>1245</v>
      </c>
      <c r="P179" t="s">
        <v>1245</v>
      </c>
      <c r="Q179">
        <v>1</v>
      </c>
      <c r="W179">
        <v>0</v>
      </c>
      <c r="X179">
        <v>-1180195794</v>
      </c>
      <c r="Y179">
        <v>0.02</v>
      </c>
      <c r="AA179">
        <v>0</v>
      </c>
      <c r="AB179">
        <v>6.28</v>
      </c>
      <c r="AC179">
        <v>0</v>
      </c>
      <c r="AD179">
        <v>0</v>
      </c>
      <c r="AE179">
        <v>0</v>
      </c>
      <c r="AF179">
        <v>1</v>
      </c>
      <c r="AG179">
        <v>0</v>
      </c>
      <c r="AH179">
        <v>0</v>
      </c>
      <c r="AI179">
        <v>1</v>
      </c>
      <c r="AJ179">
        <v>6</v>
      </c>
      <c r="AK179">
        <v>25.44</v>
      </c>
      <c r="AL179">
        <v>1</v>
      </c>
      <c r="AN179">
        <v>0</v>
      </c>
      <c r="AO179">
        <v>1</v>
      </c>
      <c r="AP179">
        <v>0</v>
      </c>
      <c r="AQ179">
        <v>0</v>
      </c>
      <c r="AR179">
        <v>0</v>
      </c>
      <c r="AS179" t="s">
        <v>3</v>
      </c>
      <c r="AT179">
        <v>0.02</v>
      </c>
      <c r="AU179" t="s">
        <v>3</v>
      </c>
      <c r="AV179">
        <v>0</v>
      </c>
      <c r="AW179">
        <v>2</v>
      </c>
      <c r="AX179">
        <v>43143082</v>
      </c>
      <c r="AY179">
        <v>1</v>
      </c>
      <c r="AZ179">
        <v>0</v>
      </c>
      <c r="BA179">
        <v>174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CX179">
        <f>Y179*Source!I249</f>
        <v>3.32E-2</v>
      </c>
      <c r="CY179">
        <f>AB179</f>
        <v>6.28</v>
      </c>
      <c r="CZ179">
        <f>AF179</f>
        <v>1</v>
      </c>
      <c r="DA179">
        <f>AJ179</f>
        <v>6</v>
      </c>
      <c r="DB179">
        <f>ROUND(ROUND(AT179*CZ179,2),6)</f>
        <v>0.02</v>
      </c>
      <c r="DC179">
        <f>ROUND(ROUND(AT179*AG179,2),6)</f>
        <v>0</v>
      </c>
    </row>
    <row r="180" spans="1:107" x14ac:dyDescent="0.2">
      <c r="A180">
        <f>ROW(Source!A249)</f>
        <v>249</v>
      </c>
      <c r="B180">
        <v>42938047</v>
      </c>
      <c r="C180">
        <v>42939399</v>
      </c>
      <c r="D180">
        <v>35994352</v>
      </c>
      <c r="E180">
        <v>35973048</v>
      </c>
      <c r="F180">
        <v>1</v>
      </c>
      <c r="G180">
        <v>35973048</v>
      </c>
      <c r="H180">
        <v>3</v>
      </c>
      <c r="I180" t="s">
        <v>1350</v>
      </c>
      <c r="J180" t="s">
        <v>3</v>
      </c>
      <c r="K180" t="s">
        <v>1351</v>
      </c>
      <c r="L180">
        <v>1348</v>
      </c>
      <c r="N180">
        <v>1009</v>
      </c>
      <c r="O180" t="s">
        <v>104</v>
      </c>
      <c r="P180" t="s">
        <v>104</v>
      </c>
      <c r="Q180">
        <v>1000</v>
      </c>
      <c r="W180">
        <v>0</v>
      </c>
      <c r="X180">
        <v>1489638031</v>
      </c>
      <c r="Y180">
        <v>3.62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1</v>
      </c>
      <c r="AJ180">
        <v>1</v>
      </c>
      <c r="AK180">
        <v>1</v>
      </c>
      <c r="AL180">
        <v>1</v>
      </c>
      <c r="AN180">
        <v>0</v>
      </c>
      <c r="AO180">
        <v>1</v>
      </c>
      <c r="AP180">
        <v>0</v>
      </c>
      <c r="AQ180">
        <v>0</v>
      </c>
      <c r="AR180">
        <v>0</v>
      </c>
      <c r="AS180" t="s">
        <v>3</v>
      </c>
      <c r="AT180">
        <v>3.62</v>
      </c>
      <c r="AU180" t="s">
        <v>3</v>
      </c>
      <c r="AV180">
        <v>0</v>
      </c>
      <c r="AW180">
        <v>2</v>
      </c>
      <c r="AX180">
        <v>43143083</v>
      </c>
      <c r="AY180">
        <v>1</v>
      </c>
      <c r="AZ180">
        <v>0</v>
      </c>
      <c r="BA180">
        <v>175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CX180">
        <f>Y180*Source!I249</f>
        <v>6.0091999999999999</v>
      </c>
      <c r="CY180">
        <f>AA180</f>
        <v>0</v>
      </c>
      <c r="CZ180">
        <f>AE180</f>
        <v>0</v>
      </c>
      <c r="DA180">
        <f>AI180</f>
        <v>1</v>
      </c>
      <c r="DB180">
        <f>ROUND(ROUND(AT180*CZ180,2),6)</f>
        <v>0</v>
      </c>
      <c r="DC180">
        <f>ROUND(ROUND(AT180*AG180,2),6)</f>
        <v>0</v>
      </c>
    </row>
    <row r="181" spans="1:107" x14ac:dyDescent="0.2">
      <c r="A181">
        <f>ROW(Source!A250)</f>
        <v>250</v>
      </c>
      <c r="B181">
        <v>42938047</v>
      </c>
      <c r="C181">
        <v>42939356</v>
      </c>
      <c r="D181">
        <v>35973053</v>
      </c>
      <c r="E181">
        <v>35973048</v>
      </c>
      <c r="F181">
        <v>1</v>
      </c>
      <c r="G181">
        <v>35973048</v>
      </c>
      <c r="H181">
        <v>1</v>
      </c>
      <c r="I181" t="s">
        <v>1228</v>
      </c>
      <c r="J181" t="s">
        <v>3</v>
      </c>
      <c r="K181" t="s">
        <v>1229</v>
      </c>
      <c r="L181">
        <v>1191</v>
      </c>
      <c r="N181">
        <v>1013</v>
      </c>
      <c r="O181" t="s">
        <v>1230</v>
      </c>
      <c r="P181" t="s">
        <v>1230</v>
      </c>
      <c r="Q181">
        <v>1</v>
      </c>
      <c r="W181">
        <v>0</v>
      </c>
      <c r="X181">
        <v>476480486</v>
      </c>
      <c r="Y181">
        <v>2.6564999999999999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1</v>
      </c>
      <c r="AJ181">
        <v>1</v>
      </c>
      <c r="AK181">
        <v>1</v>
      </c>
      <c r="AL181">
        <v>25.44</v>
      </c>
      <c r="AN181">
        <v>0</v>
      </c>
      <c r="AO181">
        <v>1</v>
      </c>
      <c r="AP181">
        <v>1</v>
      </c>
      <c r="AQ181">
        <v>0</v>
      </c>
      <c r="AR181">
        <v>0</v>
      </c>
      <c r="AS181" t="s">
        <v>3</v>
      </c>
      <c r="AT181">
        <v>2.31</v>
      </c>
      <c r="AU181" t="s">
        <v>21</v>
      </c>
      <c r="AV181">
        <v>1</v>
      </c>
      <c r="AW181">
        <v>2</v>
      </c>
      <c r="AX181">
        <v>42939416</v>
      </c>
      <c r="AY181">
        <v>1</v>
      </c>
      <c r="AZ181">
        <v>0</v>
      </c>
      <c r="BA181">
        <v>176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CX181">
        <f>Y181*Source!I250</f>
        <v>44.097900000000003</v>
      </c>
      <c r="CY181">
        <f>AD181</f>
        <v>0</v>
      </c>
      <c r="CZ181">
        <f>AH181</f>
        <v>0</v>
      </c>
      <c r="DA181">
        <f>AL181</f>
        <v>25.44</v>
      </c>
      <c r="DB181">
        <f>ROUND((ROUND(AT181*CZ181,2)*1.15),6)</f>
        <v>0</v>
      </c>
      <c r="DC181">
        <f>ROUND((ROUND(AT181*AG181,2)*1.15),6)</f>
        <v>0</v>
      </c>
    </row>
    <row r="182" spans="1:107" x14ac:dyDescent="0.2">
      <c r="A182">
        <f>ROW(Source!A251)</f>
        <v>251</v>
      </c>
      <c r="B182">
        <v>42938047</v>
      </c>
      <c r="C182">
        <v>42939417</v>
      </c>
      <c r="D182">
        <v>35973053</v>
      </c>
      <c r="E182">
        <v>35973048</v>
      </c>
      <c r="F182">
        <v>1</v>
      </c>
      <c r="G182">
        <v>35973048</v>
      </c>
      <c r="H182">
        <v>1</v>
      </c>
      <c r="I182" t="s">
        <v>1228</v>
      </c>
      <c r="J182" t="s">
        <v>3</v>
      </c>
      <c r="K182" t="s">
        <v>1229</v>
      </c>
      <c r="L182">
        <v>1191</v>
      </c>
      <c r="N182">
        <v>1013</v>
      </c>
      <c r="O182" t="s">
        <v>1230</v>
      </c>
      <c r="P182" t="s">
        <v>1230</v>
      </c>
      <c r="Q182">
        <v>1</v>
      </c>
      <c r="W182">
        <v>0</v>
      </c>
      <c r="X182">
        <v>476480486</v>
      </c>
      <c r="Y182">
        <v>31.855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1</v>
      </c>
      <c r="AJ182">
        <v>1</v>
      </c>
      <c r="AK182">
        <v>1</v>
      </c>
      <c r="AL182">
        <v>25.44</v>
      </c>
      <c r="AN182">
        <v>0</v>
      </c>
      <c r="AO182">
        <v>1</v>
      </c>
      <c r="AP182">
        <v>1</v>
      </c>
      <c r="AQ182">
        <v>0</v>
      </c>
      <c r="AR182">
        <v>0</v>
      </c>
      <c r="AS182" t="s">
        <v>3</v>
      </c>
      <c r="AT182">
        <v>27.7</v>
      </c>
      <c r="AU182" t="s">
        <v>21</v>
      </c>
      <c r="AV182">
        <v>1</v>
      </c>
      <c r="AW182">
        <v>2</v>
      </c>
      <c r="AX182">
        <v>42939419</v>
      </c>
      <c r="AY182">
        <v>1</v>
      </c>
      <c r="AZ182">
        <v>2048</v>
      </c>
      <c r="BA182">
        <v>177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CX182">
        <f>Y182*Source!I251</f>
        <v>5.2879300000000002</v>
      </c>
      <c r="CY182">
        <f>AD182</f>
        <v>0</v>
      </c>
      <c r="CZ182">
        <f>AH182</f>
        <v>0</v>
      </c>
      <c r="DA182">
        <f>AL182</f>
        <v>25.44</v>
      </c>
      <c r="DB182">
        <f>ROUND((ROUND(AT182*CZ182,2)*1.15),6)</f>
        <v>0</v>
      </c>
      <c r="DC182">
        <f>ROUND((ROUND(AT182*AG182,2)*1.15),6)</f>
        <v>0</v>
      </c>
    </row>
    <row r="183" spans="1:107" x14ac:dyDescent="0.2">
      <c r="A183">
        <f>ROW(Source!A251)</f>
        <v>251</v>
      </c>
      <c r="B183">
        <v>42938047</v>
      </c>
      <c r="C183">
        <v>42939417</v>
      </c>
      <c r="D183">
        <v>36044488</v>
      </c>
      <c r="E183">
        <v>1</v>
      </c>
      <c r="F183">
        <v>1</v>
      </c>
      <c r="G183">
        <v>35973048</v>
      </c>
      <c r="H183">
        <v>2</v>
      </c>
      <c r="I183" t="s">
        <v>1252</v>
      </c>
      <c r="J183" t="s">
        <v>1253</v>
      </c>
      <c r="K183" t="s">
        <v>1254</v>
      </c>
      <c r="L183">
        <v>1367</v>
      </c>
      <c r="N183">
        <v>1011</v>
      </c>
      <c r="O183" t="s">
        <v>738</v>
      </c>
      <c r="P183" t="s">
        <v>738</v>
      </c>
      <c r="Q183">
        <v>1</v>
      </c>
      <c r="W183">
        <v>0</v>
      </c>
      <c r="X183">
        <v>1387947568</v>
      </c>
      <c r="Y183">
        <v>3.15</v>
      </c>
      <c r="AA183">
        <v>0</v>
      </c>
      <c r="AB183">
        <v>1464.71</v>
      </c>
      <c r="AC183">
        <v>450.29</v>
      </c>
      <c r="AD183">
        <v>0</v>
      </c>
      <c r="AE183">
        <v>0</v>
      </c>
      <c r="AF183">
        <v>161.49</v>
      </c>
      <c r="AG183">
        <v>17.7</v>
      </c>
      <c r="AH183">
        <v>0</v>
      </c>
      <c r="AI183">
        <v>1</v>
      </c>
      <c r="AJ183">
        <v>9.07</v>
      </c>
      <c r="AK183">
        <v>25.44</v>
      </c>
      <c r="AL183">
        <v>1</v>
      </c>
      <c r="AN183">
        <v>0</v>
      </c>
      <c r="AO183">
        <v>1</v>
      </c>
      <c r="AP183">
        <v>1</v>
      </c>
      <c r="AQ183">
        <v>0</v>
      </c>
      <c r="AR183">
        <v>0</v>
      </c>
      <c r="AS183" t="s">
        <v>3</v>
      </c>
      <c r="AT183">
        <v>2.52</v>
      </c>
      <c r="AU183" t="s">
        <v>20</v>
      </c>
      <c r="AV183">
        <v>0</v>
      </c>
      <c r="AW183">
        <v>2</v>
      </c>
      <c r="AX183">
        <v>42939420</v>
      </c>
      <c r="AY183">
        <v>1</v>
      </c>
      <c r="AZ183">
        <v>0</v>
      </c>
      <c r="BA183">
        <v>178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CX183">
        <f>Y183*Source!I251</f>
        <v>0.52290000000000003</v>
      </c>
      <c r="CY183">
        <f>AB183</f>
        <v>1464.71</v>
      </c>
      <c r="CZ183">
        <f>AF183</f>
        <v>161.49</v>
      </c>
      <c r="DA183">
        <f>AJ183</f>
        <v>9.07</v>
      </c>
      <c r="DB183">
        <f>ROUND((ROUND(AT183*CZ183,2)*1.25),6)</f>
        <v>508.6875</v>
      </c>
      <c r="DC183">
        <f>ROUND((ROUND(AT183*AG183,2)*1.25),6)</f>
        <v>55.75</v>
      </c>
    </row>
    <row r="184" spans="1:107" x14ac:dyDescent="0.2">
      <c r="A184">
        <f>ROW(Source!A251)</f>
        <v>251</v>
      </c>
      <c r="B184">
        <v>42938047</v>
      </c>
      <c r="C184">
        <v>42939417</v>
      </c>
      <c r="D184">
        <v>36044727</v>
      </c>
      <c r="E184">
        <v>1</v>
      </c>
      <c r="F184">
        <v>1</v>
      </c>
      <c r="G184">
        <v>35973048</v>
      </c>
      <c r="H184">
        <v>2</v>
      </c>
      <c r="I184" t="s">
        <v>1291</v>
      </c>
      <c r="J184" t="s">
        <v>1292</v>
      </c>
      <c r="K184" t="s">
        <v>1293</v>
      </c>
      <c r="L184">
        <v>1367</v>
      </c>
      <c r="N184">
        <v>1011</v>
      </c>
      <c r="O184" t="s">
        <v>738</v>
      </c>
      <c r="P184" t="s">
        <v>738</v>
      </c>
      <c r="Q184">
        <v>1</v>
      </c>
      <c r="W184">
        <v>0</v>
      </c>
      <c r="X184">
        <v>-1293364201</v>
      </c>
      <c r="Y184">
        <v>1.2749999999999999</v>
      </c>
      <c r="AA184">
        <v>0</v>
      </c>
      <c r="AB184">
        <v>2153.7199999999998</v>
      </c>
      <c r="AC184">
        <v>441.13</v>
      </c>
      <c r="AD184">
        <v>0</v>
      </c>
      <c r="AE184">
        <v>0</v>
      </c>
      <c r="AF184">
        <v>258.24</v>
      </c>
      <c r="AG184">
        <v>17.34</v>
      </c>
      <c r="AH184">
        <v>0</v>
      </c>
      <c r="AI184">
        <v>1</v>
      </c>
      <c r="AJ184">
        <v>8.34</v>
      </c>
      <c r="AK184">
        <v>25.44</v>
      </c>
      <c r="AL184">
        <v>1</v>
      </c>
      <c r="AN184">
        <v>0</v>
      </c>
      <c r="AO184">
        <v>1</v>
      </c>
      <c r="AP184">
        <v>1</v>
      </c>
      <c r="AQ184">
        <v>0</v>
      </c>
      <c r="AR184">
        <v>0</v>
      </c>
      <c r="AS184" t="s">
        <v>3</v>
      </c>
      <c r="AT184">
        <v>1.02</v>
      </c>
      <c r="AU184" t="s">
        <v>20</v>
      </c>
      <c r="AV184">
        <v>0</v>
      </c>
      <c r="AW184">
        <v>2</v>
      </c>
      <c r="AX184">
        <v>42939421</v>
      </c>
      <c r="AY184">
        <v>1</v>
      </c>
      <c r="AZ184">
        <v>0</v>
      </c>
      <c r="BA184">
        <v>179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CX184">
        <f>Y184*Source!I251</f>
        <v>0.21165</v>
      </c>
      <c r="CY184">
        <f>AB184</f>
        <v>2153.7199999999998</v>
      </c>
      <c r="CZ184">
        <f>AF184</f>
        <v>258.24</v>
      </c>
      <c r="DA184">
        <f>AJ184</f>
        <v>8.34</v>
      </c>
      <c r="DB184">
        <f>ROUND((ROUND(AT184*CZ184,2)*1.25),6)</f>
        <v>329.25</v>
      </c>
      <c r="DC184">
        <f>ROUND((ROUND(AT184*AG184,2)*1.25),6)</f>
        <v>22.112500000000001</v>
      </c>
    </row>
    <row r="185" spans="1:107" x14ac:dyDescent="0.2">
      <c r="A185">
        <f>ROW(Source!A251)</f>
        <v>251</v>
      </c>
      <c r="B185">
        <v>42938047</v>
      </c>
      <c r="C185">
        <v>42939417</v>
      </c>
      <c r="D185">
        <v>36021763</v>
      </c>
      <c r="E185">
        <v>1</v>
      </c>
      <c r="F185">
        <v>1</v>
      </c>
      <c r="G185">
        <v>35973048</v>
      </c>
      <c r="H185">
        <v>3</v>
      </c>
      <c r="I185" t="s">
        <v>294</v>
      </c>
      <c r="J185" t="s">
        <v>296</v>
      </c>
      <c r="K185" t="s">
        <v>295</v>
      </c>
      <c r="L185">
        <v>1327</v>
      </c>
      <c r="N185">
        <v>1005</v>
      </c>
      <c r="O185" t="s">
        <v>120</v>
      </c>
      <c r="P185" t="s">
        <v>120</v>
      </c>
      <c r="Q185">
        <v>1</v>
      </c>
      <c r="W185">
        <v>0</v>
      </c>
      <c r="X185">
        <v>544087257</v>
      </c>
      <c r="Y185">
        <v>1000</v>
      </c>
      <c r="AA185">
        <v>59.2</v>
      </c>
      <c r="AB185">
        <v>0</v>
      </c>
      <c r="AC185">
        <v>0</v>
      </c>
      <c r="AD185">
        <v>0</v>
      </c>
      <c r="AE185">
        <v>13.87</v>
      </c>
      <c r="AF185">
        <v>0</v>
      </c>
      <c r="AG185">
        <v>0</v>
      </c>
      <c r="AH185">
        <v>0</v>
      </c>
      <c r="AI185">
        <v>4.26</v>
      </c>
      <c r="AJ185">
        <v>1</v>
      </c>
      <c r="AK185">
        <v>1</v>
      </c>
      <c r="AL185">
        <v>1</v>
      </c>
      <c r="AN185">
        <v>0</v>
      </c>
      <c r="AO185">
        <v>0</v>
      </c>
      <c r="AP185">
        <v>0</v>
      </c>
      <c r="AQ185">
        <v>0</v>
      </c>
      <c r="AR185">
        <v>0</v>
      </c>
      <c r="AS185" t="s">
        <v>3</v>
      </c>
      <c r="AT185">
        <v>1000</v>
      </c>
      <c r="AU185" t="s">
        <v>3</v>
      </c>
      <c r="AV185">
        <v>0</v>
      </c>
      <c r="AW185">
        <v>1</v>
      </c>
      <c r="AX185">
        <v>-1</v>
      </c>
      <c r="AY185">
        <v>0</v>
      </c>
      <c r="AZ185">
        <v>0</v>
      </c>
      <c r="BA185" t="s">
        <v>3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CX185">
        <f>Y185*Source!I251</f>
        <v>166</v>
      </c>
      <c r="CY185">
        <f>AA185</f>
        <v>59.2</v>
      </c>
      <c r="CZ185">
        <f>AE185</f>
        <v>13.87</v>
      </c>
      <c r="DA185">
        <f>AI185</f>
        <v>4.26</v>
      </c>
      <c r="DB185">
        <f>ROUND(ROUND(AT185*CZ185,2),6)</f>
        <v>13870</v>
      </c>
      <c r="DC185">
        <f>ROUND(ROUND(AT185*AG185,2),6)</f>
        <v>0</v>
      </c>
    </row>
    <row r="186" spans="1:107" x14ac:dyDescent="0.2">
      <c r="A186">
        <f>ROW(Source!A251)</f>
        <v>251</v>
      </c>
      <c r="B186">
        <v>42938047</v>
      </c>
      <c r="C186">
        <v>42939417</v>
      </c>
      <c r="D186">
        <v>35994366</v>
      </c>
      <c r="E186">
        <v>35973048</v>
      </c>
      <c r="F186">
        <v>1</v>
      </c>
      <c r="G186">
        <v>35973048</v>
      </c>
      <c r="H186">
        <v>3</v>
      </c>
      <c r="I186" t="s">
        <v>1294</v>
      </c>
      <c r="J186" t="s">
        <v>3</v>
      </c>
      <c r="K186" t="s">
        <v>1295</v>
      </c>
      <c r="L186">
        <v>1344</v>
      </c>
      <c r="N186">
        <v>1008</v>
      </c>
      <c r="O186" t="s">
        <v>1245</v>
      </c>
      <c r="P186" t="s">
        <v>1245</v>
      </c>
      <c r="Q186">
        <v>1</v>
      </c>
      <c r="W186">
        <v>0</v>
      </c>
      <c r="X186">
        <v>-94250534</v>
      </c>
      <c r="Y186">
        <v>0.49</v>
      </c>
      <c r="AA186">
        <v>6.58</v>
      </c>
      <c r="AB186">
        <v>0</v>
      </c>
      <c r="AC186">
        <v>0</v>
      </c>
      <c r="AD186">
        <v>0</v>
      </c>
      <c r="AE186">
        <v>1</v>
      </c>
      <c r="AF186">
        <v>0</v>
      </c>
      <c r="AG186">
        <v>0</v>
      </c>
      <c r="AH186">
        <v>0</v>
      </c>
      <c r="AI186">
        <v>6.57</v>
      </c>
      <c r="AJ186">
        <v>1</v>
      </c>
      <c r="AK186">
        <v>1</v>
      </c>
      <c r="AL186">
        <v>1</v>
      </c>
      <c r="AN186">
        <v>0</v>
      </c>
      <c r="AO186">
        <v>1</v>
      </c>
      <c r="AP186">
        <v>0</v>
      </c>
      <c r="AQ186">
        <v>0</v>
      </c>
      <c r="AR186">
        <v>0</v>
      </c>
      <c r="AS186" t="s">
        <v>3</v>
      </c>
      <c r="AT186">
        <v>0.49</v>
      </c>
      <c r="AU186" t="s">
        <v>3</v>
      </c>
      <c r="AV186">
        <v>0</v>
      </c>
      <c r="AW186">
        <v>2</v>
      </c>
      <c r="AX186">
        <v>42939423</v>
      </c>
      <c r="AY186">
        <v>1</v>
      </c>
      <c r="AZ186">
        <v>0</v>
      </c>
      <c r="BA186">
        <v>181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CX186">
        <f>Y186*Source!I251</f>
        <v>8.134000000000001E-2</v>
      </c>
      <c r="CY186">
        <f>AA186</f>
        <v>6.58</v>
      </c>
      <c r="CZ186">
        <f>AE186</f>
        <v>1</v>
      </c>
      <c r="DA186">
        <f>AI186</f>
        <v>6.57</v>
      </c>
      <c r="DB186">
        <f>ROUND(ROUND(AT186*CZ186,2),6)</f>
        <v>0.49</v>
      </c>
      <c r="DC186">
        <f>ROUND(ROUND(AT186*AG186,2),6)</f>
        <v>0</v>
      </c>
    </row>
    <row r="187" spans="1:107" x14ac:dyDescent="0.2">
      <c r="A187">
        <f>ROW(Source!A253)</f>
        <v>253</v>
      </c>
      <c r="B187">
        <v>42938047</v>
      </c>
      <c r="C187">
        <v>42939427</v>
      </c>
      <c r="D187">
        <v>35973053</v>
      </c>
      <c r="E187">
        <v>35973048</v>
      </c>
      <c r="F187">
        <v>1</v>
      </c>
      <c r="G187">
        <v>35973048</v>
      </c>
      <c r="H187">
        <v>1</v>
      </c>
      <c r="I187" t="s">
        <v>1228</v>
      </c>
      <c r="J187" t="s">
        <v>3</v>
      </c>
      <c r="K187" t="s">
        <v>1229</v>
      </c>
      <c r="L187">
        <v>1191</v>
      </c>
      <c r="N187">
        <v>1013</v>
      </c>
      <c r="O187" t="s">
        <v>1230</v>
      </c>
      <c r="P187" t="s">
        <v>1230</v>
      </c>
      <c r="Q187">
        <v>1</v>
      </c>
      <c r="W187">
        <v>0</v>
      </c>
      <c r="X187">
        <v>476480486</v>
      </c>
      <c r="Y187">
        <v>8.7974999999999994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1</v>
      </c>
      <c r="AJ187">
        <v>1</v>
      </c>
      <c r="AK187">
        <v>1</v>
      </c>
      <c r="AL187">
        <v>25.44</v>
      </c>
      <c r="AN187">
        <v>0</v>
      </c>
      <c r="AO187">
        <v>1</v>
      </c>
      <c r="AP187">
        <v>1</v>
      </c>
      <c r="AQ187">
        <v>0</v>
      </c>
      <c r="AR187">
        <v>0</v>
      </c>
      <c r="AS187" t="s">
        <v>3</v>
      </c>
      <c r="AT187">
        <v>7.65</v>
      </c>
      <c r="AU187" t="s">
        <v>21</v>
      </c>
      <c r="AV187">
        <v>1</v>
      </c>
      <c r="AW187">
        <v>2</v>
      </c>
      <c r="AX187">
        <v>42939432</v>
      </c>
      <c r="AY187">
        <v>1</v>
      </c>
      <c r="AZ187">
        <v>0</v>
      </c>
      <c r="BA187">
        <v>182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CX187">
        <f>Y187*Source!I253</f>
        <v>12.932324999999999</v>
      </c>
      <c r="CY187">
        <f>AD187</f>
        <v>0</v>
      </c>
      <c r="CZ187">
        <f>AH187</f>
        <v>0</v>
      </c>
      <c r="DA187">
        <f>AL187</f>
        <v>25.44</v>
      </c>
      <c r="DB187">
        <f>ROUND((ROUND(AT187*CZ187,2)*1.15),6)</f>
        <v>0</v>
      </c>
      <c r="DC187">
        <f>ROUND((ROUND(AT187*AG187,2)*1.15),6)</f>
        <v>0</v>
      </c>
    </row>
    <row r="188" spans="1:107" x14ac:dyDescent="0.2">
      <c r="A188">
        <f>ROW(Source!A253)</f>
        <v>253</v>
      </c>
      <c r="B188">
        <v>42938047</v>
      </c>
      <c r="C188">
        <v>42939427</v>
      </c>
      <c r="D188">
        <v>35973762</v>
      </c>
      <c r="E188">
        <v>35973048</v>
      </c>
      <c r="F188">
        <v>1</v>
      </c>
      <c r="G188">
        <v>35973048</v>
      </c>
      <c r="H188">
        <v>2</v>
      </c>
      <c r="I188" t="s">
        <v>1243</v>
      </c>
      <c r="J188" t="s">
        <v>3</v>
      </c>
      <c r="K188" t="s">
        <v>1244</v>
      </c>
      <c r="L188">
        <v>1344</v>
      </c>
      <c r="N188">
        <v>1008</v>
      </c>
      <c r="O188" t="s">
        <v>1245</v>
      </c>
      <c r="P188" t="s">
        <v>1245</v>
      </c>
      <c r="Q188">
        <v>1</v>
      </c>
      <c r="W188">
        <v>0</v>
      </c>
      <c r="X188">
        <v>-1180195794</v>
      </c>
      <c r="Y188">
        <v>7.45</v>
      </c>
      <c r="AA188">
        <v>0</v>
      </c>
      <c r="AB188">
        <v>10.97</v>
      </c>
      <c r="AC188">
        <v>0</v>
      </c>
      <c r="AD188">
        <v>0</v>
      </c>
      <c r="AE188">
        <v>0</v>
      </c>
      <c r="AF188">
        <v>1</v>
      </c>
      <c r="AG188">
        <v>0</v>
      </c>
      <c r="AH188">
        <v>0</v>
      </c>
      <c r="AI188">
        <v>1</v>
      </c>
      <c r="AJ188">
        <v>10.48</v>
      </c>
      <c r="AK188">
        <v>25.44</v>
      </c>
      <c r="AL188">
        <v>1</v>
      </c>
      <c r="AN188">
        <v>0</v>
      </c>
      <c r="AO188">
        <v>1</v>
      </c>
      <c r="AP188">
        <v>1</v>
      </c>
      <c r="AQ188">
        <v>0</v>
      </c>
      <c r="AR188">
        <v>0</v>
      </c>
      <c r="AS188" t="s">
        <v>3</v>
      </c>
      <c r="AT188">
        <v>5.96</v>
      </c>
      <c r="AU188" t="s">
        <v>20</v>
      </c>
      <c r="AV188">
        <v>0</v>
      </c>
      <c r="AW188">
        <v>2</v>
      </c>
      <c r="AX188">
        <v>42939433</v>
      </c>
      <c r="AY188">
        <v>1</v>
      </c>
      <c r="AZ188">
        <v>0</v>
      </c>
      <c r="BA188">
        <v>183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CX188">
        <f>Y188*Source!I253</f>
        <v>10.951499999999999</v>
      </c>
      <c r="CY188">
        <f>AB188</f>
        <v>10.97</v>
      </c>
      <c r="CZ188">
        <f>AF188</f>
        <v>1</v>
      </c>
      <c r="DA188">
        <f>AJ188</f>
        <v>10.48</v>
      </c>
      <c r="DB188">
        <f>ROUND((ROUND(AT188*CZ188,2)*1.25),6)</f>
        <v>7.45</v>
      </c>
      <c r="DC188">
        <f>ROUND((ROUND(AT188*AG188,2)*1.25),6)</f>
        <v>0</v>
      </c>
    </row>
    <row r="189" spans="1:107" x14ac:dyDescent="0.2">
      <c r="A189">
        <f>ROW(Source!A253)</f>
        <v>253</v>
      </c>
      <c r="B189">
        <v>42938047</v>
      </c>
      <c r="C189">
        <v>42939427</v>
      </c>
      <c r="D189">
        <v>36020428</v>
      </c>
      <c r="E189">
        <v>1</v>
      </c>
      <c r="F189">
        <v>1</v>
      </c>
      <c r="G189">
        <v>35973048</v>
      </c>
      <c r="H189">
        <v>3</v>
      </c>
      <c r="I189" t="s">
        <v>372</v>
      </c>
      <c r="J189" t="s">
        <v>374</v>
      </c>
      <c r="K189" t="s">
        <v>373</v>
      </c>
      <c r="L189">
        <v>1348</v>
      </c>
      <c r="N189">
        <v>1009</v>
      </c>
      <c r="O189" t="s">
        <v>104</v>
      </c>
      <c r="P189" t="s">
        <v>104</v>
      </c>
      <c r="Q189">
        <v>1000</v>
      </c>
      <c r="W189">
        <v>1</v>
      </c>
      <c r="X189">
        <v>563176784</v>
      </c>
      <c r="Y189">
        <v>-4.2000000000000002E-4</v>
      </c>
      <c r="AA189">
        <v>58366.71</v>
      </c>
      <c r="AB189">
        <v>0</v>
      </c>
      <c r="AC189">
        <v>0</v>
      </c>
      <c r="AD189">
        <v>0</v>
      </c>
      <c r="AE189">
        <v>6521.42</v>
      </c>
      <c r="AF189">
        <v>0</v>
      </c>
      <c r="AG189">
        <v>0</v>
      </c>
      <c r="AH189">
        <v>0</v>
      </c>
      <c r="AI189">
        <v>8.9499999999999993</v>
      </c>
      <c r="AJ189">
        <v>1</v>
      </c>
      <c r="AK189">
        <v>1</v>
      </c>
      <c r="AL189">
        <v>1</v>
      </c>
      <c r="AN189">
        <v>0</v>
      </c>
      <c r="AO189">
        <v>1</v>
      </c>
      <c r="AP189">
        <v>0</v>
      </c>
      <c r="AQ189">
        <v>0</v>
      </c>
      <c r="AR189">
        <v>0</v>
      </c>
      <c r="AS189" t="s">
        <v>3</v>
      </c>
      <c r="AT189">
        <v>-4.2000000000000002E-4</v>
      </c>
      <c r="AU189" t="s">
        <v>3</v>
      </c>
      <c r="AV189">
        <v>0</v>
      </c>
      <c r="AW189">
        <v>2</v>
      </c>
      <c r="AX189">
        <v>42939434</v>
      </c>
      <c r="AY189">
        <v>1</v>
      </c>
      <c r="AZ189">
        <v>6144</v>
      </c>
      <c r="BA189">
        <v>184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CX189">
        <f>Y189*Source!I253</f>
        <v>-6.1740000000000005E-4</v>
      </c>
      <c r="CY189">
        <f>AA189</f>
        <v>58366.71</v>
      </c>
      <c r="CZ189">
        <f>AE189</f>
        <v>6521.42</v>
      </c>
      <c r="DA189">
        <f>AI189</f>
        <v>8.9499999999999993</v>
      </c>
      <c r="DB189">
        <f>ROUND(ROUND(AT189*CZ189,2),6)</f>
        <v>-2.74</v>
      </c>
      <c r="DC189">
        <f>ROUND(ROUND(AT189*AG189,2),6)</f>
        <v>0</v>
      </c>
    </row>
    <row r="190" spans="1:107" x14ac:dyDescent="0.2">
      <c r="A190">
        <f>ROW(Source!A253)</f>
        <v>253</v>
      </c>
      <c r="B190">
        <v>42938047</v>
      </c>
      <c r="C190">
        <v>42939427</v>
      </c>
      <c r="D190">
        <v>0</v>
      </c>
      <c r="E190">
        <v>35973048</v>
      </c>
      <c r="F190">
        <v>1</v>
      </c>
      <c r="G190">
        <v>35973048</v>
      </c>
      <c r="H190">
        <v>3</v>
      </c>
      <c r="I190" t="s">
        <v>118</v>
      </c>
      <c r="J190" t="s">
        <v>3</v>
      </c>
      <c r="K190" t="s">
        <v>376</v>
      </c>
      <c r="L190">
        <v>1301</v>
      </c>
      <c r="N190">
        <v>1003</v>
      </c>
      <c r="O190" t="s">
        <v>136</v>
      </c>
      <c r="P190" t="s">
        <v>136</v>
      </c>
      <c r="Q190">
        <v>1</v>
      </c>
      <c r="W190">
        <v>0</v>
      </c>
      <c r="X190">
        <v>1078315712</v>
      </c>
      <c r="Y190">
        <v>101.360544</v>
      </c>
      <c r="AA190">
        <v>184.11</v>
      </c>
      <c r="AB190">
        <v>0</v>
      </c>
      <c r="AC190">
        <v>0</v>
      </c>
      <c r="AD190">
        <v>0</v>
      </c>
      <c r="AE190">
        <v>29.04</v>
      </c>
      <c r="AF190">
        <v>0</v>
      </c>
      <c r="AG190">
        <v>0</v>
      </c>
      <c r="AH190">
        <v>0</v>
      </c>
      <c r="AI190">
        <v>6.34</v>
      </c>
      <c r="AJ190">
        <v>1</v>
      </c>
      <c r="AK190">
        <v>1</v>
      </c>
      <c r="AL190">
        <v>1</v>
      </c>
      <c r="AN190">
        <v>0</v>
      </c>
      <c r="AO190">
        <v>0</v>
      </c>
      <c r="AP190">
        <v>0</v>
      </c>
      <c r="AQ190">
        <v>0</v>
      </c>
      <c r="AR190">
        <v>0</v>
      </c>
      <c r="AS190" t="s">
        <v>3</v>
      </c>
      <c r="AT190">
        <v>101.360544</v>
      </c>
      <c r="AU190" t="s">
        <v>3</v>
      </c>
      <c r="AV190">
        <v>0</v>
      </c>
      <c r="AW190">
        <v>1</v>
      </c>
      <c r="AX190">
        <v>-1</v>
      </c>
      <c r="AY190">
        <v>0</v>
      </c>
      <c r="AZ190">
        <v>0</v>
      </c>
      <c r="BA190" t="s">
        <v>3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CX190">
        <f>Y190*Source!I253</f>
        <v>148.99999968</v>
      </c>
      <c r="CY190">
        <f>AA190</f>
        <v>184.11</v>
      </c>
      <c r="CZ190">
        <f>AE190</f>
        <v>29.04</v>
      </c>
      <c r="DA190">
        <f>AI190</f>
        <v>6.34</v>
      </c>
      <c r="DB190">
        <f>ROUND(ROUND(AT190*CZ190,2),6)</f>
        <v>2943.51</v>
      </c>
      <c r="DC190">
        <f>ROUND(ROUND(AT190*AG190,2),6)</f>
        <v>0</v>
      </c>
    </row>
    <row r="191" spans="1:107" x14ac:dyDescent="0.2">
      <c r="A191">
        <f>ROW(Source!A253)</f>
        <v>253</v>
      </c>
      <c r="B191">
        <v>42938047</v>
      </c>
      <c r="C191">
        <v>42939427</v>
      </c>
      <c r="D191">
        <v>0</v>
      </c>
      <c r="E191">
        <v>0</v>
      </c>
      <c r="F191">
        <v>1</v>
      </c>
      <c r="G191">
        <v>35973048</v>
      </c>
      <c r="H191">
        <v>3</v>
      </c>
      <c r="I191" t="s">
        <v>118</v>
      </c>
      <c r="J191" t="s">
        <v>3</v>
      </c>
      <c r="K191" t="s">
        <v>421</v>
      </c>
      <c r="L191">
        <v>1354</v>
      </c>
      <c r="N191">
        <v>1010</v>
      </c>
      <c r="O191" t="s">
        <v>169</v>
      </c>
      <c r="P191" t="s">
        <v>169</v>
      </c>
      <c r="Q191">
        <v>1</v>
      </c>
      <c r="W191">
        <v>0</v>
      </c>
      <c r="X191">
        <v>-517367561</v>
      </c>
      <c r="Y191">
        <v>101.360544</v>
      </c>
      <c r="AA191">
        <v>16.989999999999998</v>
      </c>
      <c r="AB191">
        <v>0</v>
      </c>
      <c r="AC191">
        <v>0</v>
      </c>
      <c r="AD191">
        <v>0</v>
      </c>
      <c r="AE191">
        <v>2.6799999999999997</v>
      </c>
      <c r="AF191">
        <v>0</v>
      </c>
      <c r="AG191">
        <v>0</v>
      </c>
      <c r="AH191">
        <v>0</v>
      </c>
      <c r="AI191">
        <v>6.34</v>
      </c>
      <c r="AJ191">
        <v>1</v>
      </c>
      <c r="AK191">
        <v>1</v>
      </c>
      <c r="AL191">
        <v>1</v>
      </c>
      <c r="AN191">
        <v>0</v>
      </c>
      <c r="AO191">
        <v>0</v>
      </c>
      <c r="AP191">
        <v>0</v>
      </c>
      <c r="AQ191">
        <v>0</v>
      </c>
      <c r="AR191">
        <v>0</v>
      </c>
      <c r="AS191" t="s">
        <v>3</v>
      </c>
      <c r="AT191">
        <v>101.360544</v>
      </c>
      <c r="AU191" t="s">
        <v>3</v>
      </c>
      <c r="AV191">
        <v>0</v>
      </c>
      <c r="AW191">
        <v>1</v>
      </c>
      <c r="AX191">
        <v>-1</v>
      </c>
      <c r="AY191">
        <v>0</v>
      </c>
      <c r="AZ191">
        <v>0</v>
      </c>
      <c r="BA191" t="s">
        <v>3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CX191">
        <f>Y191*Source!I253</f>
        <v>148.99999968</v>
      </c>
      <c r="CY191">
        <f>AA191</f>
        <v>16.989999999999998</v>
      </c>
      <c r="CZ191">
        <f>AE191</f>
        <v>2.6799999999999997</v>
      </c>
      <c r="DA191">
        <f>AI191</f>
        <v>6.34</v>
      </c>
      <c r="DB191">
        <f>ROUND(ROUND(AT191*CZ191,2),6)</f>
        <v>271.64999999999998</v>
      </c>
      <c r="DC191">
        <f>ROUND(ROUND(AT191*AG191,2),6)</f>
        <v>0</v>
      </c>
    </row>
    <row r="192" spans="1:107" x14ac:dyDescent="0.2">
      <c r="A192">
        <f>ROW(Source!A257)</f>
        <v>257</v>
      </c>
      <c r="B192">
        <v>42938047</v>
      </c>
      <c r="C192">
        <v>43143088</v>
      </c>
      <c r="D192">
        <v>35973053</v>
      </c>
      <c r="E192">
        <v>35973048</v>
      </c>
      <c r="F192">
        <v>1</v>
      </c>
      <c r="G192">
        <v>35973048</v>
      </c>
      <c r="H192">
        <v>1</v>
      </c>
      <c r="I192" t="s">
        <v>1228</v>
      </c>
      <c r="J192" t="s">
        <v>3</v>
      </c>
      <c r="K192" t="s">
        <v>1229</v>
      </c>
      <c r="L192">
        <v>1191</v>
      </c>
      <c r="N192">
        <v>1013</v>
      </c>
      <c r="O192" t="s">
        <v>1230</v>
      </c>
      <c r="P192" t="s">
        <v>1230</v>
      </c>
      <c r="Q192">
        <v>1</v>
      </c>
      <c r="W192">
        <v>0</v>
      </c>
      <c r="X192">
        <v>476480486</v>
      </c>
      <c r="Y192">
        <v>109.02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1</v>
      </c>
      <c r="AJ192">
        <v>1</v>
      </c>
      <c r="AK192">
        <v>1</v>
      </c>
      <c r="AL192">
        <v>25.44</v>
      </c>
      <c r="AN192">
        <v>0</v>
      </c>
      <c r="AO192">
        <v>1</v>
      </c>
      <c r="AP192">
        <v>1</v>
      </c>
      <c r="AQ192">
        <v>0</v>
      </c>
      <c r="AR192">
        <v>0</v>
      </c>
      <c r="AS192" t="s">
        <v>3</v>
      </c>
      <c r="AT192">
        <v>94.8</v>
      </c>
      <c r="AU192" t="s">
        <v>21</v>
      </c>
      <c r="AV192">
        <v>1</v>
      </c>
      <c r="AW192">
        <v>2</v>
      </c>
      <c r="AX192">
        <v>43143114</v>
      </c>
      <c r="AY192">
        <v>1</v>
      </c>
      <c r="AZ192">
        <v>2048</v>
      </c>
      <c r="BA192">
        <v>187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CX192">
        <f>Y192*Source!I257</f>
        <v>180.97319999999999</v>
      </c>
      <c r="CY192">
        <f>AD192</f>
        <v>0</v>
      </c>
      <c r="CZ192">
        <f>AH192</f>
        <v>0</v>
      </c>
      <c r="DA192">
        <f>AL192</f>
        <v>25.44</v>
      </c>
      <c r="DB192">
        <f>ROUND((ROUND(AT192*CZ192,2)*1.15),6)</f>
        <v>0</v>
      </c>
      <c r="DC192">
        <f>ROUND((ROUND(AT192*AG192,2)*1.15),6)</f>
        <v>0</v>
      </c>
    </row>
    <row r="193" spans="1:107" x14ac:dyDescent="0.2">
      <c r="A193">
        <f>ROW(Source!A257)</f>
        <v>257</v>
      </c>
      <c r="B193">
        <v>42938047</v>
      </c>
      <c r="C193">
        <v>43143088</v>
      </c>
      <c r="D193">
        <v>35973762</v>
      </c>
      <c r="E193">
        <v>35973048</v>
      </c>
      <c r="F193">
        <v>1</v>
      </c>
      <c r="G193">
        <v>35973048</v>
      </c>
      <c r="H193">
        <v>2</v>
      </c>
      <c r="I193" t="s">
        <v>1243</v>
      </c>
      <c r="J193" t="s">
        <v>3</v>
      </c>
      <c r="K193" t="s">
        <v>1244</v>
      </c>
      <c r="L193">
        <v>1344</v>
      </c>
      <c r="N193">
        <v>1008</v>
      </c>
      <c r="O193" t="s">
        <v>1245</v>
      </c>
      <c r="P193" t="s">
        <v>1245</v>
      </c>
      <c r="Q193">
        <v>1</v>
      </c>
      <c r="W193">
        <v>0</v>
      </c>
      <c r="X193">
        <v>-1180195794</v>
      </c>
      <c r="Y193">
        <v>371.03750000000002</v>
      </c>
      <c r="AA193">
        <v>0</v>
      </c>
      <c r="AB193">
        <v>11.17</v>
      </c>
      <c r="AC193">
        <v>0</v>
      </c>
      <c r="AD193">
        <v>0</v>
      </c>
      <c r="AE193">
        <v>0</v>
      </c>
      <c r="AF193">
        <v>1</v>
      </c>
      <c r="AG193">
        <v>0</v>
      </c>
      <c r="AH193">
        <v>0</v>
      </c>
      <c r="AI193">
        <v>1</v>
      </c>
      <c r="AJ193">
        <v>10.67</v>
      </c>
      <c r="AK193">
        <v>25.44</v>
      </c>
      <c r="AL193">
        <v>1</v>
      </c>
      <c r="AN193">
        <v>0</v>
      </c>
      <c r="AO193">
        <v>1</v>
      </c>
      <c r="AP193">
        <v>1</v>
      </c>
      <c r="AQ193">
        <v>0</v>
      </c>
      <c r="AR193">
        <v>0</v>
      </c>
      <c r="AS193" t="s">
        <v>3</v>
      </c>
      <c r="AT193">
        <v>296.83</v>
      </c>
      <c r="AU193" t="s">
        <v>20</v>
      </c>
      <c r="AV193">
        <v>0</v>
      </c>
      <c r="AW193">
        <v>2</v>
      </c>
      <c r="AX193">
        <v>43143115</v>
      </c>
      <c r="AY193">
        <v>1</v>
      </c>
      <c r="AZ193">
        <v>2048</v>
      </c>
      <c r="BA193">
        <v>188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CX193">
        <f>Y193*Source!I257</f>
        <v>615.92224999999996</v>
      </c>
      <c r="CY193">
        <f>AB193</f>
        <v>11.17</v>
      </c>
      <c r="CZ193">
        <f>AF193</f>
        <v>1</v>
      </c>
      <c r="DA193">
        <f>AJ193</f>
        <v>10.67</v>
      </c>
      <c r="DB193">
        <f>ROUND((ROUND(AT193*CZ193,2)*1.25),6)</f>
        <v>371.03750000000002</v>
      </c>
      <c r="DC193">
        <f>ROUND((ROUND(AT193*AG193,2)*1.25),6)</f>
        <v>0</v>
      </c>
    </row>
    <row r="194" spans="1:107" x14ac:dyDescent="0.2">
      <c r="A194">
        <f>ROW(Source!A257)</f>
        <v>257</v>
      </c>
      <c r="B194">
        <v>42938047</v>
      </c>
      <c r="C194">
        <v>43143088</v>
      </c>
      <c r="D194">
        <v>36020974</v>
      </c>
      <c r="E194">
        <v>1</v>
      </c>
      <c r="F194">
        <v>1</v>
      </c>
      <c r="G194">
        <v>35973048</v>
      </c>
      <c r="H194">
        <v>3</v>
      </c>
      <c r="I194" t="s">
        <v>91</v>
      </c>
      <c r="J194" t="s">
        <v>93</v>
      </c>
      <c r="K194" t="s">
        <v>92</v>
      </c>
      <c r="L194">
        <v>1339</v>
      </c>
      <c r="N194">
        <v>1007</v>
      </c>
      <c r="O194" t="s">
        <v>84</v>
      </c>
      <c r="P194" t="s">
        <v>84</v>
      </c>
      <c r="Q194">
        <v>1</v>
      </c>
      <c r="W194">
        <v>0</v>
      </c>
      <c r="X194">
        <v>2069056849</v>
      </c>
      <c r="Y194">
        <v>0.43</v>
      </c>
      <c r="AA194">
        <v>578.49</v>
      </c>
      <c r="AB194">
        <v>0</v>
      </c>
      <c r="AC194">
        <v>0</v>
      </c>
      <c r="AD194">
        <v>0</v>
      </c>
      <c r="AE194">
        <v>104.99</v>
      </c>
      <c r="AF194">
        <v>0</v>
      </c>
      <c r="AG194">
        <v>0</v>
      </c>
      <c r="AH194">
        <v>0</v>
      </c>
      <c r="AI194">
        <v>5.51</v>
      </c>
      <c r="AJ194">
        <v>1</v>
      </c>
      <c r="AK194">
        <v>1</v>
      </c>
      <c r="AL194">
        <v>1</v>
      </c>
      <c r="AN194">
        <v>0</v>
      </c>
      <c r="AO194">
        <v>1</v>
      </c>
      <c r="AP194">
        <v>1</v>
      </c>
      <c r="AQ194">
        <v>0</v>
      </c>
      <c r="AR194">
        <v>0</v>
      </c>
      <c r="AS194" t="s">
        <v>3</v>
      </c>
      <c r="AT194">
        <v>0.43</v>
      </c>
      <c r="AU194" t="s">
        <v>3</v>
      </c>
      <c r="AV194">
        <v>0</v>
      </c>
      <c r="AW194">
        <v>2</v>
      </c>
      <c r="AX194">
        <v>43143116</v>
      </c>
      <c r="AY194">
        <v>1</v>
      </c>
      <c r="AZ194">
        <v>0</v>
      </c>
      <c r="BA194">
        <v>189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CX194">
        <f>Y194*Source!I257</f>
        <v>0.71379999999999999</v>
      </c>
      <c r="CY194">
        <f>AA194</f>
        <v>578.49</v>
      </c>
      <c r="CZ194">
        <f>AE194</f>
        <v>104.99</v>
      </c>
      <c r="DA194">
        <f>AI194</f>
        <v>5.51</v>
      </c>
      <c r="DB194">
        <f t="shared" ref="DB194:DB199" si="39">ROUND(ROUND(AT194*CZ194,2),6)</f>
        <v>45.15</v>
      </c>
      <c r="DC194">
        <f t="shared" ref="DC194:DC199" si="40">ROUND(ROUND(AT194*AG194,2),6)</f>
        <v>0</v>
      </c>
    </row>
    <row r="195" spans="1:107" x14ac:dyDescent="0.2">
      <c r="A195">
        <f>ROW(Source!A257)</f>
        <v>257</v>
      </c>
      <c r="B195">
        <v>42938047</v>
      </c>
      <c r="C195">
        <v>43143088</v>
      </c>
      <c r="D195">
        <v>0</v>
      </c>
      <c r="E195">
        <v>35973048</v>
      </c>
      <c r="F195">
        <v>1</v>
      </c>
      <c r="G195">
        <v>35973048</v>
      </c>
      <c r="H195">
        <v>3</v>
      </c>
      <c r="I195" t="s">
        <v>118</v>
      </c>
      <c r="J195" t="s">
        <v>3</v>
      </c>
      <c r="K195" t="s">
        <v>428</v>
      </c>
      <c r="L195">
        <v>1339</v>
      </c>
      <c r="N195">
        <v>1007</v>
      </c>
      <c r="O195" t="s">
        <v>84</v>
      </c>
      <c r="P195" t="s">
        <v>84</v>
      </c>
      <c r="Q195">
        <v>1</v>
      </c>
      <c r="W195">
        <v>0</v>
      </c>
      <c r="X195">
        <v>-1096414798</v>
      </c>
      <c r="Y195">
        <v>25</v>
      </c>
      <c r="AA195">
        <v>16727.98</v>
      </c>
      <c r="AB195">
        <v>0</v>
      </c>
      <c r="AC195">
        <v>0</v>
      </c>
      <c r="AD195">
        <v>0</v>
      </c>
      <c r="AE195">
        <v>2574.1299999999997</v>
      </c>
      <c r="AF195">
        <v>0</v>
      </c>
      <c r="AG195">
        <v>0</v>
      </c>
      <c r="AH195">
        <v>0</v>
      </c>
      <c r="AI195">
        <v>6.34</v>
      </c>
      <c r="AJ195">
        <v>1</v>
      </c>
      <c r="AK195">
        <v>1</v>
      </c>
      <c r="AL195">
        <v>1</v>
      </c>
      <c r="AN195">
        <v>0</v>
      </c>
      <c r="AO195">
        <v>0</v>
      </c>
      <c r="AP195">
        <v>0</v>
      </c>
      <c r="AQ195">
        <v>0</v>
      </c>
      <c r="AR195">
        <v>0</v>
      </c>
      <c r="AS195" t="s">
        <v>3</v>
      </c>
      <c r="AT195">
        <v>25</v>
      </c>
      <c r="AU195" t="s">
        <v>3</v>
      </c>
      <c r="AV195">
        <v>0</v>
      </c>
      <c r="AW195">
        <v>1</v>
      </c>
      <c r="AX195">
        <v>-1</v>
      </c>
      <c r="AY195">
        <v>0</v>
      </c>
      <c r="AZ195">
        <v>0</v>
      </c>
      <c r="BA195" t="s">
        <v>3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CX195">
        <f>Y195*Source!I257</f>
        <v>41.5</v>
      </c>
      <c r="CY195">
        <f>AA195</f>
        <v>16727.98</v>
      </c>
      <c r="CZ195">
        <f>AE195</f>
        <v>2574.1299999999997</v>
      </c>
      <c r="DA195">
        <f>AI195</f>
        <v>6.34</v>
      </c>
      <c r="DB195">
        <f t="shared" si="39"/>
        <v>64353.25</v>
      </c>
      <c r="DC195">
        <f t="shared" si="40"/>
        <v>0</v>
      </c>
    </row>
    <row r="196" spans="1:107" x14ac:dyDescent="0.2">
      <c r="A196">
        <f>ROW(Source!A259)</f>
        <v>259</v>
      </c>
      <c r="B196">
        <v>42938047</v>
      </c>
      <c r="C196">
        <v>42939514</v>
      </c>
      <c r="D196">
        <v>35973762</v>
      </c>
      <c r="E196">
        <v>35973048</v>
      </c>
      <c r="F196">
        <v>1</v>
      </c>
      <c r="G196">
        <v>35973048</v>
      </c>
      <c r="H196">
        <v>2</v>
      </c>
      <c r="I196" t="s">
        <v>1243</v>
      </c>
      <c r="J196" t="s">
        <v>3</v>
      </c>
      <c r="K196" t="s">
        <v>1244</v>
      </c>
      <c r="L196">
        <v>1344</v>
      </c>
      <c r="N196">
        <v>1008</v>
      </c>
      <c r="O196" t="s">
        <v>1245</v>
      </c>
      <c r="P196" t="s">
        <v>1245</v>
      </c>
      <c r="Q196">
        <v>1</v>
      </c>
      <c r="W196">
        <v>0</v>
      </c>
      <c r="X196">
        <v>-1180195794</v>
      </c>
      <c r="Y196">
        <v>8.86</v>
      </c>
      <c r="AA196">
        <v>0</v>
      </c>
      <c r="AB196">
        <v>9.5500000000000007</v>
      </c>
      <c r="AC196">
        <v>0</v>
      </c>
      <c r="AD196">
        <v>0</v>
      </c>
      <c r="AE196">
        <v>0</v>
      </c>
      <c r="AF196">
        <v>1</v>
      </c>
      <c r="AG196">
        <v>0</v>
      </c>
      <c r="AH196">
        <v>0</v>
      </c>
      <c r="AI196">
        <v>1</v>
      </c>
      <c r="AJ196">
        <v>9.1199999999999992</v>
      </c>
      <c r="AK196">
        <v>25.44</v>
      </c>
      <c r="AL196">
        <v>1</v>
      </c>
      <c r="AN196">
        <v>0</v>
      </c>
      <c r="AO196">
        <v>1</v>
      </c>
      <c r="AP196">
        <v>0</v>
      </c>
      <c r="AQ196">
        <v>0</v>
      </c>
      <c r="AR196">
        <v>0</v>
      </c>
      <c r="AS196" t="s">
        <v>3</v>
      </c>
      <c r="AT196">
        <v>8.86</v>
      </c>
      <c r="AU196" t="s">
        <v>3</v>
      </c>
      <c r="AV196">
        <v>0</v>
      </c>
      <c r="AW196">
        <v>2</v>
      </c>
      <c r="AX196">
        <v>42939516</v>
      </c>
      <c r="AY196">
        <v>1</v>
      </c>
      <c r="AZ196">
        <v>0</v>
      </c>
      <c r="BA196">
        <v>191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CX196">
        <f>Y196*Source!I259</f>
        <v>702.06639999999993</v>
      </c>
      <c r="CY196">
        <f>AB196</f>
        <v>9.5500000000000007</v>
      </c>
      <c r="CZ196">
        <f>AF196</f>
        <v>1</v>
      </c>
      <c r="DA196">
        <f>AJ196</f>
        <v>9.1199999999999992</v>
      </c>
      <c r="DB196">
        <f t="shared" si="39"/>
        <v>8.86</v>
      </c>
      <c r="DC196">
        <f t="shared" si="40"/>
        <v>0</v>
      </c>
    </row>
    <row r="197" spans="1:107" x14ac:dyDescent="0.2">
      <c r="A197">
        <f>ROW(Source!A260)</f>
        <v>260</v>
      </c>
      <c r="B197">
        <v>42938047</v>
      </c>
      <c r="C197">
        <v>42939517</v>
      </c>
      <c r="D197">
        <v>36759507</v>
      </c>
      <c r="E197">
        <v>1</v>
      </c>
      <c r="F197">
        <v>1</v>
      </c>
      <c r="G197">
        <v>35973048</v>
      </c>
      <c r="H197">
        <v>2</v>
      </c>
      <c r="I197" t="s">
        <v>1329</v>
      </c>
      <c r="J197" t="s">
        <v>1330</v>
      </c>
      <c r="K197" t="s">
        <v>1331</v>
      </c>
      <c r="L197">
        <v>1367</v>
      </c>
      <c r="N197">
        <v>1011</v>
      </c>
      <c r="O197" t="s">
        <v>738</v>
      </c>
      <c r="P197" t="s">
        <v>738</v>
      </c>
      <c r="Q197">
        <v>1</v>
      </c>
      <c r="W197">
        <v>0</v>
      </c>
      <c r="X197">
        <v>-1132105959</v>
      </c>
      <c r="Y197">
        <v>1</v>
      </c>
      <c r="AA197">
        <v>0</v>
      </c>
      <c r="AB197">
        <v>115.66</v>
      </c>
      <c r="AC197">
        <v>14.4</v>
      </c>
      <c r="AD197">
        <v>0</v>
      </c>
      <c r="AE197">
        <v>0</v>
      </c>
      <c r="AF197">
        <v>115.66</v>
      </c>
      <c r="AG197">
        <v>14.4</v>
      </c>
      <c r="AH197">
        <v>0</v>
      </c>
      <c r="AI197">
        <v>1</v>
      </c>
      <c r="AJ197">
        <v>1</v>
      </c>
      <c r="AK197">
        <v>1</v>
      </c>
      <c r="AL197">
        <v>1</v>
      </c>
      <c r="AN197">
        <v>0</v>
      </c>
      <c r="AO197">
        <v>1</v>
      </c>
      <c r="AP197">
        <v>0</v>
      </c>
      <c r="AQ197">
        <v>0</v>
      </c>
      <c r="AR197">
        <v>0</v>
      </c>
      <c r="AS197" t="s">
        <v>3</v>
      </c>
      <c r="AT197">
        <v>1</v>
      </c>
      <c r="AU197" t="s">
        <v>3</v>
      </c>
      <c r="AV197">
        <v>0</v>
      </c>
      <c r="AW197">
        <v>2</v>
      </c>
      <c r="AX197">
        <v>42939519</v>
      </c>
      <c r="AY197">
        <v>1</v>
      </c>
      <c r="AZ197">
        <v>0</v>
      </c>
      <c r="BA197">
        <v>192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CX197">
        <f>Y197*Source!I260</f>
        <v>79.239999999999995</v>
      </c>
      <c r="CY197">
        <f>AB197</f>
        <v>115.66</v>
      </c>
      <c r="CZ197">
        <f>AF197</f>
        <v>115.66</v>
      </c>
      <c r="DA197">
        <f>AJ197</f>
        <v>1</v>
      </c>
      <c r="DB197">
        <f t="shared" si="39"/>
        <v>115.66</v>
      </c>
      <c r="DC197">
        <f t="shared" si="40"/>
        <v>14.4</v>
      </c>
    </row>
    <row r="198" spans="1:107" x14ac:dyDescent="0.2">
      <c r="A198">
        <f>ROW(Source!A261)</f>
        <v>261</v>
      </c>
      <c r="B198">
        <v>42938047</v>
      </c>
      <c r="C198">
        <v>43136968</v>
      </c>
      <c r="D198">
        <v>36759504</v>
      </c>
      <c r="E198">
        <v>1</v>
      </c>
      <c r="F198">
        <v>1</v>
      </c>
      <c r="G198">
        <v>35973048</v>
      </c>
      <c r="H198">
        <v>2</v>
      </c>
      <c r="I198" t="s">
        <v>1332</v>
      </c>
      <c r="J198" t="s">
        <v>1333</v>
      </c>
      <c r="K198" t="s">
        <v>1334</v>
      </c>
      <c r="L198">
        <v>1367</v>
      </c>
      <c r="N198">
        <v>1011</v>
      </c>
      <c r="O198" t="s">
        <v>738</v>
      </c>
      <c r="P198" t="s">
        <v>738</v>
      </c>
      <c r="Q198">
        <v>1</v>
      </c>
      <c r="W198">
        <v>0</v>
      </c>
      <c r="X198">
        <v>1815391720</v>
      </c>
      <c r="Y198">
        <v>1</v>
      </c>
      <c r="AA198">
        <v>0</v>
      </c>
      <c r="AB198">
        <v>100.09</v>
      </c>
      <c r="AC198">
        <v>13.81</v>
      </c>
      <c r="AD198">
        <v>0</v>
      </c>
      <c r="AE198">
        <v>0</v>
      </c>
      <c r="AF198">
        <v>100.09</v>
      </c>
      <c r="AG198">
        <v>13.81</v>
      </c>
      <c r="AH198">
        <v>0</v>
      </c>
      <c r="AI198">
        <v>1</v>
      </c>
      <c r="AJ198">
        <v>1</v>
      </c>
      <c r="AK198">
        <v>1</v>
      </c>
      <c r="AL198">
        <v>1</v>
      </c>
      <c r="AN198">
        <v>0</v>
      </c>
      <c r="AO198">
        <v>1</v>
      </c>
      <c r="AP198">
        <v>0</v>
      </c>
      <c r="AQ198">
        <v>0</v>
      </c>
      <c r="AR198">
        <v>0</v>
      </c>
      <c r="AS198" t="s">
        <v>3</v>
      </c>
      <c r="AT198">
        <v>1</v>
      </c>
      <c r="AU198" t="s">
        <v>3</v>
      </c>
      <c r="AV198">
        <v>0</v>
      </c>
      <c r="AW198">
        <v>2</v>
      </c>
      <c r="AX198">
        <v>43136970</v>
      </c>
      <c r="AY198">
        <v>1</v>
      </c>
      <c r="AZ198">
        <v>0</v>
      </c>
      <c r="BA198">
        <v>193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CX198">
        <f>Y198*Source!I261</f>
        <v>24.9</v>
      </c>
      <c r="CY198">
        <f>AB198</f>
        <v>100.09</v>
      </c>
      <c r="CZ198">
        <f>AF198</f>
        <v>100.09</v>
      </c>
      <c r="DA198">
        <f>AJ198</f>
        <v>1</v>
      </c>
      <c r="DB198">
        <f t="shared" si="39"/>
        <v>100.09</v>
      </c>
      <c r="DC198">
        <f t="shared" si="40"/>
        <v>13.81</v>
      </c>
    </row>
    <row r="199" spans="1:107" x14ac:dyDescent="0.2">
      <c r="A199">
        <f>ROW(Source!A262)</f>
        <v>262</v>
      </c>
      <c r="B199">
        <v>42938047</v>
      </c>
      <c r="C199">
        <v>43136969</v>
      </c>
      <c r="D199">
        <v>35973762</v>
      </c>
      <c r="E199">
        <v>35973048</v>
      </c>
      <c r="F199">
        <v>1</v>
      </c>
      <c r="G199">
        <v>35973048</v>
      </c>
      <c r="H199">
        <v>2</v>
      </c>
      <c r="I199" t="s">
        <v>1243</v>
      </c>
      <c r="J199" t="s">
        <v>3</v>
      </c>
      <c r="K199" t="s">
        <v>1244</v>
      </c>
      <c r="L199">
        <v>1344</v>
      </c>
      <c r="N199">
        <v>1008</v>
      </c>
      <c r="O199" t="s">
        <v>1245</v>
      </c>
      <c r="P199" t="s">
        <v>1245</v>
      </c>
      <c r="Q199">
        <v>1</v>
      </c>
      <c r="W199">
        <v>0</v>
      </c>
      <c r="X199">
        <v>-1180195794</v>
      </c>
      <c r="Y199">
        <v>12.61</v>
      </c>
      <c r="AA199">
        <v>0</v>
      </c>
      <c r="AB199">
        <v>1</v>
      </c>
      <c r="AC199">
        <v>0</v>
      </c>
      <c r="AD199">
        <v>0</v>
      </c>
      <c r="AE199">
        <v>0</v>
      </c>
      <c r="AF199">
        <v>1</v>
      </c>
      <c r="AG199">
        <v>0</v>
      </c>
      <c r="AH199">
        <v>0</v>
      </c>
      <c r="AI199">
        <v>1</v>
      </c>
      <c r="AJ199">
        <v>1</v>
      </c>
      <c r="AK199">
        <v>1</v>
      </c>
      <c r="AL199">
        <v>1</v>
      </c>
      <c r="AN199">
        <v>0</v>
      </c>
      <c r="AO199">
        <v>1</v>
      </c>
      <c r="AP199">
        <v>0</v>
      </c>
      <c r="AQ199">
        <v>0</v>
      </c>
      <c r="AR199">
        <v>0</v>
      </c>
      <c r="AS199" t="s">
        <v>3</v>
      </c>
      <c r="AT199">
        <v>12.61</v>
      </c>
      <c r="AU199" t="s">
        <v>3</v>
      </c>
      <c r="AV199">
        <v>0</v>
      </c>
      <c r="AW199">
        <v>2</v>
      </c>
      <c r="AX199">
        <v>43136971</v>
      </c>
      <c r="AY199">
        <v>1</v>
      </c>
      <c r="AZ199">
        <v>0</v>
      </c>
      <c r="BA199">
        <v>194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CX199">
        <f>Y199*Source!I262</f>
        <v>313.98899999999998</v>
      </c>
      <c r="CY199">
        <f>AB199</f>
        <v>1</v>
      </c>
      <c r="CZ199">
        <f>AF199</f>
        <v>1</v>
      </c>
      <c r="DA199">
        <f>AJ199</f>
        <v>1</v>
      </c>
      <c r="DB199">
        <f t="shared" si="39"/>
        <v>12.61</v>
      </c>
      <c r="DC199">
        <f t="shared" si="40"/>
        <v>0</v>
      </c>
    </row>
    <row r="200" spans="1:107" x14ac:dyDescent="0.2">
      <c r="A200">
        <f>ROW(Source!A298)</f>
        <v>298</v>
      </c>
      <c r="B200">
        <v>42938047</v>
      </c>
      <c r="C200">
        <v>42939523</v>
      </c>
      <c r="D200">
        <v>35973053</v>
      </c>
      <c r="E200">
        <v>35973048</v>
      </c>
      <c r="F200">
        <v>1</v>
      </c>
      <c r="G200">
        <v>35973048</v>
      </c>
      <c r="H200">
        <v>1</v>
      </c>
      <c r="I200" t="s">
        <v>1228</v>
      </c>
      <c r="J200" t="s">
        <v>3</v>
      </c>
      <c r="K200" t="s">
        <v>1229</v>
      </c>
      <c r="L200">
        <v>1191</v>
      </c>
      <c r="N200">
        <v>1013</v>
      </c>
      <c r="O200" t="s">
        <v>1230</v>
      </c>
      <c r="P200" t="s">
        <v>1230</v>
      </c>
      <c r="Q200">
        <v>1</v>
      </c>
      <c r="W200">
        <v>0</v>
      </c>
      <c r="X200">
        <v>476480486</v>
      </c>
      <c r="Y200">
        <v>62.280900000000003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1</v>
      </c>
      <c r="AJ200">
        <v>1</v>
      </c>
      <c r="AK200">
        <v>1</v>
      </c>
      <c r="AL200">
        <v>25.44</v>
      </c>
      <c r="AN200">
        <v>0</v>
      </c>
      <c r="AO200">
        <v>1</v>
      </c>
      <c r="AP200">
        <v>1</v>
      </c>
      <c r="AQ200">
        <v>0</v>
      </c>
      <c r="AR200">
        <v>0</v>
      </c>
      <c r="AS200" t="s">
        <v>3</v>
      </c>
      <c r="AT200">
        <v>188.73</v>
      </c>
      <c r="AU200" t="s">
        <v>443</v>
      </c>
      <c r="AV200">
        <v>1</v>
      </c>
      <c r="AW200">
        <v>2</v>
      </c>
      <c r="AX200">
        <v>43137342</v>
      </c>
      <c r="AY200">
        <v>1</v>
      </c>
      <c r="AZ200">
        <v>0</v>
      </c>
      <c r="BA200">
        <v>195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CX200">
        <f>Y200*Source!I298</f>
        <v>747.37080000000003</v>
      </c>
      <c r="CY200">
        <f>AD200</f>
        <v>0</v>
      </c>
      <c r="CZ200">
        <f>AH200</f>
        <v>0</v>
      </c>
      <c r="DA200">
        <f>AL200</f>
        <v>25.44</v>
      </c>
      <c r="DB200">
        <f>ROUND((ROUND(AT200*CZ200,2)*0.33),6)</f>
        <v>0</v>
      </c>
      <c r="DC200">
        <f>ROUND((ROUND(AT200*AG200,2)*0.33),6)</f>
        <v>0</v>
      </c>
    </row>
    <row r="201" spans="1:107" x14ac:dyDescent="0.2">
      <c r="A201">
        <f>ROW(Source!A298)</f>
        <v>298</v>
      </c>
      <c r="B201">
        <v>42938047</v>
      </c>
      <c r="C201">
        <v>42939523</v>
      </c>
      <c r="D201">
        <v>36044926</v>
      </c>
      <c r="E201">
        <v>1</v>
      </c>
      <c r="F201">
        <v>1</v>
      </c>
      <c r="G201">
        <v>35973048</v>
      </c>
      <c r="H201">
        <v>2</v>
      </c>
      <c r="I201" t="s">
        <v>1352</v>
      </c>
      <c r="J201" t="s">
        <v>1353</v>
      </c>
      <c r="K201" t="s">
        <v>1354</v>
      </c>
      <c r="L201">
        <v>1367</v>
      </c>
      <c r="N201">
        <v>1011</v>
      </c>
      <c r="O201" t="s">
        <v>738</v>
      </c>
      <c r="P201" t="s">
        <v>738</v>
      </c>
      <c r="Q201">
        <v>1</v>
      </c>
      <c r="W201">
        <v>0</v>
      </c>
      <c r="X201">
        <v>-668768829</v>
      </c>
      <c r="Y201">
        <v>7.79</v>
      </c>
      <c r="AA201">
        <v>0</v>
      </c>
      <c r="AB201">
        <v>489.04</v>
      </c>
      <c r="AC201">
        <v>339.12</v>
      </c>
      <c r="AD201">
        <v>0</v>
      </c>
      <c r="AE201">
        <v>0</v>
      </c>
      <c r="AF201">
        <v>41.62</v>
      </c>
      <c r="AG201">
        <v>13.33</v>
      </c>
      <c r="AH201">
        <v>0</v>
      </c>
      <c r="AI201">
        <v>1</v>
      </c>
      <c r="AJ201">
        <v>11.75</v>
      </c>
      <c r="AK201">
        <v>25.44</v>
      </c>
      <c r="AL201">
        <v>1</v>
      </c>
      <c r="AN201">
        <v>0</v>
      </c>
      <c r="AO201">
        <v>1</v>
      </c>
      <c r="AP201">
        <v>0</v>
      </c>
      <c r="AQ201">
        <v>0</v>
      </c>
      <c r="AR201">
        <v>0</v>
      </c>
      <c r="AS201" t="s">
        <v>3</v>
      </c>
      <c r="AT201">
        <v>7.79</v>
      </c>
      <c r="AU201" t="s">
        <v>3</v>
      </c>
      <c r="AV201">
        <v>0</v>
      </c>
      <c r="AW201">
        <v>2</v>
      </c>
      <c r="AX201">
        <v>43137343</v>
      </c>
      <c r="AY201">
        <v>1</v>
      </c>
      <c r="AZ201">
        <v>0</v>
      </c>
      <c r="BA201">
        <v>196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CX201">
        <f>Y201*Source!I298</f>
        <v>93.48</v>
      </c>
      <c r="CY201">
        <f>AB201</f>
        <v>489.04</v>
      </c>
      <c r="CZ201">
        <f>AF201</f>
        <v>41.62</v>
      </c>
      <c r="DA201">
        <f>AJ201</f>
        <v>11.75</v>
      </c>
      <c r="DB201">
        <f t="shared" ref="DB201:DB212" si="41">ROUND(ROUND(AT201*CZ201,2),6)</f>
        <v>324.22000000000003</v>
      </c>
      <c r="DC201">
        <f t="shared" ref="DC201:DC212" si="42">ROUND(ROUND(AT201*AG201,2),6)</f>
        <v>103.84</v>
      </c>
    </row>
    <row r="202" spans="1:107" x14ac:dyDescent="0.2">
      <c r="A202">
        <f>ROW(Source!A298)</f>
        <v>298</v>
      </c>
      <c r="B202">
        <v>42938047</v>
      </c>
      <c r="C202">
        <v>42939523</v>
      </c>
      <c r="D202">
        <v>36045386</v>
      </c>
      <c r="E202">
        <v>1</v>
      </c>
      <c r="F202">
        <v>1</v>
      </c>
      <c r="G202">
        <v>35973048</v>
      </c>
      <c r="H202">
        <v>2</v>
      </c>
      <c r="I202" t="s">
        <v>1355</v>
      </c>
      <c r="J202" t="s">
        <v>1356</v>
      </c>
      <c r="K202" t="s">
        <v>1357</v>
      </c>
      <c r="L202">
        <v>1367</v>
      </c>
      <c r="N202">
        <v>1011</v>
      </c>
      <c r="O202" t="s">
        <v>738</v>
      </c>
      <c r="P202" t="s">
        <v>738</v>
      </c>
      <c r="Q202">
        <v>1</v>
      </c>
      <c r="W202">
        <v>0</v>
      </c>
      <c r="X202">
        <v>-48163219</v>
      </c>
      <c r="Y202">
        <v>7.79</v>
      </c>
      <c r="AA202">
        <v>0</v>
      </c>
      <c r="AB202">
        <v>6.26</v>
      </c>
      <c r="AC202">
        <v>1.02</v>
      </c>
      <c r="AD202">
        <v>0</v>
      </c>
      <c r="AE202">
        <v>0</v>
      </c>
      <c r="AF202">
        <v>3.16</v>
      </c>
      <c r="AG202">
        <v>0.04</v>
      </c>
      <c r="AH202">
        <v>0</v>
      </c>
      <c r="AI202">
        <v>1</v>
      </c>
      <c r="AJ202">
        <v>1.98</v>
      </c>
      <c r="AK202">
        <v>25.44</v>
      </c>
      <c r="AL202">
        <v>1</v>
      </c>
      <c r="AN202">
        <v>0</v>
      </c>
      <c r="AO202">
        <v>1</v>
      </c>
      <c r="AP202">
        <v>0</v>
      </c>
      <c r="AQ202">
        <v>0</v>
      </c>
      <c r="AR202">
        <v>0</v>
      </c>
      <c r="AS202" t="s">
        <v>3</v>
      </c>
      <c r="AT202">
        <v>7.79</v>
      </c>
      <c r="AU202" t="s">
        <v>3</v>
      </c>
      <c r="AV202">
        <v>0</v>
      </c>
      <c r="AW202">
        <v>2</v>
      </c>
      <c r="AX202">
        <v>43137344</v>
      </c>
      <c r="AY202">
        <v>1</v>
      </c>
      <c r="AZ202">
        <v>0</v>
      </c>
      <c r="BA202">
        <v>197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CX202">
        <f>Y202*Source!I298</f>
        <v>93.48</v>
      </c>
      <c r="CY202">
        <f>AB202</f>
        <v>6.26</v>
      </c>
      <c r="CZ202">
        <f>AF202</f>
        <v>3.16</v>
      </c>
      <c r="DA202">
        <f>AJ202</f>
        <v>1.98</v>
      </c>
      <c r="DB202">
        <f t="shared" si="41"/>
        <v>24.62</v>
      </c>
      <c r="DC202">
        <f t="shared" si="42"/>
        <v>0.31</v>
      </c>
    </row>
    <row r="203" spans="1:107" x14ac:dyDescent="0.2">
      <c r="A203">
        <f>ROW(Source!A298)</f>
        <v>298</v>
      </c>
      <c r="B203">
        <v>42938047</v>
      </c>
      <c r="C203">
        <v>42939523</v>
      </c>
      <c r="D203">
        <v>35973762</v>
      </c>
      <c r="E203">
        <v>35973048</v>
      </c>
      <c r="F203">
        <v>1</v>
      </c>
      <c r="G203">
        <v>35973048</v>
      </c>
      <c r="H203">
        <v>2</v>
      </c>
      <c r="I203" t="s">
        <v>1243</v>
      </c>
      <c r="J203" t="s">
        <v>3</v>
      </c>
      <c r="K203" t="s">
        <v>1244</v>
      </c>
      <c r="L203">
        <v>1344</v>
      </c>
      <c r="N203">
        <v>1008</v>
      </c>
      <c r="O203" t="s">
        <v>1245</v>
      </c>
      <c r="P203" t="s">
        <v>1245</v>
      </c>
      <c r="Q203">
        <v>1</v>
      </c>
      <c r="W203">
        <v>0</v>
      </c>
      <c r="X203">
        <v>-1180195794</v>
      </c>
      <c r="Y203">
        <v>162.80000000000001</v>
      </c>
      <c r="AA203">
        <v>0</v>
      </c>
      <c r="AB203">
        <v>11.5</v>
      </c>
      <c r="AC203">
        <v>0</v>
      </c>
      <c r="AD203">
        <v>0</v>
      </c>
      <c r="AE203">
        <v>0</v>
      </c>
      <c r="AF203">
        <v>1</v>
      </c>
      <c r="AG203">
        <v>0</v>
      </c>
      <c r="AH203">
        <v>0</v>
      </c>
      <c r="AI203">
        <v>1</v>
      </c>
      <c r="AJ203">
        <v>10.98</v>
      </c>
      <c r="AK203">
        <v>25.44</v>
      </c>
      <c r="AL203">
        <v>1</v>
      </c>
      <c r="AN203">
        <v>0</v>
      </c>
      <c r="AO203">
        <v>1</v>
      </c>
      <c r="AP203">
        <v>0</v>
      </c>
      <c r="AQ203">
        <v>0</v>
      </c>
      <c r="AR203">
        <v>0</v>
      </c>
      <c r="AS203" t="s">
        <v>3</v>
      </c>
      <c r="AT203">
        <v>162.80000000000001</v>
      </c>
      <c r="AU203" t="s">
        <v>3</v>
      </c>
      <c r="AV203">
        <v>0</v>
      </c>
      <c r="AW203">
        <v>2</v>
      </c>
      <c r="AX203">
        <v>43137345</v>
      </c>
      <c r="AY203">
        <v>1</v>
      </c>
      <c r="AZ203">
        <v>0</v>
      </c>
      <c r="BA203">
        <v>198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CX203">
        <f>Y203*Source!I298</f>
        <v>1953.6000000000001</v>
      </c>
      <c r="CY203">
        <f>AB203</f>
        <v>11.5</v>
      </c>
      <c r="CZ203">
        <f>AF203</f>
        <v>1</v>
      </c>
      <c r="DA203">
        <f>AJ203</f>
        <v>10.98</v>
      </c>
      <c r="DB203">
        <f t="shared" si="41"/>
        <v>162.80000000000001</v>
      </c>
      <c r="DC203">
        <f t="shared" si="42"/>
        <v>0</v>
      </c>
    </row>
    <row r="204" spans="1:107" x14ac:dyDescent="0.2">
      <c r="A204">
        <f>ROW(Source!A298)</f>
        <v>298</v>
      </c>
      <c r="B204">
        <v>42938047</v>
      </c>
      <c r="C204">
        <v>42939523</v>
      </c>
      <c r="D204">
        <v>35994352</v>
      </c>
      <c r="E204">
        <v>35973048</v>
      </c>
      <c r="F204">
        <v>1</v>
      </c>
      <c r="G204">
        <v>35973048</v>
      </c>
      <c r="H204">
        <v>3</v>
      </c>
      <c r="I204" t="s">
        <v>1350</v>
      </c>
      <c r="J204" t="s">
        <v>3</v>
      </c>
      <c r="K204" t="s">
        <v>1351</v>
      </c>
      <c r="L204">
        <v>1348</v>
      </c>
      <c r="N204">
        <v>1009</v>
      </c>
      <c r="O204" t="s">
        <v>104</v>
      </c>
      <c r="P204" t="s">
        <v>104</v>
      </c>
      <c r="Q204">
        <v>1000</v>
      </c>
      <c r="W204">
        <v>0</v>
      </c>
      <c r="X204">
        <v>1489638031</v>
      </c>
      <c r="Y204">
        <v>22.64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1</v>
      </c>
      <c r="AJ204">
        <v>1</v>
      </c>
      <c r="AK204">
        <v>1</v>
      </c>
      <c r="AL204">
        <v>1</v>
      </c>
      <c r="AN204">
        <v>0</v>
      </c>
      <c r="AO204">
        <v>1</v>
      </c>
      <c r="AP204">
        <v>0</v>
      </c>
      <c r="AQ204">
        <v>0</v>
      </c>
      <c r="AR204">
        <v>0</v>
      </c>
      <c r="AS204" t="s">
        <v>3</v>
      </c>
      <c r="AT204">
        <v>22.64</v>
      </c>
      <c r="AU204" t="s">
        <v>3</v>
      </c>
      <c r="AV204">
        <v>0</v>
      </c>
      <c r="AW204">
        <v>2</v>
      </c>
      <c r="AX204">
        <v>43137346</v>
      </c>
      <c r="AY204">
        <v>1</v>
      </c>
      <c r="AZ204">
        <v>0</v>
      </c>
      <c r="BA204">
        <v>199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CX204">
        <f>Y204*Source!I298</f>
        <v>271.68</v>
      </c>
      <c r="CY204">
        <f>AA204</f>
        <v>0</v>
      </c>
      <c r="CZ204">
        <f>AE204</f>
        <v>0</v>
      </c>
      <c r="DA204">
        <f>AI204</f>
        <v>1</v>
      </c>
      <c r="DB204">
        <f t="shared" si="41"/>
        <v>0</v>
      </c>
      <c r="DC204">
        <f t="shared" si="42"/>
        <v>0</v>
      </c>
    </row>
    <row r="205" spans="1:107" x14ac:dyDescent="0.2">
      <c r="A205">
        <f>ROW(Source!A299)</f>
        <v>299</v>
      </c>
      <c r="B205">
        <v>42938047</v>
      </c>
      <c r="C205">
        <v>43137380</v>
      </c>
      <c r="D205">
        <v>35973053</v>
      </c>
      <c r="E205">
        <v>35973048</v>
      </c>
      <c r="F205">
        <v>1</v>
      </c>
      <c r="G205">
        <v>35973048</v>
      </c>
      <c r="H205">
        <v>1</v>
      </c>
      <c r="I205" t="s">
        <v>1228</v>
      </c>
      <c r="J205" t="s">
        <v>3</v>
      </c>
      <c r="K205" t="s">
        <v>1229</v>
      </c>
      <c r="L205">
        <v>1191</v>
      </c>
      <c r="N205">
        <v>1013</v>
      </c>
      <c r="O205" t="s">
        <v>1230</v>
      </c>
      <c r="P205" t="s">
        <v>1230</v>
      </c>
      <c r="Q205">
        <v>1</v>
      </c>
      <c r="W205">
        <v>0</v>
      </c>
      <c r="X205">
        <v>476480486</v>
      </c>
      <c r="Y205">
        <v>49.5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1</v>
      </c>
      <c r="AJ205">
        <v>1</v>
      </c>
      <c r="AK205">
        <v>1</v>
      </c>
      <c r="AL205">
        <v>25.44</v>
      </c>
      <c r="AN205">
        <v>0</v>
      </c>
      <c r="AO205">
        <v>1</v>
      </c>
      <c r="AP205">
        <v>0</v>
      </c>
      <c r="AQ205">
        <v>0</v>
      </c>
      <c r="AR205">
        <v>0</v>
      </c>
      <c r="AS205" t="s">
        <v>3</v>
      </c>
      <c r="AT205">
        <v>49.5</v>
      </c>
      <c r="AU205" t="s">
        <v>3</v>
      </c>
      <c r="AV205">
        <v>1</v>
      </c>
      <c r="AW205">
        <v>2</v>
      </c>
      <c r="AX205">
        <v>43137381</v>
      </c>
      <c r="AY205">
        <v>1</v>
      </c>
      <c r="AZ205">
        <v>0</v>
      </c>
      <c r="BA205">
        <v>200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CX205">
        <f>Y205*Source!I299</f>
        <v>5.9399999999999995</v>
      </c>
      <c r="CY205">
        <f>AD205</f>
        <v>0</v>
      </c>
      <c r="CZ205">
        <f>AH205</f>
        <v>0</v>
      </c>
      <c r="DA205">
        <f>AL205</f>
        <v>25.44</v>
      </c>
      <c r="DB205">
        <f t="shared" si="41"/>
        <v>0</v>
      </c>
      <c r="DC205">
        <f t="shared" si="42"/>
        <v>0</v>
      </c>
    </row>
    <row r="206" spans="1:107" x14ac:dyDescent="0.2">
      <c r="A206">
        <f>ROW(Source!A299)</f>
        <v>299</v>
      </c>
      <c r="B206">
        <v>42938047</v>
      </c>
      <c r="C206">
        <v>43137380</v>
      </c>
      <c r="D206">
        <v>36044487</v>
      </c>
      <c r="E206">
        <v>1</v>
      </c>
      <c r="F206">
        <v>1</v>
      </c>
      <c r="G206">
        <v>35973048</v>
      </c>
      <c r="H206">
        <v>2</v>
      </c>
      <c r="I206" t="s">
        <v>769</v>
      </c>
      <c r="J206" t="s">
        <v>771</v>
      </c>
      <c r="K206" t="s">
        <v>770</v>
      </c>
      <c r="L206">
        <v>1367</v>
      </c>
      <c r="N206">
        <v>1011</v>
      </c>
      <c r="O206" t="s">
        <v>738</v>
      </c>
      <c r="P206" t="s">
        <v>738</v>
      </c>
      <c r="Q206">
        <v>1</v>
      </c>
      <c r="W206">
        <v>0</v>
      </c>
      <c r="X206">
        <v>-1500897512</v>
      </c>
      <c r="Y206">
        <v>2.87</v>
      </c>
      <c r="AA206">
        <v>0</v>
      </c>
      <c r="AB206">
        <v>1397.75</v>
      </c>
      <c r="AC206">
        <v>393.56</v>
      </c>
      <c r="AD206">
        <v>0</v>
      </c>
      <c r="AE206">
        <v>0</v>
      </c>
      <c r="AF206">
        <v>163.47999999999999</v>
      </c>
      <c r="AG206">
        <v>15.47</v>
      </c>
      <c r="AH206">
        <v>0</v>
      </c>
      <c r="AI206">
        <v>1</v>
      </c>
      <c r="AJ206">
        <v>8.5500000000000007</v>
      </c>
      <c r="AK206">
        <v>25.44</v>
      </c>
      <c r="AL206">
        <v>1</v>
      </c>
      <c r="AN206">
        <v>0</v>
      </c>
      <c r="AO206">
        <v>1</v>
      </c>
      <c r="AP206">
        <v>0</v>
      </c>
      <c r="AQ206">
        <v>0</v>
      </c>
      <c r="AR206">
        <v>0</v>
      </c>
      <c r="AS206" t="s">
        <v>3</v>
      </c>
      <c r="AT206">
        <v>2.87</v>
      </c>
      <c r="AU206" t="s">
        <v>3</v>
      </c>
      <c r="AV206">
        <v>0</v>
      </c>
      <c r="AW206">
        <v>2</v>
      </c>
      <c r="AX206">
        <v>43137382</v>
      </c>
      <c r="AY206">
        <v>1</v>
      </c>
      <c r="AZ206">
        <v>0</v>
      </c>
      <c r="BA206">
        <v>201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CX206">
        <f>Y206*Source!I299</f>
        <v>0.34439999999999998</v>
      </c>
      <c r="CY206">
        <f t="shared" ref="CY206:CY212" si="43">AB206</f>
        <v>1397.75</v>
      </c>
      <c r="CZ206">
        <f t="shared" ref="CZ206:CZ212" si="44">AF206</f>
        <v>163.47999999999999</v>
      </c>
      <c r="DA206">
        <f t="shared" ref="DA206:DA212" si="45">AJ206</f>
        <v>8.5500000000000007</v>
      </c>
      <c r="DB206">
        <f t="shared" si="41"/>
        <v>469.19</v>
      </c>
      <c r="DC206">
        <f t="shared" si="42"/>
        <v>44.4</v>
      </c>
    </row>
    <row r="207" spans="1:107" x14ac:dyDescent="0.2">
      <c r="A207">
        <f>ROW(Source!A299)</f>
        <v>299</v>
      </c>
      <c r="B207">
        <v>42938047</v>
      </c>
      <c r="C207">
        <v>43137380</v>
      </c>
      <c r="D207">
        <v>36044464</v>
      </c>
      <c r="E207">
        <v>1</v>
      </c>
      <c r="F207">
        <v>1</v>
      </c>
      <c r="G207">
        <v>35973048</v>
      </c>
      <c r="H207">
        <v>2</v>
      </c>
      <c r="I207" t="s">
        <v>1240</v>
      </c>
      <c r="J207" t="s">
        <v>1241</v>
      </c>
      <c r="K207" t="s">
        <v>1242</v>
      </c>
      <c r="L207">
        <v>1367</v>
      </c>
      <c r="N207">
        <v>1011</v>
      </c>
      <c r="O207" t="s">
        <v>738</v>
      </c>
      <c r="P207" t="s">
        <v>738</v>
      </c>
      <c r="Q207">
        <v>1</v>
      </c>
      <c r="W207">
        <v>0</v>
      </c>
      <c r="X207">
        <v>268767630</v>
      </c>
      <c r="Y207">
        <v>7.86</v>
      </c>
      <c r="AA207">
        <v>0</v>
      </c>
      <c r="AB207">
        <v>1784.19</v>
      </c>
      <c r="AC207">
        <v>465.55</v>
      </c>
      <c r="AD207">
        <v>0</v>
      </c>
      <c r="AE207">
        <v>0</v>
      </c>
      <c r="AF207">
        <v>220.27</v>
      </c>
      <c r="AG207">
        <v>18.3</v>
      </c>
      <c r="AH207">
        <v>0</v>
      </c>
      <c r="AI207">
        <v>1</v>
      </c>
      <c r="AJ207">
        <v>8.1</v>
      </c>
      <c r="AK207">
        <v>25.44</v>
      </c>
      <c r="AL207">
        <v>1</v>
      </c>
      <c r="AN207">
        <v>0</v>
      </c>
      <c r="AO207">
        <v>1</v>
      </c>
      <c r="AP207">
        <v>0</v>
      </c>
      <c r="AQ207">
        <v>0</v>
      </c>
      <c r="AR207">
        <v>0</v>
      </c>
      <c r="AS207" t="s">
        <v>3</v>
      </c>
      <c r="AT207">
        <v>7.86</v>
      </c>
      <c r="AU207" t="s">
        <v>3</v>
      </c>
      <c r="AV207">
        <v>0</v>
      </c>
      <c r="AW207">
        <v>2</v>
      </c>
      <c r="AX207">
        <v>43137383</v>
      </c>
      <c r="AY207">
        <v>1</v>
      </c>
      <c r="AZ207">
        <v>0</v>
      </c>
      <c r="BA207">
        <v>202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CX207">
        <f>Y207*Source!I299</f>
        <v>0.94320000000000004</v>
      </c>
      <c r="CY207">
        <f t="shared" si="43"/>
        <v>1784.19</v>
      </c>
      <c r="CZ207">
        <f t="shared" si="44"/>
        <v>220.27</v>
      </c>
      <c r="DA207">
        <f t="shared" si="45"/>
        <v>8.1</v>
      </c>
      <c r="DB207">
        <f t="shared" si="41"/>
        <v>1731.32</v>
      </c>
      <c r="DC207">
        <f t="shared" si="42"/>
        <v>143.84</v>
      </c>
    </row>
    <row r="208" spans="1:107" x14ac:dyDescent="0.2">
      <c r="A208">
        <f>ROW(Source!A299)</f>
        <v>299</v>
      </c>
      <c r="B208">
        <v>42938047</v>
      </c>
      <c r="C208">
        <v>43137380</v>
      </c>
      <c r="D208">
        <v>35973762</v>
      </c>
      <c r="E208">
        <v>35973048</v>
      </c>
      <c r="F208">
        <v>1</v>
      </c>
      <c r="G208">
        <v>35973048</v>
      </c>
      <c r="H208">
        <v>2</v>
      </c>
      <c r="I208" t="s">
        <v>1243</v>
      </c>
      <c r="J208" t="s">
        <v>3</v>
      </c>
      <c r="K208" t="s">
        <v>1244</v>
      </c>
      <c r="L208">
        <v>1344</v>
      </c>
      <c r="N208">
        <v>1008</v>
      </c>
      <c r="O208" t="s">
        <v>1245</v>
      </c>
      <c r="P208" t="s">
        <v>1245</v>
      </c>
      <c r="Q208">
        <v>1</v>
      </c>
      <c r="W208">
        <v>0</v>
      </c>
      <c r="X208">
        <v>-1180195794</v>
      </c>
      <c r="Y208">
        <v>5.21</v>
      </c>
      <c r="AA208">
        <v>0</v>
      </c>
      <c r="AB208">
        <v>8.59</v>
      </c>
      <c r="AC208">
        <v>0</v>
      </c>
      <c r="AD208">
        <v>0</v>
      </c>
      <c r="AE208">
        <v>0</v>
      </c>
      <c r="AF208">
        <v>1</v>
      </c>
      <c r="AG208">
        <v>0</v>
      </c>
      <c r="AH208">
        <v>0</v>
      </c>
      <c r="AI208">
        <v>1</v>
      </c>
      <c r="AJ208">
        <v>8.1999999999999993</v>
      </c>
      <c r="AK208">
        <v>25.44</v>
      </c>
      <c r="AL208">
        <v>1</v>
      </c>
      <c r="AN208">
        <v>0</v>
      </c>
      <c r="AO208">
        <v>1</v>
      </c>
      <c r="AP208">
        <v>0</v>
      </c>
      <c r="AQ208">
        <v>0</v>
      </c>
      <c r="AR208">
        <v>0</v>
      </c>
      <c r="AS208" t="s">
        <v>3</v>
      </c>
      <c r="AT208">
        <v>5.21</v>
      </c>
      <c r="AU208" t="s">
        <v>3</v>
      </c>
      <c r="AV208">
        <v>0</v>
      </c>
      <c r="AW208">
        <v>2</v>
      </c>
      <c r="AX208">
        <v>43137384</v>
      </c>
      <c r="AY208">
        <v>1</v>
      </c>
      <c r="AZ208">
        <v>0</v>
      </c>
      <c r="BA208">
        <v>203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CX208">
        <f>Y208*Source!I299</f>
        <v>0.62519999999999998</v>
      </c>
      <c r="CY208">
        <f t="shared" si="43"/>
        <v>8.59</v>
      </c>
      <c r="CZ208">
        <f t="shared" si="44"/>
        <v>1</v>
      </c>
      <c r="DA208">
        <f t="shared" si="45"/>
        <v>8.1999999999999993</v>
      </c>
      <c r="DB208">
        <f t="shared" si="41"/>
        <v>5.21</v>
      </c>
      <c r="DC208">
        <f t="shared" si="42"/>
        <v>0</v>
      </c>
    </row>
    <row r="209" spans="1:107" x14ac:dyDescent="0.2">
      <c r="A209">
        <f>ROW(Source!A300)</f>
        <v>300</v>
      </c>
      <c r="B209">
        <v>42938047</v>
      </c>
      <c r="C209">
        <v>42939555</v>
      </c>
      <c r="D209">
        <v>36044716</v>
      </c>
      <c r="E209">
        <v>1</v>
      </c>
      <c r="F209">
        <v>1</v>
      </c>
      <c r="G209">
        <v>35973048</v>
      </c>
      <c r="H209">
        <v>2</v>
      </c>
      <c r="I209" t="s">
        <v>1246</v>
      </c>
      <c r="J209" t="s">
        <v>1247</v>
      </c>
      <c r="K209" t="s">
        <v>1248</v>
      </c>
      <c r="L209">
        <v>1367</v>
      </c>
      <c r="N209">
        <v>1011</v>
      </c>
      <c r="O209" t="s">
        <v>738</v>
      </c>
      <c r="P209" t="s">
        <v>738</v>
      </c>
      <c r="Q209">
        <v>1</v>
      </c>
      <c r="W209">
        <v>0</v>
      </c>
      <c r="X209">
        <v>1732017783</v>
      </c>
      <c r="Y209">
        <v>0.65</v>
      </c>
      <c r="AA209">
        <v>0</v>
      </c>
      <c r="AB209">
        <v>865.96</v>
      </c>
      <c r="AC209">
        <v>457.92</v>
      </c>
      <c r="AD209">
        <v>0</v>
      </c>
      <c r="AE209">
        <v>0</v>
      </c>
      <c r="AF209">
        <v>92.32</v>
      </c>
      <c r="AG209">
        <v>18</v>
      </c>
      <c r="AH209">
        <v>0</v>
      </c>
      <c r="AI209">
        <v>1</v>
      </c>
      <c r="AJ209">
        <v>9.3800000000000008</v>
      </c>
      <c r="AK209">
        <v>25.44</v>
      </c>
      <c r="AL209">
        <v>1</v>
      </c>
      <c r="AN209">
        <v>0</v>
      </c>
      <c r="AO209">
        <v>1</v>
      </c>
      <c r="AP209">
        <v>0</v>
      </c>
      <c r="AQ209">
        <v>0</v>
      </c>
      <c r="AR209">
        <v>0</v>
      </c>
      <c r="AS209" t="s">
        <v>3</v>
      </c>
      <c r="AT209">
        <v>0.65</v>
      </c>
      <c r="AU209" t="s">
        <v>3</v>
      </c>
      <c r="AV209">
        <v>0</v>
      </c>
      <c r="AW209">
        <v>2</v>
      </c>
      <c r="AX209">
        <v>42939642</v>
      </c>
      <c r="AY209">
        <v>1</v>
      </c>
      <c r="AZ209">
        <v>0</v>
      </c>
      <c r="BA209">
        <v>204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CX209">
        <f>Y209*Source!I300</f>
        <v>0.17550000000000002</v>
      </c>
      <c r="CY209">
        <f t="shared" si="43"/>
        <v>865.96</v>
      </c>
      <c r="CZ209">
        <f t="shared" si="44"/>
        <v>92.32</v>
      </c>
      <c r="DA209">
        <f t="shared" si="45"/>
        <v>9.3800000000000008</v>
      </c>
      <c r="DB209">
        <f t="shared" si="41"/>
        <v>60.01</v>
      </c>
      <c r="DC209">
        <f t="shared" si="42"/>
        <v>11.7</v>
      </c>
    </row>
    <row r="210" spans="1:107" x14ac:dyDescent="0.2">
      <c r="A210">
        <f>ROW(Source!A301)</f>
        <v>301</v>
      </c>
      <c r="B210">
        <v>42938047</v>
      </c>
      <c r="C210">
        <v>42939534</v>
      </c>
      <c r="D210">
        <v>35973762</v>
      </c>
      <c r="E210">
        <v>35973048</v>
      </c>
      <c r="F210">
        <v>1</v>
      </c>
      <c r="G210">
        <v>35973048</v>
      </c>
      <c r="H210">
        <v>2</v>
      </c>
      <c r="I210" t="s">
        <v>1243</v>
      </c>
      <c r="J210" t="s">
        <v>3</v>
      </c>
      <c r="K210" t="s">
        <v>1244</v>
      </c>
      <c r="L210">
        <v>1344</v>
      </c>
      <c r="N210">
        <v>1008</v>
      </c>
      <c r="O210" t="s">
        <v>1245</v>
      </c>
      <c r="P210" t="s">
        <v>1245</v>
      </c>
      <c r="Q210">
        <v>1</v>
      </c>
      <c r="W210">
        <v>0</v>
      </c>
      <c r="X210">
        <v>-1180195794</v>
      </c>
      <c r="Y210">
        <v>8.86</v>
      </c>
      <c r="AA210">
        <v>0</v>
      </c>
      <c r="AB210">
        <v>9.5500000000000007</v>
      </c>
      <c r="AC210">
        <v>0</v>
      </c>
      <c r="AD210">
        <v>0</v>
      </c>
      <c r="AE210">
        <v>0</v>
      </c>
      <c r="AF210">
        <v>1</v>
      </c>
      <c r="AG210">
        <v>0</v>
      </c>
      <c r="AH210">
        <v>0</v>
      </c>
      <c r="AI210">
        <v>1</v>
      </c>
      <c r="AJ210">
        <v>9.1199999999999992</v>
      </c>
      <c r="AK210">
        <v>25.44</v>
      </c>
      <c r="AL210">
        <v>1</v>
      </c>
      <c r="AN210">
        <v>0</v>
      </c>
      <c r="AO210">
        <v>1</v>
      </c>
      <c r="AP210">
        <v>0</v>
      </c>
      <c r="AQ210">
        <v>0</v>
      </c>
      <c r="AR210">
        <v>0</v>
      </c>
      <c r="AS210" t="s">
        <v>3</v>
      </c>
      <c r="AT210">
        <v>8.86</v>
      </c>
      <c r="AU210" t="s">
        <v>3</v>
      </c>
      <c r="AV210">
        <v>0</v>
      </c>
      <c r="AW210">
        <v>2</v>
      </c>
      <c r="AX210">
        <v>42939536</v>
      </c>
      <c r="AY210">
        <v>1</v>
      </c>
      <c r="AZ210">
        <v>0</v>
      </c>
      <c r="BA210">
        <v>205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CX210">
        <f>Y210*Source!I301</f>
        <v>2647.7932799999999</v>
      </c>
      <c r="CY210">
        <f t="shared" si="43"/>
        <v>9.5500000000000007</v>
      </c>
      <c r="CZ210">
        <f t="shared" si="44"/>
        <v>1</v>
      </c>
      <c r="DA210">
        <f t="shared" si="45"/>
        <v>9.1199999999999992</v>
      </c>
      <c r="DB210">
        <f t="shared" si="41"/>
        <v>8.86</v>
      </c>
      <c r="DC210">
        <f t="shared" si="42"/>
        <v>0</v>
      </c>
    </row>
    <row r="211" spans="1:107" x14ac:dyDescent="0.2">
      <c r="A211">
        <f>ROW(Source!A302)</f>
        <v>302</v>
      </c>
      <c r="B211">
        <v>42938047</v>
      </c>
      <c r="C211">
        <v>42939537</v>
      </c>
      <c r="D211">
        <v>36759507</v>
      </c>
      <c r="E211">
        <v>1</v>
      </c>
      <c r="F211">
        <v>1</v>
      </c>
      <c r="G211">
        <v>35973048</v>
      </c>
      <c r="H211">
        <v>2</v>
      </c>
      <c r="I211" t="s">
        <v>1329</v>
      </c>
      <c r="J211" t="s">
        <v>1330</v>
      </c>
      <c r="K211" t="s">
        <v>1331</v>
      </c>
      <c r="L211">
        <v>1367</v>
      </c>
      <c r="N211">
        <v>1011</v>
      </c>
      <c r="O211" t="s">
        <v>738</v>
      </c>
      <c r="P211" t="s">
        <v>738</v>
      </c>
      <c r="Q211">
        <v>1</v>
      </c>
      <c r="W211">
        <v>0</v>
      </c>
      <c r="X211">
        <v>-1132105959</v>
      </c>
      <c r="Y211">
        <v>1</v>
      </c>
      <c r="AA211">
        <v>0</v>
      </c>
      <c r="AB211">
        <v>115.66</v>
      </c>
      <c r="AC211">
        <v>14.4</v>
      </c>
      <c r="AD211">
        <v>0</v>
      </c>
      <c r="AE211">
        <v>0</v>
      </c>
      <c r="AF211">
        <v>115.66</v>
      </c>
      <c r="AG211">
        <v>14.4</v>
      </c>
      <c r="AH211">
        <v>0</v>
      </c>
      <c r="AI211">
        <v>1</v>
      </c>
      <c r="AJ211">
        <v>1</v>
      </c>
      <c r="AK211">
        <v>1</v>
      </c>
      <c r="AL211">
        <v>1</v>
      </c>
      <c r="AN211">
        <v>0</v>
      </c>
      <c r="AO211">
        <v>1</v>
      </c>
      <c r="AP211">
        <v>0</v>
      </c>
      <c r="AQ211">
        <v>0</v>
      </c>
      <c r="AR211">
        <v>0</v>
      </c>
      <c r="AS211" t="s">
        <v>3</v>
      </c>
      <c r="AT211">
        <v>1</v>
      </c>
      <c r="AU211" t="s">
        <v>3</v>
      </c>
      <c r="AV211">
        <v>0</v>
      </c>
      <c r="AW211">
        <v>2</v>
      </c>
      <c r="AX211">
        <v>42939539</v>
      </c>
      <c r="AY211">
        <v>1</v>
      </c>
      <c r="AZ211">
        <v>0</v>
      </c>
      <c r="BA211">
        <v>206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CX211">
        <f>Y211*Source!I302</f>
        <v>298.84800000000001</v>
      </c>
      <c r="CY211">
        <f t="shared" si="43"/>
        <v>115.66</v>
      </c>
      <c r="CZ211">
        <f t="shared" si="44"/>
        <v>115.66</v>
      </c>
      <c r="DA211">
        <f t="shared" si="45"/>
        <v>1</v>
      </c>
      <c r="DB211">
        <f t="shared" si="41"/>
        <v>115.66</v>
      </c>
      <c r="DC211">
        <f t="shared" si="42"/>
        <v>14.4</v>
      </c>
    </row>
    <row r="212" spans="1:107" x14ac:dyDescent="0.2">
      <c r="A212">
        <f>ROW(Source!A303)</f>
        <v>303</v>
      </c>
      <c r="B212">
        <v>42938047</v>
      </c>
      <c r="C212">
        <v>43137347</v>
      </c>
      <c r="D212">
        <v>35973762</v>
      </c>
      <c r="E212">
        <v>35973048</v>
      </c>
      <c r="F212">
        <v>1</v>
      </c>
      <c r="G212">
        <v>35973048</v>
      </c>
      <c r="H212">
        <v>2</v>
      </c>
      <c r="I212" t="s">
        <v>1243</v>
      </c>
      <c r="J212" t="s">
        <v>3</v>
      </c>
      <c r="K212" t="s">
        <v>1244</v>
      </c>
      <c r="L212">
        <v>1344</v>
      </c>
      <c r="N212">
        <v>1008</v>
      </c>
      <c r="O212" t="s">
        <v>1245</v>
      </c>
      <c r="P212" t="s">
        <v>1245</v>
      </c>
      <c r="Q212">
        <v>1</v>
      </c>
      <c r="W212">
        <v>0</v>
      </c>
      <c r="X212">
        <v>-1180195794</v>
      </c>
      <c r="Y212">
        <v>21.71</v>
      </c>
      <c r="AA212">
        <v>0</v>
      </c>
      <c r="AB212">
        <v>1</v>
      </c>
      <c r="AC212">
        <v>0</v>
      </c>
      <c r="AD212">
        <v>0</v>
      </c>
      <c r="AE212">
        <v>0</v>
      </c>
      <c r="AF212">
        <v>1</v>
      </c>
      <c r="AG212">
        <v>0</v>
      </c>
      <c r="AH212">
        <v>0</v>
      </c>
      <c r="AI212">
        <v>1</v>
      </c>
      <c r="AJ212">
        <v>1</v>
      </c>
      <c r="AK212">
        <v>1</v>
      </c>
      <c r="AL212">
        <v>1</v>
      </c>
      <c r="AN212">
        <v>0</v>
      </c>
      <c r="AO212">
        <v>1</v>
      </c>
      <c r="AP212">
        <v>0</v>
      </c>
      <c r="AQ212">
        <v>0</v>
      </c>
      <c r="AR212">
        <v>0</v>
      </c>
      <c r="AS212" t="s">
        <v>3</v>
      </c>
      <c r="AT212">
        <v>21.71</v>
      </c>
      <c r="AU212" t="s">
        <v>3</v>
      </c>
      <c r="AV212">
        <v>0</v>
      </c>
      <c r="AW212">
        <v>2</v>
      </c>
      <c r="AX212">
        <v>43137350</v>
      </c>
      <c r="AY212">
        <v>1</v>
      </c>
      <c r="AZ212">
        <v>0</v>
      </c>
      <c r="BA212">
        <v>207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CX212">
        <f>Y212*Source!I303</f>
        <v>6487.9900800000005</v>
      </c>
      <c r="CY212">
        <f t="shared" si="43"/>
        <v>1</v>
      </c>
      <c r="CZ212">
        <f t="shared" si="44"/>
        <v>1</v>
      </c>
      <c r="DA212">
        <f t="shared" si="45"/>
        <v>1</v>
      </c>
      <c r="DB212">
        <f t="shared" si="41"/>
        <v>21.71</v>
      </c>
      <c r="DC212">
        <f t="shared" si="42"/>
        <v>0</v>
      </c>
    </row>
    <row r="213" spans="1:107" x14ac:dyDescent="0.2">
      <c r="A213">
        <f>ROW(Source!A340)</f>
        <v>340</v>
      </c>
      <c r="B213">
        <v>42938047</v>
      </c>
      <c r="C213">
        <v>42939707</v>
      </c>
      <c r="D213">
        <v>35973053</v>
      </c>
      <c r="E213">
        <v>35973048</v>
      </c>
      <c r="F213">
        <v>1</v>
      </c>
      <c r="G213">
        <v>35973048</v>
      </c>
      <c r="H213">
        <v>1</v>
      </c>
      <c r="I213" t="s">
        <v>1228</v>
      </c>
      <c r="J213" t="s">
        <v>3</v>
      </c>
      <c r="K213" t="s">
        <v>1229</v>
      </c>
      <c r="L213">
        <v>1191</v>
      </c>
      <c r="N213">
        <v>1013</v>
      </c>
      <c r="O213" t="s">
        <v>1230</v>
      </c>
      <c r="P213" t="s">
        <v>1230</v>
      </c>
      <c r="Q213">
        <v>1</v>
      </c>
      <c r="W213">
        <v>0</v>
      </c>
      <c r="X213">
        <v>476480486</v>
      </c>
      <c r="Y213">
        <v>152.94999999999999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1</v>
      </c>
      <c r="AJ213">
        <v>1</v>
      </c>
      <c r="AK213">
        <v>1</v>
      </c>
      <c r="AL213">
        <v>25.44</v>
      </c>
      <c r="AN213">
        <v>0</v>
      </c>
      <c r="AO213">
        <v>1</v>
      </c>
      <c r="AP213">
        <v>1</v>
      </c>
      <c r="AQ213">
        <v>0</v>
      </c>
      <c r="AR213">
        <v>0</v>
      </c>
      <c r="AS213" t="s">
        <v>3</v>
      </c>
      <c r="AT213">
        <v>133</v>
      </c>
      <c r="AU213" t="s">
        <v>21</v>
      </c>
      <c r="AV213">
        <v>1</v>
      </c>
      <c r="AW213">
        <v>2</v>
      </c>
      <c r="AX213">
        <v>42939852</v>
      </c>
      <c r="AY213">
        <v>1</v>
      </c>
      <c r="AZ213">
        <v>0</v>
      </c>
      <c r="BA213">
        <v>208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CX213">
        <f>Y213*Source!I340</f>
        <v>41.296500000000002</v>
      </c>
      <c r="CY213">
        <f>AD213</f>
        <v>0</v>
      </c>
      <c r="CZ213">
        <f>AH213</f>
        <v>0</v>
      </c>
      <c r="DA213">
        <f>AL213</f>
        <v>25.44</v>
      </c>
      <c r="DB213">
        <f>ROUND((ROUND(AT213*CZ213,2)*1.15),6)</f>
        <v>0</v>
      </c>
      <c r="DC213">
        <f>ROUND((ROUND(AT213*AG213,2)*1.15),6)</f>
        <v>0</v>
      </c>
    </row>
    <row r="214" spans="1:107" x14ac:dyDescent="0.2">
      <c r="A214">
        <f>ROW(Source!A340)</f>
        <v>340</v>
      </c>
      <c r="B214">
        <v>42938047</v>
      </c>
      <c r="C214">
        <v>42939707</v>
      </c>
      <c r="D214">
        <v>35973762</v>
      </c>
      <c r="E214">
        <v>35973048</v>
      </c>
      <c r="F214">
        <v>1</v>
      </c>
      <c r="G214">
        <v>35973048</v>
      </c>
      <c r="H214">
        <v>2</v>
      </c>
      <c r="I214" t="s">
        <v>1243</v>
      </c>
      <c r="J214" t="s">
        <v>3</v>
      </c>
      <c r="K214" t="s">
        <v>1244</v>
      </c>
      <c r="L214">
        <v>1344</v>
      </c>
      <c r="N214">
        <v>1008</v>
      </c>
      <c r="O214" t="s">
        <v>1245</v>
      </c>
      <c r="P214" t="s">
        <v>1245</v>
      </c>
      <c r="Q214">
        <v>1</v>
      </c>
      <c r="W214">
        <v>0</v>
      </c>
      <c r="X214">
        <v>-1180195794</v>
      </c>
      <c r="Y214">
        <v>333.8125</v>
      </c>
      <c r="AA214">
        <v>0</v>
      </c>
      <c r="AB214">
        <v>10.54</v>
      </c>
      <c r="AC214">
        <v>0</v>
      </c>
      <c r="AD214">
        <v>0</v>
      </c>
      <c r="AE214">
        <v>0</v>
      </c>
      <c r="AF214">
        <v>1</v>
      </c>
      <c r="AG214">
        <v>0</v>
      </c>
      <c r="AH214">
        <v>0</v>
      </c>
      <c r="AI214">
        <v>1</v>
      </c>
      <c r="AJ214">
        <v>10.28</v>
      </c>
      <c r="AK214">
        <v>25.44</v>
      </c>
      <c r="AL214">
        <v>1</v>
      </c>
      <c r="AN214">
        <v>0</v>
      </c>
      <c r="AO214">
        <v>1</v>
      </c>
      <c r="AP214">
        <v>1</v>
      </c>
      <c r="AQ214">
        <v>0</v>
      </c>
      <c r="AR214">
        <v>0</v>
      </c>
      <c r="AS214" t="s">
        <v>3</v>
      </c>
      <c r="AT214">
        <v>267.05</v>
      </c>
      <c r="AU214" t="s">
        <v>20</v>
      </c>
      <c r="AV214">
        <v>0</v>
      </c>
      <c r="AW214">
        <v>2</v>
      </c>
      <c r="AX214">
        <v>42939853</v>
      </c>
      <c r="AY214">
        <v>1</v>
      </c>
      <c r="AZ214">
        <v>0</v>
      </c>
      <c r="BA214">
        <v>209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CX214">
        <f>Y214*Source!I340</f>
        <v>90.12937500000001</v>
      </c>
      <c r="CY214">
        <f>AB214</f>
        <v>10.54</v>
      </c>
      <c r="CZ214">
        <f>AF214</f>
        <v>1</v>
      </c>
      <c r="DA214">
        <f>AJ214</f>
        <v>10.28</v>
      </c>
      <c r="DB214">
        <f>ROUND((ROUND(AT214*CZ214,2)*1.25),6)</f>
        <v>333.8125</v>
      </c>
      <c r="DC214">
        <f>ROUND((ROUND(AT214*AG214,2)*1.25),6)</f>
        <v>0</v>
      </c>
    </row>
    <row r="215" spans="1:107" x14ac:dyDescent="0.2">
      <c r="A215">
        <f>ROW(Source!A340)</f>
        <v>340</v>
      </c>
      <c r="B215">
        <v>42938047</v>
      </c>
      <c r="C215">
        <v>42939707</v>
      </c>
      <c r="D215">
        <v>36021213</v>
      </c>
      <c r="E215">
        <v>1</v>
      </c>
      <c r="F215">
        <v>1</v>
      </c>
      <c r="G215">
        <v>35973048</v>
      </c>
      <c r="H215">
        <v>3</v>
      </c>
      <c r="I215" t="s">
        <v>1358</v>
      </c>
      <c r="J215" t="s">
        <v>1359</v>
      </c>
      <c r="K215" t="s">
        <v>1360</v>
      </c>
      <c r="L215">
        <v>1327</v>
      </c>
      <c r="N215">
        <v>1005</v>
      </c>
      <c r="O215" t="s">
        <v>120</v>
      </c>
      <c r="P215" t="s">
        <v>120</v>
      </c>
      <c r="Q215">
        <v>1</v>
      </c>
      <c r="W215">
        <v>0</v>
      </c>
      <c r="X215">
        <v>1732130389</v>
      </c>
      <c r="Y215">
        <v>108</v>
      </c>
      <c r="AA215">
        <v>693.01</v>
      </c>
      <c r="AB215">
        <v>0</v>
      </c>
      <c r="AC215">
        <v>0</v>
      </c>
      <c r="AD215">
        <v>0</v>
      </c>
      <c r="AE215">
        <v>33.56</v>
      </c>
      <c r="AF215">
        <v>0</v>
      </c>
      <c r="AG215">
        <v>0</v>
      </c>
      <c r="AH215">
        <v>0</v>
      </c>
      <c r="AI215">
        <v>20.65</v>
      </c>
      <c r="AJ215">
        <v>1</v>
      </c>
      <c r="AK215">
        <v>1</v>
      </c>
      <c r="AL215">
        <v>1</v>
      </c>
      <c r="AN215">
        <v>0</v>
      </c>
      <c r="AO215">
        <v>1</v>
      </c>
      <c r="AP215">
        <v>0</v>
      </c>
      <c r="AQ215">
        <v>0</v>
      </c>
      <c r="AR215">
        <v>0</v>
      </c>
      <c r="AS215" t="s">
        <v>3</v>
      </c>
      <c r="AT215">
        <v>108</v>
      </c>
      <c r="AU215" t="s">
        <v>3</v>
      </c>
      <c r="AV215">
        <v>0</v>
      </c>
      <c r="AW215">
        <v>2</v>
      </c>
      <c r="AX215">
        <v>42939855</v>
      </c>
      <c r="AY215">
        <v>1</v>
      </c>
      <c r="AZ215">
        <v>0</v>
      </c>
      <c r="BA215">
        <v>211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CX215">
        <f>Y215*Source!I340</f>
        <v>29.160000000000004</v>
      </c>
      <c r="CY215">
        <f t="shared" ref="CY215:CY220" si="46">AA215</f>
        <v>693.01</v>
      </c>
      <c r="CZ215">
        <f t="shared" ref="CZ215:CZ220" si="47">AE215</f>
        <v>33.56</v>
      </c>
      <c r="DA215">
        <f t="shared" ref="DA215:DA220" si="48">AI215</f>
        <v>20.65</v>
      </c>
      <c r="DB215">
        <f t="shared" ref="DB215:DB220" si="49">ROUND(ROUND(AT215*CZ215,2),6)</f>
        <v>3624.48</v>
      </c>
      <c r="DC215">
        <f t="shared" ref="DC215:DC220" si="50">ROUND(ROUND(AT215*AG215,2),6)</f>
        <v>0</v>
      </c>
    </row>
    <row r="216" spans="1:107" x14ac:dyDescent="0.2">
      <c r="A216">
        <f>ROW(Source!A340)</f>
        <v>340</v>
      </c>
      <c r="B216">
        <v>42938047</v>
      </c>
      <c r="C216">
        <v>42939707</v>
      </c>
      <c r="D216">
        <v>36020415</v>
      </c>
      <c r="E216">
        <v>1</v>
      </c>
      <c r="F216">
        <v>1</v>
      </c>
      <c r="G216">
        <v>35973048</v>
      </c>
      <c r="H216">
        <v>3</v>
      </c>
      <c r="I216" t="s">
        <v>469</v>
      </c>
      <c r="J216" t="s">
        <v>471</v>
      </c>
      <c r="K216" t="s">
        <v>470</v>
      </c>
      <c r="L216">
        <v>1339</v>
      </c>
      <c r="N216">
        <v>1007</v>
      </c>
      <c r="O216" t="s">
        <v>84</v>
      </c>
      <c r="P216" t="s">
        <v>84</v>
      </c>
      <c r="Q216">
        <v>1</v>
      </c>
      <c r="W216">
        <v>0</v>
      </c>
      <c r="X216">
        <v>-862991314</v>
      </c>
      <c r="Y216">
        <v>0.182281</v>
      </c>
      <c r="AA216">
        <v>36.340000000000003</v>
      </c>
      <c r="AB216">
        <v>0</v>
      </c>
      <c r="AC216">
        <v>0</v>
      </c>
      <c r="AD216">
        <v>0</v>
      </c>
      <c r="AE216">
        <v>7.07</v>
      </c>
      <c r="AF216">
        <v>0</v>
      </c>
      <c r="AG216">
        <v>0</v>
      </c>
      <c r="AH216">
        <v>0</v>
      </c>
      <c r="AI216">
        <v>5.14</v>
      </c>
      <c r="AJ216">
        <v>1</v>
      </c>
      <c r="AK216">
        <v>1</v>
      </c>
      <c r="AL216">
        <v>1</v>
      </c>
      <c r="AN216">
        <v>0</v>
      </c>
      <c r="AO216">
        <v>0</v>
      </c>
      <c r="AP216">
        <v>0</v>
      </c>
      <c r="AQ216">
        <v>0</v>
      </c>
      <c r="AR216">
        <v>0</v>
      </c>
      <c r="AS216" t="s">
        <v>3</v>
      </c>
      <c r="AT216">
        <v>0.182281</v>
      </c>
      <c r="AU216" t="s">
        <v>3</v>
      </c>
      <c r="AV216">
        <v>0</v>
      </c>
      <c r="AW216">
        <v>1</v>
      </c>
      <c r="AX216">
        <v>-1</v>
      </c>
      <c r="AY216">
        <v>0</v>
      </c>
      <c r="AZ216">
        <v>0</v>
      </c>
      <c r="BA216" t="s">
        <v>3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CX216">
        <f>Y216*Source!I340</f>
        <v>4.9215870000000002E-2</v>
      </c>
      <c r="CY216">
        <f t="shared" si="46"/>
        <v>36.340000000000003</v>
      </c>
      <c r="CZ216">
        <f t="shared" si="47"/>
        <v>7.07</v>
      </c>
      <c r="DA216">
        <f t="shared" si="48"/>
        <v>5.14</v>
      </c>
      <c r="DB216">
        <f t="shared" si="49"/>
        <v>1.29</v>
      </c>
      <c r="DC216">
        <f t="shared" si="50"/>
        <v>0</v>
      </c>
    </row>
    <row r="217" spans="1:107" x14ac:dyDescent="0.2">
      <c r="A217">
        <f>ROW(Source!A340)</f>
        <v>340</v>
      </c>
      <c r="B217">
        <v>42938047</v>
      </c>
      <c r="C217">
        <v>42939707</v>
      </c>
      <c r="D217">
        <v>36020528</v>
      </c>
      <c r="E217">
        <v>1</v>
      </c>
      <c r="F217">
        <v>1</v>
      </c>
      <c r="G217">
        <v>35973048</v>
      </c>
      <c r="H217">
        <v>3</v>
      </c>
      <c r="I217" t="s">
        <v>1361</v>
      </c>
      <c r="J217" t="s">
        <v>1362</v>
      </c>
      <c r="K217" t="s">
        <v>1363</v>
      </c>
      <c r="L217">
        <v>1348</v>
      </c>
      <c r="N217">
        <v>1009</v>
      </c>
      <c r="O217" t="s">
        <v>104</v>
      </c>
      <c r="P217" t="s">
        <v>104</v>
      </c>
      <c r="Q217">
        <v>1000</v>
      </c>
      <c r="W217">
        <v>0</v>
      </c>
      <c r="X217">
        <v>1693650758</v>
      </c>
      <c r="Y217">
        <v>2.5000000000000001E-3</v>
      </c>
      <c r="AA217">
        <v>177666.34</v>
      </c>
      <c r="AB217">
        <v>0</v>
      </c>
      <c r="AC217">
        <v>0</v>
      </c>
      <c r="AD217">
        <v>0</v>
      </c>
      <c r="AE217">
        <v>20166.439999999999</v>
      </c>
      <c r="AF217">
        <v>0</v>
      </c>
      <c r="AG217">
        <v>0</v>
      </c>
      <c r="AH217">
        <v>0</v>
      </c>
      <c r="AI217">
        <v>8.81</v>
      </c>
      <c r="AJ217">
        <v>1</v>
      </c>
      <c r="AK217">
        <v>1</v>
      </c>
      <c r="AL217">
        <v>1</v>
      </c>
      <c r="AN217">
        <v>0</v>
      </c>
      <c r="AO217">
        <v>1</v>
      </c>
      <c r="AP217">
        <v>0</v>
      </c>
      <c r="AQ217">
        <v>0</v>
      </c>
      <c r="AR217">
        <v>0</v>
      </c>
      <c r="AS217" t="s">
        <v>3</v>
      </c>
      <c r="AT217">
        <v>2.5000000000000001E-3</v>
      </c>
      <c r="AU217" t="s">
        <v>3</v>
      </c>
      <c r="AV217">
        <v>0</v>
      </c>
      <c r="AW217">
        <v>2</v>
      </c>
      <c r="AX217">
        <v>42939856</v>
      </c>
      <c r="AY217">
        <v>1</v>
      </c>
      <c r="AZ217">
        <v>0</v>
      </c>
      <c r="BA217">
        <v>212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CX217">
        <f>Y217*Source!I340</f>
        <v>6.7500000000000004E-4</v>
      </c>
      <c r="CY217">
        <f t="shared" si="46"/>
        <v>177666.34</v>
      </c>
      <c r="CZ217">
        <f t="shared" si="47"/>
        <v>20166.439999999999</v>
      </c>
      <c r="DA217">
        <f t="shared" si="48"/>
        <v>8.81</v>
      </c>
      <c r="DB217">
        <f t="shared" si="49"/>
        <v>50.42</v>
      </c>
      <c r="DC217">
        <f t="shared" si="50"/>
        <v>0</v>
      </c>
    </row>
    <row r="218" spans="1:107" x14ac:dyDescent="0.2">
      <c r="A218">
        <f>ROW(Source!A340)</f>
        <v>340</v>
      </c>
      <c r="B218">
        <v>42938047</v>
      </c>
      <c r="C218">
        <v>42939707</v>
      </c>
      <c r="D218">
        <v>36020955</v>
      </c>
      <c r="E218">
        <v>1</v>
      </c>
      <c r="F218">
        <v>1</v>
      </c>
      <c r="G218">
        <v>35973048</v>
      </c>
      <c r="H218">
        <v>3</v>
      </c>
      <c r="I218" t="s">
        <v>1364</v>
      </c>
      <c r="J218" t="s">
        <v>1365</v>
      </c>
      <c r="K218" t="s">
        <v>1366</v>
      </c>
      <c r="L218">
        <v>1346</v>
      </c>
      <c r="N218">
        <v>1009</v>
      </c>
      <c r="O218" t="s">
        <v>131</v>
      </c>
      <c r="P218" t="s">
        <v>131</v>
      </c>
      <c r="Q218">
        <v>1</v>
      </c>
      <c r="W218">
        <v>0</v>
      </c>
      <c r="X218">
        <v>1241994263</v>
      </c>
      <c r="Y218">
        <v>12</v>
      </c>
      <c r="AA218">
        <v>72.77</v>
      </c>
      <c r="AB218">
        <v>0</v>
      </c>
      <c r="AC218">
        <v>0</v>
      </c>
      <c r="AD218">
        <v>0</v>
      </c>
      <c r="AE218">
        <v>9.86</v>
      </c>
      <c r="AF218">
        <v>0</v>
      </c>
      <c r="AG218">
        <v>0</v>
      </c>
      <c r="AH218">
        <v>0</v>
      </c>
      <c r="AI218">
        <v>7.38</v>
      </c>
      <c r="AJ218">
        <v>1</v>
      </c>
      <c r="AK218">
        <v>1</v>
      </c>
      <c r="AL218">
        <v>1</v>
      </c>
      <c r="AN218">
        <v>0</v>
      </c>
      <c r="AO218">
        <v>1</v>
      </c>
      <c r="AP218">
        <v>0</v>
      </c>
      <c r="AQ218">
        <v>0</v>
      </c>
      <c r="AR218">
        <v>0</v>
      </c>
      <c r="AS218" t="s">
        <v>3</v>
      </c>
      <c r="AT218">
        <v>12</v>
      </c>
      <c r="AU218" t="s">
        <v>3</v>
      </c>
      <c r="AV218">
        <v>0</v>
      </c>
      <c r="AW218">
        <v>2</v>
      </c>
      <c r="AX218">
        <v>42939857</v>
      </c>
      <c r="AY218">
        <v>1</v>
      </c>
      <c r="AZ218">
        <v>0</v>
      </c>
      <c r="BA218">
        <v>213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CX218">
        <f>Y218*Source!I340</f>
        <v>3.24</v>
      </c>
      <c r="CY218">
        <f t="shared" si="46"/>
        <v>72.77</v>
      </c>
      <c r="CZ218">
        <f t="shared" si="47"/>
        <v>9.86</v>
      </c>
      <c r="DA218">
        <f t="shared" si="48"/>
        <v>7.38</v>
      </c>
      <c r="DB218">
        <f t="shared" si="49"/>
        <v>118.32</v>
      </c>
      <c r="DC218">
        <f t="shared" si="50"/>
        <v>0</v>
      </c>
    </row>
    <row r="219" spans="1:107" x14ac:dyDescent="0.2">
      <c r="A219">
        <f>ROW(Source!A340)</f>
        <v>340</v>
      </c>
      <c r="B219">
        <v>42938047</v>
      </c>
      <c r="C219">
        <v>42939707</v>
      </c>
      <c r="D219">
        <v>36039003</v>
      </c>
      <c r="E219">
        <v>1</v>
      </c>
      <c r="F219">
        <v>1</v>
      </c>
      <c r="G219">
        <v>35973048</v>
      </c>
      <c r="H219">
        <v>3</v>
      </c>
      <c r="I219" t="s">
        <v>473</v>
      </c>
      <c r="J219" t="s">
        <v>474</v>
      </c>
      <c r="K219" t="s">
        <v>1587</v>
      </c>
      <c r="L219">
        <v>1348</v>
      </c>
      <c r="N219">
        <v>1009</v>
      </c>
      <c r="O219" t="s">
        <v>104</v>
      </c>
      <c r="P219" t="s">
        <v>104</v>
      </c>
      <c r="Q219">
        <v>1000</v>
      </c>
      <c r="W219">
        <v>0</v>
      </c>
      <c r="X219">
        <v>591180676</v>
      </c>
      <c r="Y219">
        <v>5.4444439999999998</v>
      </c>
      <c r="AA219">
        <v>33185.33</v>
      </c>
      <c r="AB219">
        <v>0</v>
      </c>
      <c r="AC219">
        <v>0</v>
      </c>
      <c r="AD219">
        <v>0</v>
      </c>
      <c r="AE219">
        <v>18855.3</v>
      </c>
      <c r="AF219">
        <v>0</v>
      </c>
      <c r="AG219">
        <v>0</v>
      </c>
      <c r="AH219">
        <v>0</v>
      </c>
      <c r="AI219">
        <v>1.76</v>
      </c>
      <c r="AJ219">
        <v>1</v>
      </c>
      <c r="AK219">
        <v>1</v>
      </c>
      <c r="AL219">
        <v>1</v>
      </c>
      <c r="AN219">
        <v>0</v>
      </c>
      <c r="AO219">
        <v>0</v>
      </c>
      <c r="AP219">
        <v>0</v>
      </c>
      <c r="AQ219">
        <v>0</v>
      </c>
      <c r="AR219">
        <v>0</v>
      </c>
      <c r="AS219" t="s">
        <v>3</v>
      </c>
      <c r="AT219">
        <v>5.4444439999999998</v>
      </c>
      <c r="AU219" t="s">
        <v>3</v>
      </c>
      <c r="AV219">
        <v>0</v>
      </c>
      <c r="AW219">
        <v>1</v>
      </c>
      <c r="AX219">
        <v>-1</v>
      </c>
      <c r="AY219">
        <v>0</v>
      </c>
      <c r="AZ219">
        <v>0</v>
      </c>
      <c r="BA219" t="s">
        <v>3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CX219">
        <f>Y219*Source!I340</f>
        <v>1.46999988</v>
      </c>
      <c r="CY219">
        <f t="shared" si="46"/>
        <v>33185.33</v>
      </c>
      <c r="CZ219">
        <f t="shared" si="47"/>
        <v>18855.3</v>
      </c>
      <c r="DA219">
        <f t="shared" si="48"/>
        <v>1.76</v>
      </c>
      <c r="DB219">
        <f t="shared" si="49"/>
        <v>102656.62</v>
      </c>
      <c r="DC219">
        <f t="shared" si="50"/>
        <v>0</v>
      </c>
    </row>
    <row r="220" spans="1:107" x14ac:dyDescent="0.2">
      <c r="A220">
        <f>ROW(Source!A340)</f>
        <v>340</v>
      </c>
      <c r="B220">
        <v>42938047</v>
      </c>
      <c r="C220">
        <v>42939707</v>
      </c>
      <c r="D220">
        <v>35994366</v>
      </c>
      <c r="E220">
        <v>35973048</v>
      </c>
      <c r="F220">
        <v>1</v>
      </c>
      <c r="G220">
        <v>35973048</v>
      </c>
      <c r="H220">
        <v>3</v>
      </c>
      <c r="I220" t="s">
        <v>1294</v>
      </c>
      <c r="J220" t="s">
        <v>3</v>
      </c>
      <c r="K220" t="s">
        <v>1295</v>
      </c>
      <c r="L220">
        <v>1344</v>
      </c>
      <c r="N220">
        <v>1008</v>
      </c>
      <c r="O220" t="s">
        <v>1245</v>
      </c>
      <c r="P220" t="s">
        <v>1245</v>
      </c>
      <c r="Q220">
        <v>1</v>
      </c>
      <c r="W220">
        <v>0</v>
      </c>
      <c r="X220">
        <v>-94250534</v>
      </c>
      <c r="Y220">
        <v>3</v>
      </c>
      <c r="AA220">
        <v>20.07</v>
      </c>
      <c r="AB220">
        <v>0</v>
      </c>
      <c r="AC220">
        <v>0</v>
      </c>
      <c r="AD220">
        <v>0</v>
      </c>
      <c r="AE220">
        <v>1</v>
      </c>
      <c r="AF220">
        <v>0</v>
      </c>
      <c r="AG220">
        <v>0</v>
      </c>
      <c r="AH220">
        <v>0</v>
      </c>
      <c r="AI220">
        <v>20.07</v>
      </c>
      <c r="AJ220">
        <v>1</v>
      </c>
      <c r="AK220">
        <v>1</v>
      </c>
      <c r="AL220">
        <v>1</v>
      </c>
      <c r="AN220">
        <v>0</v>
      </c>
      <c r="AO220">
        <v>1</v>
      </c>
      <c r="AP220">
        <v>0</v>
      </c>
      <c r="AQ220">
        <v>0</v>
      </c>
      <c r="AR220">
        <v>0</v>
      </c>
      <c r="AS220" t="s">
        <v>3</v>
      </c>
      <c r="AT220">
        <v>3</v>
      </c>
      <c r="AU220" t="s">
        <v>3</v>
      </c>
      <c r="AV220">
        <v>0</v>
      </c>
      <c r="AW220">
        <v>2</v>
      </c>
      <c r="AX220">
        <v>42939860</v>
      </c>
      <c r="AY220">
        <v>1</v>
      </c>
      <c r="AZ220">
        <v>0</v>
      </c>
      <c r="BA220">
        <v>216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CX220">
        <f>Y220*Source!I340</f>
        <v>0.81</v>
      </c>
      <c r="CY220">
        <f t="shared" si="46"/>
        <v>20.07</v>
      </c>
      <c r="CZ220">
        <f t="shared" si="47"/>
        <v>1</v>
      </c>
      <c r="DA220">
        <f t="shared" si="48"/>
        <v>20.07</v>
      </c>
      <c r="DB220">
        <f t="shared" si="49"/>
        <v>3</v>
      </c>
      <c r="DC220">
        <f t="shared" si="50"/>
        <v>0</v>
      </c>
    </row>
    <row r="221" spans="1:107" x14ac:dyDescent="0.2">
      <c r="A221">
        <f>ROW(Source!A343)</f>
        <v>343</v>
      </c>
      <c r="B221">
        <v>42938047</v>
      </c>
      <c r="C221">
        <v>42939646</v>
      </c>
      <c r="D221">
        <v>35973053</v>
      </c>
      <c r="E221">
        <v>35973048</v>
      </c>
      <c r="F221">
        <v>1</v>
      </c>
      <c r="G221">
        <v>35973048</v>
      </c>
      <c r="H221">
        <v>1</v>
      </c>
      <c r="I221" t="s">
        <v>1228</v>
      </c>
      <c r="J221" t="s">
        <v>3</v>
      </c>
      <c r="K221" t="s">
        <v>1229</v>
      </c>
      <c r="L221">
        <v>1191</v>
      </c>
      <c r="N221">
        <v>1013</v>
      </c>
      <c r="O221" t="s">
        <v>1230</v>
      </c>
      <c r="P221" t="s">
        <v>1230</v>
      </c>
      <c r="Q221">
        <v>1</v>
      </c>
      <c r="W221">
        <v>0</v>
      </c>
      <c r="X221">
        <v>476480486</v>
      </c>
      <c r="Y221">
        <v>107.64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1</v>
      </c>
      <c r="AJ221">
        <v>1</v>
      </c>
      <c r="AK221">
        <v>1</v>
      </c>
      <c r="AL221">
        <v>25.44</v>
      </c>
      <c r="AN221">
        <v>0</v>
      </c>
      <c r="AO221">
        <v>1</v>
      </c>
      <c r="AP221">
        <v>1</v>
      </c>
      <c r="AQ221">
        <v>0</v>
      </c>
      <c r="AR221">
        <v>0</v>
      </c>
      <c r="AS221" t="s">
        <v>3</v>
      </c>
      <c r="AT221">
        <v>46.8</v>
      </c>
      <c r="AU221" t="s">
        <v>482</v>
      </c>
      <c r="AV221">
        <v>1</v>
      </c>
      <c r="AW221">
        <v>2</v>
      </c>
      <c r="AX221">
        <v>42939988</v>
      </c>
      <c r="AY221">
        <v>1</v>
      </c>
      <c r="AZ221">
        <v>2048</v>
      </c>
      <c r="BA221">
        <v>217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CX221">
        <f>Y221*Source!I343</f>
        <v>29.062800000000003</v>
      </c>
      <c r="CY221">
        <f>AD221</f>
        <v>0</v>
      </c>
      <c r="CZ221">
        <f>AH221</f>
        <v>0</v>
      </c>
      <c r="DA221">
        <f>AL221</f>
        <v>25.44</v>
      </c>
      <c r="DB221">
        <f>ROUND(((ROUND(AT221*CZ221,2)*2)*1.15),6)</f>
        <v>0</v>
      </c>
      <c r="DC221">
        <f>ROUND(((ROUND(AT221*AG221,2)*2)*1.15),6)</f>
        <v>0</v>
      </c>
    </row>
    <row r="222" spans="1:107" x14ac:dyDescent="0.2">
      <c r="A222">
        <f>ROW(Source!A343)</f>
        <v>343</v>
      </c>
      <c r="B222">
        <v>42938047</v>
      </c>
      <c r="C222">
        <v>42939646</v>
      </c>
      <c r="D222">
        <v>35973762</v>
      </c>
      <c r="E222">
        <v>35973048</v>
      </c>
      <c r="F222">
        <v>1</v>
      </c>
      <c r="G222">
        <v>35973048</v>
      </c>
      <c r="H222">
        <v>2</v>
      </c>
      <c r="I222" t="s">
        <v>1243</v>
      </c>
      <c r="J222" t="s">
        <v>3</v>
      </c>
      <c r="K222" t="s">
        <v>1244</v>
      </c>
      <c r="L222">
        <v>1344</v>
      </c>
      <c r="N222">
        <v>1008</v>
      </c>
      <c r="O222" t="s">
        <v>1245</v>
      </c>
      <c r="P222" t="s">
        <v>1245</v>
      </c>
      <c r="Q222">
        <v>1</v>
      </c>
      <c r="W222">
        <v>0</v>
      </c>
      <c r="X222">
        <v>-1180195794</v>
      </c>
      <c r="Y222">
        <v>65.125</v>
      </c>
      <c r="AA222">
        <v>0</v>
      </c>
      <c r="AB222">
        <v>10.74</v>
      </c>
      <c r="AC222">
        <v>0</v>
      </c>
      <c r="AD222">
        <v>0</v>
      </c>
      <c r="AE222">
        <v>0</v>
      </c>
      <c r="AF222">
        <v>1</v>
      </c>
      <c r="AG222">
        <v>0</v>
      </c>
      <c r="AH222">
        <v>0</v>
      </c>
      <c r="AI222">
        <v>1</v>
      </c>
      <c r="AJ222">
        <v>10.48</v>
      </c>
      <c r="AK222">
        <v>25.44</v>
      </c>
      <c r="AL222">
        <v>1</v>
      </c>
      <c r="AN222">
        <v>0</v>
      </c>
      <c r="AO222">
        <v>1</v>
      </c>
      <c r="AP222">
        <v>1</v>
      </c>
      <c r="AQ222">
        <v>0</v>
      </c>
      <c r="AR222">
        <v>0</v>
      </c>
      <c r="AS222" t="s">
        <v>3</v>
      </c>
      <c r="AT222">
        <v>26.05</v>
      </c>
      <c r="AU222" t="s">
        <v>481</v>
      </c>
      <c r="AV222">
        <v>0</v>
      </c>
      <c r="AW222">
        <v>2</v>
      </c>
      <c r="AX222">
        <v>42939989</v>
      </c>
      <c r="AY222">
        <v>1</v>
      </c>
      <c r="AZ222">
        <v>0</v>
      </c>
      <c r="BA222">
        <v>218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CX222">
        <f>Y222*Source!I343</f>
        <v>17.583750000000002</v>
      </c>
      <c r="CY222">
        <f>AB222</f>
        <v>10.74</v>
      </c>
      <c r="CZ222">
        <f>AF222</f>
        <v>1</v>
      </c>
      <c r="DA222">
        <f>AJ222</f>
        <v>10.48</v>
      </c>
      <c r="DB222">
        <f>ROUND(((ROUND(AT222*CZ222,2)*2)*1.25),6)</f>
        <v>65.125</v>
      </c>
      <c r="DC222">
        <f>ROUND(((ROUND(AT222*AG222,2)*2)*1.25),6)</f>
        <v>0</v>
      </c>
    </row>
    <row r="223" spans="1:107" x14ac:dyDescent="0.2">
      <c r="A223">
        <f>ROW(Source!A343)</f>
        <v>343</v>
      </c>
      <c r="B223">
        <v>42938047</v>
      </c>
      <c r="C223">
        <v>42939646</v>
      </c>
      <c r="D223">
        <v>36021648</v>
      </c>
      <c r="E223">
        <v>1</v>
      </c>
      <c r="F223">
        <v>1</v>
      </c>
      <c r="G223">
        <v>35973048</v>
      </c>
      <c r="H223">
        <v>3</v>
      </c>
      <c r="I223" t="s">
        <v>486</v>
      </c>
      <c r="J223" t="s">
        <v>488</v>
      </c>
      <c r="K223" t="s">
        <v>487</v>
      </c>
      <c r="L223">
        <v>1348</v>
      </c>
      <c r="N223">
        <v>1009</v>
      </c>
      <c r="O223" t="s">
        <v>104</v>
      </c>
      <c r="P223" t="s">
        <v>104</v>
      </c>
      <c r="Q223">
        <v>1000</v>
      </c>
      <c r="W223">
        <v>0</v>
      </c>
      <c r="X223">
        <v>1793685401</v>
      </c>
      <c r="Y223">
        <v>0.1014</v>
      </c>
      <c r="AA223">
        <v>13331.21</v>
      </c>
      <c r="AB223">
        <v>0</v>
      </c>
      <c r="AC223">
        <v>0</v>
      </c>
      <c r="AD223">
        <v>0</v>
      </c>
      <c r="AE223">
        <v>2278.84</v>
      </c>
      <c r="AF223">
        <v>0</v>
      </c>
      <c r="AG223">
        <v>0</v>
      </c>
      <c r="AH223">
        <v>0</v>
      </c>
      <c r="AI223">
        <v>5.85</v>
      </c>
      <c r="AJ223">
        <v>1</v>
      </c>
      <c r="AK223">
        <v>1</v>
      </c>
      <c r="AL223">
        <v>1</v>
      </c>
      <c r="AN223">
        <v>0</v>
      </c>
      <c r="AO223">
        <v>0</v>
      </c>
      <c r="AP223">
        <v>1</v>
      </c>
      <c r="AQ223">
        <v>0</v>
      </c>
      <c r="AR223">
        <v>0</v>
      </c>
      <c r="AS223" t="s">
        <v>3</v>
      </c>
      <c r="AT223">
        <v>5.0700000000000002E-2</v>
      </c>
      <c r="AU223" t="s">
        <v>480</v>
      </c>
      <c r="AV223">
        <v>0</v>
      </c>
      <c r="AW223">
        <v>1</v>
      </c>
      <c r="AX223">
        <v>-1</v>
      </c>
      <c r="AY223">
        <v>0</v>
      </c>
      <c r="AZ223">
        <v>0</v>
      </c>
      <c r="BA223" t="s">
        <v>3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CX223">
        <f>Y223*Source!I343</f>
        <v>2.7378000000000003E-2</v>
      </c>
      <c r="CY223">
        <f>AA223</f>
        <v>13331.21</v>
      </c>
      <c r="CZ223">
        <f>AE223</f>
        <v>2278.84</v>
      </c>
      <c r="DA223">
        <f>AI223</f>
        <v>5.85</v>
      </c>
      <c r="DB223">
        <f>ROUND((ROUND(AT223*CZ223,2)*2),6)</f>
        <v>231.08</v>
      </c>
      <c r="DC223">
        <f>ROUND((ROUND(AT223*AG223,2)*2),6)</f>
        <v>0</v>
      </c>
    </row>
    <row r="224" spans="1:107" x14ac:dyDescent="0.2">
      <c r="A224">
        <f>ROW(Source!A343)</f>
        <v>343</v>
      </c>
      <c r="B224">
        <v>42938047</v>
      </c>
      <c r="C224">
        <v>42939646</v>
      </c>
      <c r="D224">
        <v>36020948</v>
      </c>
      <c r="E224">
        <v>1</v>
      </c>
      <c r="F224">
        <v>1</v>
      </c>
      <c r="G224">
        <v>35973048</v>
      </c>
      <c r="H224">
        <v>3</v>
      </c>
      <c r="I224" t="s">
        <v>490</v>
      </c>
      <c r="J224" t="s">
        <v>492</v>
      </c>
      <c r="K224" t="s">
        <v>491</v>
      </c>
      <c r="L224">
        <v>1346</v>
      </c>
      <c r="N224">
        <v>1009</v>
      </c>
      <c r="O224" t="s">
        <v>131</v>
      </c>
      <c r="P224" t="s">
        <v>131</v>
      </c>
      <c r="Q224">
        <v>1</v>
      </c>
      <c r="W224">
        <v>0</v>
      </c>
      <c r="X224">
        <v>-1082935818</v>
      </c>
      <c r="Y224">
        <v>25.6</v>
      </c>
      <c r="AA224">
        <v>58.15</v>
      </c>
      <c r="AB224">
        <v>0</v>
      </c>
      <c r="AC224">
        <v>0</v>
      </c>
      <c r="AD224">
        <v>0</v>
      </c>
      <c r="AE224">
        <v>20.190000000000001</v>
      </c>
      <c r="AF224">
        <v>0</v>
      </c>
      <c r="AG224">
        <v>0</v>
      </c>
      <c r="AH224">
        <v>0</v>
      </c>
      <c r="AI224">
        <v>2.88</v>
      </c>
      <c r="AJ224">
        <v>1</v>
      </c>
      <c r="AK224">
        <v>1</v>
      </c>
      <c r="AL224">
        <v>1</v>
      </c>
      <c r="AN224">
        <v>0</v>
      </c>
      <c r="AO224">
        <v>0</v>
      </c>
      <c r="AP224">
        <v>1</v>
      </c>
      <c r="AQ224">
        <v>0</v>
      </c>
      <c r="AR224">
        <v>0</v>
      </c>
      <c r="AS224" t="s">
        <v>3</v>
      </c>
      <c r="AT224">
        <v>12.8</v>
      </c>
      <c r="AU224" t="s">
        <v>480</v>
      </c>
      <c r="AV224">
        <v>0</v>
      </c>
      <c r="AW224">
        <v>1</v>
      </c>
      <c r="AX224">
        <v>-1</v>
      </c>
      <c r="AY224">
        <v>0</v>
      </c>
      <c r="AZ224">
        <v>0</v>
      </c>
      <c r="BA224" t="s">
        <v>3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CX224">
        <f>Y224*Source!I343</f>
        <v>6.9120000000000008</v>
      </c>
      <c r="CY224">
        <f>AA224</f>
        <v>58.15</v>
      </c>
      <c r="CZ224">
        <f>AE224</f>
        <v>20.190000000000001</v>
      </c>
      <c r="DA224">
        <f>AI224</f>
        <v>2.88</v>
      </c>
      <c r="DB224">
        <f>ROUND((ROUND(AT224*CZ224,2)*2),6)</f>
        <v>516.86</v>
      </c>
      <c r="DC224">
        <f>ROUND((ROUND(AT224*AG224,2)*2),6)</f>
        <v>0</v>
      </c>
    </row>
    <row r="225" spans="1:107" x14ac:dyDescent="0.2">
      <c r="A225">
        <f>ROW(Source!A343)</f>
        <v>343</v>
      </c>
      <c r="B225">
        <v>42938047</v>
      </c>
      <c r="C225">
        <v>42939646</v>
      </c>
      <c r="D225">
        <v>35994366</v>
      </c>
      <c r="E225">
        <v>35973048</v>
      </c>
      <c r="F225">
        <v>1</v>
      </c>
      <c r="G225">
        <v>35973048</v>
      </c>
      <c r="H225">
        <v>3</v>
      </c>
      <c r="I225" t="s">
        <v>1294</v>
      </c>
      <c r="J225" t="s">
        <v>3</v>
      </c>
      <c r="K225" t="s">
        <v>1295</v>
      </c>
      <c r="L225">
        <v>1344</v>
      </c>
      <c r="N225">
        <v>1008</v>
      </c>
      <c r="O225" t="s">
        <v>1245</v>
      </c>
      <c r="P225" t="s">
        <v>1245</v>
      </c>
      <c r="Q225">
        <v>1</v>
      </c>
      <c r="W225">
        <v>0</v>
      </c>
      <c r="X225">
        <v>-94250534</v>
      </c>
      <c r="Y225">
        <v>8.68</v>
      </c>
      <c r="AA225">
        <v>6.58</v>
      </c>
      <c r="AB225">
        <v>0</v>
      </c>
      <c r="AC225">
        <v>0</v>
      </c>
      <c r="AD225">
        <v>0</v>
      </c>
      <c r="AE225">
        <v>1</v>
      </c>
      <c r="AF225">
        <v>0</v>
      </c>
      <c r="AG225">
        <v>0</v>
      </c>
      <c r="AH225">
        <v>0</v>
      </c>
      <c r="AI225">
        <v>6.58</v>
      </c>
      <c r="AJ225">
        <v>1</v>
      </c>
      <c r="AK225">
        <v>1</v>
      </c>
      <c r="AL225">
        <v>1</v>
      </c>
      <c r="AN225">
        <v>0</v>
      </c>
      <c r="AO225">
        <v>1</v>
      </c>
      <c r="AP225">
        <v>1</v>
      </c>
      <c r="AQ225">
        <v>0</v>
      </c>
      <c r="AR225">
        <v>0</v>
      </c>
      <c r="AS225" t="s">
        <v>3</v>
      </c>
      <c r="AT225">
        <v>4.34</v>
      </c>
      <c r="AU225" t="s">
        <v>480</v>
      </c>
      <c r="AV225">
        <v>0</v>
      </c>
      <c r="AW225">
        <v>2</v>
      </c>
      <c r="AX225">
        <v>42939993</v>
      </c>
      <c r="AY225">
        <v>1</v>
      </c>
      <c r="AZ225">
        <v>0</v>
      </c>
      <c r="BA225">
        <v>222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CX225">
        <f>Y225*Source!I343</f>
        <v>2.3435999999999999</v>
      </c>
      <c r="CY225">
        <f>AA225</f>
        <v>6.58</v>
      </c>
      <c r="CZ225">
        <f>AE225</f>
        <v>1</v>
      </c>
      <c r="DA225">
        <f>AI225</f>
        <v>6.58</v>
      </c>
      <c r="DB225">
        <f>ROUND((ROUND(AT225*CZ225,2)*2),6)</f>
        <v>8.68</v>
      </c>
      <c r="DC225">
        <f>ROUND((ROUND(AT225*AG225,2)*2),6)</f>
        <v>0</v>
      </c>
    </row>
    <row r="226" spans="1:107" x14ac:dyDescent="0.2">
      <c r="A226">
        <f>ROW(Source!A343)</f>
        <v>343</v>
      </c>
      <c r="B226">
        <v>42938047</v>
      </c>
      <c r="C226">
        <v>42939646</v>
      </c>
      <c r="D226">
        <v>0</v>
      </c>
      <c r="E226">
        <v>35973048</v>
      </c>
      <c r="F226">
        <v>1</v>
      </c>
      <c r="G226">
        <v>35973048</v>
      </c>
      <c r="H226">
        <v>3</v>
      </c>
      <c r="I226" t="s">
        <v>118</v>
      </c>
      <c r="J226" t="s">
        <v>3</v>
      </c>
      <c r="K226" t="s">
        <v>494</v>
      </c>
      <c r="L226">
        <v>3209553</v>
      </c>
      <c r="N226">
        <v>1012</v>
      </c>
      <c r="O226" t="s">
        <v>104</v>
      </c>
      <c r="P226" t="s">
        <v>495</v>
      </c>
      <c r="Q226">
        <v>1</v>
      </c>
      <c r="W226">
        <v>0</v>
      </c>
      <c r="X226">
        <v>582006861</v>
      </c>
      <c r="Y226">
        <v>0.11799999999999999</v>
      </c>
      <c r="AA226">
        <v>727599.96</v>
      </c>
      <c r="AB226">
        <v>0</v>
      </c>
      <c r="AC226">
        <v>0</v>
      </c>
      <c r="AD226">
        <v>0</v>
      </c>
      <c r="AE226">
        <v>114763.4</v>
      </c>
      <c r="AF226">
        <v>0</v>
      </c>
      <c r="AG226">
        <v>0</v>
      </c>
      <c r="AH226">
        <v>0</v>
      </c>
      <c r="AI226">
        <v>6.34</v>
      </c>
      <c r="AJ226">
        <v>1</v>
      </c>
      <c r="AK226">
        <v>1</v>
      </c>
      <c r="AL226">
        <v>1</v>
      </c>
      <c r="AN226">
        <v>0</v>
      </c>
      <c r="AO226">
        <v>0</v>
      </c>
      <c r="AP226">
        <v>1</v>
      </c>
      <c r="AQ226">
        <v>0</v>
      </c>
      <c r="AR226">
        <v>0</v>
      </c>
      <c r="AS226" t="s">
        <v>3</v>
      </c>
      <c r="AT226">
        <v>5.8999999999999997E-2</v>
      </c>
      <c r="AU226" t="s">
        <v>480</v>
      </c>
      <c r="AV226">
        <v>0</v>
      </c>
      <c r="AW226">
        <v>1</v>
      </c>
      <c r="AX226">
        <v>-1</v>
      </c>
      <c r="AY226">
        <v>0</v>
      </c>
      <c r="AZ226">
        <v>0</v>
      </c>
      <c r="BA226" t="s">
        <v>3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CX226">
        <f>Y226*Source!I343</f>
        <v>3.1859999999999999E-2</v>
      </c>
      <c r="CY226">
        <f>AA226</f>
        <v>727599.96</v>
      </c>
      <c r="CZ226">
        <f>AE226</f>
        <v>114763.4</v>
      </c>
      <c r="DA226">
        <f>AI226</f>
        <v>6.34</v>
      </c>
      <c r="DB226">
        <f>ROUND((ROUND(AT226*CZ226,2)*2),6)</f>
        <v>13542.08</v>
      </c>
      <c r="DC226">
        <f>ROUND((ROUND(AT226*AG226,2)*2),6)</f>
        <v>0</v>
      </c>
    </row>
    <row r="227" spans="1:107" x14ac:dyDescent="0.2">
      <c r="A227">
        <f>ROW(Source!A382)</f>
        <v>382</v>
      </c>
      <c r="B227">
        <v>42938047</v>
      </c>
      <c r="C227">
        <v>43135324</v>
      </c>
      <c r="D227">
        <v>35973053</v>
      </c>
      <c r="E227">
        <v>35973048</v>
      </c>
      <c r="F227">
        <v>1</v>
      </c>
      <c r="G227">
        <v>35973048</v>
      </c>
      <c r="H227">
        <v>1</v>
      </c>
      <c r="I227" t="s">
        <v>1228</v>
      </c>
      <c r="J227" t="s">
        <v>3</v>
      </c>
      <c r="K227" t="s">
        <v>1229</v>
      </c>
      <c r="L227">
        <v>1191</v>
      </c>
      <c r="N227">
        <v>1013</v>
      </c>
      <c r="O227" t="s">
        <v>1230</v>
      </c>
      <c r="P227" t="s">
        <v>1230</v>
      </c>
      <c r="Q227">
        <v>1</v>
      </c>
      <c r="W227">
        <v>0</v>
      </c>
      <c r="X227">
        <v>476480486</v>
      </c>
      <c r="Y227">
        <v>1.587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1</v>
      </c>
      <c r="AJ227">
        <v>1</v>
      </c>
      <c r="AK227">
        <v>1</v>
      </c>
      <c r="AL227">
        <v>25.44</v>
      </c>
      <c r="AN227">
        <v>0</v>
      </c>
      <c r="AO227">
        <v>1</v>
      </c>
      <c r="AP227">
        <v>1</v>
      </c>
      <c r="AQ227">
        <v>0</v>
      </c>
      <c r="AR227">
        <v>0</v>
      </c>
      <c r="AS227" t="s">
        <v>3</v>
      </c>
      <c r="AT227">
        <v>1.38</v>
      </c>
      <c r="AU227" t="s">
        <v>21</v>
      </c>
      <c r="AV227">
        <v>1</v>
      </c>
      <c r="AW227">
        <v>2</v>
      </c>
      <c r="AX227">
        <v>43135325</v>
      </c>
      <c r="AY227">
        <v>1</v>
      </c>
      <c r="AZ227">
        <v>2048</v>
      </c>
      <c r="BA227">
        <v>223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CX227">
        <f>Y227*Source!I382</f>
        <v>4.0468500000000001</v>
      </c>
      <c r="CY227">
        <f>AD227</f>
        <v>0</v>
      </c>
      <c r="CZ227">
        <f>AH227</f>
        <v>0</v>
      </c>
      <c r="DA227">
        <f>AL227</f>
        <v>25.44</v>
      </c>
      <c r="DB227">
        <f>ROUND((ROUND(AT227*CZ227,2)*1.15),6)</f>
        <v>0</v>
      </c>
      <c r="DC227">
        <f>ROUND((ROUND(AT227*AG227,2)*1.15),6)</f>
        <v>0</v>
      </c>
    </row>
    <row r="228" spans="1:107" x14ac:dyDescent="0.2">
      <c r="A228">
        <f>ROW(Source!A382)</f>
        <v>382</v>
      </c>
      <c r="B228">
        <v>42938047</v>
      </c>
      <c r="C228">
        <v>43135324</v>
      </c>
      <c r="D228">
        <v>36044463</v>
      </c>
      <c r="E228">
        <v>1</v>
      </c>
      <c r="F228">
        <v>1</v>
      </c>
      <c r="G228">
        <v>35973048</v>
      </c>
      <c r="H228">
        <v>2</v>
      </c>
      <c r="I228" t="s">
        <v>1249</v>
      </c>
      <c r="J228" t="s">
        <v>1250</v>
      </c>
      <c r="K228" t="s">
        <v>1251</v>
      </c>
      <c r="L228">
        <v>1367</v>
      </c>
      <c r="N228">
        <v>1011</v>
      </c>
      <c r="O228" t="s">
        <v>738</v>
      </c>
      <c r="P228" t="s">
        <v>738</v>
      </c>
      <c r="Q228">
        <v>1</v>
      </c>
      <c r="W228">
        <v>0</v>
      </c>
      <c r="X228">
        <v>-1422010832</v>
      </c>
      <c r="Y228">
        <v>4.984375</v>
      </c>
      <c r="AA228">
        <v>0</v>
      </c>
      <c r="AB228">
        <v>1608.41</v>
      </c>
      <c r="AC228">
        <v>445.45</v>
      </c>
      <c r="AD228">
        <v>0</v>
      </c>
      <c r="AE228">
        <v>0</v>
      </c>
      <c r="AF228">
        <v>180.72</v>
      </c>
      <c r="AG228">
        <v>17.510000000000002</v>
      </c>
      <c r="AH228">
        <v>0</v>
      </c>
      <c r="AI228">
        <v>1</v>
      </c>
      <c r="AJ228">
        <v>8.9</v>
      </c>
      <c r="AK228">
        <v>25.44</v>
      </c>
      <c r="AL228">
        <v>1</v>
      </c>
      <c r="AN228">
        <v>0</v>
      </c>
      <c r="AO228">
        <v>1</v>
      </c>
      <c r="AP228">
        <v>1</v>
      </c>
      <c r="AQ228">
        <v>0</v>
      </c>
      <c r="AR228">
        <v>0</v>
      </c>
      <c r="AS228" t="s">
        <v>3</v>
      </c>
      <c r="AT228">
        <v>3.9874999999999998</v>
      </c>
      <c r="AU228" t="s">
        <v>20</v>
      </c>
      <c r="AV228">
        <v>0</v>
      </c>
      <c r="AW228">
        <v>2</v>
      </c>
      <c r="AX228">
        <v>43135326</v>
      </c>
      <c r="AY228">
        <v>1</v>
      </c>
      <c r="AZ228">
        <v>0</v>
      </c>
      <c r="BA228">
        <v>224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CX228">
        <f>Y228*Source!I382</f>
        <v>12.710156249999999</v>
      </c>
      <c r="CY228">
        <f>AB228</f>
        <v>1608.41</v>
      </c>
      <c r="CZ228">
        <f>AF228</f>
        <v>180.72</v>
      </c>
      <c r="DA228">
        <f>AJ228</f>
        <v>8.9</v>
      </c>
      <c r="DB228">
        <f>ROUND((ROUND(AT228*CZ228,2)*1.25),6)</f>
        <v>900.77499999999998</v>
      </c>
      <c r="DC228">
        <f>ROUND((ROUND(AT228*AG228,2)*1.25),6)</f>
        <v>87.275000000000006</v>
      </c>
    </row>
    <row r="229" spans="1:107" x14ac:dyDescent="0.2">
      <c r="A229">
        <f>ROW(Source!A382)</f>
        <v>382</v>
      </c>
      <c r="B229">
        <v>42938047</v>
      </c>
      <c r="C229">
        <v>43135324</v>
      </c>
      <c r="D229">
        <v>36044488</v>
      </c>
      <c r="E229">
        <v>1</v>
      </c>
      <c r="F229">
        <v>1</v>
      </c>
      <c r="G229">
        <v>35973048</v>
      </c>
      <c r="H229">
        <v>2</v>
      </c>
      <c r="I229" t="s">
        <v>1252</v>
      </c>
      <c r="J229" t="s">
        <v>1253</v>
      </c>
      <c r="K229" t="s">
        <v>1254</v>
      </c>
      <c r="L229">
        <v>1367</v>
      </c>
      <c r="N229">
        <v>1011</v>
      </c>
      <c r="O229" t="s">
        <v>738</v>
      </c>
      <c r="P229" t="s">
        <v>738</v>
      </c>
      <c r="Q229">
        <v>1</v>
      </c>
      <c r="W229">
        <v>0</v>
      </c>
      <c r="X229">
        <v>1387947568</v>
      </c>
      <c r="Y229">
        <v>1.2462500000000001</v>
      </c>
      <c r="AA229">
        <v>0</v>
      </c>
      <c r="AB229">
        <v>1464.71</v>
      </c>
      <c r="AC229">
        <v>450.29</v>
      </c>
      <c r="AD229">
        <v>0</v>
      </c>
      <c r="AE229">
        <v>0</v>
      </c>
      <c r="AF229">
        <v>161.49</v>
      </c>
      <c r="AG229">
        <v>17.7</v>
      </c>
      <c r="AH229">
        <v>0</v>
      </c>
      <c r="AI229">
        <v>1</v>
      </c>
      <c r="AJ229">
        <v>9.07</v>
      </c>
      <c r="AK229">
        <v>25.44</v>
      </c>
      <c r="AL229">
        <v>1</v>
      </c>
      <c r="AN229">
        <v>0</v>
      </c>
      <c r="AO229">
        <v>1</v>
      </c>
      <c r="AP229">
        <v>1</v>
      </c>
      <c r="AQ229">
        <v>0</v>
      </c>
      <c r="AR229">
        <v>0</v>
      </c>
      <c r="AS229" t="s">
        <v>3</v>
      </c>
      <c r="AT229">
        <v>0.997</v>
      </c>
      <c r="AU229" t="s">
        <v>20</v>
      </c>
      <c r="AV229">
        <v>0</v>
      </c>
      <c r="AW229">
        <v>2</v>
      </c>
      <c r="AX229">
        <v>43135327</v>
      </c>
      <c r="AY229">
        <v>1</v>
      </c>
      <c r="AZ229">
        <v>0</v>
      </c>
      <c r="BA229">
        <v>225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CX229">
        <f>Y229*Source!I382</f>
        <v>3.1779375000000001</v>
      </c>
      <c r="CY229">
        <f>AB229</f>
        <v>1464.71</v>
      </c>
      <c r="CZ229">
        <f>AF229</f>
        <v>161.49</v>
      </c>
      <c r="DA229">
        <f>AJ229</f>
        <v>9.07</v>
      </c>
      <c r="DB229">
        <f>ROUND((ROUND(AT229*CZ229,2)*1.25),6)</f>
        <v>201.26249999999999</v>
      </c>
      <c r="DC229">
        <f>ROUND((ROUND(AT229*AG229,2)*1.25),6)</f>
        <v>22.0625</v>
      </c>
    </row>
    <row r="230" spans="1:107" x14ac:dyDescent="0.2">
      <c r="A230">
        <f>ROW(Source!A383)</f>
        <v>383</v>
      </c>
      <c r="B230">
        <v>42938047</v>
      </c>
      <c r="C230">
        <v>43135800</v>
      </c>
      <c r="D230">
        <v>35973053</v>
      </c>
      <c r="E230">
        <v>35973048</v>
      </c>
      <c r="F230">
        <v>1</v>
      </c>
      <c r="G230">
        <v>35973048</v>
      </c>
      <c r="H230">
        <v>1</v>
      </c>
      <c r="I230" t="s">
        <v>1228</v>
      </c>
      <c r="J230" t="s">
        <v>3</v>
      </c>
      <c r="K230" t="s">
        <v>1229</v>
      </c>
      <c r="L230">
        <v>1191</v>
      </c>
      <c r="N230">
        <v>1013</v>
      </c>
      <c r="O230" t="s">
        <v>1230</v>
      </c>
      <c r="P230" t="s">
        <v>1230</v>
      </c>
      <c r="Q230">
        <v>1</v>
      </c>
      <c r="W230">
        <v>0</v>
      </c>
      <c r="X230">
        <v>476480486</v>
      </c>
      <c r="Y230">
        <v>11.73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1</v>
      </c>
      <c r="AJ230">
        <v>1</v>
      </c>
      <c r="AK230">
        <v>1</v>
      </c>
      <c r="AL230">
        <v>25.44</v>
      </c>
      <c r="AN230">
        <v>0</v>
      </c>
      <c r="AO230">
        <v>1</v>
      </c>
      <c r="AP230">
        <v>1</v>
      </c>
      <c r="AQ230">
        <v>0</v>
      </c>
      <c r="AR230">
        <v>0</v>
      </c>
      <c r="AS230" t="s">
        <v>3</v>
      </c>
      <c r="AT230">
        <v>10.199999999999999</v>
      </c>
      <c r="AU230" t="s">
        <v>21</v>
      </c>
      <c r="AV230">
        <v>1</v>
      </c>
      <c r="AW230">
        <v>2</v>
      </c>
      <c r="AX230">
        <v>43159357</v>
      </c>
      <c r="AY230">
        <v>1</v>
      </c>
      <c r="AZ230">
        <v>2048</v>
      </c>
      <c r="BA230">
        <v>226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CX230">
        <f>Y230*Source!I383</f>
        <v>99.704999999999998</v>
      </c>
      <c r="CY230">
        <f>AD230</f>
        <v>0</v>
      </c>
      <c r="CZ230">
        <f>AH230</f>
        <v>0</v>
      </c>
      <c r="DA230">
        <f>AL230</f>
        <v>25.44</v>
      </c>
      <c r="DB230">
        <f>ROUND((ROUND(AT230*CZ230,2)*1.15),6)</f>
        <v>0</v>
      </c>
      <c r="DC230">
        <f>ROUND((ROUND(AT230*AG230,2)*1.15),6)</f>
        <v>0</v>
      </c>
    </row>
    <row r="231" spans="1:107" x14ac:dyDescent="0.2">
      <c r="A231">
        <f>ROW(Source!A383)</f>
        <v>383</v>
      </c>
      <c r="B231">
        <v>42938047</v>
      </c>
      <c r="C231">
        <v>43135800</v>
      </c>
      <c r="D231">
        <v>36044648</v>
      </c>
      <c r="E231">
        <v>1</v>
      </c>
      <c r="F231">
        <v>1</v>
      </c>
      <c r="G231">
        <v>35973048</v>
      </c>
      <c r="H231">
        <v>2</v>
      </c>
      <c r="I231" t="s">
        <v>1270</v>
      </c>
      <c r="J231" t="s">
        <v>1271</v>
      </c>
      <c r="K231" t="s">
        <v>1272</v>
      </c>
      <c r="L231">
        <v>1367</v>
      </c>
      <c r="N231">
        <v>1011</v>
      </c>
      <c r="O231" t="s">
        <v>738</v>
      </c>
      <c r="P231" t="s">
        <v>738</v>
      </c>
      <c r="Q231">
        <v>1</v>
      </c>
      <c r="W231">
        <v>0</v>
      </c>
      <c r="X231">
        <v>482200787</v>
      </c>
      <c r="Y231">
        <v>0.58750000000000002</v>
      </c>
      <c r="AA231">
        <v>0</v>
      </c>
      <c r="AB231">
        <v>730</v>
      </c>
      <c r="AC231">
        <v>429.94</v>
      </c>
      <c r="AD231">
        <v>0</v>
      </c>
      <c r="AE231">
        <v>0</v>
      </c>
      <c r="AF231">
        <v>73</v>
      </c>
      <c r="AG231">
        <v>16.899999999999999</v>
      </c>
      <c r="AH231">
        <v>0</v>
      </c>
      <c r="AI231">
        <v>1</v>
      </c>
      <c r="AJ231">
        <v>10</v>
      </c>
      <c r="AK231">
        <v>25.44</v>
      </c>
      <c r="AL231">
        <v>1</v>
      </c>
      <c r="AN231">
        <v>0</v>
      </c>
      <c r="AO231">
        <v>1</v>
      </c>
      <c r="AP231">
        <v>1</v>
      </c>
      <c r="AQ231">
        <v>0</v>
      </c>
      <c r="AR231">
        <v>0</v>
      </c>
      <c r="AS231" t="s">
        <v>3</v>
      </c>
      <c r="AT231">
        <v>0.47</v>
      </c>
      <c r="AU231" t="s">
        <v>20</v>
      </c>
      <c r="AV231">
        <v>0</v>
      </c>
      <c r="AW231">
        <v>2</v>
      </c>
      <c r="AX231">
        <v>43159358</v>
      </c>
      <c r="AY231">
        <v>1</v>
      </c>
      <c r="AZ231">
        <v>2048</v>
      </c>
      <c r="BA231">
        <v>227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CX231">
        <f>Y231*Source!I383</f>
        <v>4.9937500000000004</v>
      </c>
      <c r="CY231">
        <f>AB231</f>
        <v>730</v>
      </c>
      <c r="CZ231">
        <f>AF231</f>
        <v>73</v>
      </c>
      <c r="DA231">
        <f>AJ231</f>
        <v>10</v>
      </c>
      <c r="DB231">
        <f>ROUND((ROUND(AT231*CZ231,2)*1.25),6)</f>
        <v>42.887500000000003</v>
      </c>
      <c r="DC231">
        <f>ROUND((ROUND(AT231*AG231,2)*1.25),6)</f>
        <v>9.9250000000000007</v>
      </c>
    </row>
    <row r="232" spans="1:107" x14ac:dyDescent="0.2">
      <c r="A232">
        <f>ROW(Source!A383)</f>
        <v>383</v>
      </c>
      <c r="B232">
        <v>42938047</v>
      </c>
      <c r="C232">
        <v>43135800</v>
      </c>
      <c r="D232">
        <v>36021684</v>
      </c>
      <c r="E232">
        <v>1</v>
      </c>
      <c r="F232">
        <v>1</v>
      </c>
      <c r="G232">
        <v>35973048</v>
      </c>
      <c r="H232">
        <v>3</v>
      </c>
      <c r="I232" t="s">
        <v>510</v>
      </c>
      <c r="J232" t="s">
        <v>512</v>
      </c>
      <c r="K232" t="s">
        <v>511</v>
      </c>
      <c r="L232">
        <v>1339</v>
      </c>
      <c r="N232">
        <v>1007</v>
      </c>
      <c r="O232" t="s">
        <v>84</v>
      </c>
      <c r="P232" t="s">
        <v>84</v>
      </c>
      <c r="Q232">
        <v>1</v>
      </c>
      <c r="W232">
        <v>0</v>
      </c>
      <c r="X232">
        <v>-1749493504</v>
      </c>
      <c r="Y232">
        <v>12.5</v>
      </c>
      <c r="AA232">
        <v>1948.21</v>
      </c>
      <c r="AB232">
        <v>0</v>
      </c>
      <c r="AC232">
        <v>0</v>
      </c>
      <c r="AD232">
        <v>0</v>
      </c>
      <c r="AE232">
        <v>216.06</v>
      </c>
      <c r="AF232">
        <v>0</v>
      </c>
      <c r="AG232">
        <v>0</v>
      </c>
      <c r="AH232">
        <v>0</v>
      </c>
      <c r="AI232">
        <v>8.99</v>
      </c>
      <c r="AJ232">
        <v>1</v>
      </c>
      <c r="AK232">
        <v>1</v>
      </c>
      <c r="AL232">
        <v>1</v>
      </c>
      <c r="AN232">
        <v>0</v>
      </c>
      <c r="AO232">
        <v>0</v>
      </c>
      <c r="AP232">
        <v>0</v>
      </c>
      <c r="AQ232">
        <v>0</v>
      </c>
      <c r="AR232">
        <v>0</v>
      </c>
      <c r="AS232" t="s">
        <v>3</v>
      </c>
      <c r="AT232">
        <v>12.5</v>
      </c>
      <c r="AU232" t="s">
        <v>3</v>
      </c>
      <c r="AV232">
        <v>0</v>
      </c>
      <c r="AW232">
        <v>1</v>
      </c>
      <c r="AX232">
        <v>-1</v>
      </c>
      <c r="AY232">
        <v>0</v>
      </c>
      <c r="AZ232">
        <v>0</v>
      </c>
      <c r="BA232" t="s">
        <v>3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CX232">
        <f>Y232*Source!I383</f>
        <v>106.25</v>
      </c>
      <c r="CY232">
        <f>AA232</f>
        <v>1948.21</v>
      </c>
      <c r="CZ232">
        <f>AE232</f>
        <v>216.06</v>
      </c>
      <c r="DA232">
        <f>AI232</f>
        <v>8.99</v>
      </c>
      <c r="DB232">
        <f>ROUND(ROUND(AT232*CZ232,2),6)</f>
        <v>2700.75</v>
      </c>
      <c r="DC232">
        <f>ROUND(ROUND(AT232*AG232,2),6)</f>
        <v>0</v>
      </c>
    </row>
    <row r="233" spans="1:107" x14ac:dyDescent="0.2">
      <c r="A233">
        <f>ROW(Source!A385)</f>
        <v>385</v>
      </c>
      <c r="B233">
        <v>42938047</v>
      </c>
      <c r="C233">
        <v>43135350</v>
      </c>
      <c r="D233">
        <v>35973053</v>
      </c>
      <c r="E233">
        <v>35973048</v>
      </c>
      <c r="F233">
        <v>1</v>
      </c>
      <c r="G233">
        <v>35973048</v>
      </c>
      <c r="H233">
        <v>1</v>
      </c>
      <c r="I233" t="s">
        <v>1228</v>
      </c>
      <c r="J233" t="s">
        <v>3</v>
      </c>
      <c r="K233" t="s">
        <v>1229</v>
      </c>
      <c r="L233">
        <v>1191</v>
      </c>
      <c r="N233">
        <v>1013</v>
      </c>
      <c r="O233" t="s">
        <v>1230</v>
      </c>
      <c r="P233" t="s">
        <v>1230</v>
      </c>
      <c r="Q233">
        <v>1</v>
      </c>
      <c r="W233">
        <v>0</v>
      </c>
      <c r="X233">
        <v>476480486</v>
      </c>
      <c r="Y233">
        <v>11.73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1</v>
      </c>
      <c r="AJ233">
        <v>1</v>
      </c>
      <c r="AK233">
        <v>1</v>
      </c>
      <c r="AL233">
        <v>25.44</v>
      </c>
      <c r="AN233">
        <v>0</v>
      </c>
      <c r="AO233">
        <v>1</v>
      </c>
      <c r="AP233">
        <v>1</v>
      </c>
      <c r="AQ233">
        <v>0</v>
      </c>
      <c r="AR233">
        <v>0</v>
      </c>
      <c r="AS233" t="s">
        <v>3</v>
      </c>
      <c r="AT233">
        <v>10.199999999999999</v>
      </c>
      <c r="AU233" t="s">
        <v>21</v>
      </c>
      <c r="AV233">
        <v>1</v>
      </c>
      <c r="AW233">
        <v>2</v>
      </c>
      <c r="AX233">
        <v>43143179</v>
      </c>
      <c r="AY233">
        <v>1</v>
      </c>
      <c r="AZ233">
        <v>2048</v>
      </c>
      <c r="BA233">
        <v>229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CX233">
        <f>Y233*Source!I385</f>
        <v>199.41</v>
      </c>
      <c r="CY233">
        <f>AD233</f>
        <v>0</v>
      </c>
      <c r="CZ233">
        <f>AH233</f>
        <v>0</v>
      </c>
      <c r="DA233">
        <f>AL233</f>
        <v>25.44</v>
      </c>
      <c r="DB233">
        <f>ROUND((ROUND(AT233*CZ233,2)*1.15),6)</f>
        <v>0</v>
      </c>
      <c r="DC233">
        <f>ROUND((ROUND(AT233*AG233,2)*1.15),6)</f>
        <v>0</v>
      </c>
    </row>
    <row r="234" spans="1:107" x14ac:dyDescent="0.2">
      <c r="A234">
        <f>ROW(Source!A385)</f>
        <v>385</v>
      </c>
      <c r="B234">
        <v>42938047</v>
      </c>
      <c r="C234">
        <v>43135350</v>
      </c>
      <c r="D234">
        <v>36044648</v>
      </c>
      <c r="E234">
        <v>1</v>
      </c>
      <c r="F234">
        <v>1</v>
      </c>
      <c r="G234">
        <v>35973048</v>
      </c>
      <c r="H234">
        <v>2</v>
      </c>
      <c r="I234" t="s">
        <v>1270</v>
      </c>
      <c r="J234" t="s">
        <v>1271</v>
      </c>
      <c r="K234" t="s">
        <v>1272</v>
      </c>
      <c r="L234">
        <v>1367</v>
      </c>
      <c r="N234">
        <v>1011</v>
      </c>
      <c r="O234" t="s">
        <v>738</v>
      </c>
      <c r="P234" t="s">
        <v>738</v>
      </c>
      <c r="Q234">
        <v>1</v>
      </c>
      <c r="W234">
        <v>0</v>
      </c>
      <c r="X234">
        <v>482200787</v>
      </c>
      <c r="Y234">
        <v>0.4</v>
      </c>
      <c r="AA234">
        <v>0</v>
      </c>
      <c r="AB234">
        <v>730</v>
      </c>
      <c r="AC234">
        <v>429.94</v>
      </c>
      <c r="AD234">
        <v>0</v>
      </c>
      <c r="AE234">
        <v>0</v>
      </c>
      <c r="AF234">
        <v>73</v>
      </c>
      <c r="AG234">
        <v>16.899999999999999</v>
      </c>
      <c r="AH234">
        <v>0</v>
      </c>
      <c r="AI234">
        <v>1</v>
      </c>
      <c r="AJ234">
        <v>10</v>
      </c>
      <c r="AK234">
        <v>25.44</v>
      </c>
      <c r="AL234">
        <v>1</v>
      </c>
      <c r="AN234">
        <v>0</v>
      </c>
      <c r="AO234">
        <v>1</v>
      </c>
      <c r="AP234">
        <v>1</v>
      </c>
      <c r="AQ234">
        <v>0</v>
      </c>
      <c r="AR234">
        <v>0</v>
      </c>
      <c r="AS234" t="s">
        <v>3</v>
      </c>
      <c r="AT234">
        <v>0.32</v>
      </c>
      <c r="AU234" t="s">
        <v>20</v>
      </c>
      <c r="AV234">
        <v>0</v>
      </c>
      <c r="AW234">
        <v>2</v>
      </c>
      <c r="AX234">
        <v>43143180</v>
      </c>
      <c r="AY234">
        <v>1</v>
      </c>
      <c r="AZ234">
        <v>0</v>
      </c>
      <c r="BA234">
        <v>230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CX234">
        <f>Y234*Source!I385</f>
        <v>6.8000000000000007</v>
      </c>
      <c r="CY234">
        <f>AB234</f>
        <v>730</v>
      </c>
      <c r="CZ234">
        <f>AF234</f>
        <v>73</v>
      </c>
      <c r="DA234">
        <f>AJ234</f>
        <v>10</v>
      </c>
      <c r="DB234">
        <f>ROUND((ROUND(AT234*CZ234,2)*1.25),6)</f>
        <v>29.2</v>
      </c>
      <c r="DC234">
        <f>ROUND((ROUND(AT234*AG234,2)*1.25),6)</f>
        <v>6.7625000000000002</v>
      </c>
    </row>
    <row r="235" spans="1:107" x14ac:dyDescent="0.2">
      <c r="A235">
        <f>ROW(Source!A385)</f>
        <v>385</v>
      </c>
      <c r="B235">
        <v>42938047</v>
      </c>
      <c r="C235">
        <v>43135350</v>
      </c>
      <c r="D235">
        <v>36020974</v>
      </c>
      <c r="E235">
        <v>1</v>
      </c>
      <c r="F235">
        <v>1</v>
      </c>
      <c r="G235">
        <v>35973048</v>
      </c>
      <c r="H235">
        <v>3</v>
      </c>
      <c r="I235" t="s">
        <v>91</v>
      </c>
      <c r="J235" t="s">
        <v>93</v>
      </c>
      <c r="K235" t="s">
        <v>92</v>
      </c>
      <c r="L235">
        <v>1339</v>
      </c>
      <c r="N235">
        <v>1007</v>
      </c>
      <c r="O235" t="s">
        <v>84</v>
      </c>
      <c r="P235" t="s">
        <v>84</v>
      </c>
      <c r="Q235">
        <v>1</v>
      </c>
      <c r="W235">
        <v>0</v>
      </c>
      <c r="X235">
        <v>2069056849</v>
      </c>
      <c r="Y235">
        <v>11</v>
      </c>
      <c r="AA235">
        <v>580.23</v>
      </c>
      <c r="AB235">
        <v>0</v>
      </c>
      <c r="AC235">
        <v>0</v>
      </c>
      <c r="AD235">
        <v>0</v>
      </c>
      <c r="AE235">
        <v>104.99</v>
      </c>
      <c r="AF235">
        <v>0</v>
      </c>
      <c r="AG235">
        <v>0</v>
      </c>
      <c r="AH235">
        <v>0</v>
      </c>
      <c r="AI235">
        <v>5.51</v>
      </c>
      <c r="AJ235">
        <v>1</v>
      </c>
      <c r="AK235">
        <v>1</v>
      </c>
      <c r="AL235">
        <v>1</v>
      </c>
      <c r="AN235">
        <v>0</v>
      </c>
      <c r="AO235">
        <v>0</v>
      </c>
      <c r="AP235">
        <v>0</v>
      </c>
      <c r="AQ235">
        <v>0</v>
      </c>
      <c r="AR235">
        <v>0</v>
      </c>
      <c r="AS235" t="s">
        <v>3</v>
      </c>
      <c r="AT235">
        <v>11</v>
      </c>
      <c r="AU235" t="s">
        <v>3</v>
      </c>
      <c r="AV235">
        <v>0</v>
      </c>
      <c r="AW235">
        <v>1</v>
      </c>
      <c r="AX235">
        <v>-1</v>
      </c>
      <c r="AY235">
        <v>0</v>
      </c>
      <c r="AZ235">
        <v>0</v>
      </c>
      <c r="BA235" t="s">
        <v>3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CX235">
        <f>Y235*Source!I385</f>
        <v>187</v>
      </c>
      <c r="CY235">
        <f>AA235</f>
        <v>580.23</v>
      </c>
      <c r="CZ235">
        <f>AE235</f>
        <v>104.99</v>
      </c>
      <c r="DA235">
        <f>AI235</f>
        <v>5.51</v>
      </c>
      <c r="DB235">
        <f>ROUND(ROUND(AT235*CZ235,2),6)</f>
        <v>1154.8900000000001</v>
      </c>
      <c r="DC235">
        <f>ROUND(ROUND(AT235*AG235,2),6)</f>
        <v>0</v>
      </c>
    </row>
    <row r="236" spans="1:107" x14ac:dyDescent="0.2">
      <c r="A236">
        <f>ROW(Source!A387)</f>
        <v>387</v>
      </c>
      <c r="B236">
        <v>42938047</v>
      </c>
      <c r="C236">
        <v>43135328</v>
      </c>
      <c r="D236">
        <v>35973053</v>
      </c>
      <c r="E236">
        <v>35973048</v>
      </c>
      <c r="F236">
        <v>1</v>
      </c>
      <c r="G236">
        <v>35973048</v>
      </c>
      <c r="H236">
        <v>1</v>
      </c>
      <c r="I236" t="s">
        <v>1228</v>
      </c>
      <c r="J236" t="s">
        <v>3</v>
      </c>
      <c r="K236" t="s">
        <v>1229</v>
      </c>
      <c r="L236">
        <v>1191</v>
      </c>
      <c r="N236">
        <v>1013</v>
      </c>
      <c r="O236" t="s">
        <v>1230</v>
      </c>
      <c r="P236" t="s">
        <v>1230</v>
      </c>
      <c r="Q236">
        <v>1</v>
      </c>
      <c r="W236">
        <v>0</v>
      </c>
      <c r="X236">
        <v>476480486</v>
      </c>
      <c r="Y236">
        <v>20.654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1</v>
      </c>
      <c r="AJ236">
        <v>1</v>
      </c>
      <c r="AK236">
        <v>1</v>
      </c>
      <c r="AL236">
        <v>25.44</v>
      </c>
      <c r="AN236">
        <v>0</v>
      </c>
      <c r="AO236">
        <v>1</v>
      </c>
      <c r="AP236">
        <v>1</v>
      </c>
      <c r="AQ236">
        <v>0</v>
      </c>
      <c r="AR236">
        <v>0</v>
      </c>
      <c r="AS236" t="s">
        <v>3</v>
      </c>
      <c r="AT236">
        <v>17.96</v>
      </c>
      <c r="AU236" t="s">
        <v>21</v>
      </c>
      <c r="AV236">
        <v>1</v>
      </c>
      <c r="AW236">
        <v>2</v>
      </c>
      <c r="AX236">
        <v>43135466</v>
      </c>
      <c r="AY236">
        <v>1</v>
      </c>
      <c r="AZ236">
        <v>0</v>
      </c>
      <c r="BA236">
        <v>232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CX236">
        <f>Y236*Source!I387</f>
        <v>351.11799999999999</v>
      </c>
      <c r="CY236">
        <f>AD236</f>
        <v>0</v>
      </c>
      <c r="CZ236">
        <f>AH236</f>
        <v>0</v>
      </c>
      <c r="DA236">
        <f>AL236</f>
        <v>25.44</v>
      </c>
      <c r="DB236">
        <f>ROUND((ROUND(AT236*CZ236,2)*1.15),6)</f>
        <v>0</v>
      </c>
      <c r="DC236">
        <f>ROUND((ROUND(AT236*AG236,2)*1.15),6)</f>
        <v>0</v>
      </c>
    </row>
    <row r="237" spans="1:107" x14ac:dyDescent="0.2">
      <c r="A237">
        <f>ROW(Source!A387)</f>
        <v>387</v>
      </c>
      <c r="B237">
        <v>42938047</v>
      </c>
      <c r="C237">
        <v>43135328</v>
      </c>
      <c r="D237">
        <v>36044992</v>
      </c>
      <c r="E237">
        <v>1</v>
      </c>
      <c r="F237">
        <v>1</v>
      </c>
      <c r="G237">
        <v>35973048</v>
      </c>
      <c r="H237">
        <v>2</v>
      </c>
      <c r="I237" t="s">
        <v>1367</v>
      </c>
      <c r="J237" t="s">
        <v>1368</v>
      </c>
      <c r="K237" t="s">
        <v>1369</v>
      </c>
      <c r="L237">
        <v>1367</v>
      </c>
      <c r="N237">
        <v>1011</v>
      </c>
      <c r="O237" t="s">
        <v>738</v>
      </c>
      <c r="P237" t="s">
        <v>738</v>
      </c>
      <c r="Q237">
        <v>1</v>
      </c>
      <c r="W237">
        <v>0</v>
      </c>
      <c r="X237">
        <v>-799529772</v>
      </c>
      <c r="Y237">
        <v>4.375</v>
      </c>
      <c r="AA237">
        <v>0</v>
      </c>
      <c r="AB237">
        <v>35.57</v>
      </c>
      <c r="AC237">
        <v>7.38</v>
      </c>
      <c r="AD237">
        <v>0</v>
      </c>
      <c r="AE237">
        <v>0</v>
      </c>
      <c r="AF237">
        <v>8.1199999999999992</v>
      </c>
      <c r="AG237">
        <v>0.28999999999999998</v>
      </c>
      <c r="AH237">
        <v>0</v>
      </c>
      <c r="AI237">
        <v>1</v>
      </c>
      <c r="AJ237">
        <v>4.38</v>
      </c>
      <c r="AK237">
        <v>25.44</v>
      </c>
      <c r="AL237">
        <v>1</v>
      </c>
      <c r="AN237">
        <v>0</v>
      </c>
      <c r="AO237">
        <v>1</v>
      </c>
      <c r="AP237">
        <v>1</v>
      </c>
      <c r="AQ237">
        <v>0</v>
      </c>
      <c r="AR237">
        <v>0</v>
      </c>
      <c r="AS237" t="s">
        <v>3</v>
      </c>
      <c r="AT237">
        <v>3.5</v>
      </c>
      <c r="AU237" t="s">
        <v>20</v>
      </c>
      <c r="AV237">
        <v>0</v>
      </c>
      <c r="AW237">
        <v>2</v>
      </c>
      <c r="AX237">
        <v>43135467</v>
      </c>
      <c r="AY237">
        <v>1</v>
      </c>
      <c r="AZ237">
        <v>0</v>
      </c>
      <c r="BA237">
        <v>233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CX237">
        <f>Y237*Source!I387</f>
        <v>74.375</v>
      </c>
      <c r="CY237">
        <f>AB237</f>
        <v>35.57</v>
      </c>
      <c r="CZ237">
        <f>AF237</f>
        <v>8.1199999999999992</v>
      </c>
      <c r="DA237">
        <f>AJ237</f>
        <v>4.38</v>
      </c>
      <c r="DB237">
        <f>ROUND((ROUND(AT237*CZ237,2)*1.25),6)</f>
        <v>35.524999999999999</v>
      </c>
      <c r="DC237">
        <f>ROUND((ROUND(AT237*AG237,2)*1.25),6)</f>
        <v>1.2749999999999999</v>
      </c>
    </row>
    <row r="238" spans="1:107" x14ac:dyDescent="0.2">
      <c r="A238">
        <f>ROW(Source!A387)</f>
        <v>387</v>
      </c>
      <c r="B238">
        <v>42938047</v>
      </c>
      <c r="C238">
        <v>43135328</v>
      </c>
      <c r="D238">
        <v>36044705</v>
      </c>
      <c r="E238">
        <v>1</v>
      </c>
      <c r="F238">
        <v>1</v>
      </c>
      <c r="G238">
        <v>35973048</v>
      </c>
      <c r="H238">
        <v>2</v>
      </c>
      <c r="I238" t="s">
        <v>1370</v>
      </c>
      <c r="J238" t="s">
        <v>1371</v>
      </c>
      <c r="K238" t="s">
        <v>1372</v>
      </c>
      <c r="L238">
        <v>1367</v>
      </c>
      <c r="N238">
        <v>1011</v>
      </c>
      <c r="O238" t="s">
        <v>738</v>
      </c>
      <c r="P238" t="s">
        <v>738</v>
      </c>
      <c r="Q238">
        <v>1</v>
      </c>
      <c r="W238">
        <v>0</v>
      </c>
      <c r="X238">
        <v>-1988072652</v>
      </c>
      <c r="Y238">
        <v>6.25E-2</v>
      </c>
      <c r="AA238">
        <v>0</v>
      </c>
      <c r="AB238">
        <v>540.01</v>
      </c>
      <c r="AC238">
        <v>391.78</v>
      </c>
      <c r="AD238">
        <v>0</v>
      </c>
      <c r="AE238">
        <v>0</v>
      </c>
      <c r="AF238">
        <v>56.31</v>
      </c>
      <c r="AG238">
        <v>15.4</v>
      </c>
      <c r="AH238">
        <v>0</v>
      </c>
      <c r="AI238">
        <v>1</v>
      </c>
      <c r="AJ238">
        <v>9.59</v>
      </c>
      <c r="AK238">
        <v>25.44</v>
      </c>
      <c r="AL238">
        <v>1</v>
      </c>
      <c r="AN238">
        <v>0</v>
      </c>
      <c r="AO238">
        <v>1</v>
      </c>
      <c r="AP238">
        <v>1</v>
      </c>
      <c r="AQ238">
        <v>0</v>
      </c>
      <c r="AR238">
        <v>0</v>
      </c>
      <c r="AS238" t="s">
        <v>3</v>
      </c>
      <c r="AT238">
        <v>0.05</v>
      </c>
      <c r="AU238" t="s">
        <v>20</v>
      </c>
      <c r="AV238">
        <v>0</v>
      </c>
      <c r="AW238">
        <v>2</v>
      </c>
      <c r="AX238">
        <v>43135468</v>
      </c>
      <c r="AY238">
        <v>1</v>
      </c>
      <c r="AZ238">
        <v>0</v>
      </c>
      <c r="BA238">
        <v>234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CX238">
        <f>Y238*Source!I387</f>
        <v>1.0625</v>
      </c>
      <c r="CY238">
        <f>AB238</f>
        <v>540.01</v>
      </c>
      <c r="CZ238">
        <f>AF238</f>
        <v>56.31</v>
      </c>
      <c r="DA238">
        <f>AJ238</f>
        <v>9.59</v>
      </c>
      <c r="DB238">
        <f>ROUND((ROUND(AT238*CZ238,2)*1.25),6)</f>
        <v>3.5249999999999999</v>
      </c>
      <c r="DC238">
        <f>ROUND((ROUND(AT238*AG238,2)*1.25),6)</f>
        <v>0.96250000000000002</v>
      </c>
    </row>
    <row r="239" spans="1:107" x14ac:dyDescent="0.2">
      <c r="A239">
        <f>ROW(Source!A387)</f>
        <v>387</v>
      </c>
      <c r="B239">
        <v>42938047</v>
      </c>
      <c r="C239">
        <v>43135328</v>
      </c>
      <c r="D239">
        <v>36020415</v>
      </c>
      <c r="E239">
        <v>1</v>
      </c>
      <c r="F239">
        <v>1</v>
      </c>
      <c r="G239">
        <v>35973048</v>
      </c>
      <c r="H239">
        <v>3</v>
      </c>
      <c r="I239" t="s">
        <v>469</v>
      </c>
      <c r="J239" t="s">
        <v>471</v>
      </c>
      <c r="K239" t="s">
        <v>470</v>
      </c>
      <c r="L239">
        <v>1339</v>
      </c>
      <c r="N239">
        <v>1007</v>
      </c>
      <c r="O239" t="s">
        <v>84</v>
      </c>
      <c r="P239" t="s">
        <v>84</v>
      </c>
      <c r="Q239">
        <v>1</v>
      </c>
      <c r="W239">
        <v>0</v>
      </c>
      <c r="X239">
        <v>-862991314</v>
      </c>
      <c r="Y239">
        <v>0.1963</v>
      </c>
      <c r="AA239">
        <v>36.340000000000003</v>
      </c>
      <c r="AB239">
        <v>0</v>
      </c>
      <c r="AC239">
        <v>0</v>
      </c>
      <c r="AD239">
        <v>0</v>
      </c>
      <c r="AE239">
        <v>7.07</v>
      </c>
      <c r="AF239">
        <v>0</v>
      </c>
      <c r="AG239">
        <v>0</v>
      </c>
      <c r="AH239">
        <v>0</v>
      </c>
      <c r="AI239">
        <v>5.14</v>
      </c>
      <c r="AJ239">
        <v>1</v>
      </c>
      <c r="AK239">
        <v>1</v>
      </c>
      <c r="AL239">
        <v>1</v>
      </c>
      <c r="AN239">
        <v>0</v>
      </c>
      <c r="AO239">
        <v>1</v>
      </c>
      <c r="AP239">
        <v>0</v>
      </c>
      <c r="AQ239">
        <v>0</v>
      </c>
      <c r="AR239">
        <v>0</v>
      </c>
      <c r="AS239" t="s">
        <v>3</v>
      </c>
      <c r="AT239">
        <v>0.1963</v>
      </c>
      <c r="AU239" t="s">
        <v>3</v>
      </c>
      <c r="AV239">
        <v>0</v>
      </c>
      <c r="AW239">
        <v>2</v>
      </c>
      <c r="AX239">
        <v>43135469</v>
      </c>
      <c r="AY239">
        <v>1</v>
      </c>
      <c r="AZ239">
        <v>0</v>
      </c>
      <c r="BA239">
        <v>235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CX239">
        <f>Y239*Source!I387</f>
        <v>3.3371</v>
      </c>
      <c r="CY239">
        <f>AA239</f>
        <v>36.340000000000003</v>
      </c>
      <c r="CZ239">
        <f>AE239</f>
        <v>7.07</v>
      </c>
      <c r="DA239">
        <f>AI239</f>
        <v>5.14</v>
      </c>
      <c r="DB239">
        <f>ROUND(ROUND(AT239*CZ239,2),6)</f>
        <v>1.39</v>
      </c>
      <c r="DC239">
        <f>ROUND(ROUND(AT239*AG239,2),6)</f>
        <v>0</v>
      </c>
    </row>
    <row r="240" spans="1:107" x14ac:dyDescent="0.2">
      <c r="A240">
        <f>ROW(Source!A388)</f>
        <v>388</v>
      </c>
      <c r="B240">
        <v>42938047</v>
      </c>
      <c r="C240">
        <v>43135377</v>
      </c>
      <c r="D240">
        <v>36759504</v>
      </c>
      <c r="E240">
        <v>1</v>
      </c>
      <c r="F240">
        <v>1</v>
      </c>
      <c r="G240">
        <v>35973048</v>
      </c>
      <c r="H240">
        <v>2</v>
      </c>
      <c r="I240" t="s">
        <v>1332</v>
      </c>
      <c r="J240" t="s">
        <v>1333</v>
      </c>
      <c r="K240" t="s">
        <v>1334</v>
      </c>
      <c r="L240">
        <v>1367</v>
      </c>
      <c r="N240">
        <v>1011</v>
      </c>
      <c r="O240" t="s">
        <v>738</v>
      </c>
      <c r="P240" t="s">
        <v>738</v>
      </c>
      <c r="Q240">
        <v>1</v>
      </c>
      <c r="W240">
        <v>0</v>
      </c>
      <c r="X240">
        <v>1815391720</v>
      </c>
      <c r="Y240">
        <v>1</v>
      </c>
      <c r="AA240">
        <v>0</v>
      </c>
      <c r="AB240">
        <v>100.09</v>
      </c>
      <c r="AC240">
        <v>13.81</v>
      </c>
      <c r="AD240">
        <v>0</v>
      </c>
      <c r="AE240">
        <v>0</v>
      </c>
      <c r="AF240">
        <v>100.09</v>
      </c>
      <c r="AG240">
        <v>13.81</v>
      </c>
      <c r="AH240">
        <v>0</v>
      </c>
      <c r="AI240">
        <v>1</v>
      </c>
      <c r="AJ240">
        <v>1</v>
      </c>
      <c r="AK240">
        <v>1</v>
      </c>
      <c r="AL240">
        <v>1</v>
      </c>
      <c r="AN240">
        <v>0</v>
      </c>
      <c r="AO240">
        <v>1</v>
      </c>
      <c r="AP240">
        <v>0</v>
      </c>
      <c r="AQ240">
        <v>0</v>
      </c>
      <c r="AR240">
        <v>0</v>
      </c>
      <c r="AS240" t="s">
        <v>3</v>
      </c>
      <c r="AT240">
        <v>1</v>
      </c>
      <c r="AU240" t="s">
        <v>3</v>
      </c>
      <c r="AV240">
        <v>0</v>
      </c>
      <c r="AW240">
        <v>2</v>
      </c>
      <c r="AX240">
        <v>43136993</v>
      </c>
      <c r="AY240">
        <v>1</v>
      </c>
      <c r="AZ240">
        <v>0</v>
      </c>
      <c r="BA240">
        <v>237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CX240">
        <f>Y240*Source!I388</f>
        <v>382.5</v>
      </c>
      <c r="CY240">
        <f>AB240</f>
        <v>100.09</v>
      </c>
      <c r="CZ240">
        <f>AF240</f>
        <v>100.09</v>
      </c>
      <c r="DA240">
        <f>AJ240</f>
        <v>1</v>
      </c>
      <c r="DB240">
        <f>ROUND(ROUND(AT240*CZ240,2),6)</f>
        <v>100.09</v>
      </c>
      <c r="DC240">
        <f>ROUND(ROUND(AT240*AG240,2),6)</f>
        <v>13.81</v>
      </c>
    </row>
    <row r="241" spans="1:107" x14ac:dyDescent="0.2">
      <c r="A241">
        <f>ROW(Source!A389)</f>
        <v>389</v>
      </c>
      <c r="B241">
        <v>42938047</v>
      </c>
      <c r="C241">
        <v>43136994</v>
      </c>
      <c r="D241">
        <v>35973762</v>
      </c>
      <c r="E241">
        <v>35973048</v>
      </c>
      <c r="F241">
        <v>1</v>
      </c>
      <c r="G241">
        <v>35973048</v>
      </c>
      <c r="H241">
        <v>2</v>
      </c>
      <c r="I241" t="s">
        <v>1243</v>
      </c>
      <c r="J241" t="s">
        <v>3</v>
      </c>
      <c r="K241" t="s">
        <v>1244</v>
      </c>
      <c r="L241">
        <v>1344</v>
      </c>
      <c r="N241">
        <v>1008</v>
      </c>
      <c r="O241" t="s">
        <v>1245</v>
      </c>
      <c r="P241" t="s">
        <v>1245</v>
      </c>
      <c r="Q241">
        <v>1</v>
      </c>
      <c r="W241">
        <v>0</v>
      </c>
      <c r="X241">
        <v>-1180195794</v>
      </c>
      <c r="Y241">
        <v>12.61</v>
      </c>
      <c r="AA241">
        <v>0</v>
      </c>
      <c r="AB241">
        <v>1</v>
      </c>
      <c r="AC241">
        <v>0</v>
      </c>
      <c r="AD241">
        <v>0</v>
      </c>
      <c r="AE241">
        <v>0</v>
      </c>
      <c r="AF241">
        <v>1</v>
      </c>
      <c r="AG241">
        <v>0</v>
      </c>
      <c r="AH241">
        <v>0</v>
      </c>
      <c r="AI241">
        <v>1</v>
      </c>
      <c r="AJ241">
        <v>1</v>
      </c>
      <c r="AK241">
        <v>1</v>
      </c>
      <c r="AL241">
        <v>1</v>
      </c>
      <c r="AN241">
        <v>0</v>
      </c>
      <c r="AO241">
        <v>1</v>
      </c>
      <c r="AP241">
        <v>0</v>
      </c>
      <c r="AQ241">
        <v>0</v>
      </c>
      <c r="AR241">
        <v>0</v>
      </c>
      <c r="AS241" t="s">
        <v>3</v>
      </c>
      <c r="AT241">
        <v>12.61</v>
      </c>
      <c r="AU241" t="s">
        <v>3</v>
      </c>
      <c r="AV241">
        <v>0</v>
      </c>
      <c r="AW241">
        <v>2</v>
      </c>
      <c r="AX241">
        <v>43136995</v>
      </c>
      <c r="AY241">
        <v>1</v>
      </c>
      <c r="AZ241">
        <v>0</v>
      </c>
      <c r="BA241">
        <v>238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CX241">
        <f>Y241*Source!I389</f>
        <v>4823.3249999999998</v>
      </c>
      <c r="CY241">
        <f>AB241</f>
        <v>1</v>
      </c>
      <c r="CZ241">
        <f>AF241</f>
        <v>1</v>
      </c>
      <c r="DA241">
        <f>AJ241</f>
        <v>1</v>
      </c>
      <c r="DB241">
        <f>ROUND(ROUND(AT241*CZ241,2),6)</f>
        <v>12.61</v>
      </c>
      <c r="DC241">
        <f>ROUND(ROUND(AT241*AG241,2),6)</f>
        <v>0</v>
      </c>
    </row>
    <row r="242" spans="1:107" x14ac:dyDescent="0.2">
      <c r="A242">
        <f>ROW(Source!A390)</f>
        <v>390</v>
      </c>
      <c r="B242">
        <v>42938047</v>
      </c>
      <c r="C242">
        <v>43135861</v>
      </c>
      <c r="D242">
        <v>35973053</v>
      </c>
      <c r="E242">
        <v>35973048</v>
      </c>
      <c r="F242">
        <v>1</v>
      </c>
      <c r="G242">
        <v>35973048</v>
      </c>
      <c r="H242">
        <v>1</v>
      </c>
      <c r="I242" t="s">
        <v>1228</v>
      </c>
      <c r="J242" t="s">
        <v>3</v>
      </c>
      <c r="K242" t="s">
        <v>1229</v>
      </c>
      <c r="L242">
        <v>1191</v>
      </c>
      <c r="N242">
        <v>1013</v>
      </c>
      <c r="O242" t="s">
        <v>1230</v>
      </c>
      <c r="P242" t="s">
        <v>1230</v>
      </c>
      <c r="Q242">
        <v>1</v>
      </c>
      <c r="W242">
        <v>0</v>
      </c>
      <c r="X242">
        <v>476480486</v>
      </c>
      <c r="Y242">
        <v>8.7974999999999994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1</v>
      </c>
      <c r="AJ242">
        <v>1</v>
      </c>
      <c r="AK242">
        <v>1</v>
      </c>
      <c r="AL242">
        <v>25.44</v>
      </c>
      <c r="AN242">
        <v>0</v>
      </c>
      <c r="AO242">
        <v>1</v>
      </c>
      <c r="AP242">
        <v>1</v>
      </c>
      <c r="AQ242">
        <v>0</v>
      </c>
      <c r="AR242">
        <v>0</v>
      </c>
      <c r="AS242" t="s">
        <v>3</v>
      </c>
      <c r="AT242">
        <v>7.65</v>
      </c>
      <c r="AU242" t="s">
        <v>21</v>
      </c>
      <c r="AV242">
        <v>1</v>
      </c>
      <c r="AW242">
        <v>2</v>
      </c>
      <c r="AX242">
        <v>43135866</v>
      </c>
      <c r="AY242">
        <v>1</v>
      </c>
      <c r="AZ242">
        <v>0</v>
      </c>
      <c r="BA242">
        <v>239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CX242">
        <f>Y242*Source!I390</f>
        <v>3.9588749999999999</v>
      </c>
      <c r="CY242">
        <f>AD242</f>
        <v>0</v>
      </c>
      <c r="CZ242">
        <f>AH242</f>
        <v>0</v>
      </c>
      <c r="DA242">
        <f>AL242</f>
        <v>25.44</v>
      </c>
      <c r="DB242">
        <f>ROUND((ROUND(AT242*CZ242,2)*1.15),6)</f>
        <v>0</v>
      </c>
      <c r="DC242">
        <f>ROUND((ROUND(AT242*AG242,2)*1.15),6)</f>
        <v>0</v>
      </c>
    </row>
    <row r="243" spans="1:107" x14ac:dyDescent="0.2">
      <c r="A243">
        <f>ROW(Source!A390)</f>
        <v>390</v>
      </c>
      <c r="B243">
        <v>42938047</v>
      </c>
      <c r="C243">
        <v>43135861</v>
      </c>
      <c r="D243">
        <v>35973762</v>
      </c>
      <c r="E243">
        <v>35973048</v>
      </c>
      <c r="F243">
        <v>1</v>
      </c>
      <c r="G243">
        <v>35973048</v>
      </c>
      <c r="H243">
        <v>2</v>
      </c>
      <c r="I243" t="s">
        <v>1243</v>
      </c>
      <c r="J243" t="s">
        <v>3</v>
      </c>
      <c r="K243" t="s">
        <v>1244</v>
      </c>
      <c r="L243">
        <v>1344</v>
      </c>
      <c r="N243">
        <v>1008</v>
      </c>
      <c r="O243" t="s">
        <v>1245</v>
      </c>
      <c r="P243" t="s">
        <v>1245</v>
      </c>
      <c r="Q243">
        <v>1</v>
      </c>
      <c r="W243">
        <v>0</v>
      </c>
      <c r="X243">
        <v>-1180195794</v>
      </c>
      <c r="Y243">
        <v>7.45</v>
      </c>
      <c r="AA243">
        <v>0</v>
      </c>
      <c r="AB243">
        <v>10.97</v>
      </c>
      <c r="AC243">
        <v>0</v>
      </c>
      <c r="AD243">
        <v>0</v>
      </c>
      <c r="AE243">
        <v>0</v>
      </c>
      <c r="AF243">
        <v>1</v>
      </c>
      <c r="AG243">
        <v>0</v>
      </c>
      <c r="AH243">
        <v>0</v>
      </c>
      <c r="AI243">
        <v>1</v>
      </c>
      <c r="AJ243">
        <v>10.48</v>
      </c>
      <c r="AK243">
        <v>25.44</v>
      </c>
      <c r="AL243">
        <v>1</v>
      </c>
      <c r="AN243">
        <v>0</v>
      </c>
      <c r="AO243">
        <v>1</v>
      </c>
      <c r="AP243">
        <v>1</v>
      </c>
      <c r="AQ243">
        <v>0</v>
      </c>
      <c r="AR243">
        <v>0</v>
      </c>
      <c r="AS243" t="s">
        <v>3</v>
      </c>
      <c r="AT243">
        <v>5.96</v>
      </c>
      <c r="AU243" t="s">
        <v>20</v>
      </c>
      <c r="AV243">
        <v>0</v>
      </c>
      <c r="AW243">
        <v>2</v>
      </c>
      <c r="AX243">
        <v>43135867</v>
      </c>
      <c r="AY243">
        <v>1</v>
      </c>
      <c r="AZ243">
        <v>0</v>
      </c>
      <c r="BA243">
        <v>240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CX243">
        <f>Y243*Source!I390</f>
        <v>3.3525</v>
      </c>
      <c r="CY243">
        <f>AB243</f>
        <v>10.97</v>
      </c>
      <c r="CZ243">
        <f>AF243</f>
        <v>1</v>
      </c>
      <c r="DA243">
        <f>AJ243</f>
        <v>10.48</v>
      </c>
      <c r="DB243">
        <f>ROUND((ROUND(AT243*CZ243,2)*1.25),6)</f>
        <v>7.45</v>
      </c>
      <c r="DC243">
        <f>ROUND((ROUND(AT243*AG243,2)*1.25),6)</f>
        <v>0</v>
      </c>
    </row>
    <row r="244" spans="1:107" x14ac:dyDescent="0.2">
      <c r="A244">
        <f>ROW(Source!A390)</f>
        <v>390</v>
      </c>
      <c r="B244">
        <v>42938047</v>
      </c>
      <c r="C244">
        <v>43135861</v>
      </c>
      <c r="D244">
        <v>36020428</v>
      </c>
      <c r="E244">
        <v>1</v>
      </c>
      <c r="F244">
        <v>1</v>
      </c>
      <c r="G244">
        <v>35973048</v>
      </c>
      <c r="H244">
        <v>3</v>
      </c>
      <c r="I244" t="s">
        <v>372</v>
      </c>
      <c r="J244" t="s">
        <v>374</v>
      </c>
      <c r="K244" t="s">
        <v>373</v>
      </c>
      <c r="L244">
        <v>1348</v>
      </c>
      <c r="N244">
        <v>1009</v>
      </c>
      <c r="O244" t="s">
        <v>104</v>
      </c>
      <c r="P244" t="s">
        <v>104</v>
      </c>
      <c r="Q244">
        <v>1000</v>
      </c>
      <c r="W244">
        <v>1</v>
      </c>
      <c r="X244">
        <v>563176784</v>
      </c>
      <c r="Y244">
        <v>-4.2000000000000002E-4</v>
      </c>
      <c r="AA244">
        <v>58366.71</v>
      </c>
      <c r="AB244">
        <v>0</v>
      </c>
      <c r="AC244">
        <v>0</v>
      </c>
      <c r="AD244">
        <v>0</v>
      </c>
      <c r="AE244">
        <v>6521.42</v>
      </c>
      <c r="AF244">
        <v>0</v>
      </c>
      <c r="AG244">
        <v>0</v>
      </c>
      <c r="AH244">
        <v>0</v>
      </c>
      <c r="AI244">
        <v>8.9499999999999993</v>
      </c>
      <c r="AJ244">
        <v>1</v>
      </c>
      <c r="AK244">
        <v>1</v>
      </c>
      <c r="AL244">
        <v>1</v>
      </c>
      <c r="AN244">
        <v>0</v>
      </c>
      <c r="AO244">
        <v>1</v>
      </c>
      <c r="AP244">
        <v>0</v>
      </c>
      <c r="AQ244">
        <v>0</v>
      </c>
      <c r="AR244">
        <v>0</v>
      </c>
      <c r="AS244" t="s">
        <v>3</v>
      </c>
      <c r="AT244">
        <v>-4.2000000000000002E-4</v>
      </c>
      <c r="AU244" t="s">
        <v>3</v>
      </c>
      <c r="AV244">
        <v>0</v>
      </c>
      <c r="AW244">
        <v>2</v>
      </c>
      <c r="AX244">
        <v>43135868</v>
      </c>
      <c r="AY244">
        <v>1</v>
      </c>
      <c r="AZ244">
        <v>6144</v>
      </c>
      <c r="BA244">
        <v>241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CX244">
        <f>Y244*Source!I390</f>
        <v>-1.8900000000000001E-4</v>
      </c>
      <c r="CY244">
        <f>AA244</f>
        <v>58366.71</v>
      </c>
      <c r="CZ244">
        <f>AE244</f>
        <v>6521.42</v>
      </c>
      <c r="DA244">
        <f>AI244</f>
        <v>8.9499999999999993</v>
      </c>
      <c r="DB244">
        <f>ROUND(ROUND(AT244*CZ244,2),6)</f>
        <v>-2.74</v>
      </c>
      <c r="DC244">
        <f>ROUND(ROUND(AT244*AG244,2),6)</f>
        <v>0</v>
      </c>
    </row>
    <row r="245" spans="1:107" x14ac:dyDescent="0.2">
      <c r="A245">
        <f>ROW(Source!A390)</f>
        <v>390</v>
      </c>
      <c r="B245">
        <v>42938047</v>
      </c>
      <c r="C245">
        <v>43135861</v>
      </c>
      <c r="D245">
        <v>0</v>
      </c>
      <c r="E245">
        <v>35973048</v>
      </c>
      <c r="F245">
        <v>1</v>
      </c>
      <c r="G245">
        <v>35973048</v>
      </c>
      <c r="H245">
        <v>3</v>
      </c>
      <c r="I245" t="s">
        <v>118</v>
      </c>
      <c r="J245" t="s">
        <v>3</v>
      </c>
      <c r="K245" t="s">
        <v>376</v>
      </c>
      <c r="L245">
        <v>1301</v>
      </c>
      <c r="N245">
        <v>1003</v>
      </c>
      <c r="O245" t="s">
        <v>136</v>
      </c>
      <c r="P245" t="s">
        <v>136</v>
      </c>
      <c r="Q245">
        <v>1</v>
      </c>
      <c r="W245">
        <v>0</v>
      </c>
      <c r="X245">
        <v>1078315712</v>
      </c>
      <c r="Y245">
        <v>100.933333</v>
      </c>
      <c r="AA245">
        <v>49.14</v>
      </c>
      <c r="AB245">
        <v>0</v>
      </c>
      <c r="AC245">
        <v>0</v>
      </c>
      <c r="AD245">
        <v>0</v>
      </c>
      <c r="AE245">
        <v>7.75</v>
      </c>
      <c r="AF245">
        <v>0</v>
      </c>
      <c r="AG245">
        <v>0</v>
      </c>
      <c r="AH245">
        <v>0</v>
      </c>
      <c r="AI245">
        <v>6.34</v>
      </c>
      <c r="AJ245">
        <v>1</v>
      </c>
      <c r="AK245">
        <v>1</v>
      </c>
      <c r="AL245">
        <v>1</v>
      </c>
      <c r="AN245">
        <v>0</v>
      </c>
      <c r="AO245">
        <v>0</v>
      </c>
      <c r="AP245">
        <v>0</v>
      </c>
      <c r="AQ245">
        <v>0</v>
      </c>
      <c r="AR245">
        <v>0</v>
      </c>
      <c r="AS245" t="s">
        <v>3</v>
      </c>
      <c r="AT245">
        <v>100.933333</v>
      </c>
      <c r="AU245" t="s">
        <v>3</v>
      </c>
      <c r="AV245">
        <v>0</v>
      </c>
      <c r="AW245">
        <v>1</v>
      </c>
      <c r="AX245">
        <v>-1</v>
      </c>
      <c r="AY245">
        <v>0</v>
      </c>
      <c r="AZ245">
        <v>0</v>
      </c>
      <c r="BA245" t="s">
        <v>3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CX245">
        <f>Y245*Source!I390</f>
        <v>45.419999850000004</v>
      </c>
      <c r="CY245">
        <f>AA245</f>
        <v>49.14</v>
      </c>
      <c r="CZ245">
        <f>AE245</f>
        <v>7.75</v>
      </c>
      <c r="DA245">
        <f>AI245</f>
        <v>6.34</v>
      </c>
      <c r="DB245">
        <f>ROUND(ROUND(AT245*CZ245,2),6)</f>
        <v>782.23</v>
      </c>
      <c r="DC245">
        <f>ROUND(ROUND(AT245*AG245,2),6)</f>
        <v>0</v>
      </c>
    </row>
    <row r="246" spans="1:107" x14ac:dyDescent="0.2">
      <c r="A246">
        <f>ROW(Source!A393)</f>
        <v>393</v>
      </c>
      <c r="B246">
        <v>42938047</v>
      </c>
      <c r="C246">
        <v>43135496</v>
      </c>
      <c r="D246">
        <v>35973053</v>
      </c>
      <c r="E246">
        <v>35973048</v>
      </c>
      <c r="F246">
        <v>1</v>
      </c>
      <c r="G246">
        <v>35973048</v>
      </c>
      <c r="H246">
        <v>1</v>
      </c>
      <c r="I246" t="s">
        <v>1228</v>
      </c>
      <c r="J246" t="s">
        <v>3</v>
      </c>
      <c r="K246" t="s">
        <v>1229</v>
      </c>
      <c r="L246">
        <v>1191</v>
      </c>
      <c r="N246">
        <v>1013</v>
      </c>
      <c r="O246" t="s">
        <v>1230</v>
      </c>
      <c r="P246" t="s">
        <v>1230</v>
      </c>
      <c r="Q246">
        <v>1</v>
      </c>
      <c r="W246">
        <v>0</v>
      </c>
      <c r="X246">
        <v>476480486</v>
      </c>
      <c r="Y246">
        <v>15.41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1</v>
      </c>
      <c r="AJ246">
        <v>1</v>
      </c>
      <c r="AK246">
        <v>1</v>
      </c>
      <c r="AL246">
        <v>25.44</v>
      </c>
      <c r="AN246">
        <v>0</v>
      </c>
      <c r="AO246">
        <v>1</v>
      </c>
      <c r="AP246">
        <v>1</v>
      </c>
      <c r="AQ246">
        <v>0</v>
      </c>
      <c r="AR246">
        <v>0</v>
      </c>
      <c r="AS246" t="s">
        <v>3</v>
      </c>
      <c r="AT246">
        <v>13.4</v>
      </c>
      <c r="AU246" t="s">
        <v>21</v>
      </c>
      <c r="AV246">
        <v>1</v>
      </c>
      <c r="AW246">
        <v>2</v>
      </c>
      <c r="AX246">
        <v>43135497</v>
      </c>
      <c r="AY246">
        <v>1</v>
      </c>
      <c r="AZ246">
        <v>2048</v>
      </c>
      <c r="BA246">
        <v>244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CX246">
        <f>Y246*Source!I393</f>
        <v>15.41</v>
      </c>
      <c r="CY246">
        <f>AD246</f>
        <v>0</v>
      </c>
      <c r="CZ246">
        <f>AH246</f>
        <v>0</v>
      </c>
      <c r="DA246">
        <f>AL246</f>
        <v>25.44</v>
      </c>
      <c r="DB246">
        <f>ROUND((ROUND(AT246*CZ246,2)*1.15),6)</f>
        <v>0</v>
      </c>
      <c r="DC246">
        <f>ROUND((ROUND(AT246*AG246,2)*1.15),6)</f>
        <v>0</v>
      </c>
    </row>
    <row r="247" spans="1:107" x14ac:dyDescent="0.2">
      <c r="A247">
        <f>ROW(Source!A393)</f>
        <v>393</v>
      </c>
      <c r="B247">
        <v>42938047</v>
      </c>
      <c r="C247">
        <v>43135496</v>
      </c>
      <c r="D247">
        <v>36045308</v>
      </c>
      <c r="E247">
        <v>1</v>
      </c>
      <c r="F247">
        <v>1</v>
      </c>
      <c r="G247">
        <v>35973048</v>
      </c>
      <c r="H247">
        <v>2</v>
      </c>
      <c r="I247" t="s">
        <v>1231</v>
      </c>
      <c r="J247" t="s">
        <v>1232</v>
      </c>
      <c r="K247" t="s">
        <v>1233</v>
      </c>
      <c r="L247">
        <v>1367</v>
      </c>
      <c r="N247">
        <v>1011</v>
      </c>
      <c r="O247" t="s">
        <v>738</v>
      </c>
      <c r="P247" t="s">
        <v>738</v>
      </c>
      <c r="Q247">
        <v>1</v>
      </c>
      <c r="W247">
        <v>0</v>
      </c>
      <c r="X247">
        <v>-628430174</v>
      </c>
      <c r="Y247">
        <v>0.2</v>
      </c>
      <c r="AA247">
        <v>0</v>
      </c>
      <c r="AB247">
        <v>748.13</v>
      </c>
      <c r="AC247">
        <v>365.32</v>
      </c>
      <c r="AD247">
        <v>0</v>
      </c>
      <c r="AE247">
        <v>0</v>
      </c>
      <c r="AF247">
        <v>76.81</v>
      </c>
      <c r="AG247">
        <v>14.36</v>
      </c>
      <c r="AH247">
        <v>0</v>
      </c>
      <c r="AI247">
        <v>1</v>
      </c>
      <c r="AJ247">
        <v>9.74</v>
      </c>
      <c r="AK247">
        <v>25.44</v>
      </c>
      <c r="AL247">
        <v>1</v>
      </c>
      <c r="AN247">
        <v>0</v>
      </c>
      <c r="AO247">
        <v>1</v>
      </c>
      <c r="AP247">
        <v>1</v>
      </c>
      <c r="AQ247">
        <v>0</v>
      </c>
      <c r="AR247">
        <v>0</v>
      </c>
      <c r="AS247" t="s">
        <v>3</v>
      </c>
      <c r="AT247">
        <v>0.16</v>
      </c>
      <c r="AU247" t="s">
        <v>20</v>
      </c>
      <c r="AV247">
        <v>0</v>
      </c>
      <c r="AW247">
        <v>2</v>
      </c>
      <c r="AX247">
        <v>43135498</v>
      </c>
      <c r="AY247">
        <v>1</v>
      </c>
      <c r="AZ247">
        <v>0</v>
      </c>
      <c r="BA247">
        <v>245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CX247">
        <f>Y247*Source!I393</f>
        <v>0.2</v>
      </c>
      <c r="CY247">
        <f>AB247</f>
        <v>748.13</v>
      </c>
      <c r="CZ247">
        <f>AF247</f>
        <v>76.81</v>
      </c>
      <c r="DA247">
        <f>AJ247</f>
        <v>9.74</v>
      </c>
      <c r="DB247">
        <f>ROUND((ROUND(AT247*CZ247,2)*1.25),6)</f>
        <v>15.362500000000001</v>
      </c>
      <c r="DC247">
        <f>ROUND((ROUND(AT247*AG247,2)*1.25),6)</f>
        <v>2.875</v>
      </c>
    </row>
    <row r="248" spans="1:107" x14ac:dyDescent="0.2">
      <c r="A248">
        <f>ROW(Source!A393)</f>
        <v>393</v>
      </c>
      <c r="B248">
        <v>42938047</v>
      </c>
      <c r="C248">
        <v>43135496</v>
      </c>
      <c r="D248">
        <v>36044555</v>
      </c>
      <c r="E248">
        <v>1</v>
      </c>
      <c r="F248">
        <v>1</v>
      </c>
      <c r="G248">
        <v>35973048</v>
      </c>
      <c r="H248">
        <v>2</v>
      </c>
      <c r="I248" t="s">
        <v>1267</v>
      </c>
      <c r="J248" t="s">
        <v>1268</v>
      </c>
      <c r="K248" t="s">
        <v>1269</v>
      </c>
      <c r="L248">
        <v>1367</v>
      </c>
      <c r="N248">
        <v>1011</v>
      </c>
      <c r="O248" t="s">
        <v>738</v>
      </c>
      <c r="P248" t="s">
        <v>738</v>
      </c>
      <c r="Q248">
        <v>1</v>
      </c>
      <c r="W248">
        <v>0</v>
      </c>
      <c r="X248">
        <v>-266174272</v>
      </c>
      <c r="Y248">
        <v>0.13750000000000001</v>
      </c>
      <c r="AA248">
        <v>0</v>
      </c>
      <c r="AB248">
        <v>1636.27</v>
      </c>
      <c r="AC248">
        <v>461.74</v>
      </c>
      <c r="AD248">
        <v>0</v>
      </c>
      <c r="AE248">
        <v>0</v>
      </c>
      <c r="AF248">
        <v>190.93</v>
      </c>
      <c r="AG248">
        <v>18.149999999999999</v>
      </c>
      <c r="AH248">
        <v>0</v>
      </c>
      <c r="AI248">
        <v>1</v>
      </c>
      <c r="AJ248">
        <v>8.57</v>
      </c>
      <c r="AK248">
        <v>25.44</v>
      </c>
      <c r="AL248">
        <v>1</v>
      </c>
      <c r="AN248">
        <v>0</v>
      </c>
      <c r="AO248">
        <v>1</v>
      </c>
      <c r="AP248">
        <v>1</v>
      </c>
      <c r="AQ248">
        <v>0</v>
      </c>
      <c r="AR248">
        <v>0</v>
      </c>
      <c r="AS248" t="s">
        <v>3</v>
      </c>
      <c r="AT248">
        <v>0.11</v>
      </c>
      <c r="AU248" t="s">
        <v>20</v>
      </c>
      <c r="AV248">
        <v>0</v>
      </c>
      <c r="AW248">
        <v>2</v>
      </c>
      <c r="AX248">
        <v>43135499</v>
      </c>
      <c r="AY248">
        <v>1</v>
      </c>
      <c r="AZ248">
        <v>0</v>
      </c>
      <c r="BA248">
        <v>246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CX248">
        <f>Y248*Source!I393</f>
        <v>0.13750000000000001</v>
      </c>
      <c r="CY248">
        <f>AB248</f>
        <v>1636.27</v>
      </c>
      <c r="CZ248">
        <f>AF248</f>
        <v>190.93</v>
      </c>
      <c r="DA248">
        <f>AJ248</f>
        <v>8.57</v>
      </c>
      <c r="DB248">
        <f>ROUND((ROUND(AT248*CZ248,2)*1.25),6)</f>
        <v>26.25</v>
      </c>
      <c r="DC248">
        <f>ROUND((ROUND(AT248*AG248,2)*1.25),6)</f>
        <v>2.5</v>
      </c>
    </row>
    <row r="249" spans="1:107" x14ac:dyDescent="0.2">
      <c r="A249">
        <f>ROW(Source!A393)</f>
        <v>393</v>
      </c>
      <c r="B249">
        <v>42938047</v>
      </c>
      <c r="C249">
        <v>43135496</v>
      </c>
      <c r="D249">
        <v>36020415</v>
      </c>
      <c r="E249">
        <v>1</v>
      </c>
      <c r="F249">
        <v>1</v>
      </c>
      <c r="G249">
        <v>35973048</v>
      </c>
      <c r="H249">
        <v>3</v>
      </c>
      <c r="I249" t="s">
        <v>469</v>
      </c>
      <c r="J249" t="s">
        <v>471</v>
      </c>
      <c r="K249" t="s">
        <v>470</v>
      </c>
      <c r="L249">
        <v>1339</v>
      </c>
      <c r="N249">
        <v>1007</v>
      </c>
      <c r="O249" t="s">
        <v>84</v>
      </c>
      <c r="P249" t="s">
        <v>84</v>
      </c>
      <c r="Q249">
        <v>1</v>
      </c>
      <c r="W249">
        <v>0</v>
      </c>
      <c r="X249">
        <v>-862991314</v>
      </c>
      <c r="Y249">
        <v>2.52</v>
      </c>
      <c r="AA249">
        <v>36.340000000000003</v>
      </c>
      <c r="AB249">
        <v>0</v>
      </c>
      <c r="AC249">
        <v>0</v>
      </c>
      <c r="AD249">
        <v>0</v>
      </c>
      <c r="AE249">
        <v>7.07</v>
      </c>
      <c r="AF249">
        <v>0</v>
      </c>
      <c r="AG249">
        <v>0</v>
      </c>
      <c r="AH249">
        <v>0</v>
      </c>
      <c r="AI249">
        <v>5.14</v>
      </c>
      <c r="AJ249">
        <v>1</v>
      </c>
      <c r="AK249">
        <v>1</v>
      </c>
      <c r="AL249">
        <v>1</v>
      </c>
      <c r="AN249">
        <v>0</v>
      </c>
      <c r="AO249">
        <v>1</v>
      </c>
      <c r="AP249">
        <v>0</v>
      </c>
      <c r="AQ249">
        <v>0</v>
      </c>
      <c r="AR249">
        <v>0</v>
      </c>
      <c r="AS249" t="s">
        <v>3</v>
      </c>
      <c r="AT249">
        <v>2.52</v>
      </c>
      <c r="AU249" t="s">
        <v>3</v>
      </c>
      <c r="AV249">
        <v>0</v>
      </c>
      <c r="AW249">
        <v>2</v>
      </c>
      <c r="AX249">
        <v>43135500</v>
      </c>
      <c r="AY249">
        <v>1</v>
      </c>
      <c r="AZ249">
        <v>0</v>
      </c>
      <c r="BA249">
        <v>247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CX249">
        <f>Y249*Source!I393</f>
        <v>2.52</v>
      </c>
      <c r="CY249">
        <f>AA249</f>
        <v>36.340000000000003</v>
      </c>
      <c r="CZ249">
        <f>AE249</f>
        <v>7.07</v>
      </c>
      <c r="DA249">
        <f>AI249</f>
        <v>5.14</v>
      </c>
      <c r="DB249">
        <f>ROUND(ROUND(AT249*CZ249,2),6)</f>
        <v>17.82</v>
      </c>
      <c r="DC249">
        <f>ROUND(ROUND(AT249*AG249,2),6)</f>
        <v>0</v>
      </c>
    </row>
    <row r="250" spans="1:107" x14ac:dyDescent="0.2">
      <c r="A250">
        <f>ROW(Source!A393)</f>
        <v>393</v>
      </c>
      <c r="B250">
        <v>42938047</v>
      </c>
      <c r="C250">
        <v>43135496</v>
      </c>
      <c r="D250">
        <v>36022529</v>
      </c>
      <c r="E250">
        <v>1</v>
      </c>
      <c r="F250">
        <v>1</v>
      </c>
      <c r="G250">
        <v>35973048</v>
      </c>
      <c r="H250">
        <v>3</v>
      </c>
      <c r="I250" t="s">
        <v>1373</v>
      </c>
      <c r="J250" t="s">
        <v>1374</v>
      </c>
      <c r="K250" t="s">
        <v>1375</v>
      </c>
      <c r="L250">
        <v>1346</v>
      </c>
      <c r="N250">
        <v>1009</v>
      </c>
      <c r="O250" t="s">
        <v>131</v>
      </c>
      <c r="P250" t="s">
        <v>131</v>
      </c>
      <c r="Q250">
        <v>1</v>
      </c>
      <c r="W250">
        <v>0</v>
      </c>
      <c r="X250">
        <v>1037702096</v>
      </c>
      <c r="Y250">
        <v>0.02</v>
      </c>
      <c r="AA250">
        <v>214.7</v>
      </c>
      <c r="AB250">
        <v>0</v>
      </c>
      <c r="AC250">
        <v>0</v>
      </c>
      <c r="AD250">
        <v>0</v>
      </c>
      <c r="AE250">
        <v>38</v>
      </c>
      <c r="AF250">
        <v>0</v>
      </c>
      <c r="AG250">
        <v>0</v>
      </c>
      <c r="AH250">
        <v>0</v>
      </c>
      <c r="AI250">
        <v>5.65</v>
      </c>
      <c r="AJ250">
        <v>1</v>
      </c>
      <c r="AK250">
        <v>1</v>
      </c>
      <c r="AL250">
        <v>1</v>
      </c>
      <c r="AN250">
        <v>0</v>
      </c>
      <c r="AO250">
        <v>1</v>
      </c>
      <c r="AP250">
        <v>0</v>
      </c>
      <c r="AQ250">
        <v>0</v>
      </c>
      <c r="AR250">
        <v>0</v>
      </c>
      <c r="AS250" t="s">
        <v>3</v>
      </c>
      <c r="AT250">
        <v>0.02</v>
      </c>
      <c r="AU250" t="s">
        <v>3</v>
      </c>
      <c r="AV250">
        <v>0</v>
      </c>
      <c r="AW250">
        <v>2</v>
      </c>
      <c r="AX250">
        <v>43135501</v>
      </c>
      <c r="AY250">
        <v>1</v>
      </c>
      <c r="AZ250">
        <v>0</v>
      </c>
      <c r="BA250">
        <v>248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CX250">
        <f>Y250*Source!I393</f>
        <v>0.02</v>
      </c>
      <c r="CY250">
        <f>AA250</f>
        <v>214.7</v>
      </c>
      <c r="CZ250">
        <f>AE250</f>
        <v>38</v>
      </c>
      <c r="DA250">
        <f>AI250</f>
        <v>5.65</v>
      </c>
      <c r="DB250">
        <f>ROUND(ROUND(AT250*CZ250,2),6)</f>
        <v>0.76</v>
      </c>
      <c r="DC250">
        <f>ROUND(ROUND(AT250*AG250,2),6)</f>
        <v>0</v>
      </c>
    </row>
    <row r="251" spans="1:107" x14ac:dyDescent="0.2">
      <c r="A251">
        <f>ROW(Source!A393)</f>
        <v>393</v>
      </c>
      <c r="B251">
        <v>42938047</v>
      </c>
      <c r="C251">
        <v>43135496</v>
      </c>
      <c r="D251">
        <v>36020746</v>
      </c>
      <c r="E251">
        <v>1</v>
      </c>
      <c r="F251">
        <v>1</v>
      </c>
      <c r="G251">
        <v>35973048</v>
      </c>
      <c r="H251">
        <v>3</v>
      </c>
      <c r="I251" t="s">
        <v>1376</v>
      </c>
      <c r="J251" t="s">
        <v>1377</v>
      </c>
      <c r="K251" t="s">
        <v>1378</v>
      </c>
      <c r="L251">
        <v>1348</v>
      </c>
      <c r="N251">
        <v>1009</v>
      </c>
      <c r="O251" t="s">
        <v>104</v>
      </c>
      <c r="P251" t="s">
        <v>104</v>
      </c>
      <c r="Q251">
        <v>1000</v>
      </c>
      <c r="W251">
        <v>0</v>
      </c>
      <c r="X251">
        <v>-434568416</v>
      </c>
      <c r="Y251">
        <v>5.0000000000000002E-5</v>
      </c>
      <c r="AA251">
        <v>44124.9</v>
      </c>
      <c r="AB251">
        <v>0</v>
      </c>
      <c r="AC251">
        <v>0</v>
      </c>
      <c r="AD251">
        <v>0</v>
      </c>
      <c r="AE251">
        <v>16222.39</v>
      </c>
      <c r="AF251">
        <v>0</v>
      </c>
      <c r="AG251">
        <v>0</v>
      </c>
      <c r="AH251">
        <v>0</v>
      </c>
      <c r="AI251">
        <v>2.72</v>
      </c>
      <c r="AJ251">
        <v>1</v>
      </c>
      <c r="AK251">
        <v>1</v>
      </c>
      <c r="AL251">
        <v>1</v>
      </c>
      <c r="AN251">
        <v>0</v>
      </c>
      <c r="AO251">
        <v>1</v>
      </c>
      <c r="AP251">
        <v>0</v>
      </c>
      <c r="AQ251">
        <v>0</v>
      </c>
      <c r="AR251">
        <v>0</v>
      </c>
      <c r="AS251" t="s">
        <v>3</v>
      </c>
      <c r="AT251">
        <v>5.0000000000000002E-5</v>
      </c>
      <c r="AU251" t="s">
        <v>3</v>
      </c>
      <c r="AV251">
        <v>0</v>
      </c>
      <c r="AW251">
        <v>2</v>
      </c>
      <c r="AX251">
        <v>43135502</v>
      </c>
      <c r="AY251">
        <v>1</v>
      </c>
      <c r="AZ251">
        <v>0</v>
      </c>
      <c r="BA251">
        <v>249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CX251">
        <f>Y251*Source!I393</f>
        <v>5.0000000000000002E-5</v>
      </c>
      <c r="CY251">
        <f>AA251</f>
        <v>44124.9</v>
      </c>
      <c r="CZ251">
        <f>AE251</f>
        <v>16222.39</v>
      </c>
      <c r="DA251">
        <f>AI251</f>
        <v>2.72</v>
      </c>
      <c r="DB251">
        <f>ROUND(ROUND(AT251*CZ251,2),6)</f>
        <v>0.81</v>
      </c>
      <c r="DC251">
        <f>ROUND(ROUND(AT251*AG251,2),6)</f>
        <v>0</v>
      </c>
    </row>
    <row r="252" spans="1:107" x14ac:dyDescent="0.2">
      <c r="A252">
        <f>ROW(Source!A393)</f>
        <v>393</v>
      </c>
      <c r="B252">
        <v>42938047</v>
      </c>
      <c r="C252">
        <v>43135496</v>
      </c>
      <c r="D252">
        <v>36020948</v>
      </c>
      <c r="E252">
        <v>1</v>
      </c>
      <c r="F252">
        <v>1</v>
      </c>
      <c r="G252">
        <v>35973048</v>
      </c>
      <c r="H252">
        <v>3</v>
      </c>
      <c r="I252" t="s">
        <v>490</v>
      </c>
      <c r="J252" t="s">
        <v>492</v>
      </c>
      <c r="K252" t="s">
        <v>491</v>
      </c>
      <c r="L252">
        <v>1346</v>
      </c>
      <c r="N252">
        <v>1009</v>
      </c>
      <c r="O252" t="s">
        <v>131</v>
      </c>
      <c r="P252" t="s">
        <v>131</v>
      </c>
      <c r="Q252">
        <v>1</v>
      </c>
      <c r="W252">
        <v>0</v>
      </c>
      <c r="X252">
        <v>-1082935818</v>
      </c>
      <c r="Y252">
        <v>6.0000000000000001E-3</v>
      </c>
      <c r="AA252">
        <v>58.15</v>
      </c>
      <c r="AB252">
        <v>0</v>
      </c>
      <c r="AC252">
        <v>0</v>
      </c>
      <c r="AD252">
        <v>0</v>
      </c>
      <c r="AE252">
        <v>20.190000000000001</v>
      </c>
      <c r="AF252">
        <v>0</v>
      </c>
      <c r="AG252">
        <v>0</v>
      </c>
      <c r="AH252">
        <v>0</v>
      </c>
      <c r="AI252">
        <v>2.88</v>
      </c>
      <c r="AJ252">
        <v>1</v>
      </c>
      <c r="AK252">
        <v>1</v>
      </c>
      <c r="AL252">
        <v>1</v>
      </c>
      <c r="AN252">
        <v>0</v>
      </c>
      <c r="AO252">
        <v>1</v>
      </c>
      <c r="AP252">
        <v>0</v>
      </c>
      <c r="AQ252">
        <v>0</v>
      </c>
      <c r="AR252">
        <v>0</v>
      </c>
      <c r="AS252" t="s">
        <v>3</v>
      </c>
      <c r="AT252">
        <v>6.0000000000000001E-3</v>
      </c>
      <c r="AU252" t="s">
        <v>3</v>
      </c>
      <c r="AV252">
        <v>0</v>
      </c>
      <c r="AW252">
        <v>2</v>
      </c>
      <c r="AX252">
        <v>43135503</v>
      </c>
      <c r="AY252">
        <v>1</v>
      </c>
      <c r="AZ252">
        <v>0</v>
      </c>
      <c r="BA252">
        <v>250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CX252">
        <f>Y252*Source!I393</f>
        <v>6.0000000000000001E-3</v>
      </c>
      <c r="CY252">
        <f>AA252</f>
        <v>58.15</v>
      </c>
      <c r="CZ252">
        <f>AE252</f>
        <v>20.190000000000001</v>
      </c>
      <c r="DA252">
        <f>AI252</f>
        <v>2.88</v>
      </c>
      <c r="DB252">
        <f>ROUND(ROUND(AT252*CZ252,2),6)</f>
        <v>0.12</v>
      </c>
      <c r="DC252">
        <f>ROUND(ROUND(AT252*AG252,2),6)</f>
        <v>0</v>
      </c>
    </row>
    <row r="253" spans="1:107" x14ac:dyDescent="0.2">
      <c r="A253">
        <f>ROW(Source!A394)</f>
        <v>394</v>
      </c>
      <c r="B253">
        <v>42938047</v>
      </c>
      <c r="C253">
        <v>43135549</v>
      </c>
      <c r="D253">
        <v>35973053</v>
      </c>
      <c r="E253">
        <v>35973048</v>
      </c>
      <c r="F253">
        <v>1</v>
      </c>
      <c r="G253">
        <v>35973048</v>
      </c>
      <c r="H253">
        <v>1</v>
      </c>
      <c r="I253" t="s">
        <v>1228</v>
      </c>
      <c r="J253" t="s">
        <v>3</v>
      </c>
      <c r="K253" t="s">
        <v>1229</v>
      </c>
      <c r="L253">
        <v>1191</v>
      </c>
      <c r="N253">
        <v>1013</v>
      </c>
      <c r="O253" t="s">
        <v>1230</v>
      </c>
      <c r="P253" t="s">
        <v>1230</v>
      </c>
      <c r="Q253">
        <v>1</v>
      </c>
      <c r="W253">
        <v>0</v>
      </c>
      <c r="X253">
        <v>476480486</v>
      </c>
      <c r="Y253">
        <v>0.86250000000000004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1</v>
      </c>
      <c r="AJ253">
        <v>1</v>
      </c>
      <c r="AK253">
        <v>1</v>
      </c>
      <c r="AL253">
        <v>25.44</v>
      </c>
      <c r="AN253">
        <v>0</v>
      </c>
      <c r="AO253">
        <v>1</v>
      </c>
      <c r="AP253">
        <v>1</v>
      </c>
      <c r="AQ253">
        <v>0</v>
      </c>
      <c r="AR253">
        <v>0</v>
      </c>
      <c r="AS253" t="s">
        <v>3</v>
      </c>
      <c r="AT253">
        <v>0.75</v>
      </c>
      <c r="AU253" t="s">
        <v>21</v>
      </c>
      <c r="AV253">
        <v>1</v>
      </c>
      <c r="AW253">
        <v>2</v>
      </c>
      <c r="AX253">
        <v>43135553</v>
      </c>
      <c r="AY253">
        <v>1</v>
      </c>
      <c r="AZ253">
        <v>2048</v>
      </c>
      <c r="BA253">
        <v>253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CX253">
        <f>Y253*Source!I394</f>
        <v>0.86250000000000004</v>
      </c>
      <c r="CY253">
        <f>AD253</f>
        <v>0</v>
      </c>
      <c r="CZ253">
        <f>AH253</f>
        <v>0</v>
      </c>
      <c r="DA253">
        <f>AL253</f>
        <v>25.44</v>
      </c>
      <c r="DB253">
        <f>ROUND((ROUND(AT253*CZ253,2)*1.15),6)</f>
        <v>0</v>
      </c>
      <c r="DC253">
        <f>ROUND((ROUND(AT253*AG253,2)*1.15),6)</f>
        <v>0</v>
      </c>
    </row>
    <row r="254" spans="1:107" x14ac:dyDescent="0.2">
      <c r="A254">
        <f>ROW(Source!A394)</f>
        <v>394</v>
      </c>
      <c r="B254">
        <v>42938047</v>
      </c>
      <c r="C254">
        <v>43135549</v>
      </c>
      <c r="D254">
        <v>36045025</v>
      </c>
      <c r="E254">
        <v>1</v>
      </c>
      <c r="F254">
        <v>1</v>
      </c>
      <c r="G254">
        <v>35973048</v>
      </c>
      <c r="H254">
        <v>2</v>
      </c>
      <c r="I254" t="s">
        <v>1261</v>
      </c>
      <c r="J254" t="s">
        <v>1262</v>
      </c>
      <c r="K254" t="s">
        <v>1263</v>
      </c>
      <c r="L254">
        <v>1367</v>
      </c>
      <c r="N254">
        <v>1011</v>
      </c>
      <c r="O254" t="s">
        <v>738</v>
      </c>
      <c r="P254" t="s">
        <v>738</v>
      </c>
      <c r="Q254">
        <v>1</v>
      </c>
      <c r="W254">
        <v>0</v>
      </c>
      <c r="X254">
        <v>49912578</v>
      </c>
      <c r="Y254">
        <v>0.3</v>
      </c>
      <c r="AA254">
        <v>0</v>
      </c>
      <c r="AB254">
        <v>55.97</v>
      </c>
      <c r="AC254">
        <v>0.51</v>
      </c>
      <c r="AD254">
        <v>0</v>
      </c>
      <c r="AE254">
        <v>0</v>
      </c>
      <c r="AF254">
        <v>6.15</v>
      </c>
      <c r="AG254">
        <v>0.02</v>
      </c>
      <c r="AH254">
        <v>0</v>
      </c>
      <c r="AI254">
        <v>1</v>
      </c>
      <c r="AJ254">
        <v>9.1</v>
      </c>
      <c r="AK254">
        <v>25.44</v>
      </c>
      <c r="AL254">
        <v>1</v>
      </c>
      <c r="AN254">
        <v>0</v>
      </c>
      <c r="AO254">
        <v>1</v>
      </c>
      <c r="AP254">
        <v>1</v>
      </c>
      <c r="AQ254">
        <v>0</v>
      </c>
      <c r="AR254">
        <v>0</v>
      </c>
      <c r="AS254" t="s">
        <v>3</v>
      </c>
      <c r="AT254">
        <v>0.24</v>
      </c>
      <c r="AU254" t="s">
        <v>20</v>
      </c>
      <c r="AV254">
        <v>0</v>
      </c>
      <c r="AW254">
        <v>2</v>
      </c>
      <c r="AX254">
        <v>43135554</v>
      </c>
      <c r="AY254">
        <v>1</v>
      </c>
      <c r="AZ254">
        <v>0</v>
      </c>
      <c r="BA254">
        <v>254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CX254">
        <f>Y254*Source!I394</f>
        <v>0.3</v>
      </c>
      <c r="CY254">
        <f>AB254</f>
        <v>55.97</v>
      </c>
      <c r="CZ254">
        <f>AF254</f>
        <v>6.15</v>
      </c>
      <c r="DA254">
        <f>AJ254</f>
        <v>9.1</v>
      </c>
      <c r="DB254">
        <f>ROUND((ROUND(AT254*CZ254,2)*1.25),6)</f>
        <v>1.85</v>
      </c>
      <c r="DC254">
        <f>ROUND((ROUND(AT254*AG254,2)*1.25),6)</f>
        <v>0</v>
      </c>
    </row>
    <row r="255" spans="1:107" x14ac:dyDescent="0.2">
      <c r="A255">
        <f>ROW(Source!A394)</f>
        <v>394</v>
      </c>
      <c r="B255">
        <v>42938047</v>
      </c>
      <c r="C255">
        <v>43135549</v>
      </c>
      <c r="D255">
        <v>36045308</v>
      </c>
      <c r="E255">
        <v>1</v>
      </c>
      <c r="F255">
        <v>1</v>
      </c>
      <c r="G255">
        <v>35973048</v>
      </c>
      <c r="H255">
        <v>2</v>
      </c>
      <c r="I255" t="s">
        <v>1231</v>
      </c>
      <c r="J255" t="s">
        <v>1232</v>
      </c>
      <c r="K255" t="s">
        <v>1233</v>
      </c>
      <c r="L255">
        <v>1367</v>
      </c>
      <c r="N255">
        <v>1011</v>
      </c>
      <c r="O255" t="s">
        <v>738</v>
      </c>
      <c r="P255" t="s">
        <v>738</v>
      </c>
      <c r="Q255">
        <v>1</v>
      </c>
      <c r="W255">
        <v>0</v>
      </c>
      <c r="X255">
        <v>-628430174</v>
      </c>
      <c r="Y255">
        <v>0.04</v>
      </c>
      <c r="AA255">
        <v>0</v>
      </c>
      <c r="AB255">
        <v>748.13</v>
      </c>
      <c r="AC255">
        <v>365.32</v>
      </c>
      <c r="AD255">
        <v>0</v>
      </c>
      <c r="AE255">
        <v>0</v>
      </c>
      <c r="AF255">
        <v>76.81</v>
      </c>
      <c r="AG255">
        <v>14.36</v>
      </c>
      <c r="AH255">
        <v>0</v>
      </c>
      <c r="AI255">
        <v>1</v>
      </c>
      <c r="AJ255">
        <v>9.74</v>
      </c>
      <c r="AK255">
        <v>25.44</v>
      </c>
      <c r="AL255">
        <v>1</v>
      </c>
      <c r="AN255">
        <v>0</v>
      </c>
      <c r="AO255">
        <v>1</v>
      </c>
      <c r="AP255">
        <v>1</v>
      </c>
      <c r="AQ255">
        <v>0</v>
      </c>
      <c r="AR255">
        <v>0</v>
      </c>
      <c r="AS255" t="s">
        <v>3</v>
      </c>
      <c r="AT255">
        <v>3.2000000000000001E-2</v>
      </c>
      <c r="AU255" t="s">
        <v>20</v>
      </c>
      <c r="AV255">
        <v>0</v>
      </c>
      <c r="AW255">
        <v>2</v>
      </c>
      <c r="AX255">
        <v>43135555</v>
      </c>
      <c r="AY255">
        <v>1</v>
      </c>
      <c r="AZ255">
        <v>0</v>
      </c>
      <c r="BA255">
        <v>255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CX255">
        <f>Y255*Source!I394</f>
        <v>0.04</v>
      </c>
      <c r="CY255">
        <f>AB255</f>
        <v>748.13</v>
      </c>
      <c r="CZ255">
        <f>AF255</f>
        <v>76.81</v>
      </c>
      <c r="DA255">
        <f>AJ255</f>
        <v>9.74</v>
      </c>
      <c r="DB255">
        <f>ROUND((ROUND(AT255*CZ255,2)*1.25),6)</f>
        <v>3.0750000000000002</v>
      </c>
      <c r="DC255">
        <f>ROUND((ROUND(AT255*AG255,2)*1.25),6)</f>
        <v>0.57499999999999996</v>
      </c>
    </row>
    <row r="256" spans="1:107" x14ac:dyDescent="0.2">
      <c r="A256">
        <f>ROW(Source!A394)</f>
        <v>394</v>
      </c>
      <c r="B256">
        <v>42938047</v>
      </c>
      <c r="C256">
        <v>43135549</v>
      </c>
      <c r="D256">
        <v>36044555</v>
      </c>
      <c r="E256">
        <v>1</v>
      </c>
      <c r="F256">
        <v>1</v>
      </c>
      <c r="G256">
        <v>35973048</v>
      </c>
      <c r="H256">
        <v>2</v>
      </c>
      <c r="I256" t="s">
        <v>1267</v>
      </c>
      <c r="J256" t="s">
        <v>1268</v>
      </c>
      <c r="K256" t="s">
        <v>1269</v>
      </c>
      <c r="L256">
        <v>1367</v>
      </c>
      <c r="N256">
        <v>1011</v>
      </c>
      <c r="O256" t="s">
        <v>738</v>
      </c>
      <c r="P256" t="s">
        <v>738</v>
      </c>
      <c r="Q256">
        <v>1</v>
      </c>
      <c r="W256">
        <v>0</v>
      </c>
      <c r="X256">
        <v>-266174272</v>
      </c>
      <c r="Y256">
        <v>1.25E-3</v>
      </c>
      <c r="AA256">
        <v>0</v>
      </c>
      <c r="AB256">
        <v>1636.27</v>
      </c>
      <c r="AC256">
        <v>461.74</v>
      </c>
      <c r="AD256">
        <v>0</v>
      </c>
      <c r="AE256">
        <v>0</v>
      </c>
      <c r="AF256">
        <v>190.93</v>
      </c>
      <c r="AG256">
        <v>18.149999999999999</v>
      </c>
      <c r="AH256">
        <v>0</v>
      </c>
      <c r="AI256">
        <v>1</v>
      </c>
      <c r="AJ256">
        <v>8.57</v>
      </c>
      <c r="AK256">
        <v>25.44</v>
      </c>
      <c r="AL256">
        <v>1</v>
      </c>
      <c r="AN256">
        <v>0</v>
      </c>
      <c r="AO256">
        <v>1</v>
      </c>
      <c r="AP256">
        <v>1</v>
      </c>
      <c r="AQ256">
        <v>0</v>
      </c>
      <c r="AR256">
        <v>0</v>
      </c>
      <c r="AS256" t="s">
        <v>3</v>
      </c>
      <c r="AT256">
        <v>1E-3</v>
      </c>
      <c r="AU256" t="s">
        <v>20</v>
      </c>
      <c r="AV256">
        <v>0</v>
      </c>
      <c r="AW256">
        <v>2</v>
      </c>
      <c r="AX256">
        <v>43135556</v>
      </c>
      <c r="AY256">
        <v>1</v>
      </c>
      <c r="AZ256">
        <v>0</v>
      </c>
      <c r="BA256">
        <v>256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CX256">
        <f>Y256*Source!I394</f>
        <v>1.25E-3</v>
      </c>
      <c r="CY256">
        <f>AB256</f>
        <v>1636.27</v>
      </c>
      <c r="CZ256">
        <f>AF256</f>
        <v>190.93</v>
      </c>
      <c r="DA256">
        <f>AJ256</f>
        <v>8.57</v>
      </c>
      <c r="DB256">
        <f>ROUND((ROUND(AT256*CZ256,2)*1.25),6)</f>
        <v>0.23749999999999999</v>
      </c>
      <c r="DC256">
        <f>ROUND((ROUND(AT256*AG256,2)*1.25),6)</f>
        <v>2.5000000000000001E-2</v>
      </c>
    </row>
    <row r="257" spans="1:107" x14ac:dyDescent="0.2">
      <c r="A257">
        <f>ROW(Source!A394)</f>
        <v>394</v>
      </c>
      <c r="B257">
        <v>42938047</v>
      </c>
      <c r="C257">
        <v>43135549</v>
      </c>
      <c r="D257">
        <v>35973762</v>
      </c>
      <c r="E257">
        <v>35973048</v>
      </c>
      <c r="F257">
        <v>1</v>
      </c>
      <c r="G257">
        <v>35973048</v>
      </c>
      <c r="H257">
        <v>2</v>
      </c>
      <c r="I257" t="s">
        <v>1243</v>
      </c>
      <c r="J257" t="s">
        <v>3</v>
      </c>
      <c r="K257" t="s">
        <v>1244</v>
      </c>
      <c r="L257">
        <v>1344</v>
      </c>
      <c r="N257">
        <v>1008</v>
      </c>
      <c r="O257" t="s">
        <v>1245</v>
      </c>
      <c r="P257" t="s">
        <v>1245</v>
      </c>
      <c r="Q257">
        <v>1</v>
      </c>
      <c r="W257">
        <v>0</v>
      </c>
      <c r="X257">
        <v>-1180195794</v>
      </c>
      <c r="Y257">
        <v>1.2500000000000001E-2</v>
      </c>
      <c r="AA257">
        <v>0</v>
      </c>
      <c r="AB257">
        <v>10.09</v>
      </c>
      <c r="AC257">
        <v>0</v>
      </c>
      <c r="AD257">
        <v>0</v>
      </c>
      <c r="AE257">
        <v>0</v>
      </c>
      <c r="AF257">
        <v>1</v>
      </c>
      <c r="AG257">
        <v>0</v>
      </c>
      <c r="AH257">
        <v>0</v>
      </c>
      <c r="AI257">
        <v>1</v>
      </c>
      <c r="AJ257">
        <v>9.4600000000000009</v>
      </c>
      <c r="AK257">
        <v>25.44</v>
      </c>
      <c r="AL257">
        <v>1</v>
      </c>
      <c r="AN257">
        <v>0</v>
      </c>
      <c r="AO257">
        <v>1</v>
      </c>
      <c r="AP257">
        <v>1</v>
      </c>
      <c r="AQ257">
        <v>0</v>
      </c>
      <c r="AR257">
        <v>0</v>
      </c>
      <c r="AS257" t="s">
        <v>3</v>
      </c>
      <c r="AT257">
        <v>0.01</v>
      </c>
      <c r="AU257" t="s">
        <v>20</v>
      </c>
      <c r="AV257">
        <v>0</v>
      </c>
      <c r="AW257">
        <v>2</v>
      </c>
      <c r="AX257">
        <v>43135557</v>
      </c>
      <c r="AY257">
        <v>1</v>
      </c>
      <c r="AZ257">
        <v>0</v>
      </c>
      <c r="BA257">
        <v>257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CX257">
        <f>Y257*Source!I394</f>
        <v>1.2500000000000001E-2</v>
      </c>
      <c r="CY257">
        <f>AB257</f>
        <v>10.09</v>
      </c>
      <c r="CZ257">
        <f>AF257</f>
        <v>1</v>
      </c>
      <c r="DA257">
        <f>AJ257</f>
        <v>9.4600000000000009</v>
      </c>
      <c r="DB257">
        <f>ROUND((ROUND(AT257*CZ257,2)*1.25),6)</f>
        <v>1.2500000000000001E-2</v>
      </c>
      <c r="DC257">
        <f>ROUND((ROUND(AT257*AG257,2)*1.25),6)</f>
        <v>0</v>
      </c>
    </row>
    <row r="258" spans="1:107" x14ac:dyDescent="0.2">
      <c r="A258">
        <f>ROW(Source!A394)</f>
        <v>394</v>
      </c>
      <c r="B258">
        <v>42938047</v>
      </c>
      <c r="C258">
        <v>43135549</v>
      </c>
      <c r="D258">
        <v>36021727</v>
      </c>
      <c r="E258">
        <v>1</v>
      </c>
      <c r="F258">
        <v>1</v>
      </c>
      <c r="G258">
        <v>35973048</v>
      </c>
      <c r="H258">
        <v>3</v>
      </c>
      <c r="I258" t="s">
        <v>1276</v>
      </c>
      <c r="J258" t="s">
        <v>1277</v>
      </c>
      <c r="K258" t="s">
        <v>1278</v>
      </c>
      <c r="L258">
        <v>1348</v>
      </c>
      <c r="N258">
        <v>1009</v>
      </c>
      <c r="O258" t="s">
        <v>104</v>
      </c>
      <c r="P258" t="s">
        <v>104</v>
      </c>
      <c r="Q258">
        <v>1000</v>
      </c>
      <c r="W258">
        <v>0</v>
      </c>
      <c r="X258">
        <v>1310716689</v>
      </c>
      <c r="Y258">
        <v>6.9999999999999994E-5</v>
      </c>
      <c r="AA258">
        <v>117442.26</v>
      </c>
      <c r="AB258">
        <v>0</v>
      </c>
      <c r="AC258">
        <v>0</v>
      </c>
      <c r="AD258">
        <v>0</v>
      </c>
      <c r="AE258">
        <v>7191.81</v>
      </c>
      <c r="AF258">
        <v>0</v>
      </c>
      <c r="AG258">
        <v>0</v>
      </c>
      <c r="AH258">
        <v>0</v>
      </c>
      <c r="AI258">
        <v>16.329999999999998</v>
      </c>
      <c r="AJ258">
        <v>1</v>
      </c>
      <c r="AK258">
        <v>1</v>
      </c>
      <c r="AL258">
        <v>1</v>
      </c>
      <c r="AN258">
        <v>0</v>
      </c>
      <c r="AO258">
        <v>1</v>
      </c>
      <c r="AP258">
        <v>0</v>
      </c>
      <c r="AQ258">
        <v>0</v>
      </c>
      <c r="AR258">
        <v>0</v>
      </c>
      <c r="AS258" t="s">
        <v>3</v>
      </c>
      <c r="AT258">
        <v>6.9999999999999994E-5</v>
      </c>
      <c r="AU258" t="s">
        <v>3</v>
      </c>
      <c r="AV258">
        <v>0</v>
      </c>
      <c r="AW258">
        <v>2</v>
      </c>
      <c r="AX258">
        <v>43135558</v>
      </c>
      <c r="AY258">
        <v>1</v>
      </c>
      <c r="AZ258">
        <v>0</v>
      </c>
      <c r="BA258">
        <v>258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CX258">
        <f>Y258*Source!I394</f>
        <v>6.9999999999999994E-5</v>
      </c>
      <c r="CY258">
        <f>AA258</f>
        <v>117442.26</v>
      </c>
      <c r="CZ258">
        <f>AE258</f>
        <v>7191.81</v>
      </c>
      <c r="DA258">
        <f>AI258</f>
        <v>16.329999999999998</v>
      </c>
      <c r="DB258">
        <f>ROUND(ROUND(AT258*CZ258,2),6)</f>
        <v>0.5</v>
      </c>
      <c r="DC258">
        <f>ROUND(ROUND(AT258*AG258,2),6)</f>
        <v>0</v>
      </c>
    </row>
    <row r="259" spans="1:107" x14ac:dyDescent="0.2">
      <c r="A259">
        <f>ROW(Source!A395)</f>
        <v>395</v>
      </c>
      <c r="B259">
        <v>42938047</v>
      </c>
      <c r="C259">
        <v>43135550</v>
      </c>
      <c r="D259">
        <v>35973053</v>
      </c>
      <c r="E259">
        <v>35973048</v>
      </c>
      <c r="F259">
        <v>1</v>
      </c>
      <c r="G259">
        <v>35973048</v>
      </c>
      <c r="H259">
        <v>1</v>
      </c>
      <c r="I259" t="s">
        <v>1228</v>
      </c>
      <c r="J259" t="s">
        <v>3</v>
      </c>
      <c r="K259" t="s">
        <v>1229</v>
      </c>
      <c r="L259">
        <v>1191</v>
      </c>
      <c r="N259">
        <v>1013</v>
      </c>
      <c r="O259" t="s">
        <v>1230</v>
      </c>
      <c r="P259" t="s">
        <v>1230</v>
      </c>
      <c r="Q259">
        <v>1</v>
      </c>
      <c r="W259">
        <v>0</v>
      </c>
      <c r="X259">
        <v>476480486</v>
      </c>
      <c r="Y259">
        <v>14.95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1</v>
      </c>
      <c r="AJ259">
        <v>1</v>
      </c>
      <c r="AK259">
        <v>1</v>
      </c>
      <c r="AL259">
        <v>25.44</v>
      </c>
      <c r="AN259">
        <v>0</v>
      </c>
      <c r="AO259">
        <v>1</v>
      </c>
      <c r="AP259">
        <v>1</v>
      </c>
      <c r="AQ259">
        <v>0</v>
      </c>
      <c r="AR259">
        <v>0</v>
      </c>
      <c r="AS259" t="s">
        <v>3</v>
      </c>
      <c r="AT259">
        <v>13</v>
      </c>
      <c r="AU259" t="s">
        <v>21</v>
      </c>
      <c r="AV259">
        <v>1</v>
      </c>
      <c r="AW259">
        <v>2</v>
      </c>
      <c r="AX259">
        <v>43135561</v>
      </c>
      <c r="AY259">
        <v>1</v>
      </c>
      <c r="AZ259">
        <v>0</v>
      </c>
      <c r="BA259">
        <v>260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CX259">
        <f>Y259*Source!I395</f>
        <v>29.9</v>
      </c>
      <c r="CY259">
        <f>AD259</f>
        <v>0</v>
      </c>
      <c r="CZ259">
        <f>AH259</f>
        <v>0</v>
      </c>
      <c r="DA259">
        <f>AL259</f>
        <v>25.44</v>
      </c>
      <c r="DB259">
        <f>ROUND((ROUND(AT259*CZ259,2)*1.15),6)</f>
        <v>0</v>
      </c>
      <c r="DC259">
        <f>ROUND((ROUND(AT259*AG259,2)*1.15),6)</f>
        <v>0</v>
      </c>
    </row>
    <row r="260" spans="1:107" x14ac:dyDescent="0.2">
      <c r="A260">
        <f>ROW(Source!A395)</f>
        <v>395</v>
      </c>
      <c r="B260">
        <v>42938047</v>
      </c>
      <c r="C260">
        <v>43135550</v>
      </c>
      <c r="D260">
        <v>35973762</v>
      </c>
      <c r="E260">
        <v>35973048</v>
      </c>
      <c r="F260">
        <v>1</v>
      </c>
      <c r="G260">
        <v>35973048</v>
      </c>
      <c r="H260">
        <v>2</v>
      </c>
      <c r="I260" t="s">
        <v>1243</v>
      </c>
      <c r="J260" t="s">
        <v>3</v>
      </c>
      <c r="K260" t="s">
        <v>1244</v>
      </c>
      <c r="L260">
        <v>1344</v>
      </c>
      <c r="N260">
        <v>1008</v>
      </c>
      <c r="O260" t="s">
        <v>1245</v>
      </c>
      <c r="P260" t="s">
        <v>1245</v>
      </c>
      <c r="Q260">
        <v>1</v>
      </c>
      <c r="W260">
        <v>0</v>
      </c>
      <c r="X260">
        <v>-1180195794</v>
      </c>
      <c r="Y260">
        <v>19.074999999999999</v>
      </c>
      <c r="AA260">
        <v>0</v>
      </c>
      <c r="AB260">
        <v>10.61</v>
      </c>
      <c r="AC260">
        <v>0</v>
      </c>
      <c r="AD260">
        <v>0</v>
      </c>
      <c r="AE260">
        <v>0</v>
      </c>
      <c r="AF260">
        <v>1</v>
      </c>
      <c r="AG260">
        <v>0</v>
      </c>
      <c r="AH260">
        <v>0</v>
      </c>
      <c r="AI260">
        <v>1</v>
      </c>
      <c r="AJ260">
        <v>9.94</v>
      </c>
      <c r="AK260">
        <v>25.44</v>
      </c>
      <c r="AL260">
        <v>1</v>
      </c>
      <c r="AN260">
        <v>0</v>
      </c>
      <c r="AO260">
        <v>1</v>
      </c>
      <c r="AP260">
        <v>1</v>
      </c>
      <c r="AQ260">
        <v>0</v>
      </c>
      <c r="AR260">
        <v>0</v>
      </c>
      <c r="AS260" t="s">
        <v>3</v>
      </c>
      <c r="AT260">
        <v>15.26</v>
      </c>
      <c r="AU260" t="s">
        <v>20</v>
      </c>
      <c r="AV260">
        <v>0</v>
      </c>
      <c r="AW260">
        <v>2</v>
      </c>
      <c r="AX260">
        <v>43135562</v>
      </c>
      <c r="AY260">
        <v>1</v>
      </c>
      <c r="AZ260">
        <v>0</v>
      </c>
      <c r="BA260">
        <v>261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CX260">
        <f>Y260*Source!I395</f>
        <v>38.15</v>
      </c>
      <c r="CY260">
        <f>AB260</f>
        <v>10.61</v>
      </c>
      <c r="CZ260">
        <f>AF260</f>
        <v>1</v>
      </c>
      <c r="DA260">
        <f>AJ260</f>
        <v>9.94</v>
      </c>
      <c r="DB260">
        <f>ROUND((ROUND(AT260*CZ260,2)*1.25),6)</f>
        <v>19.074999999999999</v>
      </c>
      <c r="DC260">
        <f>ROUND((ROUND(AT260*AG260,2)*1.25),6)</f>
        <v>0</v>
      </c>
    </row>
    <row r="261" spans="1:107" x14ac:dyDescent="0.2">
      <c r="A261">
        <f>ROW(Source!A395)</f>
        <v>395</v>
      </c>
      <c r="B261">
        <v>42938047</v>
      </c>
      <c r="C261">
        <v>43135550</v>
      </c>
      <c r="D261">
        <v>36027633</v>
      </c>
      <c r="E261">
        <v>1</v>
      </c>
      <c r="F261">
        <v>1</v>
      </c>
      <c r="G261">
        <v>35973048</v>
      </c>
      <c r="H261">
        <v>3</v>
      </c>
      <c r="I261" t="s">
        <v>1379</v>
      </c>
      <c r="J261" t="s">
        <v>1380</v>
      </c>
      <c r="K261" t="s">
        <v>1381</v>
      </c>
      <c r="L261">
        <v>1354</v>
      </c>
      <c r="N261">
        <v>1010</v>
      </c>
      <c r="O261" t="s">
        <v>169</v>
      </c>
      <c r="P261" t="s">
        <v>169</v>
      </c>
      <c r="Q261">
        <v>1</v>
      </c>
      <c r="W261">
        <v>0</v>
      </c>
      <c r="X261">
        <v>680485650</v>
      </c>
      <c r="Y261">
        <v>1</v>
      </c>
      <c r="AA261">
        <v>199.82</v>
      </c>
      <c r="AB261">
        <v>0</v>
      </c>
      <c r="AC261">
        <v>0</v>
      </c>
      <c r="AD261">
        <v>0</v>
      </c>
      <c r="AE261">
        <v>37.630000000000003</v>
      </c>
      <c r="AF261">
        <v>0</v>
      </c>
      <c r="AG261">
        <v>0</v>
      </c>
      <c r="AH261">
        <v>0</v>
      </c>
      <c r="AI261">
        <v>5.31</v>
      </c>
      <c r="AJ261">
        <v>1</v>
      </c>
      <c r="AK261">
        <v>1</v>
      </c>
      <c r="AL261">
        <v>1</v>
      </c>
      <c r="AN261">
        <v>0</v>
      </c>
      <c r="AO261">
        <v>1</v>
      </c>
      <c r="AP261">
        <v>0</v>
      </c>
      <c r="AQ261">
        <v>0</v>
      </c>
      <c r="AR261">
        <v>0</v>
      </c>
      <c r="AS261" t="s">
        <v>3</v>
      </c>
      <c r="AT261">
        <v>1</v>
      </c>
      <c r="AU261" t="s">
        <v>3</v>
      </c>
      <c r="AV261">
        <v>0</v>
      </c>
      <c r="AW261">
        <v>2</v>
      </c>
      <c r="AX261">
        <v>43135563</v>
      </c>
      <c r="AY261">
        <v>1</v>
      </c>
      <c r="AZ261">
        <v>0</v>
      </c>
      <c r="BA261">
        <v>262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CX261">
        <f>Y261*Source!I395</f>
        <v>2</v>
      </c>
      <c r="CY261">
        <f>AA261</f>
        <v>199.82</v>
      </c>
      <c r="CZ261">
        <f>AE261</f>
        <v>37.630000000000003</v>
      </c>
      <c r="DA261">
        <f>AI261</f>
        <v>5.31</v>
      </c>
      <c r="DB261">
        <f>ROUND(ROUND(AT261*CZ261,2),6)</f>
        <v>37.630000000000003</v>
      </c>
      <c r="DC261">
        <f>ROUND(ROUND(AT261*AG261,2),6)</f>
        <v>0</v>
      </c>
    </row>
    <row r="262" spans="1:107" x14ac:dyDescent="0.2">
      <c r="A262">
        <f>ROW(Source!A395)</f>
        <v>395</v>
      </c>
      <c r="B262">
        <v>42938047</v>
      </c>
      <c r="C262">
        <v>43135550</v>
      </c>
      <c r="D262">
        <v>36027634</v>
      </c>
      <c r="E262">
        <v>1</v>
      </c>
      <c r="F262">
        <v>1</v>
      </c>
      <c r="G262">
        <v>35973048</v>
      </c>
      <c r="H262">
        <v>3</v>
      </c>
      <c r="I262" t="s">
        <v>1382</v>
      </c>
      <c r="J262" t="s">
        <v>1383</v>
      </c>
      <c r="K262" t="s">
        <v>1384</v>
      </c>
      <c r="L262">
        <v>1354</v>
      </c>
      <c r="N262">
        <v>1010</v>
      </c>
      <c r="O262" t="s">
        <v>169</v>
      </c>
      <c r="P262" t="s">
        <v>169</v>
      </c>
      <c r="Q262">
        <v>1</v>
      </c>
      <c r="W262">
        <v>0</v>
      </c>
      <c r="X262">
        <v>3391382</v>
      </c>
      <c r="Y262">
        <v>1</v>
      </c>
      <c r="AA262">
        <v>212.75</v>
      </c>
      <c r="AB262">
        <v>0</v>
      </c>
      <c r="AC262">
        <v>0</v>
      </c>
      <c r="AD262">
        <v>0</v>
      </c>
      <c r="AE262">
        <v>45.95</v>
      </c>
      <c r="AF262">
        <v>0</v>
      </c>
      <c r="AG262">
        <v>0</v>
      </c>
      <c r="AH262">
        <v>0</v>
      </c>
      <c r="AI262">
        <v>4.63</v>
      </c>
      <c r="AJ262">
        <v>1</v>
      </c>
      <c r="AK262">
        <v>1</v>
      </c>
      <c r="AL262">
        <v>1</v>
      </c>
      <c r="AN262">
        <v>0</v>
      </c>
      <c r="AO262">
        <v>1</v>
      </c>
      <c r="AP262">
        <v>0</v>
      </c>
      <c r="AQ262">
        <v>0</v>
      </c>
      <c r="AR262">
        <v>0</v>
      </c>
      <c r="AS262" t="s">
        <v>3</v>
      </c>
      <c r="AT262">
        <v>1</v>
      </c>
      <c r="AU262" t="s">
        <v>3</v>
      </c>
      <c r="AV262">
        <v>0</v>
      </c>
      <c r="AW262">
        <v>2</v>
      </c>
      <c r="AX262">
        <v>43135564</v>
      </c>
      <c r="AY262">
        <v>1</v>
      </c>
      <c r="AZ262">
        <v>0</v>
      </c>
      <c r="BA262">
        <v>263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CX262">
        <f>Y262*Source!I395</f>
        <v>2</v>
      </c>
      <c r="CY262">
        <f>AA262</f>
        <v>212.75</v>
      </c>
      <c r="CZ262">
        <f>AE262</f>
        <v>45.95</v>
      </c>
      <c r="DA262">
        <f>AI262</f>
        <v>4.63</v>
      </c>
      <c r="DB262">
        <f>ROUND(ROUND(AT262*CZ262,2),6)</f>
        <v>45.95</v>
      </c>
      <c r="DC262">
        <f>ROUND(ROUND(AT262*AG262,2),6)</f>
        <v>0</v>
      </c>
    </row>
    <row r="263" spans="1:107" x14ac:dyDescent="0.2">
      <c r="A263">
        <f>ROW(Source!A395)</f>
        <v>395</v>
      </c>
      <c r="B263">
        <v>42938047</v>
      </c>
      <c r="C263">
        <v>43135550</v>
      </c>
      <c r="D263">
        <v>35994366</v>
      </c>
      <c r="E263">
        <v>35973048</v>
      </c>
      <c r="F263">
        <v>1</v>
      </c>
      <c r="G263">
        <v>35973048</v>
      </c>
      <c r="H263">
        <v>3</v>
      </c>
      <c r="I263" t="s">
        <v>1294</v>
      </c>
      <c r="J263" t="s">
        <v>3</v>
      </c>
      <c r="K263" t="s">
        <v>1295</v>
      </c>
      <c r="L263">
        <v>1344</v>
      </c>
      <c r="N263">
        <v>1008</v>
      </c>
      <c r="O263" t="s">
        <v>1245</v>
      </c>
      <c r="P263" t="s">
        <v>1245</v>
      </c>
      <c r="Q263">
        <v>1</v>
      </c>
      <c r="W263">
        <v>0</v>
      </c>
      <c r="X263">
        <v>-94250534</v>
      </c>
      <c r="Y263">
        <v>19.18</v>
      </c>
      <c r="AA263">
        <v>5.24</v>
      </c>
      <c r="AB263">
        <v>0</v>
      </c>
      <c r="AC263">
        <v>0</v>
      </c>
      <c r="AD263">
        <v>0</v>
      </c>
      <c r="AE263">
        <v>1</v>
      </c>
      <c r="AF263">
        <v>0</v>
      </c>
      <c r="AG263">
        <v>0</v>
      </c>
      <c r="AH263">
        <v>0</v>
      </c>
      <c r="AI263">
        <v>5.24</v>
      </c>
      <c r="AJ263">
        <v>1</v>
      </c>
      <c r="AK263">
        <v>1</v>
      </c>
      <c r="AL263">
        <v>1</v>
      </c>
      <c r="AN263">
        <v>0</v>
      </c>
      <c r="AO263">
        <v>1</v>
      </c>
      <c r="AP263">
        <v>0</v>
      </c>
      <c r="AQ263">
        <v>0</v>
      </c>
      <c r="AR263">
        <v>0</v>
      </c>
      <c r="AS263" t="s">
        <v>3</v>
      </c>
      <c r="AT263">
        <v>19.18</v>
      </c>
      <c r="AU263" t="s">
        <v>3</v>
      </c>
      <c r="AV263">
        <v>0</v>
      </c>
      <c r="AW263">
        <v>2</v>
      </c>
      <c r="AX263">
        <v>43135566</v>
      </c>
      <c r="AY263">
        <v>1</v>
      </c>
      <c r="AZ263">
        <v>0</v>
      </c>
      <c r="BA263">
        <v>265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CX263">
        <f>Y263*Source!I395</f>
        <v>38.36</v>
      </c>
      <c r="CY263">
        <f>AA263</f>
        <v>5.24</v>
      </c>
      <c r="CZ263">
        <f>AE263</f>
        <v>1</v>
      </c>
      <c r="DA263">
        <f>AI263</f>
        <v>5.24</v>
      </c>
      <c r="DB263">
        <f>ROUND(ROUND(AT263*CZ263,2),6)</f>
        <v>19.18</v>
      </c>
      <c r="DC263">
        <f>ROUND(ROUND(AT263*AG263,2),6)</f>
        <v>0</v>
      </c>
    </row>
    <row r="264" spans="1:107" x14ac:dyDescent="0.2">
      <c r="A264">
        <f>ROW(Source!A396)</f>
        <v>396</v>
      </c>
      <c r="B264">
        <v>42938047</v>
      </c>
      <c r="C264">
        <v>43135552</v>
      </c>
      <c r="D264">
        <v>35973053</v>
      </c>
      <c r="E264">
        <v>35973048</v>
      </c>
      <c r="F264">
        <v>1</v>
      </c>
      <c r="G264">
        <v>35973048</v>
      </c>
      <c r="H264">
        <v>1</v>
      </c>
      <c r="I264" t="s">
        <v>1228</v>
      </c>
      <c r="J264" t="s">
        <v>3</v>
      </c>
      <c r="K264" t="s">
        <v>1229</v>
      </c>
      <c r="L264">
        <v>1191</v>
      </c>
      <c r="N264">
        <v>1013</v>
      </c>
      <c r="O264" t="s">
        <v>1230</v>
      </c>
      <c r="P264" t="s">
        <v>1230</v>
      </c>
      <c r="Q264">
        <v>1</v>
      </c>
      <c r="W264">
        <v>0</v>
      </c>
      <c r="X264">
        <v>476480486</v>
      </c>
      <c r="Y264">
        <v>2.06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1</v>
      </c>
      <c r="AJ264">
        <v>1</v>
      </c>
      <c r="AK264">
        <v>1</v>
      </c>
      <c r="AL264">
        <v>25.44</v>
      </c>
      <c r="AN264">
        <v>0</v>
      </c>
      <c r="AO264">
        <v>1</v>
      </c>
      <c r="AP264">
        <v>0</v>
      </c>
      <c r="AQ264">
        <v>0</v>
      </c>
      <c r="AR264">
        <v>0</v>
      </c>
      <c r="AS264" t="s">
        <v>3</v>
      </c>
      <c r="AT264">
        <v>2.06</v>
      </c>
      <c r="AU264" t="s">
        <v>3</v>
      </c>
      <c r="AV264">
        <v>1</v>
      </c>
      <c r="AW264">
        <v>2</v>
      </c>
      <c r="AX264">
        <v>43135589</v>
      </c>
      <c r="AY264">
        <v>1</v>
      </c>
      <c r="AZ264">
        <v>0</v>
      </c>
      <c r="BA264">
        <v>266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CX264">
        <f>Y264*Source!I396</f>
        <v>2.06</v>
      </c>
      <c r="CY264">
        <f t="shared" ref="CY264:CY270" si="51">AD264</f>
        <v>0</v>
      </c>
      <c r="CZ264">
        <f t="shared" ref="CZ264:CZ270" si="52">AH264</f>
        <v>0</v>
      </c>
      <c r="DA264">
        <f t="shared" ref="DA264:DA270" si="53">AL264</f>
        <v>25.44</v>
      </c>
      <c r="DB264">
        <f>ROUND(ROUND(AT264*CZ264,2),6)</f>
        <v>0</v>
      </c>
      <c r="DC264">
        <f>ROUND(ROUND(AT264*AG264,2),6)</f>
        <v>0</v>
      </c>
    </row>
    <row r="265" spans="1:107" x14ac:dyDescent="0.2">
      <c r="A265">
        <f>ROW(Source!A397)</f>
        <v>397</v>
      </c>
      <c r="B265">
        <v>42938047</v>
      </c>
      <c r="C265">
        <v>43135591</v>
      </c>
      <c r="D265">
        <v>35973053</v>
      </c>
      <c r="E265">
        <v>35973048</v>
      </c>
      <c r="F265">
        <v>1</v>
      </c>
      <c r="G265">
        <v>35973048</v>
      </c>
      <c r="H265">
        <v>1</v>
      </c>
      <c r="I265" t="s">
        <v>1228</v>
      </c>
      <c r="J265" t="s">
        <v>3</v>
      </c>
      <c r="K265" t="s">
        <v>1229</v>
      </c>
      <c r="L265">
        <v>1191</v>
      </c>
      <c r="N265">
        <v>1013</v>
      </c>
      <c r="O265" t="s">
        <v>1230</v>
      </c>
      <c r="P265" t="s">
        <v>1230</v>
      </c>
      <c r="Q265">
        <v>1</v>
      </c>
      <c r="W265">
        <v>0</v>
      </c>
      <c r="X265">
        <v>476480486</v>
      </c>
      <c r="Y265">
        <v>15.45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1</v>
      </c>
      <c r="AJ265">
        <v>1</v>
      </c>
      <c r="AK265">
        <v>1</v>
      </c>
      <c r="AL265">
        <v>25.44</v>
      </c>
      <c r="AN265">
        <v>0</v>
      </c>
      <c r="AO265">
        <v>1</v>
      </c>
      <c r="AP265">
        <v>0</v>
      </c>
      <c r="AQ265">
        <v>0</v>
      </c>
      <c r="AR265">
        <v>0</v>
      </c>
      <c r="AS265" t="s">
        <v>3</v>
      </c>
      <c r="AT265">
        <v>15.45</v>
      </c>
      <c r="AU265" t="s">
        <v>3</v>
      </c>
      <c r="AV265">
        <v>1</v>
      </c>
      <c r="AW265">
        <v>2</v>
      </c>
      <c r="AX265">
        <v>43135593</v>
      </c>
      <c r="AY265">
        <v>1</v>
      </c>
      <c r="AZ265">
        <v>0</v>
      </c>
      <c r="BA265">
        <v>267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CX265">
        <f>Y265*Source!I397</f>
        <v>1.5449999999999999</v>
      </c>
      <c r="CY265">
        <f t="shared" si="51"/>
        <v>0</v>
      </c>
      <c r="CZ265">
        <f t="shared" si="52"/>
        <v>0</v>
      </c>
      <c r="DA265">
        <f t="shared" si="53"/>
        <v>25.44</v>
      </c>
      <c r="DB265">
        <f>ROUND(ROUND(AT265*CZ265,2),6)</f>
        <v>0</v>
      </c>
      <c r="DC265">
        <f>ROUND(ROUND(AT265*AG265,2),6)</f>
        <v>0</v>
      </c>
    </row>
    <row r="266" spans="1:107" x14ac:dyDescent="0.2">
      <c r="A266">
        <f>ROW(Source!A398)</f>
        <v>398</v>
      </c>
      <c r="B266">
        <v>42938047</v>
      </c>
      <c r="C266">
        <v>43135596</v>
      </c>
      <c r="D266">
        <v>35973053</v>
      </c>
      <c r="E266">
        <v>35973048</v>
      </c>
      <c r="F266">
        <v>1</v>
      </c>
      <c r="G266">
        <v>35973048</v>
      </c>
      <c r="H266">
        <v>1</v>
      </c>
      <c r="I266" t="s">
        <v>1228</v>
      </c>
      <c r="J266" t="s">
        <v>3</v>
      </c>
      <c r="K266" t="s">
        <v>1229</v>
      </c>
      <c r="L266">
        <v>1191</v>
      </c>
      <c r="N266">
        <v>1013</v>
      </c>
      <c r="O266" t="s">
        <v>1230</v>
      </c>
      <c r="P266" t="s">
        <v>1230</v>
      </c>
      <c r="Q266">
        <v>1</v>
      </c>
      <c r="W266">
        <v>0</v>
      </c>
      <c r="X266">
        <v>476480486</v>
      </c>
      <c r="Y266">
        <v>1.0720000000000001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1</v>
      </c>
      <c r="AJ266">
        <v>1</v>
      </c>
      <c r="AK266">
        <v>1</v>
      </c>
      <c r="AL266">
        <v>25.44</v>
      </c>
      <c r="AN266">
        <v>0</v>
      </c>
      <c r="AO266">
        <v>1</v>
      </c>
      <c r="AP266">
        <v>1</v>
      </c>
      <c r="AQ266">
        <v>0</v>
      </c>
      <c r="AR266">
        <v>0</v>
      </c>
      <c r="AS266" t="s">
        <v>3</v>
      </c>
      <c r="AT266">
        <v>1.34</v>
      </c>
      <c r="AU266" t="s">
        <v>566</v>
      </c>
      <c r="AV266">
        <v>1</v>
      </c>
      <c r="AW266">
        <v>2</v>
      </c>
      <c r="AX266">
        <v>43135598</v>
      </c>
      <c r="AY266">
        <v>1</v>
      </c>
      <c r="AZ266">
        <v>0</v>
      </c>
      <c r="BA266">
        <v>268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CX266">
        <f>Y266*Source!I398</f>
        <v>4.2880000000000003</v>
      </c>
      <c r="CY266">
        <f t="shared" si="51"/>
        <v>0</v>
      </c>
      <c r="CZ266">
        <f t="shared" si="52"/>
        <v>0</v>
      </c>
      <c r="DA266">
        <f t="shared" si="53"/>
        <v>25.44</v>
      </c>
      <c r="DB266">
        <f>ROUND((ROUND(AT266*CZ266,2)*0.8),6)</f>
        <v>0</v>
      </c>
      <c r="DC266">
        <f>ROUND((ROUND(AT266*AG266,2)*0.8),6)</f>
        <v>0</v>
      </c>
    </row>
    <row r="267" spans="1:107" x14ac:dyDescent="0.2">
      <c r="A267">
        <f>ROW(Source!A399)</f>
        <v>399</v>
      </c>
      <c r="B267">
        <v>42938047</v>
      </c>
      <c r="C267">
        <v>43135592</v>
      </c>
      <c r="D267">
        <v>35973053</v>
      </c>
      <c r="E267">
        <v>35973048</v>
      </c>
      <c r="F267">
        <v>1</v>
      </c>
      <c r="G267">
        <v>35973048</v>
      </c>
      <c r="H267">
        <v>1</v>
      </c>
      <c r="I267" t="s">
        <v>1228</v>
      </c>
      <c r="J267" t="s">
        <v>3</v>
      </c>
      <c r="K267" t="s">
        <v>1229</v>
      </c>
      <c r="L267">
        <v>1191</v>
      </c>
      <c r="N267">
        <v>1013</v>
      </c>
      <c r="O267" t="s">
        <v>1230</v>
      </c>
      <c r="P267" t="s">
        <v>1230</v>
      </c>
      <c r="Q267">
        <v>1</v>
      </c>
      <c r="W267">
        <v>0</v>
      </c>
      <c r="X267">
        <v>476480486</v>
      </c>
      <c r="Y267">
        <v>27.47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1</v>
      </c>
      <c r="AJ267">
        <v>1</v>
      </c>
      <c r="AK267">
        <v>1</v>
      </c>
      <c r="AL267">
        <v>25.44</v>
      </c>
      <c r="AN267">
        <v>0</v>
      </c>
      <c r="AO267">
        <v>1</v>
      </c>
      <c r="AP267">
        <v>0</v>
      </c>
      <c r="AQ267">
        <v>0</v>
      </c>
      <c r="AR267">
        <v>0</v>
      </c>
      <c r="AS267" t="s">
        <v>3</v>
      </c>
      <c r="AT267">
        <v>27.47</v>
      </c>
      <c r="AU267" t="s">
        <v>3</v>
      </c>
      <c r="AV267">
        <v>1</v>
      </c>
      <c r="AW267">
        <v>2</v>
      </c>
      <c r="AX267">
        <v>43135595</v>
      </c>
      <c r="AY267">
        <v>1</v>
      </c>
      <c r="AZ267">
        <v>0</v>
      </c>
      <c r="BA267">
        <v>269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CX267">
        <f>Y267*Source!I399</f>
        <v>0.2747</v>
      </c>
      <c r="CY267">
        <f t="shared" si="51"/>
        <v>0</v>
      </c>
      <c r="CZ267">
        <f t="shared" si="52"/>
        <v>0</v>
      </c>
      <c r="DA267">
        <f t="shared" si="53"/>
        <v>25.44</v>
      </c>
      <c r="DB267">
        <f>ROUND(ROUND(AT267*CZ267,2),6)</f>
        <v>0</v>
      </c>
      <c r="DC267">
        <f>ROUND(ROUND(AT267*AG267,2),6)</f>
        <v>0</v>
      </c>
    </row>
    <row r="268" spans="1:107" x14ac:dyDescent="0.2">
      <c r="A268">
        <f>ROW(Source!A400)</f>
        <v>400</v>
      </c>
      <c r="B268">
        <v>42938047</v>
      </c>
      <c r="C268">
        <v>43135669</v>
      </c>
      <c r="D268">
        <v>35973053</v>
      </c>
      <c r="E268">
        <v>35973048</v>
      </c>
      <c r="F268">
        <v>1</v>
      </c>
      <c r="G268">
        <v>35973048</v>
      </c>
      <c r="H268">
        <v>1</v>
      </c>
      <c r="I268" t="s">
        <v>1228</v>
      </c>
      <c r="J268" t="s">
        <v>3</v>
      </c>
      <c r="K268" t="s">
        <v>1229</v>
      </c>
      <c r="L268">
        <v>1191</v>
      </c>
      <c r="N268">
        <v>1013</v>
      </c>
      <c r="O268" t="s">
        <v>1230</v>
      </c>
      <c r="P268" t="s">
        <v>1230</v>
      </c>
      <c r="Q268">
        <v>1</v>
      </c>
      <c r="W268">
        <v>0</v>
      </c>
      <c r="X268">
        <v>476480486</v>
      </c>
      <c r="Y268">
        <v>15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1</v>
      </c>
      <c r="AJ268">
        <v>1</v>
      </c>
      <c r="AK268">
        <v>1</v>
      </c>
      <c r="AL268">
        <v>25.44</v>
      </c>
      <c r="AN268">
        <v>0</v>
      </c>
      <c r="AO268">
        <v>1</v>
      </c>
      <c r="AP268">
        <v>0</v>
      </c>
      <c r="AQ268">
        <v>0</v>
      </c>
      <c r="AR268">
        <v>0</v>
      </c>
      <c r="AS268" t="s">
        <v>3</v>
      </c>
      <c r="AT268">
        <v>15</v>
      </c>
      <c r="AU268" t="s">
        <v>3</v>
      </c>
      <c r="AV268">
        <v>1</v>
      </c>
      <c r="AW268">
        <v>2</v>
      </c>
      <c r="AX268">
        <v>43135778</v>
      </c>
      <c r="AY268">
        <v>1</v>
      </c>
      <c r="AZ268">
        <v>0</v>
      </c>
      <c r="BA268">
        <v>270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CX268">
        <f>Y268*Source!I400</f>
        <v>105</v>
      </c>
      <c r="CY268">
        <f t="shared" si="51"/>
        <v>0</v>
      </c>
      <c r="CZ268">
        <f t="shared" si="52"/>
        <v>0</v>
      </c>
      <c r="DA268">
        <f t="shared" si="53"/>
        <v>25.44</v>
      </c>
      <c r="DB268">
        <f>ROUND(ROUND(AT268*CZ268,2),6)</f>
        <v>0</v>
      </c>
      <c r="DC268">
        <f>ROUND(ROUND(AT268*AG268,2),6)</f>
        <v>0</v>
      </c>
    </row>
    <row r="269" spans="1:107" x14ac:dyDescent="0.2">
      <c r="A269">
        <f>ROW(Source!A401)</f>
        <v>401</v>
      </c>
      <c r="B269">
        <v>42938047</v>
      </c>
      <c r="C269">
        <v>43135697</v>
      </c>
      <c r="D269">
        <v>35973053</v>
      </c>
      <c r="E269">
        <v>35973048</v>
      </c>
      <c r="F269">
        <v>1</v>
      </c>
      <c r="G269">
        <v>35973048</v>
      </c>
      <c r="H269">
        <v>1</v>
      </c>
      <c r="I269" t="s">
        <v>1228</v>
      </c>
      <c r="J269" t="s">
        <v>3</v>
      </c>
      <c r="K269" t="s">
        <v>1229</v>
      </c>
      <c r="L269">
        <v>1191</v>
      </c>
      <c r="N269">
        <v>1013</v>
      </c>
      <c r="O269" t="s">
        <v>1230</v>
      </c>
      <c r="P269" t="s">
        <v>1230</v>
      </c>
      <c r="Q269">
        <v>1</v>
      </c>
      <c r="W269">
        <v>0</v>
      </c>
      <c r="X269">
        <v>476480486</v>
      </c>
      <c r="Y269">
        <v>6.18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1</v>
      </c>
      <c r="AJ269">
        <v>1</v>
      </c>
      <c r="AK269">
        <v>1</v>
      </c>
      <c r="AL269">
        <v>25.44</v>
      </c>
      <c r="AN269">
        <v>0</v>
      </c>
      <c r="AO269">
        <v>1</v>
      </c>
      <c r="AP269">
        <v>0</v>
      </c>
      <c r="AQ269">
        <v>0</v>
      </c>
      <c r="AR269">
        <v>0</v>
      </c>
      <c r="AS269" t="s">
        <v>3</v>
      </c>
      <c r="AT269">
        <v>6.18</v>
      </c>
      <c r="AU269" t="s">
        <v>3</v>
      </c>
      <c r="AV269">
        <v>1</v>
      </c>
      <c r="AW269">
        <v>2</v>
      </c>
      <c r="AX269">
        <v>43135698</v>
      </c>
      <c r="AY269">
        <v>1</v>
      </c>
      <c r="AZ269">
        <v>0</v>
      </c>
      <c r="BA269">
        <v>274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CX269">
        <f>Y269*Source!I401</f>
        <v>43.26</v>
      </c>
      <c r="CY269">
        <f t="shared" si="51"/>
        <v>0</v>
      </c>
      <c r="CZ269">
        <f t="shared" si="52"/>
        <v>0</v>
      </c>
      <c r="DA269">
        <f t="shared" si="53"/>
        <v>25.44</v>
      </c>
      <c r="DB269">
        <f>ROUND(ROUND(AT269*CZ269,2),6)</f>
        <v>0</v>
      </c>
      <c r="DC269">
        <f>ROUND(ROUND(AT269*AG269,2),6)</f>
        <v>0</v>
      </c>
    </row>
    <row r="270" spans="1:107" x14ac:dyDescent="0.2">
      <c r="A270">
        <f>ROW(Source!A402)</f>
        <v>402</v>
      </c>
      <c r="B270">
        <v>42938047</v>
      </c>
      <c r="C270">
        <v>43135895</v>
      </c>
      <c r="D270">
        <v>35973053</v>
      </c>
      <c r="E270">
        <v>35973048</v>
      </c>
      <c r="F270">
        <v>1</v>
      </c>
      <c r="G270">
        <v>35973048</v>
      </c>
      <c r="H270">
        <v>1</v>
      </c>
      <c r="I270" t="s">
        <v>1228</v>
      </c>
      <c r="J270" t="s">
        <v>3</v>
      </c>
      <c r="K270" t="s">
        <v>1229</v>
      </c>
      <c r="L270">
        <v>1191</v>
      </c>
      <c r="N270">
        <v>1013</v>
      </c>
      <c r="O270" t="s">
        <v>1230</v>
      </c>
      <c r="P270" t="s">
        <v>1230</v>
      </c>
      <c r="Q270">
        <v>1</v>
      </c>
      <c r="W270">
        <v>0</v>
      </c>
      <c r="X270">
        <v>476480486</v>
      </c>
      <c r="Y270">
        <v>205.85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1</v>
      </c>
      <c r="AJ270">
        <v>1</v>
      </c>
      <c r="AK270">
        <v>1</v>
      </c>
      <c r="AL270">
        <v>25.44</v>
      </c>
      <c r="AN270">
        <v>0</v>
      </c>
      <c r="AO270">
        <v>1</v>
      </c>
      <c r="AP270">
        <v>1</v>
      </c>
      <c r="AQ270">
        <v>0</v>
      </c>
      <c r="AR270">
        <v>0</v>
      </c>
      <c r="AS270" t="s">
        <v>3</v>
      </c>
      <c r="AT270">
        <v>179</v>
      </c>
      <c r="AU270" t="s">
        <v>21</v>
      </c>
      <c r="AV270">
        <v>1</v>
      </c>
      <c r="AW270">
        <v>2</v>
      </c>
      <c r="AX270">
        <v>43135896</v>
      </c>
      <c r="AY270">
        <v>1</v>
      </c>
      <c r="AZ270">
        <v>0</v>
      </c>
      <c r="BA270">
        <v>275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CX270">
        <f>Y270*Source!I402</f>
        <v>8.234</v>
      </c>
      <c r="CY270">
        <f t="shared" si="51"/>
        <v>0</v>
      </c>
      <c r="CZ270">
        <f t="shared" si="52"/>
        <v>0</v>
      </c>
      <c r="DA270">
        <f t="shared" si="53"/>
        <v>25.44</v>
      </c>
      <c r="DB270">
        <f>ROUND((ROUND(AT270*CZ270,2)*1.15),6)</f>
        <v>0</v>
      </c>
      <c r="DC270">
        <f>ROUND((ROUND(AT270*AG270,2)*1.15),6)</f>
        <v>0</v>
      </c>
    </row>
    <row r="271" spans="1:107" x14ac:dyDescent="0.2">
      <c r="A271">
        <f>ROW(Source!A402)</f>
        <v>402</v>
      </c>
      <c r="B271">
        <v>42938047</v>
      </c>
      <c r="C271">
        <v>43135895</v>
      </c>
      <c r="D271">
        <v>36045025</v>
      </c>
      <c r="E271">
        <v>1</v>
      </c>
      <c r="F271">
        <v>1</v>
      </c>
      <c r="G271">
        <v>35973048</v>
      </c>
      <c r="H271">
        <v>2</v>
      </c>
      <c r="I271" t="s">
        <v>1261</v>
      </c>
      <c r="J271" t="s">
        <v>1262</v>
      </c>
      <c r="K271" t="s">
        <v>1263</v>
      </c>
      <c r="L271">
        <v>1367</v>
      </c>
      <c r="N271">
        <v>1011</v>
      </c>
      <c r="O271" t="s">
        <v>738</v>
      </c>
      <c r="P271" t="s">
        <v>738</v>
      </c>
      <c r="Q271">
        <v>1</v>
      </c>
      <c r="W271">
        <v>0</v>
      </c>
      <c r="X271">
        <v>49912578</v>
      </c>
      <c r="Y271">
        <v>150</v>
      </c>
      <c r="AA271">
        <v>0</v>
      </c>
      <c r="AB271">
        <v>55.97</v>
      </c>
      <c r="AC271">
        <v>0.51</v>
      </c>
      <c r="AD271">
        <v>0</v>
      </c>
      <c r="AE271">
        <v>0</v>
      </c>
      <c r="AF271">
        <v>6.15</v>
      </c>
      <c r="AG271">
        <v>0.02</v>
      </c>
      <c r="AH271">
        <v>0</v>
      </c>
      <c r="AI271">
        <v>1</v>
      </c>
      <c r="AJ271">
        <v>9.1</v>
      </c>
      <c r="AK271">
        <v>25.44</v>
      </c>
      <c r="AL271">
        <v>1</v>
      </c>
      <c r="AN271">
        <v>0</v>
      </c>
      <c r="AO271">
        <v>1</v>
      </c>
      <c r="AP271">
        <v>1</v>
      </c>
      <c r="AQ271">
        <v>0</v>
      </c>
      <c r="AR271">
        <v>0</v>
      </c>
      <c r="AS271" t="s">
        <v>3</v>
      </c>
      <c r="AT271">
        <v>120</v>
      </c>
      <c r="AU271" t="s">
        <v>20</v>
      </c>
      <c r="AV271">
        <v>0</v>
      </c>
      <c r="AW271">
        <v>2</v>
      </c>
      <c r="AX271">
        <v>43135897</v>
      </c>
      <c r="AY271">
        <v>1</v>
      </c>
      <c r="AZ271">
        <v>0</v>
      </c>
      <c r="BA271">
        <v>276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CX271">
        <f>Y271*Source!I402</f>
        <v>6</v>
      </c>
      <c r="CY271">
        <f t="shared" ref="CY271:CY276" si="54">AB271</f>
        <v>55.97</v>
      </c>
      <c r="CZ271">
        <f t="shared" ref="CZ271:CZ276" si="55">AF271</f>
        <v>6.15</v>
      </c>
      <c r="DA271">
        <f t="shared" ref="DA271:DA276" si="56">AJ271</f>
        <v>9.1</v>
      </c>
      <c r="DB271">
        <f t="shared" ref="DB271:DB276" si="57">ROUND((ROUND(AT271*CZ271,2)*1.25),6)</f>
        <v>922.5</v>
      </c>
      <c r="DC271">
        <f t="shared" ref="DC271:DC276" si="58">ROUND((ROUND(AT271*AG271,2)*1.25),6)</f>
        <v>3</v>
      </c>
    </row>
    <row r="272" spans="1:107" x14ac:dyDescent="0.2">
      <c r="A272">
        <f>ROW(Source!A402)</f>
        <v>402</v>
      </c>
      <c r="B272">
        <v>42938047</v>
      </c>
      <c r="C272">
        <v>43135895</v>
      </c>
      <c r="D272">
        <v>36045308</v>
      </c>
      <c r="E272">
        <v>1</v>
      </c>
      <c r="F272">
        <v>1</v>
      </c>
      <c r="G272">
        <v>35973048</v>
      </c>
      <c r="H272">
        <v>2</v>
      </c>
      <c r="I272" t="s">
        <v>1231</v>
      </c>
      <c r="J272" t="s">
        <v>1232</v>
      </c>
      <c r="K272" t="s">
        <v>1233</v>
      </c>
      <c r="L272">
        <v>1367</v>
      </c>
      <c r="N272">
        <v>1011</v>
      </c>
      <c r="O272" t="s">
        <v>738</v>
      </c>
      <c r="P272" t="s">
        <v>738</v>
      </c>
      <c r="Q272">
        <v>1</v>
      </c>
      <c r="W272">
        <v>0</v>
      </c>
      <c r="X272">
        <v>-628430174</v>
      </c>
      <c r="Y272">
        <v>1.6875</v>
      </c>
      <c r="AA272">
        <v>0</v>
      </c>
      <c r="AB272">
        <v>748.13</v>
      </c>
      <c r="AC272">
        <v>365.32</v>
      </c>
      <c r="AD272">
        <v>0</v>
      </c>
      <c r="AE272">
        <v>0</v>
      </c>
      <c r="AF272">
        <v>76.81</v>
      </c>
      <c r="AG272">
        <v>14.36</v>
      </c>
      <c r="AH272">
        <v>0</v>
      </c>
      <c r="AI272">
        <v>1</v>
      </c>
      <c r="AJ272">
        <v>9.74</v>
      </c>
      <c r="AK272">
        <v>25.44</v>
      </c>
      <c r="AL272">
        <v>1</v>
      </c>
      <c r="AN272">
        <v>0</v>
      </c>
      <c r="AO272">
        <v>1</v>
      </c>
      <c r="AP272">
        <v>1</v>
      </c>
      <c r="AQ272">
        <v>0</v>
      </c>
      <c r="AR272">
        <v>0</v>
      </c>
      <c r="AS272" t="s">
        <v>3</v>
      </c>
      <c r="AT272">
        <v>1.35</v>
      </c>
      <c r="AU272" t="s">
        <v>20</v>
      </c>
      <c r="AV272">
        <v>0</v>
      </c>
      <c r="AW272">
        <v>2</v>
      </c>
      <c r="AX272">
        <v>43135898</v>
      </c>
      <c r="AY272">
        <v>1</v>
      </c>
      <c r="AZ272">
        <v>0</v>
      </c>
      <c r="BA272">
        <v>277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CX272">
        <f>Y272*Source!I402</f>
        <v>6.7500000000000004E-2</v>
      </c>
      <c r="CY272">
        <f t="shared" si="54"/>
        <v>748.13</v>
      </c>
      <c r="CZ272">
        <f t="shared" si="55"/>
        <v>76.81</v>
      </c>
      <c r="DA272">
        <f t="shared" si="56"/>
        <v>9.74</v>
      </c>
      <c r="DB272">
        <f t="shared" si="57"/>
        <v>129.61250000000001</v>
      </c>
      <c r="DC272">
        <f t="shared" si="58"/>
        <v>24.237500000000001</v>
      </c>
    </row>
    <row r="273" spans="1:107" x14ac:dyDescent="0.2">
      <c r="A273">
        <f>ROW(Source!A402)</f>
        <v>402</v>
      </c>
      <c r="B273">
        <v>42938047</v>
      </c>
      <c r="C273">
        <v>43135895</v>
      </c>
      <c r="D273">
        <v>36045361</v>
      </c>
      <c r="E273">
        <v>1</v>
      </c>
      <c r="F273">
        <v>1</v>
      </c>
      <c r="G273">
        <v>35973048</v>
      </c>
      <c r="H273">
        <v>2</v>
      </c>
      <c r="I273" t="s">
        <v>1264</v>
      </c>
      <c r="J273" t="s">
        <v>1265</v>
      </c>
      <c r="K273" t="s">
        <v>1266</v>
      </c>
      <c r="L273">
        <v>1367</v>
      </c>
      <c r="N273">
        <v>1011</v>
      </c>
      <c r="O273" t="s">
        <v>738</v>
      </c>
      <c r="P273" t="s">
        <v>738</v>
      </c>
      <c r="Q273">
        <v>1</v>
      </c>
      <c r="W273">
        <v>0</v>
      </c>
      <c r="X273">
        <v>1189541023</v>
      </c>
      <c r="Y273">
        <v>0.125</v>
      </c>
      <c r="AA273">
        <v>0</v>
      </c>
      <c r="AB273">
        <v>4.25</v>
      </c>
      <c r="AC273">
        <v>1.02</v>
      </c>
      <c r="AD273">
        <v>0</v>
      </c>
      <c r="AE273">
        <v>0</v>
      </c>
      <c r="AF273">
        <v>0.53</v>
      </c>
      <c r="AG273">
        <v>0.04</v>
      </c>
      <c r="AH273">
        <v>0</v>
      </c>
      <c r="AI273">
        <v>1</v>
      </c>
      <c r="AJ273">
        <v>8.02</v>
      </c>
      <c r="AK273">
        <v>25.44</v>
      </c>
      <c r="AL273">
        <v>1</v>
      </c>
      <c r="AN273">
        <v>0</v>
      </c>
      <c r="AO273">
        <v>1</v>
      </c>
      <c r="AP273">
        <v>1</v>
      </c>
      <c r="AQ273">
        <v>0</v>
      </c>
      <c r="AR273">
        <v>0</v>
      </c>
      <c r="AS273" t="s">
        <v>3</v>
      </c>
      <c r="AT273">
        <v>0.1</v>
      </c>
      <c r="AU273" t="s">
        <v>20</v>
      </c>
      <c r="AV273">
        <v>0</v>
      </c>
      <c r="AW273">
        <v>2</v>
      </c>
      <c r="AX273">
        <v>43135900</v>
      </c>
      <c r="AY273">
        <v>1</v>
      </c>
      <c r="AZ273">
        <v>0</v>
      </c>
      <c r="BA273">
        <v>278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CX273">
        <f>Y273*Source!I402</f>
        <v>5.0000000000000001E-3</v>
      </c>
      <c r="CY273">
        <f t="shared" si="54"/>
        <v>4.25</v>
      </c>
      <c r="CZ273">
        <f t="shared" si="55"/>
        <v>0.53</v>
      </c>
      <c r="DA273">
        <f t="shared" si="56"/>
        <v>8.02</v>
      </c>
      <c r="DB273">
        <f t="shared" si="57"/>
        <v>6.25E-2</v>
      </c>
      <c r="DC273">
        <f t="shared" si="58"/>
        <v>0</v>
      </c>
    </row>
    <row r="274" spans="1:107" x14ac:dyDescent="0.2">
      <c r="A274">
        <f>ROW(Source!A402)</f>
        <v>402</v>
      </c>
      <c r="B274">
        <v>42938047</v>
      </c>
      <c r="C274">
        <v>43135895</v>
      </c>
      <c r="D274">
        <v>36044555</v>
      </c>
      <c r="E274">
        <v>1</v>
      </c>
      <c r="F274">
        <v>1</v>
      </c>
      <c r="G274">
        <v>35973048</v>
      </c>
      <c r="H274">
        <v>2</v>
      </c>
      <c r="I274" t="s">
        <v>1267</v>
      </c>
      <c r="J274" t="s">
        <v>1268</v>
      </c>
      <c r="K274" t="s">
        <v>1269</v>
      </c>
      <c r="L274">
        <v>1367</v>
      </c>
      <c r="N274">
        <v>1011</v>
      </c>
      <c r="O274" t="s">
        <v>738</v>
      </c>
      <c r="P274" t="s">
        <v>738</v>
      </c>
      <c r="Q274">
        <v>1</v>
      </c>
      <c r="W274">
        <v>0</v>
      </c>
      <c r="X274">
        <v>-266174272</v>
      </c>
      <c r="Y274">
        <v>1.125</v>
      </c>
      <c r="AA274">
        <v>0</v>
      </c>
      <c r="AB274">
        <v>1636.27</v>
      </c>
      <c r="AC274">
        <v>461.74</v>
      </c>
      <c r="AD274">
        <v>0</v>
      </c>
      <c r="AE274">
        <v>0</v>
      </c>
      <c r="AF274">
        <v>190.93</v>
      </c>
      <c r="AG274">
        <v>18.149999999999999</v>
      </c>
      <c r="AH274">
        <v>0</v>
      </c>
      <c r="AI274">
        <v>1</v>
      </c>
      <c r="AJ274">
        <v>8.57</v>
      </c>
      <c r="AK274">
        <v>25.44</v>
      </c>
      <c r="AL274">
        <v>1</v>
      </c>
      <c r="AN274">
        <v>0</v>
      </c>
      <c r="AO274">
        <v>1</v>
      </c>
      <c r="AP274">
        <v>1</v>
      </c>
      <c r="AQ274">
        <v>0</v>
      </c>
      <c r="AR274">
        <v>0</v>
      </c>
      <c r="AS274" t="s">
        <v>3</v>
      </c>
      <c r="AT274">
        <v>0.9</v>
      </c>
      <c r="AU274" t="s">
        <v>20</v>
      </c>
      <c r="AV274">
        <v>0</v>
      </c>
      <c r="AW274">
        <v>2</v>
      </c>
      <c r="AX274">
        <v>43135899</v>
      </c>
      <c r="AY274">
        <v>1</v>
      </c>
      <c r="AZ274">
        <v>0</v>
      </c>
      <c r="BA274">
        <v>279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CX274">
        <f>Y274*Source!I402</f>
        <v>4.4999999999999998E-2</v>
      </c>
      <c r="CY274">
        <f t="shared" si="54"/>
        <v>1636.27</v>
      </c>
      <c r="CZ274">
        <f t="shared" si="55"/>
        <v>190.93</v>
      </c>
      <c r="DA274">
        <f t="shared" si="56"/>
        <v>8.57</v>
      </c>
      <c r="DB274">
        <f t="shared" si="57"/>
        <v>214.8</v>
      </c>
      <c r="DC274">
        <f t="shared" si="58"/>
        <v>20.425000000000001</v>
      </c>
    </row>
    <row r="275" spans="1:107" x14ac:dyDescent="0.2">
      <c r="A275">
        <f>ROW(Source!A402)</f>
        <v>402</v>
      </c>
      <c r="B275">
        <v>42938047</v>
      </c>
      <c r="C275">
        <v>43135895</v>
      </c>
      <c r="D275">
        <v>36044648</v>
      </c>
      <c r="E275">
        <v>1</v>
      </c>
      <c r="F275">
        <v>1</v>
      </c>
      <c r="G275">
        <v>35973048</v>
      </c>
      <c r="H275">
        <v>2</v>
      </c>
      <c r="I275" t="s">
        <v>1270</v>
      </c>
      <c r="J275" t="s">
        <v>1271</v>
      </c>
      <c r="K275" t="s">
        <v>1272</v>
      </c>
      <c r="L275">
        <v>1367</v>
      </c>
      <c r="N275">
        <v>1011</v>
      </c>
      <c r="O275" t="s">
        <v>738</v>
      </c>
      <c r="P275" t="s">
        <v>738</v>
      </c>
      <c r="Q275">
        <v>1</v>
      </c>
      <c r="W275">
        <v>0</v>
      </c>
      <c r="X275">
        <v>482200787</v>
      </c>
      <c r="Y275">
        <v>0.3125</v>
      </c>
      <c r="AA275">
        <v>0</v>
      </c>
      <c r="AB275">
        <v>730</v>
      </c>
      <c r="AC275">
        <v>429.94</v>
      </c>
      <c r="AD275">
        <v>0</v>
      </c>
      <c r="AE275">
        <v>0</v>
      </c>
      <c r="AF275">
        <v>73</v>
      </c>
      <c r="AG275">
        <v>16.899999999999999</v>
      </c>
      <c r="AH275">
        <v>0</v>
      </c>
      <c r="AI275">
        <v>1</v>
      </c>
      <c r="AJ275">
        <v>10</v>
      </c>
      <c r="AK275">
        <v>25.44</v>
      </c>
      <c r="AL275">
        <v>1</v>
      </c>
      <c r="AN275">
        <v>0</v>
      </c>
      <c r="AO275">
        <v>1</v>
      </c>
      <c r="AP275">
        <v>1</v>
      </c>
      <c r="AQ275">
        <v>0</v>
      </c>
      <c r="AR275">
        <v>0</v>
      </c>
      <c r="AS275" t="s">
        <v>3</v>
      </c>
      <c r="AT275">
        <v>0.25</v>
      </c>
      <c r="AU275" t="s">
        <v>20</v>
      </c>
      <c r="AV275">
        <v>0</v>
      </c>
      <c r="AW275">
        <v>2</v>
      </c>
      <c r="AX275">
        <v>43135901</v>
      </c>
      <c r="AY275">
        <v>1</v>
      </c>
      <c r="AZ275">
        <v>0</v>
      </c>
      <c r="BA275">
        <v>280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CX275">
        <f>Y275*Source!I402</f>
        <v>1.2500000000000001E-2</v>
      </c>
      <c r="CY275">
        <f t="shared" si="54"/>
        <v>730</v>
      </c>
      <c r="CZ275">
        <f t="shared" si="55"/>
        <v>73</v>
      </c>
      <c r="DA275">
        <f t="shared" si="56"/>
        <v>10</v>
      </c>
      <c r="DB275">
        <f t="shared" si="57"/>
        <v>22.8125</v>
      </c>
      <c r="DC275">
        <f t="shared" si="58"/>
        <v>5.2874999999999996</v>
      </c>
    </row>
    <row r="276" spans="1:107" x14ac:dyDescent="0.2">
      <c r="A276">
        <f>ROW(Source!A402)</f>
        <v>402</v>
      </c>
      <c r="B276">
        <v>42938047</v>
      </c>
      <c r="C276">
        <v>43135895</v>
      </c>
      <c r="D276">
        <v>36044839</v>
      </c>
      <c r="E276">
        <v>1</v>
      </c>
      <c r="F276">
        <v>1</v>
      </c>
      <c r="G276">
        <v>35973048</v>
      </c>
      <c r="H276">
        <v>2</v>
      </c>
      <c r="I276" t="s">
        <v>1273</v>
      </c>
      <c r="J276" t="s">
        <v>1274</v>
      </c>
      <c r="K276" t="s">
        <v>1275</v>
      </c>
      <c r="L276">
        <v>1367</v>
      </c>
      <c r="N276">
        <v>1011</v>
      </c>
      <c r="O276" t="s">
        <v>738</v>
      </c>
      <c r="P276" t="s">
        <v>738</v>
      </c>
      <c r="Q276">
        <v>1</v>
      </c>
      <c r="W276">
        <v>0</v>
      </c>
      <c r="X276">
        <v>1059521099</v>
      </c>
      <c r="Y276">
        <v>11.25</v>
      </c>
      <c r="AA276">
        <v>0</v>
      </c>
      <c r="AB276">
        <v>10.53</v>
      </c>
      <c r="AC276">
        <v>2.29</v>
      </c>
      <c r="AD276">
        <v>0</v>
      </c>
      <c r="AE276">
        <v>0</v>
      </c>
      <c r="AF276">
        <v>2.06</v>
      </c>
      <c r="AG276">
        <v>0.09</v>
      </c>
      <c r="AH276">
        <v>0</v>
      </c>
      <c r="AI276">
        <v>1</v>
      </c>
      <c r="AJ276">
        <v>5.1100000000000003</v>
      </c>
      <c r="AK276">
        <v>25.44</v>
      </c>
      <c r="AL276">
        <v>1</v>
      </c>
      <c r="AN276">
        <v>0</v>
      </c>
      <c r="AO276">
        <v>1</v>
      </c>
      <c r="AP276">
        <v>1</v>
      </c>
      <c r="AQ276">
        <v>0</v>
      </c>
      <c r="AR276">
        <v>0</v>
      </c>
      <c r="AS276" t="s">
        <v>3</v>
      </c>
      <c r="AT276">
        <v>9</v>
      </c>
      <c r="AU276" t="s">
        <v>20</v>
      </c>
      <c r="AV276">
        <v>0</v>
      </c>
      <c r="AW276">
        <v>2</v>
      </c>
      <c r="AX276">
        <v>43135902</v>
      </c>
      <c r="AY276">
        <v>1</v>
      </c>
      <c r="AZ276">
        <v>0</v>
      </c>
      <c r="BA276">
        <v>281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CX276">
        <f>Y276*Source!I402</f>
        <v>0.45</v>
      </c>
      <c r="CY276">
        <f t="shared" si="54"/>
        <v>10.53</v>
      </c>
      <c r="CZ276">
        <f t="shared" si="55"/>
        <v>2.06</v>
      </c>
      <c r="DA276">
        <f t="shared" si="56"/>
        <v>5.1100000000000003</v>
      </c>
      <c r="DB276">
        <f t="shared" si="57"/>
        <v>23.175000000000001</v>
      </c>
      <c r="DC276">
        <f t="shared" si="58"/>
        <v>1.0125</v>
      </c>
    </row>
    <row r="277" spans="1:107" x14ac:dyDescent="0.2">
      <c r="A277">
        <f>ROW(Source!A402)</f>
        <v>402</v>
      </c>
      <c r="B277">
        <v>42938047</v>
      </c>
      <c r="C277">
        <v>43135895</v>
      </c>
      <c r="D277">
        <v>36020415</v>
      </c>
      <c r="E277">
        <v>1</v>
      </c>
      <c r="F277">
        <v>1</v>
      </c>
      <c r="G277">
        <v>35973048</v>
      </c>
      <c r="H277">
        <v>3</v>
      </c>
      <c r="I277" t="s">
        <v>469</v>
      </c>
      <c r="J277" t="s">
        <v>471</v>
      </c>
      <c r="K277" t="s">
        <v>470</v>
      </c>
      <c r="L277">
        <v>1339</v>
      </c>
      <c r="N277">
        <v>1007</v>
      </c>
      <c r="O277" t="s">
        <v>84</v>
      </c>
      <c r="P277" t="s">
        <v>84</v>
      </c>
      <c r="Q277">
        <v>1</v>
      </c>
      <c r="W277">
        <v>0</v>
      </c>
      <c r="X277">
        <v>-862991314</v>
      </c>
      <c r="Y277">
        <v>0.73</v>
      </c>
      <c r="AA277">
        <v>36.340000000000003</v>
      </c>
      <c r="AB277">
        <v>0</v>
      </c>
      <c r="AC277">
        <v>0</v>
      </c>
      <c r="AD277">
        <v>0</v>
      </c>
      <c r="AE277">
        <v>7.07</v>
      </c>
      <c r="AF277">
        <v>0</v>
      </c>
      <c r="AG277">
        <v>0</v>
      </c>
      <c r="AH277">
        <v>0</v>
      </c>
      <c r="AI277">
        <v>5.14</v>
      </c>
      <c r="AJ277">
        <v>1</v>
      </c>
      <c r="AK277">
        <v>1</v>
      </c>
      <c r="AL277">
        <v>1</v>
      </c>
      <c r="AN277">
        <v>0</v>
      </c>
      <c r="AO277">
        <v>1</v>
      </c>
      <c r="AP277">
        <v>0</v>
      </c>
      <c r="AQ277">
        <v>0</v>
      </c>
      <c r="AR277">
        <v>0</v>
      </c>
      <c r="AS277" t="s">
        <v>3</v>
      </c>
      <c r="AT277">
        <v>0.73</v>
      </c>
      <c r="AU277" t="s">
        <v>3</v>
      </c>
      <c r="AV277">
        <v>0</v>
      </c>
      <c r="AW277">
        <v>2</v>
      </c>
      <c r="AX277">
        <v>43135904</v>
      </c>
      <c r="AY277">
        <v>1</v>
      </c>
      <c r="AZ277">
        <v>0</v>
      </c>
      <c r="BA277">
        <v>283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CX277">
        <f>Y277*Source!I402</f>
        <v>2.92E-2</v>
      </c>
      <c r="CY277">
        <f t="shared" ref="CY277:CY285" si="59">AA277</f>
        <v>36.340000000000003</v>
      </c>
      <c r="CZ277">
        <f t="shared" ref="CZ277:CZ285" si="60">AE277</f>
        <v>7.07</v>
      </c>
      <c r="DA277">
        <f t="shared" ref="DA277:DA285" si="61">AI277</f>
        <v>5.14</v>
      </c>
      <c r="DB277">
        <f t="shared" ref="DB277:DB288" si="62">ROUND(ROUND(AT277*CZ277,2),6)</f>
        <v>5.16</v>
      </c>
      <c r="DC277">
        <f t="shared" ref="DC277:DC288" si="63">ROUND(ROUND(AT277*AG277,2),6)</f>
        <v>0</v>
      </c>
    </row>
    <row r="278" spans="1:107" x14ac:dyDescent="0.2">
      <c r="A278">
        <f>ROW(Source!A402)</f>
        <v>402</v>
      </c>
      <c r="B278">
        <v>42938047</v>
      </c>
      <c r="C278">
        <v>43135895</v>
      </c>
      <c r="D278">
        <v>36020428</v>
      </c>
      <c r="E278">
        <v>1</v>
      </c>
      <c r="F278">
        <v>1</v>
      </c>
      <c r="G278">
        <v>35973048</v>
      </c>
      <c r="H278">
        <v>3</v>
      </c>
      <c r="I278" t="s">
        <v>372</v>
      </c>
      <c r="J278" t="s">
        <v>374</v>
      </c>
      <c r="K278" t="s">
        <v>373</v>
      </c>
      <c r="L278">
        <v>1348</v>
      </c>
      <c r="N278">
        <v>1009</v>
      </c>
      <c r="O278" t="s">
        <v>104</v>
      </c>
      <c r="P278" t="s">
        <v>104</v>
      </c>
      <c r="Q278">
        <v>1000</v>
      </c>
      <c r="W278">
        <v>0</v>
      </c>
      <c r="X278">
        <v>563176784</v>
      </c>
      <c r="Y278">
        <v>2E-3</v>
      </c>
      <c r="AA278">
        <v>58366.71</v>
      </c>
      <c r="AB278">
        <v>0</v>
      </c>
      <c r="AC278">
        <v>0</v>
      </c>
      <c r="AD278">
        <v>0</v>
      </c>
      <c r="AE278">
        <v>6521.42</v>
      </c>
      <c r="AF278">
        <v>0</v>
      </c>
      <c r="AG278">
        <v>0</v>
      </c>
      <c r="AH278">
        <v>0</v>
      </c>
      <c r="AI278">
        <v>8.9499999999999993</v>
      </c>
      <c r="AJ278">
        <v>1</v>
      </c>
      <c r="AK278">
        <v>1</v>
      </c>
      <c r="AL278">
        <v>1</v>
      </c>
      <c r="AN278">
        <v>0</v>
      </c>
      <c r="AO278">
        <v>1</v>
      </c>
      <c r="AP278">
        <v>0</v>
      </c>
      <c r="AQ278">
        <v>0</v>
      </c>
      <c r="AR278">
        <v>0</v>
      </c>
      <c r="AS278" t="s">
        <v>3</v>
      </c>
      <c r="AT278">
        <v>2E-3</v>
      </c>
      <c r="AU278" t="s">
        <v>3</v>
      </c>
      <c r="AV278">
        <v>0</v>
      </c>
      <c r="AW278">
        <v>2</v>
      </c>
      <c r="AX278">
        <v>43135905</v>
      </c>
      <c r="AY278">
        <v>1</v>
      </c>
      <c r="AZ278">
        <v>0</v>
      </c>
      <c r="BA278">
        <v>284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CX278">
        <f>Y278*Source!I402</f>
        <v>8.0000000000000007E-5</v>
      </c>
      <c r="CY278">
        <f t="shared" si="59"/>
        <v>58366.71</v>
      </c>
      <c r="CZ278">
        <f t="shared" si="60"/>
        <v>6521.42</v>
      </c>
      <c r="DA278">
        <f t="shared" si="61"/>
        <v>8.9499999999999993</v>
      </c>
      <c r="DB278">
        <f t="shared" si="62"/>
        <v>13.04</v>
      </c>
      <c r="DC278">
        <f t="shared" si="63"/>
        <v>0</v>
      </c>
    </row>
    <row r="279" spans="1:107" x14ac:dyDescent="0.2">
      <c r="A279">
        <f>ROW(Source!A402)</f>
        <v>402</v>
      </c>
      <c r="B279">
        <v>42938047</v>
      </c>
      <c r="C279">
        <v>43135895</v>
      </c>
      <c r="D279">
        <v>36021727</v>
      </c>
      <c r="E279">
        <v>1</v>
      </c>
      <c r="F279">
        <v>1</v>
      </c>
      <c r="G279">
        <v>35973048</v>
      </c>
      <c r="H279">
        <v>3</v>
      </c>
      <c r="I279" t="s">
        <v>1276</v>
      </c>
      <c r="J279" t="s">
        <v>1277</v>
      </c>
      <c r="K279" t="s">
        <v>1278</v>
      </c>
      <c r="L279">
        <v>1348</v>
      </c>
      <c r="N279">
        <v>1009</v>
      </c>
      <c r="O279" t="s">
        <v>104</v>
      </c>
      <c r="P279" t="s">
        <v>104</v>
      </c>
      <c r="Q279">
        <v>1000</v>
      </c>
      <c r="W279">
        <v>0</v>
      </c>
      <c r="X279">
        <v>1310716689</v>
      </c>
      <c r="Y279">
        <v>0.16</v>
      </c>
      <c r="AA279">
        <v>117442.26</v>
      </c>
      <c r="AB279">
        <v>0</v>
      </c>
      <c r="AC279">
        <v>0</v>
      </c>
      <c r="AD279">
        <v>0</v>
      </c>
      <c r="AE279">
        <v>7191.81</v>
      </c>
      <c r="AF279">
        <v>0</v>
      </c>
      <c r="AG279">
        <v>0</v>
      </c>
      <c r="AH279">
        <v>0</v>
      </c>
      <c r="AI279">
        <v>16.329999999999998</v>
      </c>
      <c r="AJ279">
        <v>1</v>
      </c>
      <c r="AK279">
        <v>1</v>
      </c>
      <c r="AL279">
        <v>1</v>
      </c>
      <c r="AN279">
        <v>0</v>
      </c>
      <c r="AO279">
        <v>1</v>
      </c>
      <c r="AP279">
        <v>0</v>
      </c>
      <c r="AQ279">
        <v>0</v>
      </c>
      <c r="AR279">
        <v>0</v>
      </c>
      <c r="AS279" t="s">
        <v>3</v>
      </c>
      <c r="AT279">
        <v>0.16</v>
      </c>
      <c r="AU279" t="s">
        <v>3</v>
      </c>
      <c r="AV279">
        <v>0</v>
      </c>
      <c r="AW279">
        <v>2</v>
      </c>
      <c r="AX279">
        <v>43135906</v>
      </c>
      <c r="AY279">
        <v>1</v>
      </c>
      <c r="AZ279">
        <v>0</v>
      </c>
      <c r="BA279">
        <v>285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CX279">
        <f>Y279*Source!I402</f>
        <v>6.4000000000000003E-3</v>
      </c>
      <c r="CY279">
        <f t="shared" si="59"/>
        <v>117442.26</v>
      </c>
      <c r="CZ279">
        <f t="shared" si="60"/>
        <v>7191.81</v>
      </c>
      <c r="DA279">
        <f t="shared" si="61"/>
        <v>16.329999999999998</v>
      </c>
      <c r="DB279">
        <f t="shared" si="62"/>
        <v>1150.69</v>
      </c>
      <c r="DC279">
        <f t="shared" si="63"/>
        <v>0</v>
      </c>
    </row>
    <row r="280" spans="1:107" x14ac:dyDescent="0.2">
      <c r="A280">
        <f>ROW(Source!A402)</f>
        <v>402</v>
      </c>
      <c r="B280">
        <v>42938047</v>
      </c>
      <c r="C280">
        <v>43135895</v>
      </c>
      <c r="D280">
        <v>36020519</v>
      </c>
      <c r="E280">
        <v>1</v>
      </c>
      <c r="F280">
        <v>1</v>
      </c>
      <c r="G280">
        <v>35973048</v>
      </c>
      <c r="H280">
        <v>3</v>
      </c>
      <c r="I280" t="s">
        <v>1279</v>
      </c>
      <c r="J280" t="s">
        <v>1280</v>
      </c>
      <c r="K280" t="s">
        <v>1281</v>
      </c>
      <c r="L280">
        <v>1339</v>
      </c>
      <c r="N280">
        <v>1007</v>
      </c>
      <c r="O280" t="s">
        <v>84</v>
      </c>
      <c r="P280" t="s">
        <v>84</v>
      </c>
      <c r="Q280">
        <v>1</v>
      </c>
      <c r="W280">
        <v>0</v>
      </c>
      <c r="X280">
        <v>-1939393675</v>
      </c>
      <c r="Y280">
        <v>0.04</v>
      </c>
      <c r="AA280">
        <v>7716.52</v>
      </c>
      <c r="AB280">
        <v>0</v>
      </c>
      <c r="AC280">
        <v>0</v>
      </c>
      <c r="AD280">
        <v>0</v>
      </c>
      <c r="AE280">
        <v>1828.56</v>
      </c>
      <c r="AF280">
        <v>0</v>
      </c>
      <c r="AG280">
        <v>0</v>
      </c>
      <c r="AH280">
        <v>0</v>
      </c>
      <c r="AI280">
        <v>4.22</v>
      </c>
      <c r="AJ280">
        <v>1</v>
      </c>
      <c r="AK280">
        <v>1</v>
      </c>
      <c r="AL280">
        <v>1</v>
      </c>
      <c r="AN280">
        <v>0</v>
      </c>
      <c r="AO280">
        <v>1</v>
      </c>
      <c r="AP280">
        <v>0</v>
      </c>
      <c r="AQ280">
        <v>0</v>
      </c>
      <c r="AR280">
        <v>0</v>
      </c>
      <c r="AS280" t="s">
        <v>3</v>
      </c>
      <c r="AT280">
        <v>0.04</v>
      </c>
      <c r="AU280" t="s">
        <v>3</v>
      </c>
      <c r="AV280">
        <v>0</v>
      </c>
      <c r="AW280">
        <v>2</v>
      </c>
      <c r="AX280">
        <v>43135907</v>
      </c>
      <c r="AY280">
        <v>1</v>
      </c>
      <c r="AZ280">
        <v>0</v>
      </c>
      <c r="BA280">
        <v>286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CX280">
        <f>Y280*Source!I402</f>
        <v>1.6000000000000001E-3</v>
      </c>
      <c r="CY280">
        <f t="shared" si="59"/>
        <v>7716.52</v>
      </c>
      <c r="CZ280">
        <f t="shared" si="60"/>
        <v>1828.56</v>
      </c>
      <c r="DA280">
        <f t="shared" si="61"/>
        <v>4.22</v>
      </c>
      <c r="DB280">
        <f t="shared" si="62"/>
        <v>73.14</v>
      </c>
      <c r="DC280">
        <f t="shared" si="63"/>
        <v>0</v>
      </c>
    </row>
    <row r="281" spans="1:107" x14ac:dyDescent="0.2">
      <c r="A281">
        <f>ROW(Source!A402)</f>
        <v>402</v>
      </c>
      <c r="B281">
        <v>42938047</v>
      </c>
      <c r="C281">
        <v>43135895</v>
      </c>
      <c r="D281">
        <v>36020546</v>
      </c>
      <c r="E281">
        <v>1</v>
      </c>
      <c r="F281">
        <v>1</v>
      </c>
      <c r="G281">
        <v>35973048</v>
      </c>
      <c r="H281">
        <v>3</v>
      </c>
      <c r="I281" t="s">
        <v>1282</v>
      </c>
      <c r="J281" t="s">
        <v>1283</v>
      </c>
      <c r="K281" t="s">
        <v>1284</v>
      </c>
      <c r="L281">
        <v>1348</v>
      </c>
      <c r="N281">
        <v>1009</v>
      </c>
      <c r="O281" t="s">
        <v>104</v>
      </c>
      <c r="P281" t="s">
        <v>104</v>
      </c>
      <c r="Q281">
        <v>1000</v>
      </c>
      <c r="W281">
        <v>0</v>
      </c>
      <c r="X281">
        <v>-1753839253</v>
      </c>
      <c r="Y281">
        <v>0.01</v>
      </c>
      <c r="AA281">
        <v>4677.2700000000004</v>
      </c>
      <c r="AB281">
        <v>0</v>
      </c>
      <c r="AC281">
        <v>0</v>
      </c>
      <c r="AD281">
        <v>0</v>
      </c>
      <c r="AE281">
        <v>1260.72</v>
      </c>
      <c r="AF281">
        <v>0</v>
      </c>
      <c r="AG281">
        <v>0</v>
      </c>
      <c r="AH281">
        <v>0</v>
      </c>
      <c r="AI281">
        <v>3.71</v>
      </c>
      <c r="AJ281">
        <v>1</v>
      </c>
      <c r="AK281">
        <v>1</v>
      </c>
      <c r="AL281">
        <v>1</v>
      </c>
      <c r="AN281">
        <v>0</v>
      </c>
      <c r="AO281">
        <v>1</v>
      </c>
      <c r="AP281">
        <v>0</v>
      </c>
      <c r="AQ281">
        <v>0</v>
      </c>
      <c r="AR281">
        <v>0</v>
      </c>
      <c r="AS281" t="s">
        <v>3</v>
      </c>
      <c r="AT281">
        <v>0.01</v>
      </c>
      <c r="AU281" t="s">
        <v>3</v>
      </c>
      <c r="AV281">
        <v>0</v>
      </c>
      <c r="AW281">
        <v>2</v>
      </c>
      <c r="AX281">
        <v>43135908</v>
      </c>
      <c r="AY281">
        <v>1</v>
      </c>
      <c r="AZ281">
        <v>0</v>
      </c>
      <c r="BA281">
        <v>287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CX281">
        <f>Y281*Source!I402</f>
        <v>4.0000000000000002E-4</v>
      </c>
      <c r="CY281">
        <f t="shared" si="59"/>
        <v>4677.2700000000004</v>
      </c>
      <c r="CZ281">
        <f t="shared" si="60"/>
        <v>1260.72</v>
      </c>
      <c r="DA281">
        <f t="shared" si="61"/>
        <v>3.71</v>
      </c>
      <c r="DB281">
        <f t="shared" si="62"/>
        <v>12.61</v>
      </c>
      <c r="DC281">
        <f t="shared" si="63"/>
        <v>0</v>
      </c>
    </row>
    <row r="282" spans="1:107" x14ac:dyDescent="0.2">
      <c r="A282">
        <f>ROW(Source!A402)</f>
        <v>402</v>
      </c>
      <c r="B282">
        <v>42938047</v>
      </c>
      <c r="C282">
        <v>43135895</v>
      </c>
      <c r="D282">
        <v>36020898</v>
      </c>
      <c r="E282">
        <v>1</v>
      </c>
      <c r="F282">
        <v>1</v>
      </c>
      <c r="G282">
        <v>35973048</v>
      </c>
      <c r="H282">
        <v>3</v>
      </c>
      <c r="I282" t="s">
        <v>1285</v>
      </c>
      <c r="J282" t="s">
        <v>1286</v>
      </c>
      <c r="K282" t="s">
        <v>1287</v>
      </c>
      <c r="L282">
        <v>1327</v>
      </c>
      <c r="N282">
        <v>1005</v>
      </c>
      <c r="O282" t="s">
        <v>120</v>
      </c>
      <c r="P282" t="s">
        <v>120</v>
      </c>
      <c r="Q282">
        <v>1</v>
      </c>
      <c r="W282">
        <v>0</v>
      </c>
      <c r="X282">
        <v>-1476054991</v>
      </c>
      <c r="Y282">
        <v>30</v>
      </c>
      <c r="AA282">
        <v>29.19</v>
      </c>
      <c r="AB282">
        <v>0</v>
      </c>
      <c r="AC282">
        <v>0</v>
      </c>
      <c r="AD282">
        <v>0</v>
      </c>
      <c r="AE282">
        <v>7.39</v>
      </c>
      <c r="AF282">
        <v>0</v>
      </c>
      <c r="AG282">
        <v>0</v>
      </c>
      <c r="AH282">
        <v>0</v>
      </c>
      <c r="AI282">
        <v>3.95</v>
      </c>
      <c r="AJ282">
        <v>1</v>
      </c>
      <c r="AK282">
        <v>1</v>
      </c>
      <c r="AL282">
        <v>1</v>
      </c>
      <c r="AN282">
        <v>0</v>
      </c>
      <c r="AO282">
        <v>1</v>
      </c>
      <c r="AP282">
        <v>0</v>
      </c>
      <c r="AQ282">
        <v>0</v>
      </c>
      <c r="AR282">
        <v>0</v>
      </c>
      <c r="AS282" t="s">
        <v>3</v>
      </c>
      <c r="AT282">
        <v>30</v>
      </c>
      <c r="AU282" t="s">
        <v>3</v>
      </c>
      <c r="AV282">
        <v>0</v>
      </c>
      <c r="AW282">
        <v>2</v>
      </c>
      <c r="AX282">
        <v>43135909</v>
      </c>
      <c r="AY282">
        <v>1</v>
      </c>
      <c r="AZ282">
        <v>0</v>
      </c>
      <c r="BA282">
        <v>288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CX282">
        <f>Y282*Source!I402</f>
        <v>1.2</v>
      </c>
      <c r="CY282">
        <f t="shared" si="59"/>
        <v>29.19</v>
      </c>
      <c r="CZ282">
        <f t="shared" si="60"/>
        <v>7.39</v>
      </c>
      <c r="DA282">
        <f t="shared" si="61"/>
        <v>3.95</v>
      </c>
      <c r="DB282">
        <f t="shared" si="62"/>
        <v>221.7</v>
      </c>
      <c r="DC282">
        <f t="shared" si="63"/>
        <v>0</v>
      </c>
    </row>
    <row r="283" spans="1:107" x14ac:dyDescent="0.2">
      <c r="A283">
        <f>ROW(Source!A402)</f>
        <v>402</v>
      </c>
      <c r="B283">
        <v>42938047</v>
      </c>
      <c r="C283">
        <v>43135895</v>
      </c>
      <c r="D283">
        <v>36038792</v>
      </c>
      <c r="E283">
        <v>1</v>
      </c>
      <c r="F283">
        <v>1</v>
      </c>
      <c r="G283">
        <v>35973048</v>
      </c>
      <c r="H283">
        <v>3</v>
      </c>
      <c r="I283" t="s">
        <v>593</v>
      </c>
      <c r="J283" t="s">
        <v>595</v>
      </c>
      <c r="K283" t="s">
        <v>594</v>
      </c>
      <c r="L283">
        <v>1339</v>
      </c>
      <c r="N283">
        <v>1007</v>
      </c>
      <c r="O283" t="s">
        <v>84</v>
      </c>
      <c r="P283" t="s">
        <v>84</v>
      </c>
      <c r="Q283">
        <v>1</v>
      </c>
      <c r="W283">
        <v>0</v>
      </c>
      <c r="X283">
        <v>1796330771</v>
      </c>
      <c r="Y283">
        <v>100</v>
      </c>
      <c r="AA283">
        <v>4215.2299999999996</v>
      </c>
      <c r="AB283">
        <v>0</v>
      </c>
      <c r="AC283">
        <v>0</v>
      </c>
      <c r="AD283">
        <v>0</v>
      </c>
      <c r="AE283">
        <v>711.12</v>
      </c>
      <c r="AF283">
        <v>0</v>
      </c>
      <c r="AG283">
        <v>0</v>
      </c>
      <c r="AH283">
        <v>0</v>
      </c>
      <c r="AI283">
        <v>5.8</v>
      </c>
      <c r="AJ283">
        <v>1</v>
      </c>
      <c r="AK283">
        <v>1</v>
      </c>
      <c r="AL283">
        <v>1</v>
      </c>
      <c r="AN283">
        <v>0</v>
      </c>
      <c r="AO283">
        <v>0</v>
      </c>
      <c r="AP283">
        <v>0</v>
      </c>
      <c r="AQ283">
        <v>0</v>
      </c>
      <c r="AR283">
        <v>0</v>
      </c>
      <c r="AS283" t="s">
        <v>3</v>
      </c>
      <c r="AT283">
        <v>100</v>
      </c>
      <c r="AU283" t="s">
        <v>3</v>
      </c>
      <c r="AV283">
        <v>0</v>
      </c>
      <c r="AW283">
        <v>1</v>
      </c>
      <c r="AX283">
        <v>-1</v>
      </c>
      <c r="AY283">
        <v>0</v>
      </c>
      <c r="AZ283">
        <v>0</v>
      </c>
      <c r="BA283" t="s">
        <v>3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CX283">
        <f>Y283*Source!I402</f>
        <v>4</v>
      </c>
      <c r="CY283">
        <f t="shared" si="59"/>
        <v>4215.2299999999996</v>
      </c>
      <c r="CZ283">
        <f t="shared" si="60"/>
        <v>711.12</v>
      </c>
      <c r="DA283">
        <f t="shared" si="61"/>
        <v>5.8</v>
      </c>
      <c r="DB283">
        <f t="shared" si="62"/>
        <v>71112</v>
      </c>
      <c r="DC283">
        <f t="shared" si="63"/>
        <v>0</v>
      </c>
    </row>
    <row r="284" spans="1:107" x14ac:dyDescent="0.2">
      <c r="A284">
        <f>ROW(Source!A402)</f>
        <v>402</v>
      </c>
      <c r="B284">
        <v>42938047</v>
      </c>
      <c r="C284">
        <v>43135895</v>
      </c>
      <c r="D284">
        <v>36039151</v>
      </c>
      <c r="E284">
        <v>1</v>
      </c>
      <c r="F284">
        <v>1</v>
      </c>
      <c r="G284">
        <v>35973048</v>
      </c>
      <c r="H284">
        <v>3</v>
      </c>
      <c r="I284" t="s">
        <v>589</v>
      </c>
      <c r="J284" t="s">
        <v>591</v>
      </c>
      <c r="K284" t="s">
        <v>590</v>
      </c>
      <c r="L284">
        <v>1348</v>
      </c>
      <c r="N284">
        <v>1009</v>
      </c>
      <c r="O284" t="s">
        <v>104</v>
      </c>
      <c r="P284" t="s">
        <v>104</v>
      </c>
      <c r="Q284">
        <v>1000</v>
      </c>
      <c r="W284">
        <v>0</v>
      </c>
      <c r="X284">
        <v>1547157676</v>
      </c>
      <c r="Y284">
        <v>7.5</v>
      </c>
      <c r="AA284">
        <v>81121.429999999993</v>
      </c>
      <c r="AB284">
        <v>0</v>
      </c>
      <c r="AC284">
        <v>0</v>
      </c>
      <c r="AD284">
        <v>0</v>
      </c>
      <c r="AE284">
        <v>5504.52</v>
      </c>
      <c r="AF284">
        <v>0</v>
      </c>
      <c r="AG284">
        <v>0</v>
      </c>
      <c r="AH284">
        <v>0</v>
      </c>
      <c r="AI284">
        <v>14.42</v>
      </c>
      <c r="AJ284">
        <v>1</v>
      </c>
      <c r="AK284">
        <v>1</v>
      </c>
      <c r="AL284">
        <v>1</v>
      </c>
      <c r="AN284">
        <v>0</v>
      </c>
      <c r="AO284">
        <v>0</v>
      </c>
      <c r="AP284">
        <v>0</v>
      </c>
      <c r="AQ284">
        <v>0</v>
      </c>
      <c r="AR284">
        <v>0</v>
      </c>
      <c r="AS284" t="s">
        <v>3</v>
      </c>
      <c r="AT284">
        <v>7.5</v>
      </c>
      <c r="AU284" t="s">
        <v>3</v>
      </c>
      <c r="AV284">
        <v>0</v>
      </c>
      <c r="AW284">
        <v>1</v>
      </c>
      <c r="AX284">
        <v>-1</v>
      </c>
      <c r="AY284">
        <v>0</v>
      </c>
      <c r="AZ284">
        <v>0</v>
      </c>
      <c r="BA284" t="s">
        <v>3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CX284">
        <f>Y284*Source!I402</f>
        <v>0.3</v>
      </c>
      <c r="CY284">
        <f t="shared" si="59"/>
        <v>81121.429999999993</v>
      </c>
      <c r="CZ284">
        <f t="shared" si="60"/>
        <v>5504.52</v>
      </c>
      <c r="DA284">
        <f t="shared" si="61"/>
        <v>14.42</v>
      </c>
      <c r="DB284">
        <f t="shared" si="62"/>
        <v>41283.9</v>
      </c>
      <c r="DC284">
        <f t="shared" si="63"/>
        <v>0</v>
      </c>
    </row>
    <row r="285" spans="1:107" x14ac:dyDescent="0.2">
      <c r="A285">
        <f>ROW(Source!A402)</f>
        <v>402</v>
      </c>
      <c r="B285">
        <v>42938047</v>
      </c>
      <c r="C285">
        <v>43135895</v>
      </c>
      <c r="D285">
        <v>36044236</v>
      </c>
      <c r="E285">
        <v>1</v>
      </c>
      <c r="F285">
        <v>1</v>
      </c>
      <c r="G285">
        <v>35973048</v>
      </c>
      <c r="H285">
        <v>3</v>
      </c>
      <c r="I285" t="s">
        <v>1288</v>
      </c>
      <c r="J285" t="s">
        <v>1289</v>
      </c>
      <c r="K285" t="s">
        <v>1290</v>
      </c>
      <c r="L285">
        <v>1327</v>
      </c>
      <c r="N285">
        <v>1005</v>
      </c>
      <c r="O285" t="s">
        <v>120</v>
      </c>
      <c r="P285" t="s">
        <v>120</v>
      </c>
      <c r="Q285">
        <v>1</v>
      </c>
      <c r="W285">
        <v>0</v>
      </c>
      <c r="X285">
        <v>-153668504</v>
      </c>
      <c r="Y285">
        <v>3.6</v>
      </c>
      <c r="AA285">
        <v>344.37</v>
      </c>
      <c r="AB285">
        <v>0</v>
      </c>
      <c r="AC285">
        <v>0</v>
      </c>
      <c r="AD285">
        <v>0</v>
      </c>
      <c r="AE285">
        <v>90.15</v>
      </c>
      <c r="AF285">
        <v>0</v>
      </c>
      <c r="AG285">
        <v>0</v>
      </c>
      <c r="AH285">
        <v>0</v>
      </c>
      <c r="AI285">
        <v>3.82</v>
      </c>
      <c r="AJ285">
        <v>1</v>
      </c>
      <c r="AK285">
        <v>1</v>
      </c>
      <c r="AL285">
        <v>1</v>
      </c>
      <c r="AN285">
        <v>0</v>
      </c>
      <c r="AO285">
        <v>1</v>
      </c>
      <c r="AP285">
        <v>0</v>
      </c>
      <c r="AQ285">
        <v>0</v>
      </c>
      <c r="AR285">
        <v>0</v>
      </c>
      <c r="AS285" t="s">
        <v>3</v>
      </c>
      <c r="AT285">
        <v>3.6</v>
      </c>
      <c r="AU285" t="s">
        <v>3</v>
      </c>
      <c r="AV285">
        <v>0</v>
      </c>
      <c r="AW285">
        <v>2</v>
      </c>
      <c r="AX285">
        <v>43135910</v>
      </c>
      <c r="AY285">
        <v>1</v>
      </c>
      <c r="AZ285">
        <v>0</v>
      </c>
      <c r="BA285">
        <v>289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CX285">
        <f>Y285*Source!I402</f>
        <v>0.14400000000000002</v>
      </c>
      <c r="CY285">
        <f t="shared" si="59"/>
        <v>344.37</v>
      </c>
      <c r="CZ285">
        <f t="shared" si="60"/>
        <v>90.15</v>
      </c>
      <c r="DA285">
        <f t="shared" si="61"/>
        <v>3.82</v>
      </c>
      <c r="DB285">
        <f t="shared" si="62"/>
        <v>324.54000000000002</v>
      </c>
      <c r="DC285">
        <f t="shared" si="63"/>
        <v>0</v>
      </c>
    </row>
    <row r="286" spans="1:107" x14ac:dyDescent="0.2">
      <c r="A286">
        <f>ROW(Source!A477)</f>
        <v>477</v>
      </c>
      <c r="B286">
        <v>42938047</v>
      </c>
      <c r="C286">
        <v>43136996</v>
      </c>
      <c r="D286">
        <v>35973053</v>
      </c>
      <c r="E286">
        <v>35973048</v>
      </c>
      <c r="F286">
        <v>1</v>
      </c>
      <c r="G286">
        <v>35973048</v>
      </c>
      <c r="H286">
        <v>1</v>
      </c>
      <c r="I286" t="s">
        <v>1228</v>
      </c>
      <c r="J286" t="s">
        <v>3</v>
      </c>
      <c r="K286" t="s">
        <v>1229</v>
      </c>
      <c r="L286">
        <v>1191</v>
      </c>
      <c r="N286">
        <v>1013</v>
      </c>
      <c r="O286" t="s">
        <v>1230</v>
      </c>
      <c r="P286" t="s">
        <v>1230</v>
      </c>
      <c r="Q286">
        <v>1</v>
      </c>
      <c r="W286">
        <v>0</v>
      </c>
      <c r="X286">
        <v>476480486</v>
      </c>
      <c r="Y286">
        <v>0.3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1</v>
      </c>
      <c r="AJ286">
        <v>1</v>
      </c>
      <c r="AK286">
        <v>1</v>
      </c>
      <c r="AL286">
        <v>1</v>
      </c>
      <c r="AN286">
        <v>0</v>
      </c>
      <c r="AO286">
        <v>1</v>
      </c>
      <c r="AP286">
        <v>0</v>
      </c>
      <c r="AQ286">
        <v>0</v>
      </c>
      <c r="AR286">
        <v>0</v>
      </c>
      <c r="AS286" t="s">
        <v>3</v>
      </c>
      <c r="AT286">
        <v>0.3</v>
      </c>
      <c r="AU286" t="s">
        <v>3</v>
      </c>
      <c r="AV286">
        <v>1</v>
      </c>
      <c r="AW286">
        <v>2</v>
      </c>
      <c r="AX286">
        <v>43136998</v>
      </c>
      <c r="AY286">
        <v>1</v>
      </c>
      <c r="AZ286">
        <v>0</v>
      </c>
      <c r="BA286">
        <v>291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CX286">
        <f>Y286*Source!I477</f>
        <v>75</v>
      </c>
      <c r="CY286">
        <f>AD286</f>
        <v>0</v>
      </c>
      <c r="CZ286">
        <f>AH286</f>
        <v>0</v>
      </c>
      <c r="DA286">
        <f>AL286</f>
        <v>1</v>
      </c>
      <c r="DB286">
        <f t="shared" si="62"/>
        <v>0</v>
      </c>
      <c r="DC286">
        <f t="shared" si="63"/>
        <v>0</v>
      </c>
    </row>
    <row r="287" spans="1:107" x14ac:dyDescent="0.2">
      <c r="A287">
        <f>ROW(Source!A478)</f>
        <v>478</v>
      </c>
      <c r="B287">
        <v>42938047</v>
      </c>
      <c r="C287">
        <v>43136997</v>
      </c>
      <c r="D287">
        <v>35973053</v>
      </c>
      <c r="E287">
        <v>35973048</v>
      </c>
      <c r="F287">
        <v>1</v>
      </c>
      <c r="G287">
        <v>35973048</v>
      </c>
      <c r="H287">
        <v>1</v>
      </c>
      <c r="I287" t="s">
        <v>1228</v>
      </c>
      <c r="J287" t="s">
        <v>3</v>
      </c>
      <c r="K287" t="s">
        <v>1229</v>
      </c>
      <c r="L287">
        <v>1191</v>
      </c>
      <c r="N287">
        <v>1013</v>
      </c>
      <c r="O287" t="s">
        <v>1230</v>
      </c>
      <c r="P287" t="s">
        <v>1230</v>
      </c>
      <c r="Q287">
        <v>1</v>
      </c>
      <c r="W287">
        <v>0</v>
      </c>
      <c r="X287">
        <v>476480486</v>
      </c>
      <c r="Y287">
        <v>0.12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1</v>
      </c>
      <c r="AJ287">
        <v>1</v>
      </c>
      <c r="AK287">
        <v>1</v>
      </c>
      <c r="AL287">
        <v>1</v>
      </c>
      <c r="AN287">
        <v>0</v>
      </c>
      <c r="AO287">
        <v>1</v>
      </c>
      <c r="AP287">
        <v>0</v>
      </c>
      <c r="AQ287">
        <v>0</v>
      </c>
      <c r="AR287">
        <v>0</v>
      </c>
      <c r="AS287" t="s">
        <v>3</v>
      </c>
      <c r="AT287">
        <v>0.12</v>
      </c>
      <c r="AU287" t="s">
        <v>3</v>
      </c>
      <c r="AV287">
        <v>1</v>
      </c>
      <c r="AW287">
        <v>2</v>
      </c>
      <c r="AX287">
        <v>43136999</v>
      </c>
      <c r="AY287">
        <v>1</v>
      </c>
      <c r="AZ287">
        <v>0</v>
      </c>
      <c r="BA287">
        <v>292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CX287">
        <f>Y287*Source!I478</f>
        <v>30</v>
      </c>
      <c r="CY287">
        <f>AD287</f>
        <v>0</v>
      </c>
      <c r="CZ287">
        <f>AH287</f>
        <v>0</v>
      </c>
      <c r="DA287">
        <f>AL287</f>
        <v>1</v>
      </c>
      <c r="DB287">
        <f t="shared" si="62"/>
        <v>0</v>
      </c>
      <c r="DC287">
        <f t="shared" si="63"/>
        <v>0</v>
      </c>
    </row>
    <row r="288" spans="1:107" x14ac:dyDescent="0.2">
      <c r="A288">
        <f>ROW(Source!A478)</f>
        <v>478</v>
      </c>
      <c r="B288">
        <v>42938047</v>
      </c>
      <c r="C288">
        <v>43136997</v>
      </c>
      <c r="D288">
        <v>36020415</v>
      </c>
      <c r="E288">
        <v>1</v>
      </c>
      <c r="F288">
        <v>1</v>
      </c>
      <c r="G288">
        <v>35973048</v>
      </c>
      <c r="H288">
        <v>3</v>
      </c>
      <c r="I288" t="s">
        <v>469</v>
      </c>
      <c r="J288" t="s">
        <v>471</v>
      </c>
      <c r="K288" t="s">
        <v>470</v>
      </c>
      <c r="L288">
        <v>1339</v>
      </c>
      <c r="N288">
        <v>1007</v>
      </c>
      <c r="O288" t="s">
        <v>84</v>
      </c>
      <c r="P288" t="s">
        <v>84</v>
      </c>
      <c r="Q288">
        <v>1</v>
      </c>
      <c r="W288">
        <v>0</v>
      </c>
      <c r="X288">
        <v>1570211838</v>
      </c>
      <c r="Y288">
        <v>1</v>
      </c>
      <c r="AA288">
        <v>7.07</v>
      </c>
      <c r="AB288">
        <v>0</v>
      </c>
      <c r="AC288">
        <v>0</v>
      </c>
      <c r="AD288">
        <v>0</v>
      </c>
      <c r="AE288">
        <v>7.07</v>
      </c>
      <c r="AF288">
        <v>0</v>
      </c>
      <c r="AG288">
        <v>0</v>
      </c>
      <c r="AH288">
        <v>0</v>
      </c>
      <c r="AI288">
        <v>1</v>
      </c>
      <c r="AJ288">
        <v>1</v>
      </c>
      <c r="AK288">
        <v>1</v>
      </c>
      <c r="AL288">
        <v>1</v>
      </c>
      <c r="AN288">
        <v>0</v>
      </c>
      <c r="AO288">
        <v>0</v>
      </c>
      <c r="AP288">
        <v>0</v>
      </c>
      <c r="AQ288">
        <v>0</v>
      </c>
      <c r="AR288">
        <v>0</v>
      </c>
      <c r="AS288" t="s">
        <v>3</v>
      </c>
      <c r="AT288">
        <v>1</v>
      </c>
      <c r="AU288" t="s">
        <v>3</v>
      </c>
      <c r="AV288">
        <v>0</v>
      </c>
      <c r="AW288">
        <v>1</v>
      </c>
      <c r="AX288">
        <v>-1</v>
      </c>
      <c r="AY288">
        <v>0</v>
      </c>
      <c r="AZ288">
        <v>0</v>
      </c>
      <c r="BA288" t="s">
        <v>3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CX288">
        <f>Y288*Source!I478</f>
        <v>250</v>
      </c>
      <c r="CY288">
        <f>AA288</f>
        <v>7.07</v>
      </c>
      <c r="CZ288">
        <f>AE288</f>
        <v>7.07</v>
      </c>
      <c r="DA288">
        <f>AI288</f>
        <v>1</v>
      </c>
      <c r="DB288">
        <f t="shared" si="62"/>
        <v>7.07</v>
      </c>
      <c r="DC288">
        <f t="shared" si="63"/>
        <v>0</v>
      </c>
    </row>
    <row r="289" spans="1:107" x14ac:dyDescent="0.2">
      <c r="A289">
        <f>ROW(Source!A480)</f>
        <v>480</v>
      </c>
      <c r="B289">
        <v>42938047</v>
      </c>
      <c r="C289">
        <v>43143356</v>
      </c>
      <c r="D289">
        <v>35973053</v>
      </c>
      <c r="E289">
        <v>35973048</v>
      </c>
      <c r="F289">
        <v>1</v>
      </c>
      <c r="G289">
        <v>35973048</v>
      </c>
      <c r="H289">
        <v>1</v>
      </c>
      <c r="I289" t="s">
        <v>1228</v>
      </c>
      <c r="J289" t="s">
        <v>3</v>
      </c>
      <c r="K289" t="s">
        <v>1229</v>
      </c>
      <c r="L289">
        <v>1191</v>
      </c>
      <c r="N289">
        <v>1013</v>
      </c>
      <c r="O289" t="s">
        <v>1230</v>
      </c>
      <c r="P289" t="s">
        <v>1230</v>
      </c>
      <c r="Q289">
        <v>1</v>
      </c>
      <c r="W289">
        <v>0</v>
      </c>
      <c r="X289">
        <v>476480486</v>
      </c>
      <c r="Y289">
        <v>62.280900000000003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1</v>
      </c>
      <c r="AJ289">
        <v>1</v>
      </c>
      <c r="AK289">
        <v>1</v>
      </c>
      <c r="AL289">
        <v>25.44</v>
      </c>
      <c r="AN289">
        <v>0</v>
      </c>
      <c r="AO289">
        <v>1</v>
      </c>
      <c r="AP289">
        <v>1</v>
      </c>
      <c r="AQ289">
        <v>0</v>
      </c>
      <c r="AR289">
        <v>0</v>
      </c>
      <c r="AS289" t="s">
        <v>3</v>
      </c>
      <c r="AT289">
        <v>188.73</v>
      </c>
      <c r="AU289" t="s">
        <v>443</v>
      </c>
      <c r="AV289">
        <v>1</v>
      </c>
      <c r="AW289">
        <v>2</v>
      </c>
      <c r="AX289">
        <v>43159370</v>
      </c>
      <c r="AY289">
        <v>1</v>
      </c>
      <c r="AZ289">
        <v>0</v>
      </c>
      <c r="BA289">
        <v>293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CX289">
        <f>Y289*Source!I480</f>
        <v>1318.9226193</v>
      </c>
      <c r="CY289">
        <f>AD289</f>
        <v>0</v>
      </c>
      <c r="CZ289">
        <f>AH289</f>
        <v>0</v>
      </c>
      <c r="DA289">
        <f>AL289</f>
        <v>25.44</v>
      </c>
      <c r="DB289">
        <f>ROUND((ROUND(AT289*CZ289,2)*0.33),6)</f>
        <v>0</v>
      </c>
      <c r="DC289">
        <f>ROUND((ROUND(AT289*AG289,2)*0.33),6)</f>
        <v>0</v>
      </c>
    </row>
    <row r="290" spans="1:107" x14ac:dyDescent="0.2">
      <c r="A290">
        <f>ROW(Source!A480)</f>
        <v>480</v>
      </c>
      <c r="B290">
        <v>42938047</v>
      </c>
      <c r="C290">
        <v>43143356</v>
      </c>
      <c r="D290">
        <v>36044926</v>
      </c>
      <c r="E290">
        <v>1</v>
      </c>
      <c r="F290">
        <v>1</v>
      </c>
      <c r="G290">
        <v>35973048</v>
      </c>
      <c r="H290">
        <v>2</v>
      </c>
      <c r="I290" t="s">
        <v>1352</v>
      </c>
      <c r="J290" t="s">
        <v>1353</v>
      </c>
      <c r="K290" t="s">
        <v>1354</v>
      </c>
      <c r="L290">
        <v>1367</v>
      </c>
      <c r="N290">
        <v>1011</v>
      </c>
      <c r="O290" t="s">
        <v>738</v>
      </c>
      <c r="P290" t="s">
        <v>738</v>
      </c>
      <c r="Q290">
        <v>1</v>
      </c>
      <c r="W290">
        <v>0</v>
      </c>
      <c r="X290">
        <v>-668768829</v>
      </c>
      <c r="Y290">
        <v>7.79</v>
      </c>
      <c r="AA290">
        <v>0</v>
      </c>
      <c r="AB290">
        <v>489.04</v>
      </c>
      <c r="AC290">
        <v>339.12</v>
      </c>
      <c r="AD290">
        <v>0</v>
      </c>
      <c r="AE290">
        <v>0</v>
      </c>
      <c r="AF290">
        <v>41.62</v>
      </c>
      <c r="AG290">
        <v>13.33</v>
      </c>
      <c r="AH290">
        <v>0</v>
      </c>
      <c r="AI290">
        <v>1</v>
      </c>
      <c r="AJ290">
        <v>11.75</v>
      </c>
      <c r="AK290">
        <v>25.44</v>
      </c>
      <c r="AL290">
        <v>1</v>
      </c>
      <c r="AN290">
        <v>0</v>
      </c>
      <c r="AO290">
        <v>1</v>
      </c>
      <c r="AP290">
        <v>0</v>
      </c>
      <c r="AQ290">
        <v>0</v>
      </c>
      <c r="AR290">
        <v>0</v>
      </c>
      <c r="AS290" t="s">
        <v>3</v>
      </c>
      <c r="AT290">
        <v>7.79</v>
      </c>
      <c r="AU290" t="s">
        <v>3</v>
      </c>
      <c r="AV290">
        <v>0</v>
      </c>
      <c r="AW290">
        <v>2</v>
      </c>
      <c r="AX290">
        <v>43159371</v>
      </c>
      <c r="AY290">
        <v>1</v>
      </c>
      <c r="AZ290">
        <v>0</v>
      </c>
      <c r="BA290">
        <v>294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CX290">
        <f>Y290*Source!I480</f>
        <v>164.96883</v>
      </c>
      <c r="CY290">
        <f>AB290</f>
        <v>489.04</v>
      </c>
      <c r="CZ290">
        <f>AF290</f>
        <v>41.62</v>
      </c>
      <c r="DA290">
        <f>AJ290</f>
        <v>11.75</v>
      </c>
      <c r="DB290">
        <f t="shared" ref="DB290:DB296" si="64">ROUND(ROUND(AT290*CZ290,2),6)</f>
        <v>324.22000000000003</v>
      </c>
      <c r="DC290">
        <f t="shared" ref="DC290:DC296" si="65">ROUND(ROUND(AT290*AG290,2),6)</f>
        <v>103.84</v>
      </c>
    </row>
    <row r="291" spans="1:107" x14ac:dyDescent="0.2">
      <c r="A291">
        <f>ROW(Source!A480)</f>
        <v>480</v>
      </c>
      <c r="B291">
        <v>42938047</v>
      </c>
      <c r="C291">
        <v>43143356</v>
      </c>
      <c r="D291">
        <v>36045386</v>
      </c>
      <c r="E291">
        <v>1</v>
      </c>
      <c r="F291">
        <v>1</v>
      </c>
      <c r="G291">
        <v>35973048</v>
      </c>
      <c r="H291">
        <v>2</v>
      </c>
      <c r="I291" t="s">
        <v>1355</v>
      </c>
      <c r="J291" t="s">
        <v>1356</v>
      </c>
      <c r="K291" t="s">
        <v>1357</v>
      </c>
      <c r="L291">
        <v>1367</v>
      </c>
      <c r="N291">
        <v>1011</v>
      </c>
      <c r="O291" t="s">
        <v>738</v>
      </c>
      <c r="P291" t="s">
        <v>738</v>
      </c>
      <c r="Q291">
        <v>1</v>
      </c>
      <c r="W291">
        <v>0</v>
      </c>
      <c r="X291">
        <v>-48163219</v>
      </c>
      <c r="Y291">
        <v>7.79</v>
      </c>
      <c r="AA291">
        <v>0</v>
      </c>
      <c r="AB291">
        <v>6.26</v>
      </c>
      <c r="AC291">
        <v>1.02</v>
      </c>
      <c r="AD291">
        <v>0</v>
      </c>
      <c r="AE291">
        <v>0</v>
      </c>
      <c r="AF291">
        <v>3.16</v>
      </c>
      <c r="AG291">
        <v>0.04</v>
      </c>
      <c r="AH291">
        <v>0</v>
      </c>
      <c r="AI291">
        <v>1</v>
      </c>
      <c r="AJ291">
        <v>1.98</v>
      </c>
      <c r="AK291">
        <v>25.44</v>
      </c>
      <c r="AL291">
        <v>1</v>
      </c>
      <c r="AN291">
        <v>0</v>
      </c>
      <c r="AO291">
        <v>1</v>
      </c>
      <c r="AP291">
        <v>0</v>
      </c>
      <c r="AQ291">
        <v>0</v>
      </c>
      <c r="AR291">
        <v>0</v>
      </c>
      <c r="AS291" t="s">
        <v>3</v>
      </c>
      <c r="AT291">
        <v>7.79</v>
      </c>
      <c r="AU291" t="s">
        <v>3</v>
      </c>
      <c r="AV291">
        <v>0</v>
      </c>
      <c r="AW291">
        <v>2</v>
      </c>
      <c r="AX291">
        <v>43159372</v>
      </c>
      <c r="AY291">
        <v>1</v>
      </c>
      <c r="AZ291">
        <v>0</v>
      </c>
      <c r="BA291">
        <v>295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CX291">
        <f>Y291*Source!I480</f>
        <v>164.96883</v>
      </c>
      <c r="CY291">
        <f>AB291</f>
        <v>6.26</v>
      </c>
      <c r="CZ291">
        <f>AF291</f>
        <v>3.16</v>
      </c>
      <c r="DA291">
        <f>AJ291</f>
        <v>1.98</v>
      </c>
      <c r="DB291">
        <f t="shared" si="64"/>
        <v>24.62</v>
      </c>
      <c r="DC291">
        <f t="shared" si="65"/>
        <v>0.31</v>
      </c>
    </row>
    <row r="292" spans="1:107" x14ac:dyDescent="0.2">
      <c r="A292">
        <f>ROW(Source!A480)</f>
        <v>480</v>
      </c>
      <c r="B292">
        <v>42938047</v>
      </c>
      <c r="C292">
        <v>43143356</v>
      </c>
      <c r="D292">
        <v>35973762</v>
      </c>
      <c r="E292">
        <v>35973048</v>
      </c>
      <c r="F292">
        <v>1</v>
      </c>
      <c r="G292">
        <v>35973048</v>
      </c>
      <c r="H292">
        <v>2</v>
      </c>
      <c r="I292" t="s">
        <v>1243</v>
      </c>
      <c r="J292" t="s">
        <v>3</v>
      </c>
      <c r="K292" t="s">
        <v>1244</v>
      </c>
      <c r="L292">
        <v>1344</v>
      </c>
      <c r="N292">
        <v>1008</v>
      </c>
      <c r="O292" t="s">
        <v>1245</v>
      </c>
      <c r="P292" t="s">
        <v>1245</v>
      </c>
      <c r="Q292">
        <v>1</v>
      </c>
      <c r="W292">
        <v>0</v>
      </c>
      <c r="X292">
        <v>-1180195794</v>
      </c>
      <c r="Y292">
        <v>162.80000000000001</v>
      </c>
      <c r="AA292">
        <v>0</v>
      </c>
      <c r="AB292">
        <v>11.5</v>
      </c>
      <c r="AC292">
        <v>0</v>
      </c>
      <c r="AD292">
        <v>0</v>
      </c>
      <c r="AE292">
        <v>0</v>
      </c>
      <c r="AF292">
        <v>1</v>
      </c>
      <c r="AG292">
        <v>0</v>
      </c>
      <c r="AH292">
        <v>0</v>
      </c>
      <c r="AI292">
        <v>1</v>
      </c>
      <c r="AJ292">
        <v>10.98</v>
      </c>
      <c r="AK292">
        <v>25.44</v>
      </c>
      <c r="AL292">
        <v>1</v>
      </c>
      <c r="AN292">
        <v>0</v>
      </c>
      <c r="AO292">
        <v>1</v>
      </c>
      <c r="AP292">
        <v>0</v>
      </c>
      <c r="AQ292">
        <v>0</v>
      </c>
      <c r="AR292">
        <v>0</v>
      </c>
      <c r="AS292" t="s">
        <v>3</v>
      </c>
      <c r="AT292">
        <v>162.80000000000001</v>
      </c>
      <c r="AU292" t="s">
        <v>3</v>
      </c>
      <c r="AV292">
        <v>0</v>
      </c>
      <c r="AW292">
        <v>2</v>
      </c>
      <c r="AX292">
        <v>43159373</v>
      </c>
      <c r="AY292">
        <v>1</v>
      </c>
      <c r="AZ292">
        <v>0</v>
      </c>
      <c r="BA292">
        <v>296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CX292">
        <f>Y292*Source!I480</f>
        <v>3447.6156000000001</v>
      </c>
      <c r="CY292">
        <f>AB292</f>
        <v>11.5</v>
      </c>
      <c r="CZ292">
        <f>AF292</f>
        <v>1</v>
      </c>
      <c r="DA292">
        <f>AJ292</f>
        <v>10.98</v>
      </c>
      <c r="DB292">
        <f t="shared" si="64"/>
        <v>162.80000000000001</v>
      </c>
      <c r="DC292">
        <f t="shared" si="65"/>
        <v>0</v>
      </c>
    </row>
    <row r="293" spans="1:107" x14ac:dyDescent="0.2">
      <c r="A293">
        <f>ROW(Source!A480)</f>
        <v>480</v>
      </c>
      <c r="B293">
        <v>42938047</v>
      </c>
      <c r="C293">
        <v>43143356</v>
      </c>
      <c r="D293">
        <v>35994352</v>
      </c>
      <c r="E293">
        <v>35973048</v>
      </c>
      <c r="F293">
        <v>1</v>
      </c>
      <c r="G293">
        <v>35973048</v>
      </c>
      <c r="H293">
        <v>3</v>
      </c>
      <c r="I293" t="s">
        <v>1350</v>
      </c>
      <c r="J293" t="s">
        <v>3</v>
      </c>
      <c r="K293" t="s">
        <v>1351</v>
      </c>
      <c r="L293">
        <v>1348</v>
      </c>
      <c r="N293">
        <v>1009</v>
      </c>
      <c r="O293" t="s">
        <v>104</v>
      </c>
      <c r="P293" t="s">
        <v>104</v>
      </c>
      <c r="Q293">
        <v>1000</v>
      </c>
      <c r="W293">
        <v>0</v>
      </c>
      <c r="X293">
        <v>1489638031</v>
      </c>
      <c r="Y293">
        <v>22.64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1</v>
      </c>
      <c r="AJ293">
        <v>1</v>
      </c>
      <c r="AK293">
        <v>1</v>
      </c>
      <c r="AL293">
        <v>1</v>
      </c>
      <c r="AN293">
        <v>0</v>
      </c>
      <c r="AO293">
        <v>1</v>
      </c>
      <c r="AP293">
        <v>0</v>
      </c>
      <c r="AQ293">
        <v>0</v>
      </c>
      <c r="AR293">
        <v>0</v>
      </c>
      <c r="AS293" t="s">
        <v>3</v>
      </c>
      <c r="AT293">
        <v>22.64</v>
      </c>
      <c r="AU293" t="s">
        <v>3</v>
      </c>
      <c r="AV293">
        <v>0</v>
      </c>
      <c r="AW293">
        <v>2</v>
      </c>
      <c r="AX293">
        <v>43159374</v>
      </c>
      <c r="AY293">
        <v>1</v>
      </c>
      <c r="AZ293">
        <v>0</v>
      </c>
      <c r="BA293">
        <v>297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CX293">
        <f>Y293*Source!I480</f>
        <v>479.44727999999998</v>
      </c>
      <c r="CY293">
        <f>AA293</f>
        <v>0</v>
      </c>
      <c r="CZ293">
        <f>AE293</f>
        <v>0</v>
      </c>
      <c r="DA293">
        <f>AI293</f>
        <v>1</v>
      </c>
      <c r="DB293">
        <f t="shared" si="64"/>
        <v>0</v>
      </c>
      <c r="DC293">
        <f t="shared" si="65"/>
        <v>0</v>
      </c>
    </row>
    <row r="294" spans="1:107" x14ac:dyDescent="0.2">
      <c r="A294">
        <f>ROW(Source!A481)</f>
        <v>481</v>
      </c>
      <c r="B294">
        <v>42938047</v>
      </c>
      <c r="C294">
        <v>43159397</v>
      </c>
      <c r="D294">
        <v>35973053</v>
      </c>
      <c r="E294">
        <v>35973048</v>
      </c>
      <c r="F294">
        <v>1</v>
      </c>
      <c r="G294">
        <v>35973048</v>
      </c>
      <c r="H294">
        <v>1</v>
      </c>
      <c r="I294" t="s">
        <v>1228</v>
      </c>
      <c r="J294" t="s">
        <v>3</v>
      </c>
      <c r="K294" t="s">
        <v>1229</v>
      </c>
      <c r="L294">
        <v>1191</v>
      </c>
      <c r="N294">
        <v>1013</v>
      </c>
      <c r="O294" t="s">
        <v>1230</v>
      </c>
      <c r="P294" t="s">
        <v>1230</v>
      </c>
      <c r="Q294">
        <v>1</v>
      </c>
      <c r="W294">
        <v>0</v>
      </c>
      <c r="X294">
        <v>476480486</v>
      </c>
      <c r="Y294">
        <v>7.2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1</v>
      </c>
      <c r="AJ294">
        <v>1</v>
      </c>
      <c r="AK294">
        <v>1</v>
      </c>
      <c r="AL294">
        <v>25.44</v>
      </c>
      <c r="AN294">
        <v>0</v>
      </c>
      <c r="AO294">
        <v>1</v>
      </c>
      <c r="AP294">
        <v>0</v>
      </c>
      <c r="AQ294">
        <v>0</v>
      </c>
      <c r="AR294">
        <v>0</v>
      </c>
      <c r="AS294" t="s">
        <v>3</v>
      </c>
      <c r="AT294">
        <v>7.2</v>
      </c>
      <c r="AU294" t="s">
        <v>3</v>
      </c>
      <c r="AV294">
        <v>1</v>
      </c>
      <c r="AW294">
        <v>2</v>
      </c>
      <c r="AX294">
        <v>43159398</v>
      </c>
      <c r="AY294">
        <v>1</v>
      </c>
      <c r="AZ294">
        <v>0</v>
      </c>
      <c r="BA294">
        <v>298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CX294">
        <f>Y294*Source!I481</f>
        <v>1296</v>
      </c>
      <c r="CY294">
        <f>AD294</f>
        <v>0</v>
      </c>
      <c r="CZ294">
        <f>AH294</f>
        <v>0</v>
      </c>
      <c r="DA294">
        <f>AL294</f>
        <v>25.44</v>
      </c>
      <c r="DB294">
        <f t="shared" si="64"/>
        <v>0</v>
      </c>
      <c r="DC294">
        <f t="shared" si="65"/>
        <v>0</v>
      </c>
    </row>
    <row r="295" spans="1:107" x14ac:dyDescent="0.2">
      <c r="A295">
        <f>ROW(Source!A481)</f>
        <v>481</v>
      </c>
      <c r="B295">
        <v>42938047</v>
      </c>
      <c r="C295">
        <v>43159397</v>
      </c>
      <c r="D295">
        <v>35973762</v>
      </c>
      <c r="E295">
        <v>35973048</v>
      </c>
      <c r="F295">
        <v>1</v>
      </c>
      <c r="G295">
        <v>35973048</v>
      </c>
      <c r="H295">
        <v>2</v>
      </c>
      <c r="I295" t="s">
        <v>1243</v>
      </c>
      <c r="J295" t="s">
        <v>3</v>
      </c>
      <c r="K295" t="s">
        <v>1244</v>
      </c>
      <c r="L295">
        <v>1344</v>
      </c>
      <c r="N295">
        <v>1008</v>
      </c>
      <c r="O295" t="s">
        <v>1245</v>
      </c>
      <c r="P295" t="s">
        <v>1245</v>
      </c>
      <c r="Q295">
        <v>1</v>
      </c>
      <c r="W295">
        <v>0</v>
      </c>
      <c r="X295">
        <v>-1180195794</v>
      </c>
      <c r="Y295">
        <v>56.42</v>
      </c>
      <c r="AA295">
        <v>0</v>
      </c>
      <c r="AB295">
        <v>12.25</v>
      </c>
      <c r="AC295">
        <v>0</v>
      </c>
      <c r="AD295">
        <v>0</v>
      </c>
      <c r="AE295">
        <v>0</v>
      </c>
      <c r="AF295">
        <v>1</v>
      </c>
      <c r="AG295">
        <v>0</v>
      </c>
      <c r="AH295">
        <v>0</v>
      </c>
      <c r="AI295">
        <v>1</v>
      </c>
      <c r="AJ295">
        <v>11.7</v>
      </c>
      <c r="AK295">
        <v>25.44</v>
      </c>
      <c r="AL295">
        <v>1</v>
      </c>
      <c r="AN295">
        <v>0</v>
      </c>
      <c r="AO295">
        <v>1</v>
      </c>
      <c r="AP295">
        <v>0</v>
      </c>
      <c r="AQ295">
        <v>0</v>
      </c>
      <c r="AR295">
        <v>0</v>
      </c>
      <c r="AS295" t="s">
        <v>3</v>
      </c>
      <c r="AT295">
        <v>56.42</v>
      </c>
      <c r="AU295" t="s">
        <v>3</v>
      </c>
      <c r="AV295">
        <v>0</v>
      </c>
      <c r="AW295">
        <v>2</v>
      </c>
      <c r="AX295">
        <v>43159399</v>
      </c>
      <c r="AY295">
        <v>1</v>
      </c>
      <c r="AZ295">
        <v>0</v>
      </c>
      <c r="BA295">
        <v>299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CX295">
        <f>Y295*Source!I481</f>
        <v>10155.6</v>
      </c>
      <c r="CY295">
        <f>AB295</f>
        <v>12.25</v>
      </c>
      <c r="CZ295">
        <f>AF295</f>
        <v>1</v>
      </c>
      <c r="DA295">
        <f>AJ295</f>
        <v>11.7</v>
      </c>
      <c r="DB295">
        <f t="shared" si="64"/>
        <v>56.42</v>
      </c>
      <c r="DC295">
        <f t="shared" si="65"/>
        <v>0</v>
      </c>
    </row>
    <row r="296" spans="1:107" x14ac:dyDescent="0.2">
      <c r="A296">
        <f>ROW(Source!A481)</f>
        <v>481</v>
      </c>
      <c r="B296">
        <v>42938047</v>
      </c>
      <c r="C296">
        <v>43159397</v>
      </c>
      <c r="D296">
        <v>35994352</v>
      </c>
      <c r="E296">
        <v>35973048</v>
      </c>
      <c r="F296">
        <v>1</v>
      </c>
      <c r="G296">
        <v>35973048</v>
      </c>
      <c r="H296">
        <v>3</v>
      </c>
      <c r="I296" t="s">
        <v>1350</v>
      </c>
      <c r="J296" t="s">
        <v>3</v>
      </c>
      <c r="K296" t="s">
        <v>1351</v>
      </c>
      <c r="L296">
        <v>1348</v>
      </c>
      <c r="N296">
        <v>1009</v>
      </c>
      <c r="O296" t="s">
        <v>104</v>
      </c>
      <c r="P296" t="s">
        <v>104</v>
      </c>
      <c r="Q296">
        <v>1000</v>
      </c>
      <c r="W296">
        <v>0</v>
      </c>
      <c r="X296">
        <v>1489638031</v>
      </c>
      <c r="Y296">
        <v>2.35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1</v>
      </c>
      <c r="AJ296">
        <v>1</v>
      </c>
      <c r="AK296">
        <v>1</v>
      </c>
      <c r="AL296">
        <v>1</v>
      </c>
      <c r="AN296">
        <v>0</v>
      </c>
      <c r="AO296">
        <v>1</v>
      </c>
      <c r="AP296">
        <v>0</v>
      </c>
      <c r="AQ296">
        <v>0</v>
      </c>
      <c r="AR296">
        <v>0</v>
      </c>
      <c r="AS296" t="s">
        <v>3</v>
      </c>
      <c r="AT296">
        <v>2.35</v>
      </c>
      <c r="AU296" t="s">
        <v>3</v>
      </c>
      <c r="AV296">
        <v>0</v>
      </c>
      <c r="AW296">
        <v>2</v>
      </c>
      <c r="AX296">
        <v>43159400</v>
      </c>
      <c r="AY296">
        <v>1</v>
      </c>
      <c r="AZ296">
        <v>0</v>
      </c>
      <c r="BA296">
        <v>300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CX296">
        <f>Y296*Source!I481</f>
        <v>423</v>
      </c>
      <c r="CY296">
        <f>AA296</f>
        <v>0</v>
      </c>
      <c r="CZ296">
        <f>AE296</f>
        <v>0</v>
      </c>
      <c r="DA296">
        <f>AI296</f>
        <v>1</v>
      </c>
      <c r="DB296">
        <f t="shared" si="64"/>
        <v>0</v>
      </c>
      <c r="DC296">
        <f t="shared" si="65"/>
        <v>0</v>
      </c>
    </row>
    <row r="297" spans="1:107" x14ac:dyDescent="0.2">
      <c r="A297">
        <f>ROW(Source!A482)</f>
        <v>482</v>
      </c>
      <c r="B297">
        <v>42938047</v>
      </c>
      <c r="C297">
        <v>43143402</v>
      </c>
      <c r="D297">
        <v>35973053</v>
      </c>
      <c r="E297">
        <v>35973048</v>
      </c>
      <c r="F297">
        <v>1</v>
      </c>
      <c r="G297">
        <v>35973048</v>
      </c>
      <c r="H297">
        <v>1</v>
      </c>
      <c r="I297" t="s">
        <v>1228</v>
      </c>
      <c r="J297" t="s">
        <v>3</v>
      </c>
      <c r="K297" t="s">
        <v>1229</v>
      </c>
      <c r="L297">
        <v>1191</v>
      </c>
      <c r="N297">
        <v>1013</v>
      </c>
      <c r="O297" t="s">
        <v>1230</v>
      </c>
      <c r="P297" t="s">
        <v>1230</v>
      </c>
      <c r="Q297">
        <v>1</v>
      </c>
      <c r="W297">
        <v>0</v>
      </c>
      <c r="X297">
        <v>476480486</v>
      </c>
      <c r="Y297">
        <v>1.19025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1</v>
      </c>
      <c r="AJ297">
        <v>1</v>
      </c>
      <c r="AK297">
        <v>1</v>
      </c>
      <c r="AL297">
        <v>25.44</v>
      </c>
      <c r="AN297">
        <v>0</v>
      </c>
      <c r="AO297">
        <v>1</v>
      </c>
      <c r="AP297">
        <v>1</v>
      </c>
      <c r="AQ297">
        <v>0</v>
      </c>
      <c r="AR297">
        <v>0</v>
      </c>
      <c r="AS297" t="s">
        <v>3</v>
      </c>
      <c r="AT297">
        <v>1.38</v>
      </c>
      <c r="AU297" t="s">
        <v>627</v>
      </c>
      <c r="AV297">
        <v>1</v>
      </c>
      <c r="AW297">
        <v>2</v>
      </c>
      <c r="AX297">
        <v>43143405</v>
      </c>
      <c r="AY297">
        <v>1</v>
      </c>
      <c r="AZ297">
        <v>2048</v>
      </c>
      <c r="BA297">
        <v>301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CX297">
        <f>Y297*Source!I482</f>
        <v>2.0406836249999998</v>
      </c>
      <c r="CY297">
        <f>AD297</f>
        <v>0</v>
      </c>
      <c r="CZ297">
        <f>AH297</f>
        <v>0</v>
      </c>
      <c r="DA297">
        <f>AL297</f>
        <v>25.44</v>
      </c>
      <c r="DB297">
        <f>ROUND((ROUND(AT297*CZ297,2)*1.15*0.75),6)</f>
        <v>0</v>
      </c>
      <c r="DC297">
        <f>ROUND((ROUND(AT297*AG297,2)*1.15*0.75),6)</f>
        <v>0</v>
      </c>
    </row>
    <row r="298" spans="1:107" x14ac:dyDescent="0.2">
      <c r="A298">
        <f>ROW(Source!A482)</f>
        <v>482</v>
      </c>
      <c r="B298">
        <v>42938047</v>
      </c>
      <c r="C298">
        <v>43143402</v>
      </c>
      <c r="D298">
        <v>36044463</v>
      </c>
      <c r="E298">
        <v>1</v>
      </c>
      <c r="F298">
        <v>1</v>
      </c>
      <c r="G298">
        <v>35973048</v>
      </c>
      <c r="H298">
        <v>2</v>
      </c>
      <c r="I298" t="s">
        <v>1249</v>
      </c>
      <c r="J298" t="s">
        <v>1250</v>
      </c>
      <c r="K298" t="s">
        <v>1251</v>
      </c>
      <c r="L298">
        <v>1367</v>
      </c>
      <c r="N298">
        <v>1011</v>
      </c>
      <c r="O298" t="s">
        <v>738</v>
      </c>
      <c r="P298" t="s">
        <v>738</v>
      </c>
      <c r="Q298">
        <v>1</v>
      </c>
      <c r="W298">
        <v>0</v>
      </c>
      <c r="X298">
        <v>-1422010832</v>
      </c>
      <c r="Y298">
        <v>3.73828125</v>
      </c>
      <c r="AA298">
        <v>0</v>
      </c>
      <c r="AB298">
        <v>1608.41</v>
      </c>
      <c r="AC298">
        <v>445.45</v>
      </c>
      <c r="AD298">
        <v>0</v>
      </c>
      <c r="AE298">
        <v>0</v>
      </c>
      <c r="AF298">
        <v>180.72</v>
      </c>
      <c r="AG298">
        <v>17.510000000000002</v>
      </c>
      <c r="AH298">
        <v>0</v>
      </c>
      <c r="AI298">
        <v>1</v>
      </c>
      <c r="AJ298">
        <v>8.9</v>
      </c>
      <c r="AK298">
        <v>25.44</v>
      </c>
      <c r="AL298">
        <v>1</v>
      </c>
      <c r="AN298">
        <v>0</v>
      </c>
      <c r="AO298">
        <v>1</v>
      </c>
      <c r="AP298">
        <v>1</v>
      </c>
      <c r="AQ298">
        <v>0</v>
      </c>
      <c r="AR298">
        <v>0</v>
      </c>
      <c r="AS298" t="s">
        <v>3</v>
      </c>
      <c r="AT298">
        <v>3.9874999999999998</v>
      </c>
      <c r="AU298" t="s">
        <v>626</v>
      </c>
      <c r="AV298">
        <v>0</v>
      </c>
      <c r="AW298">
        <v>2</v>
      </c>
      <c r="AX298">
        <v>43143406</v>
      </c>
      <c r="AY298">
        <v>1</v>
      </c>
      <c r="AZ298">
        <v>0</v>
      </c>
      <c r="BA298">
        <v>302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CX298">
        <f>Y298*Source!I482</f>
        <v>6.4092832031249998</v>
      </c>
      <c r="CY298">
        <f>AB298</f>
        <v>1608.41</v>
      </c>
      <c r="CZ298">
        <f>AF298</f>
        <v>180.72</v>
      </c>
      <c r="DA298">
        <f>AJ298</f>
        <v>8.9</v>
      </c>
      <c r="DB298">
        <f>ROUND((ROUND(AT298*CZ298,2)*1.25*0.75),6)</f>
        <v>675.58124999999995</v>
      </c>
      <c r="DC298">
        <f>ROUND((ROUND(AT298*AG298,2)*1.25*0.75),6)</f>
        <v>65.456249999999997</v>
      </c>
    </row>
    <row r="299" spans="1:107" x14ac:dyDescent="0.2">
      <c r="A299">
        <f>ROW(Source!A482)</f>
        <v>482</v>
      </c>
      <c r="B299">
        <v>42938047</v>
      </c>
      <c r="C299">
        <v>43143402</v>
      </c>
      <c r="D299">
        <v>36044488</v>
      </c>
      <c r="E299">
        <v>1</v>
      </c>
      <c r="F299">
        <v>1</v>
      </c>
      <c r="G299">
        <v>35973048</v>
      </c>
      <c r="H299">
        <v>2</v>
      </c>
      <c r="I299" t="s">
        <v>1252</v>
      </c>
      <c r="J299" t="s">
        <v>1253</v>
      </c>
      <c r="K299" t="s">
        <v>1254</v>
      </c>
      <c r="L299">
        <v>1367</v>
      </c>
      <c r="N299">
        <v>1011</v>
      </c>
      <c r="O299" t="s">
        <v>738</v>
      </c>
      <c r="P299" t="s">
        <v>738</v>
      </c>
      <c r="Q299">
        <v>1</v>
      </c>
      <c r="W299">
        <v>0</v>
      </c>
      <c r="X299">
        <v>1387947568</v>
      </c>
      <c r="Y299">
        <v>0.9346875</v>
      </c>
      <c r="AA299">
        <v>0</v>
      </c>
      <c r="AB299">
        <v>1464.71</v>
      </c>
      <c r="AC299">
        <v>450.29</v>
      </c>
      <c r="AD299">
        <v>0</v>
      </c>
      <c r="AE299">
        <v>0</v>
      </c>
      <c r="AF299">
        <v>161.49</v>
      </c>
      <c r="AG299">
        <v>17.7</v>
      </c>
      <c r="AH299">
        <v>0</v>
      </c>
      <c r="AI299">
        <v>1</v>
      </c>
      <c r="AJ299">
        <v>9.07</v>
      </c>
      <c r="AK299">
        <v>25.44</v>
      </c>
      <c r="AL299">
        <v>1</v>
      </c>
      <c r="AN299">
        <v>0</v>
      </c>
      <c r="AO299">
        <v>1</v>
      </c>
      <c r="AP299">
        <v>1</v>
      </c>
      <c r="AQ299">
        <v>0</v>
      </c>
      <c r="AR299">
        <v>0</v>
      </c>
      <c r="AS299" t="s">
        <v>3</v>
      </c>
      <c r="AT299">
        <v>0.997</v>
      </c>
      <c r="AU299" t="s">
        <v>626</v>
      </c>
      <c r="AV299">
        <v>0</v>
      </c>
      <c r="AW299">
        <v>2</v>
      </c>
      <c r="AX299">
        <v>43143407</v>
      </c>
      <c r="AY299">
        <v>1</v>
      </c>
      <c r="AZ299">
        <v>2048</v>
      </c>
      <c r="BA299">
        <v>303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CX299">
        <f>Y299*Source!I482</f>
        <v>1.6025217187499998</v>
      </c>
      <c r="CY299">
        <f>AB299</f>
        <v>1464.71</v>
      </c>
      <c r="CZ299">
        <f>AF299</f>
        <v>161.49</v>
      </c>
      <c r="DA299">
        <f>AJ299</f>
        <v>9.07</v>
      </c>
      <c r="DB299">
        <f>ROUND((ROUND(AT299*CZ299,2)*1.25*0.75),6)</f>
        <v>150.94687500000001</v>
      </c>
      <c r="DC299">
        <f>ROUND((ROUND(AT299*AG299,2)*1.25*0.75),6)</f>
        <v>16.546875</v>
      </c>
    </row>
    <row r="300" spans="1:107" x14ac:dyDescent="0.2">
      <c r="A300">
        <f>ROW(Source!A483)</f>
        <v>483</v>
      </c>
      <c r="B300">
        <v>42938047</v>
      </c>
      <c r="C300">
        <v>43143357</v>
      </c>
      <c r="D300">
        <v>35973053</v>
      </c>
      <c r="E300">
        <v>35973048</v>
      </c>
      <c r="F300">
        <v>1</v>
      </c>
      <c r="G300">
        <v>35973048</v>
      </c>
      <c r="H300">
        <v>1</v>
      </c>
      <c r="I300" t="s">
        <v>1228</v>
      </c>
      <c r="J300" t="s">
        <v>3</v>
      </c>
      <c r="K300" t="s">
        <v>1229</v>
      </c>
      <c r="L300">
        <v>1191</v>
      </c>
      <c r="N300">
        <v>1013</v>
      </c>
      <c r="O300" t="s">
        <v>1230</v>
      </c>
      <c r="P300" t="s">
        <v>1230</v>
      </c>
      <c r="Q300">
        <v>1</v>
      </c>
      <c r="W300">
        <v>0</v>
      </c>
      <c r="X300">
        <v>476480486</v>
      </c>
      <c r="Y300">
        <v>55.401249999999997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1</v>
      </c>
      <c r="AJ300">
        <v>1</v>
      </c>
      <c r="AK300">
        <v>1</v>
      </c>
      <c r="AL300">
        <v>25.44</v>
      </c>
      <c r="AN300">
        <v>0</v>
      </c>
      <c r="AO300">
        <v>1</v>
      </c>
      <c r="AP300">
        <v>1</v>
      </c>
      <c r="AQ300">
        <v>0</v>
      </c>
      <c r="AR300">
        <v>0</v>
      </c>
      <c r="AS300" t="s">
        <v>3</v>
      </c>
      <c r="AT300">
        <v>192.7</v>
      </c>
      <c r="AU300" t="s">
        <v>629</v>
      </c>
      <c r="AV300">
        <v>1</v>
      </c>
      <c r="AW300">
        <v>2</v>
      </c>
      <c r="AX300">
        <v>43143410</v>
      </c>
      <c r="AY300">
        <v>1</v>
      </c>
      <c r="AZ300">
        <v>2048</v>
      </c>
      <c r="BA300">
        <v>304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CX300">
        <f>Y300*Source!I483</f>
        <v>94.985443124999989</v>
      </c>
      <c r="CY300">
        <f>AD300</f>
        <v>0</v>
      </c>
      <c r="CZ300">
        <f>AH300</f>
        <v>0</v>
      </c>
      <c r="DA300">
        <f>AL300</f>
        <v>25.44</v>
      </c>
      <c r="DB300">
        <f>ROUND((ROUND(AT300*CZ300,2)*1.15*0.25),6)</f>
        <v>0</v>
      </c>
      <c r="DC300">
        <f>ROUND((ROUND(AT300*AG300,2)*1.15*0.25),6)</f>
        <v>0</v>
      </c>
    </row>
    <row r="301" spans="1:107" x14ac:dyDescent="0.2">
      <c r="A301">
        <f>ROW(Source!A484)</f>
        <v>484</v>
      </c>
      <c r="B301">
        <v>42938047</v>
      </c>
      <c r="C301">
        <v>43143482</v>
      </c>
      <c r="D301">
        <v>35973053</v>
      </c>
      <c r="E301">
        <v>35973048</v>
      </c>
      <c r="F301">
        <v>1</v>
      </c>
      <c r="G301">
        <v>35973048</v>
      </c>
      <c r="H301">
        <v>1</v>
      </c>
      <c r="I301" t="s">
        <v>1228</v>
      </c>
      <c r="J301" t="s">
        <v>3</v>
      </c>
      <c r="K301" t="s">
        <v>1229</v>
      </c>
      <c r="L301">
        <v>1191</v>
      </c>
      <c r="N301">
        <v>1013</v>
      </c>
      <c r="O301" t="s">
        <v>1230</v>
      </c>
      <c r="P301" t="s">
        <v>1230</v>
      </c>
      <c r="Q301">
        <v>1</v>
      </c>
      <c r="W301">
        <v>0</v>
      </c>
      <c r="X301">
        <v>476480486</v>
      </c>
      <c r="Y301">
        <v>31.855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1</v>
      </c>
      <c r="AJ301">
        <v>1</v>
      </c>
      <c r="AK301">
        <v>1</v>
      </c>
      <c r="AL301">
        <v>25.44</v>
      </c>
      <c r="AN301">
        <v>0</v>
      </c>
      <c r="AO301">
        <v>1</v>
      </c>
      <c r="AP301">
        <v>1</v>
      </c>
      <c r="AQ301">
        <v>0</v>
      </c>
      <c r="AR301">
        <v>0</v>
      </c>
      <c r="AS301" t="s">
        <v>3</v>
      </c>
      <c r="AT301">
        <v>27.7</v>
      </c>
      <c r="AU301" t="s">
        <v>21</v>
      </c>
      <c r="AV301">
        <v>1</v>
      </c>
      <c r="AW301">
        <v>2</v>
      </c>
      <c r="AX301">
        <v>43143483</v>
      </c>
      <c r="AY301">
        <v>1</v>
      </c>
      <c r="AZ301">
        <v>2048</v>
      </c>
      <c r="BA301">
        <v>305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CX301">
        <f>Y301*Source!I484</f>
        <v>10.8307</v>
      </c>
      <c r="CY301">
        <f>AD301</f>
        <v>0</v>
      </c>
      <c r="CZ301">
        <f>AH301</f>
        <v>0</v>
      </c>
      <c r="DA301">
        <f>AL301</f>
        <v>25.44</v>
      </c>
      <c r="DB301">
        <f>ROUND((ROUND(AT301*CZ301,2)*1.15),6)</f>
        <v>0</v>
      </c>
      <c r="DC301">
        <f>ROUND((ROUND(AT301*AG301,2)*1.15),6)</f>
        <v>0</v>
      </c>
    </row>
    <row r="302" spans="1:107" x14ac:dyDescent="0.2">
      <c r="A302">
        <f>ROW(Source!A484)</f>
        <v>484</v>
      </c>
      <c r="B302">
        <v>42938047</v>
      </c>
      <c r="C302">
        <v>43143482</v>
      </c>
      <c r="D302">
        <v>36044488</v>
      </c>
      <c r="E302">
        <v>1</v>
      </c>
      <c r="F302">
        <v>1</v>
      </c>
      <c r="G302">
        <v>35973048</v>
      </c>
      <c r="H302">
        <v>2</v>
      </c>
      <c r="I302" t="s">
        <v>1252</v>
      </c>
      <c r="J302" t="s">
        <v>1253</v>
      </c>
      <c r="K302" t="s">
        <v>1254</v>
      </c>
      <c r="L302">
        <v>1367</v>
      </c>
      <c r="N302">
        <v>1011</v>
      </c>
      <c r="O302" t="s">
        <v>738</v>
      </c>
      <c r="P302" t="s">
        <v>738</v>
      </c>
      <c r="Q302">
        <v>1</v>
      </c>
      <c r="W302">
        <v>0</v>
      </c>
      <c r="X302">
        <v>1387947568</v>
      </c>
      <c r="Y302">
        <v>3.15</v>
      </c>
      <c r="AA302">
        <v>0</v>
      </c>
      <c r="AB302">
        <v>1464.71</v>
      </c>
      <c r="AC302">
        <v>450.29</v>
      </c>
      <c r="AD302">
        <v>0</v>
      </c>
      <c r="AE302">
        <v>0</v>
      </c>
      <c r="AF302">
        <v>161.49</v>
      </c>
      <c r="AG302">
        <v>17.7</v>
      </c>
      <c r="AH302">
        <v>0</v>
      </c>
      <c r="AI302">
        <v>1</v>
      </c>
      <c r="AJ302">
        <v>9.07</v>
      </c>
      <c r="AK302">
        <v>25.44</v>
      </c>
      <c r="AL302">
        <v>1</v>
      </c>
      <c r="AN302">
        <v>0</v>
      </c>
      <c r="AO302">
        <v>1</v>
      </c>
      <c r="AP302">
        <v>1</v>
      </c>
      <c r="AQ302">
        <v>0</v>
      </c>
      <c r="AR302">
        <v>0</v>
      </c>
      <c r="AS302" t="s">
        <v>3</v>
      </c>
      <c r="AT302">
        <v>2.52</v>
      </c>
      <c r="AU302" t="s">
        <v>20</v>
      </c>
      <c r="AV302">
        <v>0</v>
      </c>
      <c r="AW302">
        <v>2</v>
      </c>
      <c r="AX302">
        <v>43143484</v>
      </c>
      <c r="AY302">
        <v>1</v>
      </c>
      <c r="AZ302">
        <v>0</v>
      </c>
      <c r="BA302">
        <v>306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CX302">
        <f>Y302*Source!I484</f>
        <v>1.071</v>
      </c>
      <c r="CY302">
        <f>AB302</f>
        <v>1464.71</v>
      </c>
      <c r="CZ302">
        <f>AF302</f>
        <v>161.49</v>
      </c>
      <c r="DA302">
        <f>AJ302</f>
        <v>9.07</v>
      </c>
      <c r="DB302">
        <f>ROUND((ROUND(AT302*CZ302,2)*1.25),6)</f>
        <v>508.6875</v>
      </c>
      <c r="DC302">
        <f>ROUND((ROUND(AT302*AG302,2)*1.25),6)</f>
        <v>55.75</v>
      </c>
    </row>
    <row r="303" spans="1:107" x14ac:dyDescent="0.2">
      <c r="A303">
        <f>ROW(Source!A484)</f>
        <v>484</v>
      </c>
      <c r="B303">
        <v>42938047</v>
      </c>
      <c r="C303">
        <v>43143482</v>
      </c>
      <c r="D303">
        <v>36044727</v>
      </c>
      <c r="E303">
        <v>1</v>
      </c>
      <c r="F303">
        <v>1</v>
      </c>
      <c r="G303">
        <v>35973048</v>
      </c>
      <c r="H303">
        <v>2</v>
      </c>
      <c r="I303" t="s">
        <v>1291</v>
      </c>
      <c r="J303" t="s">
        <v>1292</v>
      </c>
      <c r="K303" t="s">
        <v>1293</v>
      </c>
      <c r="L303">
        <v>1367</v>
      </c>
      <c r="N303">
        <v>1011</v>
      </c>
      <c r="O303" t="s">
        <v>738</v>
      </c>
      <c r="P303" t="s">
        <v>738</v>
      </c>
      <c r="Q303">
        <v>1</v>
      </c>
      <c r="W303">
        <v>0</v>
      </c>
      <c r="X303">
        <v>-1293364201</v>
      </c>
      <c r="Y303">
        <v>1.2749999999999999</v>
      </c>
      <c r="AA303">
        <v>0</v>
      </c>
      <c r="AB303">
        <v>2153.7199999999998</v>
      </c>
      <c r="AC303">
        <v>441.13</v>
      </c>
      <c r="AD303">
        <v>0</v>
      </c>
      <c r="AE303">
        <v>0</v>
      </c>
      <c r="AF303">
        <v>258.24</v>
      </c>
      <c r="AG303">
        <v>17.34</v>
      </c>
      <c r="AH303">
        <v>0</v>
      </c>
      <c r="AI303">
        <v>1</v>
      </c>
      <c r="AJ303">
        <v>8.34</v>
      </c>
      <c r="AK303">
        <v>25.44</v>
      </c>
      <c r="AL303">
        <v>1</v>
      </c>
      <c r="AN303">
        <v>0</v>
      </c>
      <c r="AO303">
        <v>1</v>
      </c>
      <c r="AP303">
        <v>1</v>
      </c>
      <c r="AQ303">
        <v>0</v>
      </c>
      <c r="AR303">
        <v>0</v>
      </c>
      <c r="AS303" t="s">
        <v>3</v>
      </c>
      <c r="AT303">
        <v>1.02</v>
      </c>
      <c r="AU303" t="s">
        <v>20</v>
      </c>
      <c r="AV303">
        <v>0</v>
      </c>
      <c r="AW303">
        <v>2</v>
      </c>
      <c r="AX303">
        <v>43143485</v>
      </c>
      <c r="AY303">
        <v>1</v>
      </c>
      <c r="AZ303">
        <v>0</v>
      </c>
      <c r="BA303">
        <v>307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CX303">
        <f>Y303*Source!I484</f>
        <v>0.4335</v>
      </c>
      <c r="CY303">
        <f>AB303</f>
        <v>2153.7199999999998</v>
      </c>
      <c r="CZ303">
        <f>AF303</f>
        <v>258.24</v>
      </c>
      <c r="DA303">
        <f>AJ303</f>
        <v>8.34</v>
      </c>
      <c r="DB303">
        <f>ROUND((ROUND(AT303*CZ303,2)*1.25),6)</f>
        <v>329.25</v>
      </c>
      <c r="DC303">
        <f>ROUND((ROUND(AT303*AG303,2)*1.25),6)</f>
        <v>22.112500000000001</v>
      </c>
    </row>
    <row r="304" spans="1:107" x14ac:dyDescent="0.2">
      <c r="A304">
        <f>ROW(Source!A484)</f>
        <v>484</v>
      </c>
      <c r="B304">
        <v>42938047</v>
      </c>
      <c r="C304">
        <v>43143482</v>
      </c>
      <c r="D304">
        <v>36021763</v>
      </c>
      <c r="E304">
        <v>1</v>
      </c>
      <c r="F304">
        <v>1</v>
      </c>
      <c r="G304">
        <v>35973048</v>
      </c>
      <c r="H304">
        <v>3</v>
      </c>
      <c r="I304" t="s">
        <v>294</v>
      </c>
      <c r="J304" t="s">
        <v>296</v>
      </c>
      <c r="K304" t="s">
        <v>295</v>
      </c>
      <c r="L304">
        <v>1327</v>
      </c>
      <c r="N304">
        <v>1005</v>
      </c>
      <c r="O304" t="s">
        <v>120</v>
      </c>
      <c r="P304" t="s">
        <v>120</v>
      </c>
      <c r="Q304">
        <v>1</v>
      </c>
      <c r="W304">
        <v>0</v>
      </c>
      <c r="X304">
        <v>544087257</v>
      </c>
      <c r="Y304">
        <v>1000</v>
      </c>
      <c r="AA304">
        <v>59.2</v>
      </c>
      <c r="AB304">
        <v>0</v>
      </c>
      <c r="AC304">
        <v>0</v>
      </c>
      <c r="AD304">
        <v>0</v>
      </c>
      <c r="AE304">
        <v>13.87</v>
      </c>
      <c r="AF304">
        <v>0</v>
      </c>
      <c r="AG304">
        <v>0</v>
      </c>
      <c r="AH304">
        <v>0</v>
      </c>
      <c r="AI304">
        <v>4.26</v>
      </c>
      <c r="AJ304">
        <v>1</v>
      </c>
      <c r="AK304">
        <v>1</v>
      </c>
      <c r="AL304">
        <v>1</v>
      </c>
      <c r="AN304">
        <v>0</v>
      </c>
      <c r="AO304">
        <v>0</v>
      </c>
      <c r="AP304">
        <v>0</v>
      </c>
      <c r="AQ304">
        <v>0</v>
      </c>
      <c r="AR304">
        <v>0</v>
      </c>
      <c r="AS304" t="s">
        <v>3</v>
      </c>
      <c r="AT304">
        <v>1000</v>
      </c>
      <c r="AU304" t="s">
        <v>3</v>
      </c>
      <c r="AV304">
        <v>0</v>
      </c>
      <c r="AW304">
        <v>1</v>
      </c>
      <c r="AX304">
        <v>-1</v>
      </c>
      <c r="AY304">
        <v>0</v>
      </c>
      <c r="AZ304">
        <v>0</v>
      </c>
      <c r="BA304" t="s">
        <v>3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CX304">
        <f>Y304*Source!I484</f>
        <v>340</v>
      </c>
      <c r="CY304">
        <f>AA304</f>
        <v>59.2</v>
      </c>
      <c r="CZ304">
        <f>AE304</f>
        <v>13.87</v>
      </c>
      <c r="DA304">
        <f>AI304</f>
        <v>4.26</v>
      </c>
      <c r="DB304">
        <f>ROUND(ROUND(AT304*CZ304,2),6)</f>
        <v>13870</v>
      </c>
      <c r="DC304">
        <f>ROUND(ROUND(AT304*AG304,2),6)</f>
        <v>0</v>
      </c>
    </row>
    <row r="305" spans="1:107" x14ac:dyDescent="0.2">
      <c r="A305">
        <f>ROW(Source!A484)</f>
        <v>484</v>
      </c>
      <c r="B305">
        <v>42938047</v>
      </c>
      <c r="C305">
        <v>43143482</v>
      </c>
      <c r="D305">
        <v>35994366</v>
      </c>
      <c r="E305">
        <v>35973048</v>
      </c>
      <c r="F305">
        <v>1</v>
      </c>
      <c r="G305">
        <v>35973048</v>
      </c>
      <c r="H305">
        <v>3</v>
      </c>
      <c r="I305" t="s">
        <v>1294</v>
      </c>
      <c r="J305" t="s">
        <v>3</v>
      </c>
      <c r="K305" t="s">
        <v>1295</v>
      </c>
      <c r="L305">
        <v>1344</v>
      </c>
      <c r="N305">
        <v>1008</v>
      </c>
      <c r="O305" t="s">
        <v>1245</v>
      </c>
      <c r="P305" t="s">
        <v>1245</v>
      </c>
      <c r="Q305">
        <v>1</v>
      </c>
      <c r="W305">
        <v>0</v>
      </c>
      <c r="X305">
        <v>-94250534</v>
      </c>
      <c r="Y305">
        <v>0.49</v>
      </c>
      <c r="AA305">
        <v>6.58</v>
      </c>
      <c r="AB305">
        <v>0</v>
      </c>
      <c r="AC305">
        <v>0</v>
      </c>
      <c r="AD305">
        <v>0</v>
      </c>
      <c r="AE305">
        <v>1</v>
      </c>
      <c r="AF305">
        <v>0</v>
      </c>
      <c r="AG305">
        <v>0</v>
      </c>
      <c r="AH305">
        <v>0</v>
      </c>
      <c r="AI305">
        <v>6.57</v>
      </c>
      <c r="AJ305">
        <v>1</v>
      </c>
      <c r="AK305">
        <v>1</v>
      </c>
      <c r="AL305">
        <v>1</v>
      </c>
      <c r="AN305">
        <v>0</v>
      </c>
      <c r="AO305">
        <v>1</v>
      </c>
      <c r="AP305">
        <v>1</v>
      </c>
      <c r="AQ305">
        <v>0</v>
      </c>
      <c r="AR305">
        <v>0</v>
      </c>
      <c r="AS305" t="s">
        <v>3</v>
      </c>
      <c r="AT305">
        <v>0.49</v>
      </c>
      <c r="AU305" t="s">
        <v>3</v>
      </c>
      <c r="AV305">
        <v>0</v>
      </c>
      <c r="AW305">
        <v>2</v>
      </c>
      <c r="AX305">
        <v>43143487</v>
      </c>
      <c r="AY305">
        <v>1</v>
      </c>
      <c r="AZ305">
        <v>0</v>
      </c>
      <c r="BA305">
        <v>309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CX305">
        <f>Y305*Source!I484</f>
        <v>0.1666</v>
      </c>
      <c r="CY305">
        <f>AA305</f>
        <v>6.58</v>
      </c>
      <c r="CZ305">
        <f>AE305</f>
        <v>1</v>
      </c>
      <c r="DA305">
        <f>AI305</f>
        <v>6.57</v>
      </c>
      <c r="DB305">
        <f>ROUND(ROUND(AT305*CZ305,2),6)</f>
        <v>0.49</v>
      </c>
      <c r="DC305">
        <f>ROUND(ROUND(AT305*AG305,2),6)</f>
        <v>0</v>
      </c>
    </row>
    <row r="306" spans="1:107" x14ac:dyDescent="0.2">
      <c r="A306">
        <f>ROW(Source!A484)</f>
        <v>484</v>
      </c>
      <c r="B306">
        <v>42938047</v>
      </c>
      <c r="C306">
        <v>43143482</v>
      </c>
      <c r="D306">
        <v>0</v>
      </c>
      <c r="E306">
        <v>0</v>
      </c>
      <c r="F306">
        <v>1</v>
      </c>
      <c r="G306">
        <v>35973048</v>
      </c>
      <c r="H306">
        <v>3</v>
      </c>
      <c r="I306" t="s">
        <v>118</v>
      </c>
      <c r="J306" t="s">
        <v>3</v>
      </c>
      <c r="K306" t="s">
        <v>633</v>
      </c>
      <c r="L306">
        <v>1327</v>
      </c>
      <c r="N306">
        <v>1005</v>
      </c>
      <c r="O306" t="s">
        <v>120</v>
      </c>
      <c r="P306" t="s">
        <v>120</v>
      </c>
      <c r="Q306">
        <v>1</v>
      </c>
      <c r="W306">
        <v>0</v>
      </c>
      <c r="X306">
        <v>1292001952</v>
      </c>
      <c r="Y306">
        <v>1000</v>
      </c>
      <c r="AA306">
        <v>1085.93</v>
      </c>
      <c r="AB306">
        <v>0</v>
      </c>
      <c r="AC306">
        <v>0</v>
      </c>
      <c r="AD306">
        <v>0</v>
      </c>
      <c r="AE306">
        <v>170.94</v>
      </c>
      <c r="AF306">
        <v>0</v>
      </c>
      <c r="AG306">
        <v>0</v>
      </c>
      <c r="AH306">
        <v>0</v>
      </c>
      <c r="AI306">
        <v>6.34</v>
      </c>
      <c r="AJ306">
        <v>1</v>
      </c>
      <c r="AK306">
        <v>1</v>
      </c>
      <c r="AL306">
        <v>1</v>
      </c>
      <c r="AN306">
        <v>0</v>
      </c>
      <c r="AO306">
        <v>0</v>
      </c>
      <c r="AP306">
        <v>0</v>
      </c>
      <c r="AQ306">
        <v>0</v>
      </c>
      <c r="AR306">
        <v>0</v>
      </c>
      <c r="AS306" t="s">
        <v>3</v>
      </c>
      <c r="AT306">
        <v>1000</v>
      </c>
      <c r="AU306" t="s">
        <v>3</v>
      </c>
      <c r="AV306">
        <v>0</v>
      </c>
      <c r="AW306">
        <v>1</v>
      </c>
      <c r="AX306">
        <v>-1</v>
      </c>
      <c r="AY306">
        <v>0</v>
      </c>
      <c r="AZ306">
        <v>0</v>
      </c>
      <c r="BA306" t="s">
        <v>3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CX306">
        <f>Y306*Source!I484</f>
        <v>340</v>
      </c>
      <c r="CY306">
        <f>AA306</f>
        <v>1085.93</v>
      </c>
      <c r="CZ306">
        <f>AE306</f>
        <v>170.94</v>
      </c>
      <c r="DA306">
        <f>AI306</f>
        <v>6.34</v>
      </c>
      <c r="DB306">
        <f>ROUND(ROUND(AT306*CZ306,2),6)</f>
        <v>170940</v>
      </c>
      <c r="DC306">
        <f>ROUND(ROUND(AT306*AG306,2),6)</f>
        <v>0</v>
      </c>
    </row>
    <row r="307" spans="1:107" x14ac:dyDescent="0.2">
      <c r="A307">
        <f>ROW(Source!A484)</f>
        <v>484</v>
      </c>
      <c r="B307">
        <v>42938047</v>
      </c>
      <c r="C307">
        <v>43143482</v>
      </c>
      <c r="D307">
        <v>0</v>
      </c>
      <c r="E307">
        <v>0</v>
      </c>
      <c r="F307">
        <v>1</v>
      </c>
      <c r="G307">
        <v>35973048</v>
      </c>
      <c r="H307">
        <v>3</v>
      </c>
      <c r="I307" t="s">
        <v>118</v>
      </c>
      <c r="J307" t="s">
        <v>3</v>
      </c>
      <c r="K307" t="s">
        <v>636</v>
      </c>
      <c r="L307">
        <v>1354</v>
      </c>
      <c r="N307">
        <v>1010</v>
      </c>
      <c r="O307" t="s">
        <v>169</v>
      </c>
      <c r="P307" t="s">
        <v>169</v>
      </c>
      <c r="Q307">
        <v>1</v>
      </c>
      <c r="W307">
        <v>0</v>
      </c>
      <c r="X307">
        <v>-1965181222</v>
      </c>
      <c r="Y307">
        <v>5.8823530000000002</v>
      </c>
      <c r="AA307">
        <v>17351.71</v>
      </c>
      <c r="AB307">
        <v>0</v>
      </c>
      <c r="AC307">
        <v>0</v>
      </c>
      <c r="AD307">
        <v>0</v>
      </c>
      <c r="AE307">
        <v>2731.4</v>
      </c>
      <c r="AF307">
        <v>0</v>
      </c>
      <c r="AG307">
        <v>0</v>
      </c>
      <c r="AH307">
        <v>0</v>
      </c>
      <c r="AI307">
        <v>6.34</v>
      </c>
      <c r="AJ307">
        <v>1</v>
      </c>
      <c r="AK307">
        <v>1</v>
      </c>
      <c r="AL307">
        <v>1</v>
      </c>
      <c r="AN307">
        <v>0</v>
      </c>
      <c r="AO307">
        <v>0</v>
      </c>
      <c r="AP307">
        <v>0</v>
      </c>
      <c r="AQ307">
        <v>0</v>
      </c>
      <c r="AR307">
        <v>0</v>
      </c>
      <c r="AS307" t="s">
        <v>3</v>
      </c>
      <c r="AT307">
        <v>5.8823530000000002</v>
      </c>
      <c r="AU307" t="s">
        <v>3</v>
      </c>
      <c r="AV307">
        <v>0</v>
      </c>
      <c r="AW307">
        <v>1</v>
      </c>
      <c r="AX307">
        <v>-1</v>
      </c>
      <c r="AY307">
        <v>0</v>
      </c>
      <c r="AZ307">
        <v>0</v>
      </c>
      <c r="BA307" t="s">
        <v>3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CX307">
        <f>Y307*Source!I484</f>
        <v>2.0000000200000003</v>
      </c>
      <c r="CY307">
        <f>AA307</f>
        <v>17351.71</v>
      </c>
      <c r="CZ307">
        <f>AE307</f>
        <v>2731.4</v>
      </c>
      <c r="DA307">
        <f>AI307</f>
        <v>6.34</v>
      </c>
      <c r="DB307">
        <f>ROUND(ROUND(AT307*CZ307,2),6)</f>
        <v>16067.06</v>
      </c>
      <c r="DC307">
        <f>ROUND(ROUND(AT307*AG307,2),6)</f>
        <v>0</v>
      </c>
    </row>
    <row r="308" spans="1:107" x14ac:dyDescent="0.2">
      <c r="A308">
        <f>ROW(Source!A484)</f>
        <v>484</v>
      </c>
      <c r="B308">
        <v>42938047</v>
      </c>
      <c r="C308">
        <v>43143482</v>
      </c>
      <c r="D308">
        <v>0</v>
      </c>
      <c r="E308">
        <v>0</v>
      </c>
      <c r="F308">
        <v>1</v>
      </c>
      <c r="G308">
        <v>35973048</v>
      </c>
      <c r="H308">
        <v>3</v>
      </c>
      <c r="I308" t="s">
        <v>118</v>
      </c>
      <c r="J308" t="s">
        <v>3</v>
      </c>
      <c r="K308" t="s">
        <v>639</v>
      </c>
      <c r="L308">
        <v>1354</v>
      </c>
      <c r="N308">
        <v>1010</v>
      </c>
      <c r="O308" t="s">
        <v>169</v>
      </c>
      <c r="P308" t="s">
        <v>169</v>
      </c>
      <c r="Q308">
        <v>1</v>
      </c>
      <c r="W308">
        <v>0</v>
      </c>
      <c r="X308">
        <v>353011346</v>
      </c>
      <c r="Y308">
        <v>11.764706</v>
      </c>
      <c r="AA308">
        <v>6200.41</v>
      </c>
      <c r="AB308">
        <v>0</v>
      </c>
      <c r="AC308">
        <v>0</v>
      </c>
      <c r="AD308">
        <v>0</v>
      </c>
      <c r="AE308">
        <v>976.03</v>
      </c>
      <c r="AF308">
        <v>0</v>
      </c>
      <c r="AG308">
        <v>0</v>
      </c>
      <c r="AH308">
        <v>0</v>
      </c>
      <c r="AI308">
        <v>6.34</v>
      </c>
      <c r="AJ308">
        <v>1</v>
      </c>
      <c r="AK308">
        <v>1</v>
      </c>
      <c r="AL308">
        <v>1</v>
      </c>
      <c r="AN308">
        <v>0</v>
      </c>
      <c r="AO308">
        <v>0</v>
      </c>
      <c r="AP308">
        <v>0</v>
      </c>
      <c r="AQ308">
        <v>0</v>
      </c>
      <c r="AR308">
        <v>0</v>
      </c>
      <c r="AS308" t="s">
        <v>3</v>
      </c>
      <c r="AT308">
        <v>11.764706</v>
      </c>
      <c r="AU308" t="s">
        <v>3</v>
      </c>
      <c r="AV308">
        <v>0</v>
      </c>
      <c r="AW308">
        <v>1</v>
      </c>
      <c r="AX308">
        <v>-1</v>
      </c>
      <c r="AY308">
        <v>0</v>
      </c>
      <c r="AZ308">
        <v>0</v>
      </c>
      <c r="BA308" t="s">
        <v>3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CX308">
        <f>Y308*Source!I484</f>
        <v>4.0000000400000006</v>
      </c>
      <c r="CY308">
        <f>AA308</f>
        <v>6200.41</v>
      </c>
      <c r="CZ308">
        <f>AE308</f>
        <v>976.03</v>
      </c>
      <c r="DA308">
        <f>AI308</f>
        <v>6.34</v>
      </c>
      <c r="DB308">
        <f>ROUND(ROUND(AT308*CZ308,2),6)</f>
        <v>11482.71</v>
      </c>
      <c r="DC308">
        <f>ROUND(ROUND(AT308*AG308,2),6)</f>
        <v>0</v>
      </c>
    </row>
    <row r="309" spans="1:107" x14ac:dyDescent="0.2">
      <c r="A309">
        <f>ROW(Source!A489)</f>
        <v>489</v>
      </c>
      <c r="B309">
        <v>42938047</v>
      </c>
      <c r="C309">
        <v>43159381</v>
      </c>
      <c r="D309">
        <v>35973053</v>
      </c>
      <c r="E309">
        <v>35973048</v>
      </c>
      <c r="F309">
        <v>1</v>
      </c>
      <c r="G309">
        <v>35973048</v>
      </c>
      <c r="H309">
        <v>1</v>
      </c>
      <c r="I309" t="s">
        <v>1228</v>
      </c>
      <c r="J309" t="s">
        <v>3</v>
      </c>
      <c r="K309" t="s">
        <v>1229</v>
      </c>
      <c r="L309">
        <v>1191</v>
      </c>
      <c r="N309">
        <v>1013</v>
      </c>
      <c r="O309" t="s">
        <v>1230</v>
      </c>
      <c r="P309" t="s">
        <v>1230</v>
      </c>
      <c r="Q309">
        <v>1</v>
      </c>
      <c r="W309">
        <v>0</v>
      </c>
      <c r="X309">
        <v>476480486</v>
      </c>
      <c r="Y309">
        <v>31.855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1</v>
      </c>
      <c r="AJ309">
        <v>1</v>
      </c>
      <c r="AK309">
        <v>1</v>
      </c>
      <c r="AL309">
        <v>25.44</v>
      </c>
      <c r="AN309">
        <v>0</v>
      </c>
      <c r="AO309">
        <v>1</v>
      </c>
      <c r="AP309">
        <v>1</v>
      </c>
      <c r="AQ309">
        <v>0</v>
      </c>
      <c r="AR309">
        <v>0</v>
      </c>
      <c r="AS309" t="s">
        <v>3</v>
      </c>
      <c r="AT309">
        <v>27.7</v>
      </c>
      <c r="AU309" t="s">
        <v>21</v>
      </c>
      <c r="AV309">
        <v>1</v>
      </c>
      <c r="AW309">
        <v>2</v>
      </c>
      <c r="AX309">
        <v>43159382</v>
      </c>
      <c r="AY309">
        <v>1</v>
      </c>
      <c r="AZ309">
        <v>2048</v>
      </c>
      <c r="BA309">
        <v>310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CX309">
        <f>Y309*Source!I489</f>
        <v>10.8307</v>
      </c>
      <c r="CY309">
        <f>AD309</f>
        <v>0</v>
      </c>
      <c r="CZ309">
        <f>AH309</f>
        <v>0</v>
      </c>
      <c r="DA309">
        <f>AL309</f>
        <v>25.44</v>
      </c>
      <c r="DB309">
        <f>ROUND((ROUND(AT309*CZ309,2)*1.15),6)</f>
        <v>0</v>
      </c>
      <c r="DC309">
        <f>ROUND((ROUND(AT309*AG309,2)*1.15),6)</f>
        <v>0</v>
      </c>
    </row>
    <row r="310" spans="1:107" x14ac:dyDescent="0.2">
      <c r="A310">
        <f>ROW(Source!A489)</f>
        <v>489</v>
      </c>
      <c r="B310">
        <v>42938047</v>
      </c>
      <c r="C310">
        <v>43159381</v>
      </c>
      <c r="D310">
        <v>36044488</v>
      </c>
      <c r="E310">
        <v>1</v>
      </c>
      <c r="F310">
        <v>1</v>
      </c>
      <c r="G310">
        <v>35973048</v>
      </c>
      <c r="H310">
        <v>2</v>
      </c>
      <c r="I310" t="s">
        <v>1252</v>
      </c>
      <c r="J310" t="s">
        <v>1253</v>
      </c>
      <c r="K310" t="s">
        <v>1254</v>
      </c>
      <c r="L310">
        <v>1367</v>
      </c>
      <c r="N310">
        <v>1011</v>
      </c>
      <c r="O310" t="s">
        <v>738</v>
      </c>
      <c r="P310" t="s">
        <v>738</v>
      </c>
      <c r="Q310">
        <v>1</v>
      </c>
      <c r="W310">
        <v>0</v>
      </c>
      <c r="X310">
        <v>1387947568</v>
      </c>
      <c r="Y310">
        <v>3.15</v>
      </c>
      <c r="AA310">
        <v>0</v>
      </c>
      <c r="AB310">
        <v>1464.71</v>
      </c>
      <c r="AC310">
        <v>450.29</v>
      </c>
      <c r="AD310">
        <v>0</v>
      </c>
      <c r="AE310">
        <v>0</v>
      </c>
      <c r="AF310">
        <v>161.49</v>
      </c>
      <c r="AG310">
        <v>17.7</v>
      </c>
      <c r="AH310">
        <v>0</v>
      </c>
      <c r="AI310">
        <v>1</v>
      </c>
      <c r="AJ310">
        <v>9.07</v>
      </c>
      <c r="AK310">
        <v>25.44</v>
      </c>
      <c r="AL310">
        <v>1</v>
      </c>
      <c r="AN310">
        <v>0</v>
      </c>
      <c r="AO310">
        <v>1</v>
      </c>
      <c r="AP310">
        <v>1</v>
      </c>
      <c r="AQ310">
        <v>0</v>
      </c>
      <c r="AR310">
        <v>0</v>
      </c>
      <c r="AS310" t="s">
        <v>3</v>
      </c>
      <c r="AT310">
        <v>2.52</v>
      </c>
      <c r="AU310" t="s">
        <v>20</v>
      </c>
      <c r="AV310">
        <v>0</v>
      </c>
      <c r="AW310">
        <v>2</v>
      </c>
      <c r="AX310">
        <v>43159383</v>
      </c>
      <c r="AY310">
        <v>1</v>
      </c>
      <c r="AZ310">
        <v>0</v>
      </c>
      <c r="BA310">
        <v>311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CX310">
        <f>Y310*Source!I489</f>
        <v>1.071</v>
      </c>
      <c r="CY310">
        <f>AB310</f>
        <v>1464.71</v>
      </c>
      <c r="CZ310">
        <f>AF310</f>
        <v>161.49</v>
      </c>
      <c r="DA310">
        <f>AJ310</f>
        <v>9.07</v>
      </c>
      <c r="DB310">
        <f>ROUND((ROUND(AT310*CZ310,2)*1.25),6)</f>
        <v>508.6875</v>
      </c>
      <c r="DC310">
        <f>ROUND((ROUND(AT310*AG310,2)*1.25),6)</f>
        <v>55.75</v>
      </c>
    </row>
    <row r="311" spans="1:107" x14ac:dyDescent="0.2">
      <c r="A311">
        <f>ROW(Source!A489)</f>
        <v>489</v>
      </c>
      <c r="B311">
        <v>42938047</v>
      </c>
      <c r="C311">
        <v>43159381</v>
      </c>
      <c r="D311">
        <v>36044727</v>
      </c>
      <c r="E311">
        <v>1</v>
      </c>
      <c r="F311">
        <v>1</v>
      </c>
      <c r="G311">
        <v>35973048</v>
      </c>
      <c r="H311">
        <v>2</v>
      </c>
      <c r="I311" t="s">
        <v>1291</v>
      </c>
      <c r="J311" t="s">
        <v>1292</v>
      </c>
      <c r="K311" t="s">
        <v>1293</v>
      </c>
      <c r="L311">
        <v>1367</v>
      </c>
      <c r="N311">
        <v>1011</v>
      </c>
      <c r="O311" t="s">
        <v>738</v>
      </c>
      <c r="P311" t="s">
        <v>738</v>
      </c>
      <c r="Q311">
        <v>1</v>
      </c>
      <c r="W311">
        <v>0</v>
      </c>
      <c r="X311">
        <v>-1293364201</v>
      </c>
      <c r="Y311">
        <v>1.2749999999999999</v>
      </c>
      <c r="AA311">
        <v>0</v>
      </c>
      <c r="AB311">
        <v>2153.7199999999998</v>
      </c>
      <c r="AC311">
        <v>441.13</v>
      </c>
      <c r="AD311">
        <v>0</v>
      </c>
      <c r="AE311">
        <v>0</v>
      </c>
      <c r="AF311">
        <v>258.24</v>
      </c>
      <c r="AG311">
        <v>17.34</v>
      </c>
      <c r="AH311">
        <v>0</v>
      </c>
      <c r="AI311">
        <v>1</v>
      </c>
      <c r="AJ311">
        <v>8.34</v>
      </c>
      <c r="AK311">
        <v>25.44</v>
      </c>
      <c r="AL311">
        <v>1</v>
      </c>
      <c r="AN311">
        <v>0</v>
      </c>
      <c r="AO311">
        <v>1</v>
      </c>
      <c r="AP311">
        <v>1</v>
      </c>
      <c r="AQ311">
        <v>0</v>
      </c>
      <c r="AR311">
        <v>0</v>
      </c>
      <c r="AS311" t="s">
        <v>3</v>
      </c>
      <c r="AT311">
        <v>1.02</v>
      </c>
      <c r="AU311" t="s">
        <v>20</v>
      </c>
      <c r="AV311">
        <v>0</v>
      </c>
      <c r="AW311">
        <v>2</v>
      </c>
      <c r="AX311">
        <v>43159384</v>
      </c>
      <c r="AY311">
        <v>1</v>
      </c>
      <c r="AZ311">
        <v>0</v>
      </c>
      <c r="BA311">
        <v>312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CX311">
        <f>Y311*Source!I489</f>
        <v>0.4335</v>
      </c>
      <c r="CY311">
        <f>AB311</f>
        <v>2153.7199999999998</v>
      </c>
      <c r="CZ311">
        <f>AF311</f>
        <v>258.24</v>
      </c>
      <c r="DA311">
        <f>AJ311</f>
        <v>8.34</v>
      </c>
      <c r="DB311">
        <f>ROUND((ROUND(AT311*CZ311,2)*1.25),6)</f>
        <v>329.25</v>
      </c>
      <c r="DC311">
        <f>ROUND((ROUND(AT311*AG311,2)*1.25),6)</f>
        <v>22.112500000000001</v>
      </c>
    </row>
    <row r="312" spans="1:107" x14ac:dyDescent="0.2">
      <c r="A312">
        <f>ROW(Source!A489)</f>
        <v>489</v>
      </c>
      <c r="B312">
        <v>42938047</v>
      </c>
      <c r="C312">
        <v>43159381</v>
      </c>
      <c r="D312">
        <v>36021993</v>
      </c>
      <c r="E312">
        <v>1</v>
      </c>
      <c r="F312">
        <v>1</v>
      </c>
      <c r="G312">
        <v>35973048</v>
      </c>
      <c r="H312">
        <v>3</v>
      </c>
      <c r="I312" t="s">
        <v>643</v>
      </c>
      <c r="J312" t="s">
        <v>645</v>
      </c>
      <c r="K312" t="s">
        <v>644</v>
      </c>
      <c r="L312">
        <v>1327</v>
      </c>
      <c r="N312">
        <v>1005</v>
      </c>
      <c r="O312" t="s">
        <v>120</v>
      </c>
      <c r="P312" t="s">
        <v>120</v>
      </c>
      <c r="Q312">
        <v>1</v>
      </c>
      <c r="W312">
        <v>0</v>
      </c>
      <c r="X312">
        <v>519372936</v>
      </c>
      <c r="Y312">
        <v>1000</v>
      </c>
      <c r="AA312">
        <v>272.74</v>
      </c>
      <c r="AB312">
        <v>0</v>
      </c>
      <c r="AC312">
        <v>0</v>
      </c>
      <c r="AD312">
        <v>0</v>
      </c>
      <c r="AE312">
        <v>75.819999999999993</v>
      </c>
      <c r="AF312">
        <v>0</v>
      </c>
      <c r="AG312">
        <v>0</v>
      </c>
      <c r="AH312">
        <v>0</v>
      </c>
      <c r="AI312">
        <v>3.59</v>
      </c>
      <c r="AJ312">
        <v>1</v>
      </c>
      <c r="AK312">
        <v>1</v>
      </c>
      <c r="AL312">
        <v>1</v>
      </c>
      <c r="AN312">
        <v>0</v>
      </c>
      <c r="AO312">
        <v>0</v>
      </c>
      <c r="AP312">
        <v>0</v>
      </c>
      <c r="AQ312">
        <v>0</v>
      </c>
      <c r="AR312">
        <v>0</v>
      </c>
      <c r="AS312" t="s">
        <v>3</v>
      </c>
      <c r="AT312">
        <v>1000</v>
      </c>
      <c r="AU312" t="s">
        <v>3</v>
      </c>
      <c r="AV312">
        <v>0</v>
      </c>
      <c r="AW312">
        <v>1</v>
      </c>
      <c r="AX312">
        <v>-1</v>
      </c>
      <c r="AY312">
        <v>0</v>
      </c>
      <c r="AZ312">
        <v>0</v>
      </c>
      <c r="BA312" t="s">
        <v>3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CX312">
        <f>Y312*Source!I489</f>
        <v>340</v>
      </c>
      <c r="CY312">
        <f>AA312</f>
        <v>272.74</v>
      </c>
      <c r="CZ312">
        <f>AE312</f>
        <v>75.819999999999993</v>
      </c>
      <c r="DA312">
        <f>AI312</f>
        <v>3.59</v>
      </c>
      <c r="DB312">
        <f>ROUND(ROUND(AT312*CZ312,2),6)</f>
        <v>75820</v>
      </c>
      <c r="DC312">
        <f>ROUND(ROUND(AT312*AG312,2),6)</f>
        <v>0</v>
      </c>
    </row>
    <row r="313" spans="1:107" x14ac:dyDescent="0.2">
      <c r="A313">
        <f>ROW(Source!A489)</f>
        <v>489</v>
      </c>
      <c r="B313">
        <v>42938047</v>
      </c>
      <c r="C313">
        <v>43159381</v>
      </c>
      <c r="D313">
        <v>35994366</v>
      </c>
      <c r="E313">
        <v>35973048</v>
      </c>
      <c r="F313">
        <v>1</v>
      </c>
      <c r="G313">
        <v>35973048</v>
      </c>
      <c r="H313">
        <v>3</v>
      </c>
      <c r="I313" t="s">
        <v>1294</v>
      </c>
      <c r="J313" t="s">
        <v>3</v>
      </c>
      <c r="K313" t="s">
        <v>1295</v>
      </c>
      <c r="L313">
        <v>1344</v>
      </c>
      <c r="N313">
        <v>1008</v>
      </c>
      <c r="O313" t="s">
        <v>1245</v>
      </c>
      <c r="P313" t="s">
        <v>1245</v>
      </c>
      <c r="Q313">
        <v>1</v>
      </c>
      <c r="W313">
        <v>0</v>
      </c>
      <c r="X313">
        <v>-94250534</v>
      </c>
      <c r="Y313">
        <v>0.49</v>
      </c>
      <c r="AA313">
        <v>6.58</v>
      </c>
      <c r="AB313">
        <v>0</v>
      </c>
      <c r="AC313">
        <v>0</v>
      </c>
      <c r="AD313">
        <v>0</v>
      </c>
      <c r="AE313">
        <v>1</v>
      </c>
      <c r="AF313">
        <v>0</v>
      </c>
      <c r="AG313">
        <v>0</v>
      </c>
      <c r="AH313">
        <v>0</v>
      </c>
      <c r="AI313">
        <v>6.57</v>
      </c>
      <c r="AJ313">
        <v>1</v>
      </c>
      <c r="AK313">
        <v>1</v>
      </c>
      <c r="AL313">
        <v>1</v>
      </c>
      <c r="AN313">
        <v>0</v>
      </c>
      <c r="AO313">
        <v>1</v>
      </c>
      <c r="AP313">
        <v>1</v>
      </c>
      <c r="AQ313">
        <v>0</v>
      </c>
      <c r="AR313">
        <v>0</v>
      </c>
      <c r="AS313" t="s">
        <v>3</v>
      </c>
      <c r="AT313">
        <v>0.49</v>
      </c>
      <c r="AU313" t="s">
        <v>3</v>
      </c>
      <c r="AV313">
        <v>0</v>
      </c>
      <c r="AW313">
        <v>2</v>
      </c>
      <c r="AX313">
        <v>43159386</v>
      </c>
      <c r="AY313">
        <v>1</v>
      </c>
      <c r="AZ313">
        <v>0</v>
      </c>
      <c r="BA313">
        <v>314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CX313">
        <f>Y313*Source!I489</f>
        <v>0.1666</v>
      </c>
      <c r="CY313">
        <f>AA313</f>
        <v>6.58</v>
      </c>
      <c r="CZ313">
        <f>AE313</f>
        <v>1</v>
      </c>
      <c r="DA313">
        <f>AI313</f>
        <v>6.57</v>
      </c>
      <c r="DB313">
        <f>ROUND(ROUND(AT313*CZ313,2),6)</f>
        <v>0.49</v>
      </c>
      <c r="DC313">
        <f>ROUND(ROUND(AT313*AG313,2),6)</f>
        <v>0</v>
      </c>
    </row>
    <row r="314" spans="1:107" x14ac:dyDescent="0.2">
      <c r="A314">
        <f>ROW(Source!A491)</f>
        <v>491</v>
      </c>
      <c r="B314">
        <v>42938047</v>
      </c>
      <c r="C314">
        <v>43159406</v>
      </c>
      <c r="D314">
        <v>35973053</v>
      </c>
      <c r="E314">
        <v>35973048</v>
      </c>
      <c r="F314">
        <v>1</v>
      </c>
      <c r="G314">
        <v>35973048</v>
      </c>
      <c r="H314">
        <v>1</v>
      </c>
      <c r="I314" t="s">
        <v>1228</v>
      </c>
      <c r="J314" t="s">
        <v>3</v>
      </c>
      <c r="K314" t="s">
        <v>1229</v>
      </c>
      <c r="L314">
        <v>1191</v>
      </c>
      <c r="N314">
        <v>1013</v>
      </c>
      <c r="O314" t="s">
        <v>1230</v>
      </c>
      <c r="P314" t="s">
        <v>1230</v>
      </c>
      <c r="Q314">
        <v>1</v>
      </c>
      <c r="W314">
        <v>0</v>
      </c>
      <c r="X314">
        <v>476480486</v>
      </c>
      <c r="Y314">
        <v>45.033999999999999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1</v>
      </c>
      <c r="AJ314">
        <v>1</v>
      </c>
      <c r="AK314">
        <v>1</v>
      </c>
      <c r="AL314">
        <v>25.44</v>
      </c>
      <c r="AN314">
        <v>0</v>
      </c>
      <c r="AO314">
        <v>1</v>
      </c>
      <c r="AP314">
        <v>1</v>
      </c>
      <c r="AQ314">
        <v>0</v>
      </c>
      <c r="AR314">
        <v>0</v>
      </c>
      <c r="AS314" t="s">
        <v>3</v>
      </c>
      <c r="AT314">
        <v>39.159999999999997</v>
      </c>
      <c r="AU314" t="s">
        <v>21</v>
      </c>
      <c r="AV314">
        <v>1</v>
      </c>
      <c r="AW314">
        <v>2</v>
      </c>
      <c r="AX314">
        <v>43159407</v>
      </c>
      <c r="AY314">
        <v>1</v>
      </c>
      <c r="AZ314">
        <v>2048</v>
      </c>
      <c r="BA314">
        <v>315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CX314">
        <f>Y314*Source!I491</f>
        <v>121.59180000000001</v>
      </c>
      <c r="CY314">
        <f>AD314</f>
        <v>0</v>
      </c>
      <c r="CZ314">
        <f>AH314</f>
        <v>0</v>
      </c>
      <c r="DA314">
        <f>AL314</f>
        <v>25.44</v>
      </c>
      <c r="DB314">
        <f>ROUND((ROUND(AT314*CZ314,2)*1.15),6)</f>
        <v>0</v>
      </c>
      <c r="DC314">
        <f>ROUND((ROUND(AT314*AG314,2)*1.15),6)</f>
        <v>0</v>
      </c>
    </row>
    <row r="315" spans="1:107" x14ac:dyDescent="0.2">
      <c r="A315">
        <f>ROW(Source!A491)</f>
        <v>491</v>
      </c>
      <c r="B315">
        <v>42938047</v>
      </c>
      <c r="C315">
        <v>43159406</v>
      </c>
      <c r="D315">
        <v>36020428</v>
      </c>
      <c r="E315">
        <v>1</v>
      </c>
      <c r="F315">
        <v>1</v>
      </c>
      <c r="G315">
        <v>35973048</v>
      </c>
      <c r="H315">
        <v>3</v>
      </c>
      <c r="I315" t="s">
        <v>372</v>
      </c>
      <c r="J315" t="s">
        <v>374</v>
      </c>
      <c r="K315" t="s">
        <v>373</v>
      </c>
      <c r="L315">
        <v>1348</v>
      </c>
      <c r="N315">
        <v>1009</v>
      </c>
      <c r="O315" t="s">
        <v>104</v>
      </c>
      <c r="P315" t="s">
        <v>104</v>
      </c>
      <c r="Q315">
        <v>1000</v>
      </c>
      <c r="W315">
        <v>0</v>
      </c>
      <c r="X315">
        <v>563176784</v>
      </c>
      <c r="Y315">
        <v>1E-3</v>
      </c>
      <c r="AA315">
        <v>58366.71</v>
      </c>
      <c r="AB315">
        <v>0</v>
      </c>
      <c r="AC315">
        <v>0</v>
      </c>
      <c r="AD315">
        <v>0</v>
      </c>
      <c r="AE315">
        <v>6521.42</v>
      </c>
      <c r="AF315">
        <v>0</v>
      </c>
      <c r="AG315">
        <v>0</v>
      </c>
      <c r="AH315">
        <v>0</v>
      </c>
      <c r="AI315">
        <v>8.9499999999999993</v>
      </c>
      <c r="AJ315">
        <v>1</v>
      </c>
      <c r="AK315">
        <v>1</v>
      </c>
      <c r="AL315">
        <v>1</v>
      </c>
      <c r="AN315">
        <v>0</v>
      </c>
      <c r="AO315">
        <v>1</v>
      </c>
      <c r="AP315">
        <v>1</v>
      </c>
      <c r="AQ315">
        <v>0</v>
      </c>
      <c r="AR315">
        <v>0</v>
      </c>
      <c r="AS315" t="s">
        <v>3</v>
      </c>
      <c r="AT315">
        <v>1E-3</v>
      </c>
      <c r="AU315" t="s">
        <v>3</v>
      </c>
      <c r="AV315">
        <v>0</v>
      </c>
      <c r="AW315">
        <v>2</v>
      </c>
      <c r="AX315">
        <v>43159408</v>
      </c>
      <c r="AY315">
        <v>1</v>
      </c>
      <c r="AZ315">
        <v>0</v>
      </c>
      <c r="BA315">
        <v>316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CX315">
        <f>Y315*Source!I491</f>
        <v>2.7000000000000001E-3</v>
      </c>
      <c r="CY315">
        <f>AA315</f>
        <v>58366.71</v>
      </c>
      <c r="CZ315">
        <f>AE315</f>
        <v>6521.42</v>
      </c>
      <c r="DA315">
        <f>AI315</f>
        <v>8.9499999999999993</v>
      </c>
      <c r="DB315">
        <f>ROUND(ROUND(AT315*CZ315,2),6)</f>
        <v>6.52</v>
      </c>
      <c r="DC315">
        <f>ROUND(ROUND(AT315*AG315,2),6)</f>
        <v>0</v>
      </c>
    </row>
    <row r="316" spans="1:107" x14ac:dyDescent="0.2">
      <c r="A316">
        <f>ROW(Source!A491)</f>
        <v>491</v>
      </c>
      <c r="B316">
        <v>42938047</v>
      </c>
      <c r="C316">
        <v>43159406</v>
      </c>
      <c r="D316">
        <v>36020519</v>
      </c>
      <c r="E316">
        <v>1</v>
      </c>
      <c r="F316">
        <v>1</v>
      </c>
      <c r="G316">
        <v>35973048</v>
      </c>
      <c r="H316">
        <v>3</v>
      </c>
      <c r="I316" t="s">
        <v>1279</v>
      </c>
      <c r="J316" t="s">
        <v>1280</v>
      </c>
      <c r="K316" t="s">
        <v>1281</v>
      </c>
      <c r="L316">
        <v>1339</v>
      </c>
      <c r="N316">
        <v>1007</v>
      </c>
      <c r="O316" t="s">
        <v>84</v>
      </c>
      <c r="P316" t="s">
        <v>84</v>
      </c>
      <c r="Q316">
        <v>1</v>
      </c>
      <c r="W316">
        <v>0</v>
      </c>
      <c r="X316">
        <v>-1939393675</v>
      </c>
      <c r="Y316">
        <v>0.02</v>
      </c>
      <c r="AA316">
        <v>7716.52</v>
      </c>
      <c r="AB316">
        <v>0</v>
      </c>
      <c r="AC316">
        <v>0</v>
      </c>
      <c r="AD316">
        <v>0</v>
      </c>
      <c r="AE316">
        <v>1828.56</v>
      </c>
      <c r="AF316">
        <v>0</v>
      </c>
      <c r="AG316">
        <v>0</v>
      </c>
      <c r="AH316">
        <v>0</v>
      </c>
      <c r="AI316">
        <v>4.22</v>
      </c>
      <c r="AJ316">
        <v>1</v>
      </c>
      <c r="AK316">
        <v>1</v>
      </c>
      <c r="AL316">
        <v>1</v>
      </c>
      <c r="AN316">
        <v>0</v>
      </c>
      <c r="AO316">
        <v>1</v>
      </c>
      <c r="AP316">
        <v>1</v>
      </c>
      <c r="AQ316">
        <v>0</v>
      </c>
      <c r="AR316">
        <v>0</v>
      </c>
      <c r="AS316" t="s">
        <v>3</v>
      </c>
      <c r="AT316">
        <v>0.02</v>
      </c>
      <c r="AU316" t="s">
        <v>3</v>
      </c>
      <c r="AV316">
        <v>0</v>
      </c>
      <c r="AW316">
        <v>2</v>
      </c>
      <c r="AX316">
        <v>43159409</v>
      </c>
      <c r="AY316">
        <v>1</v>
      </c>
      <c r="AZ316">
        <v>0</v>
      </c>
      <c r="BA316">
        <v>317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CX316">
        <f>Y316*Source!I491</f>
        <v>5.4000000000000006E-2</v>
      </c>
      <c r="CY316">
        <f>AA316</f>
        <v>7716.52</v>
      </c>
      <c r="CZ316">
        <f>AE316</f>
        <v>1828.56</v>
      </c>
      <c r="DA316">
        <f>AI316</f>
        <v>4.22</v>
      </c>
      <c r="DB316">
        <f>ROUND(ROUND(AT316*CZ316,2),6)</f>
        <v>36.57</v>
      </c>
      <c r="DC316">
        <f>ROUND(ROUND(AT316*AG316,2),6)</f>
        <v>0</v>
      </c>
    </row>
    <row r="317" spans="1:107" x14ac:dyDescent="0.2">
      <c r="A317">
        <f>ROW(Source!A491)</f>
        <v>491</v>
      </c>
      <c r="B317">
        <v>42938047</v>
      </c>
      <c r="C317">
        <v>43159406</v>
      </c>
      <c r="D317">
        <v>36021143</v>
      </c>
      <c r="E317">
        <v>1</v>
      </c>
      <c r="F317">
        <v>1</v>
      </c>
      <c r="G317">
        <v>35973048</v>
      </c>
      <c r="H317">
        <v>3</v>
      </c>
      <c r="I317" t="s">
        <v>1385</v>
      </c>
      <c r="J317" t="s">
        <v>1386</v>
      </c>
      <c r="K317" t="s">
        <v>1387</v>
      </c>
      <c r="L317">
        <v>1348</v>
      </c>
      <c r="N317">
        <v>1009</v>
      </c>
      <c r="O317" t="s">
        <v>104</v>
      </c>
      <c r="P317" t="s">
        <v>104</v>
      </c>
      <c r="Q317">
        <v>1000</v>
      </c>
      <c r="W317">
        <v>0</v>
      </c>
      <c r="X317">
        <v>-2065130834</v>
      </c>
      <c r="Y317">
        <v>1.0999999999999999E-2</v>
      </c>
      <c r="AA317">
        <v>81400.710000000006</v>
      </c>
      <c r="AB317">
        <v>0</v>
      </c>
      <c r="AC317">
        <v>0</v>
      </c>
      <c r="AD317">
        <v>0</v>
      </c>
      <c r="AE317">
        <v>4617.17</v>
      </c>
      <c r="AF317">
        <v>0</v>
      </c>
      <c r="AG317">
        <v>0</v>
      </c>
      <c r="AH317">
        <v>0</v>
      </c>
      <c r="AI317">
        <v>17.63</v>
      </c>
      <c r="AJ317">
        <v>1</v>
      </c>
      <c r="AK317">
        <v>1</v>
      </c>
      <c r="AL317">
        <v>1</v>
      </c>
      <c r="AN317">
        <v>0</v>
      </c>
      <c r="AO317">
        <v>1</v>
      </c>
      <c r="AP317">
        <v>1</v>
      </c>
      <c r="AQ317">
        <v>0</v>
      </c>
      <c r="AR317">
        <v>0</v>
      </c>
      <c r="AS317" t="s">
        <v>3</v>
      </c>
      <c r="AT317">
        <v>1.0999999999999999E-2</v>
      </c>
      <c r="AU317" t="s">
        <v>3</v>
      </c>
      <c r="AV317">
        <v>0</v>
      </c>
      <c r="AW317">
        <v>2</v>
      </c>
      <c r="AX317">
        <v>43159410</v>
      </c>
      <c r="AY317">
        <v>1</v>
      </c>
      <c r="AZ317">
        <v>0</v>
      </c>
      <c r="BA317">
        <v>318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CX317">
        <f>Y317*Source!I491</f>
        <v>2.9700000000000001E-2</v>
      </c>
      <c r="CY317">
        <f>AA317</f>
        <v>81400.710000000006</v>
      </c>
      <c r="CZ317">
        <f>AE317</f>
        <v>4617.17</v>
      </c>
      <c r="DA317">
        <f>AI317</f>
        <v>17.63</v>
      </c>
      <c r="DB317">
        <f>ROUND(ROUND(AT317*CZ317,2),6)</f>
        <v>50.79</v>
      </c>
      <c r="DC317">
        <f>ROUND(ROUND(AT317*AG317,2),6)</f>
        <v>0</v>
      </c>
    </row>
    <row r="318" spans="1:107" x14ac:dyDescent="0.2">
      <c r="A318">
        <f>ROW(Source!A491)</f>
        <v>491</v>
      </c>
      <c r="B318">
        <v>42938047</v>
      </c>
      <c r="C318">
        <v>43159406</v>
      </c>
      <c r="D318">
        <v>0</v>
      </c>
      <c r="E318">
        <v>0</v>
      </c>
      <c r="F318">
        <v>1</v>
      </c>
      <c r="G318">
        <v>35973048</v>
      </c>
      <c r="H318">
        <v>3</v>
      </c>
      <c r="I318" t="s">
        <v>118</v>
      </c>
      <c r="J318" t="s">
        <v>3</v>
      </c>
      <c r="K318" t="s">
        <v>653</v>
      </c>
      <c r="L318">
        <v>1327</v>
      </c>
      <c r="N318">
        <v>1005</v>
      </c>
      <c r="O318" t="s">
        <v>120</v>
      </c>
      <c r="P318" t="s">
        <v>120</v>
      </c>
      <c r="Q318">
        <v>1</v>
      </c>
      <c r="W318">
        <v>0</v>
      </c>
      <c r="X318">
        <v>1646048488</v>
      </c>
      <c r="Y318">
        <v>100</v>
      </c>
      <c r="AA318">
        <v>314.45999999999998</v>
      </c>
      <c r="AB318">
        <v>0</v>
      </c>
      <c r="AC318">
        <v>0</v>
      </c>
      <c r="AD318">
        <v>0</v>
      </c>
      <c r="AE318">
        <v>49.6</v>
      </c>
      <c r="AF318">
        <v>0</v>
      </c>
      <c r="AG318">
        <v>0</v>
      </c>
      <c r="AH318">
        <v>0</v>
      </c>
      <c r="AI318">
        <v>6.34</v>
      </c>
      <c r="AJ318">
        <v>1</v>
      </c>
      <c r="AK318">
        <v>1</v>
      </c>
      <c r="AL318">
        <v>1</v>
      </c>
      <c r="AN318">
        <v>0</v>
      </c>
      <c r="AO318">
        <v>0</v>
      </c>
      <c r="AP318">
        <v>0</v>
      </c>
      <c r="AQ318">
        <v>0</v>
      </c>
      <c r="AR318">
        <v>0</v>
      </c>
      <c r="AS318" t="s">
        <v>3</v>
      </c>
      <c r="AT318">
        <v>100</v>
      </c>
      <c r="AU318" t="s">
        <v>3</v>
      </c>
      <c r="AV318">
        <v>0</v>
      </c>
      <c r="AW318">
        <v>1</v>
      </c>
      <c r="AX318">
        <v>-1</v>
      </c>
      <c r="AY318">
        <v>0</v>
      </c>
      <c r="AZ318">
        <v>0</v>
      </c>
      <c r="BA318" t="s">
        <v>3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CX318">
        <f>Y318*Source!I491</f>
        <v>270</v>
      </c>
      <c r="CY318">
        <f>AA318</f>
        <v>314.45999999999998</v>
      </c>
      <c r="CZ318">
        <f>AE318</f>
        <v>49.6</v>
      </c>
      <c r="DA318">
        <f>AI318</f>
        <v>6.34</v>
      </c>
      <c r="DB318">
        <f>ROUND(ROUND(AT318*CZ318,2),6)</f>
        <v>4960</v>
      </c>
      <c r="DC318">
        <f>ROUND(ROUND(AT318*AG318,2),6)</f>
        <v>0</v>
      </c>
    </row>
    <row r="319" spans="1:107" x14ac:dyDescent="0.2">
      <c r="A319">
        <f>ROW(Source!A493)</f>
        <v>493</v>
      </c>
      <c r="B319">
        <v>42938047</v>
      </c>
      <c r="C319">
        <v>43143491</v>
      </c>
      <c r="D319">
        <v>35973053</v>
      </c>
      <c r="E319">
        <v>35973048</v>
      </c>
      <c r="F319">
        <v>1</v>
      </c>
      <c r="G319">
        <v>35973048</v>
      </c>
      <c r="H319">
        <v>1</v>
      </c>
      <c r="I319" t="s">
        <v>1228</v>
      </c>
      <c r="J319" t="s">
        <v>3</v>
      </c>
      <c r="K319" t="s">
        <v>1229</v>
      </c>
      <c r="L319">
        <v>1191</v>
      </c>
      <c r="N319">
        <v>1013</v>
      </c>
      <c r="O319" t="s">
        <v>1230</v>
      </c>
      <c r="P319" t="s">
        <v>1230</v>
      </c>
      <c r="Q319">
        <v>1</v>
      </c>
      <c r="W319">
        <v>0</v>
      </c>
      <c r="X319">
        <v>476480486</v>
      </c>
      <c r="Y319">
        <v>41.537999999999997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1</v>
      </c>
      <c r="AJ319">
        <v>1</v>
      </c>
      <c r="AK319">
        <v>1</v>
      </c>
      <c r="AL319">
        <v>25.44</v>
      </c>
      <c r="AN319">
        <v>0</v>
      </c>
      <c r="AO319">
        <v>1</v>
      </c>
      <c r="AP319">
        <v>1</v>
      </c>
      <c r="AQ319">
        <v>0</v>
      </c>
      <c r="AR319">
        <v>0</v>
      </c>
      <c r="AS319" t="s">
        <v>3</v>
      </c>
      <c r="AT319">
        <v>36.119999999999997</v>
      </c>
      <c r="AU319" t="s">
        <v>21</v>
      </c>
      <c r="AV319">
        <v>1</v>
      </c>
      <c r="AW319">
        <v>2</v>
      </c>
      <c r="AX319">
        <v>43143507</v>
      </c>
      <c r="AY319">
        <v>1</v>
      </c>
      <c r="AZ319">
        <v>0</v>
      </c>
      <c r="BA319">
        <v>320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CX319">
        <f>Y319*Source!I493</f>
        <v>47.851775999999994</v>
      </c>
      <c r="CY319">
        <f>AD319</f>
        <v>0</v>
      </c>
      <c r="CZ319">
        <f>AH319</f>
        <v>0</v>
      </c>
      <c r="DA319">
        <f>AL319</f>
        <v>25.44</v>
      </c>
      <c r="DB319">
        <f>ROUND((ROUND(AT319*CZ319,2)*1.15),6)</f>
        <v>0</v>
      </c>
      <c r="DC319">
        <f>ROUND((ROUND(AT319*AG319,2)*1.15),6)</f>
        <v>0</v>
      </c>
    </row>
    <row r="320" spans="1:107" x14ac:dyDescent="0.2">
      <c r="A320">
        <f>ROW(Source!A493)</f>
        <v>493</v>
      </c>
      <c r="B320">
        <v>42938047</v>
      </c>
      <c r="C320">
        <v>43143491</v>
      </c>
      <c r="D320">
        <v>36045308</v>
      </c>
      <c r="E320">
        <v>1</v>
      </c>
      <c r="F320">
        <v>1</v>
      </c>
      <c r="G320">
        <v>35973048</v>
      </c>
      <c r="H320">
        <v>2</v>
      </c>
      <c r="I320" t="s">
        <v>1231</v>
      </c>
      <c r="J320" t="s">
        <v>1232</v>
      </c>
      <c r="K320" t="s">
        <v>1233</v>
      </c>
      <c r="L320">
        <v>1367</v>
      </c>
      <c r="N320">
        <v>1011</v>
      </c>
      <c r="O320" t="s">
        <v>738</v>
      </c>
      <c r="P320" t="s">
        <v>738</v>
      </c>
      <c r="Q320">
        <v>1</v>
      </c>
      <c r="W320">
        <v>0</v>
      </c>
      <c r="X320">
        <v>-628430174</v>
      </c>
      <c r="Y320">
        <v>1.75</v>
      </c>
      <c r="AA320">
        <v>0</v>
      </c>
      <c r="AB320">
        <v>748.13</v>
      </c>
      <c r="AC320">
        <v>365.32</v>
      </c>
      <c r="AD320">
        <v>0</v>
      </c>
      <c r="AE320">
        <v>0</v>
      </c>
      <c r="AF320">
        <v>76.81</v>
      </c>
      <c r="AG320">
        <v>14.36</v>
      </c>
      <c r="AH320">
        <v>0</v>
      </c>
      <c r="AI320">
        <v>1</v>
      </c>
      <c r="AJ320">
        <v>9.74</v>
      </c>
      <c r="AK320">
        <v>25.44</v>
      </c>
      <c r="AL320">
        <v>1</v>
      </c>
      <c r="AN320">
        <v>0</v>
      </c>
      <c r="AO320">
        <v>1</v>
      </c>
      <c r="AP320">
        <v>1</v>
      </c>
      <c r="AQ320">
        <v>0</v>
      </c>
      <c r="AR320">
        <v>0</v>
      </c>
      <c r="AS320" t="s">
        <v>3</v>
      </c>
      <c r="AT320">
        <v>1.4</v>
      </c>
      <c r="AU320" t="s">
        <v>20</v>
      </c>
      <c r="AV320">
        <v>0</v>
      </c>
      <c r="AW320">
        <v>2</v>
      </c>
      <c r="AX320">
        <v>43143508</v>
      </c>
      <c r="AY320">
        <v>1</v>
      </c>
      <c r="AZ320">
        <v>0</v>
      </c>
      <c r="BA320">
        <v>321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CX320">
        <f>Y320*Source!I493</f>
        <v>2.016</v>
      </c>
      <c r="CY320">
        <f>AB320</f>
        <v>748.13</v>
      </c>
      <c r="CZ320">
        <f>AF320</f>
        <v>76.81</v>
      </c>
      <c r="DA320">
        <f>AJ320</f>
        <v>9.74</v>
      </c>
      <c r="DB320">
        <f>ROUND((ROUND(AT320*CZ320,2)*1.25),6)</f>
        <v>134.41249999999999</v>
      </c>
      <c r="DC320">
        <f>ROUND((ROUND(AT320*AG320,2)*1.25),6)</f>
        <v>25.125</v>
      </c>
    </row>
    <row r="321" spans="1:107" x14ac:dyDescent="0.2">
      <c r="A321">
        <f>ROW(Source!A493)</f>
        <v>493</v>
      </c>
      <c r="B321">
        <v>42938047</v>
      </c>
      <c r="C321">
        <v>43143491</v>
      </c>
      <c r="D321">
        <v>36044716</v>
      </c>
      <c r="E321">
        <v>1</v>
      </c>
      <c r="F321">
        <v>1</v>
      </c>
      <c r="G321">
        <v>35973048</v>
      </c>
      <c r="H321">
        <v>2</v>
      </c>
      <c r="I321" t="s">
        <v>1246</v>
      </c>
      <c r="J321" t="s">
        <v>1247</v>
      </c>
      <c r="K321" t="s">
        <v>1248</v>
      </c>
      <c r="L321">
        <v>1367</v>
      </c>
      <c r="N321">
        <v>1011</v>
      </c>
      <c r="O321" t="s">
        <v>738</v>
      </c>
      <c r="P321" t="s">
        <v>738</v>
      </c>
      <c r="Q321">
        <v>1</v>
      </c>
      <c r="W321">
        <v>0</v>
      </c>
      <c r="X321">
        <v>1732017783</v>
      </c>
      <c r="Y321">
        <v>27.125</v>
      </c>
      <c r="AA321">
        <v>0</v>
      </c>
      <c r="AB321">
        <v>865.96</v>
      </c>
      <c r="AC321">
        <v>457.92</v>
      </c>
      <c r="AD321">
        <v>0</v>
      </c>
      <c r="AE321">
        <v>0</v>
      </c>
      <c r="AF321">
        <v>92.32</v>
      </c>
      <c r="AG321">
        <v>18</v>
      </c>
      <c r="AH321">
        <v>0</v>
      </c>
      <c r="AI321">
        <v>1</v>
      </c>
      <c r="AJ321">
        <v>9.3800000000000008</v>
      </c>
      <c r="AK321">
        <v>25.44</v>
      </c>
      <c r="AL321">
        <v>1</v>
      </c>
      <c r="AN321">
        <v>0</v>
      </c>
      <c r="AO321">
        <v>1</v>
      </c>
      <c r="AP321">
        <v>1</v>
      </c>
      <c r="AQ321">
        <v>0</v>
      </c>
      <c r="AR321">
        <v>0</v>
      </c>
      <c r="AS321" t="s">
        <v>3</v>
      </c>
      <c r="AT321">
        <v>21.7</v>
      </c>
      <c r="AU321" t="s">
        <v>20</v>
      </c>
      <c r="AV321">
        <v>0</v>
      </c>
      <c r="AW321">
        <v>2</v>
      </c>
      <c r="AX321">
        <v>43143509</v>
      </c>
      <c r="AY321">
        <v>1</v>
      </c>
      <c r="AZ321">
        <v>0</v>
      </c>
      <c r="BA321">
        <v>322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CX321">
        <f>Y321*Source!I493</f>
        <v>31.247999999999998</v>
      </c>
      <c r="CY321">
        <f>AB321</f>
        <v>865.96</v>
      </c>
      <c r="CZ321">
        <f>AF321</f>
        <v>92.32</v>
      </c>
      <c r="DA321">
        <f>AJ321</f>
        <v>9.3800000000000008</v>
      </c>
      <c r="DB321">
        <f>ROUND((ROUND(AT321*CZ321,2)*1.25),6)</f>
        <v>2504.1750000000002</v>
      </c>
      <c r="DC321">
        <f>ROUND((ROUND(AT321*AG321,2)*1.25),6)</f>
        <v>488.25</v>
      </c>
    </row>
    <row r="322" spans="1:107" x14ac:dyDescent="0.2">
      <c r="A322">
        <f>ROW(Source!A493)</f>
        <v>493</v>
      </c>
      <c r="B322">
        <v>42938047</v>
      </c>
      <c r="C322">
        <v>43143491</v>
      </c>
      <c r="D322">
        <v>36021716</v>
      </c>
      <c r="E322">
        <v>1</v>
      </c>
      <c r="F322">
        <v>1</v>
      </c>
      <c r="G322">
        <v>35973048</v>
      </c>
      <c r="H322">
        <v>3</v>
      </c>
      <c r="I322" t="s">
        <v>662</v>
      </c>
      <c r="J322" t="s">
        <v>664</v>
      </c>
      <c r="K322" t="s">
        <v>663</v>
      </c>
      <c r="L322">
        <v>1339</v>
      </c>
      <c r="N322">
        <v>1007</v>
      </c>
      <c r="O322" t="s">
        <v>84</v>
      </c>
      <c r="P322" t="s">
        <v>84</v>
      </c>
      <c r="Q322">
        <v>1</v>
      </c>
      <c r="W322">
        <v>0</v>
      </c>
      <c r="X322">
        <v>558400410</v>
      </c>
      <c r="Y322">
        <v>33.333333000000003</v>
      </c>
      <c r="AA322">
        <v>2301.7399999999998</v>
      </c>
      <c r="AB322">
        <v>0</v>
      </c>
      <c r="AC322">
        <v>0</v>
      </c>
      <c r="AD322">
        <v>0</v>
      </c>
      <c r="AE322">
        <v>160.62</v>
      </c>
      <c r="AF322">
        <v>0</v>
      </c>
      <c r="AG322">
        <v>0</v>
      </c>
      <c r="AH322">
        <v>0</v>
      </c>
      <c r="AI322">
        <v>13.94</v>
      </c>
      <c r="AJ322">
        <v>1</v>
      </c>
      <c r="AK322">
        <v>1</v>
      </c>
      <c r="AL322">
        <v>1</v>
      </c>
      <c r="AN322">
        <v>0</v>
      </c>
      <c r="AO322">
        <v>0</v>
      </c>
      <c r="AP322">
        <v>0</v>
      </c>
      <c r="AQ322">
        <v>0</v>
      </c>
      <c r="AR322">
        <v>0</v>
      </c>
      <c r="AS322" t="s">
        <v>3</v>
      </c>
      <c r="AT322">
        <v>33.333333000000003</v>
      </c>
      <c r="AU322" t="s">
        <v>3</v>
      </c>
      <c r="AV322">
        <v>0</v>
      </c>
      <c r="AW322">
        <v>1</v>
      </c>
      <c r="AX322">
        <v>-1</v>
      </c>
      <c r="AY322">
        <v>0</v>
      </c>
      <c r="AZ322">
        <v>0</v>
      </c>
      <c r="BA322" t="s">
        <v>3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CX322">
        <f>Y322*Source!I493</f>
        <v>38.399999616000002</v>
      </c>
      <c r="CY322">
        <f>AA322</f>
        <v>2301.7399999999998</v>
      </c>
      <c r="CZ322">
        <f>AE322</f>
        <v>160.62</v>
      </c>
      <c r="DA322">
        <f>AI322</f>
        <v>13.94</v>
      </c>
      <c r="DB322">
        <f>ROUND(ROUND(AT322*CZ322,2),6)</f>
        <v>5354</v>
      </c>
      <c r="DC322">
        <f>ROUND(ROUND(AT322*AG322,2),6)</f>
        <v>0</v>
      </c>
    </row>
    <row r="323" spans="1:107" x14ac:dyDescent="0.2">
      <c r="A323">
        <f>ROW(Source!A493)</f>
        <v>493</v>
      </c>
      <c r="B323">
        <v>42938047</v>
      </c>
      <c r="C323">
        <v>43143491</v>
      </c>
      <c r="D323">
        <v>36021718</v>
      </c>
      <c r="E323">
        <v>1</v>
      </c>
      <c r="F323">
        <v>1</v>
      </c>
      <c r="G323">
        <v>35973048</v>
      </c>
      <c r="H323">
        <v>3</v>
      </c>
      <c r="I323" t="s">
        <v>82</v>
      </c>
      <c r="J323" t="s">
        <v>85</v>
      </c>
      <c r="K323" t="s">
        <v>83</v>
      </c>
      <c r="L323">
        <v>1339</v>
      </c>
      <c r="N323">
        <v>1007</v>
      </c>
      <c r="O323" t="s">
        <v>84</v>
      </c>
      <c r="P323" t="s">
        <v>84</v>
      </c>
      <c r="Q323">
        <v>1</v>
      </c>
      <c r="W323">
        <v>0</v>
      </c>
      <c r="X323">
        <v>2094184890</v>
      </c>
      <c r="Y323">
        <v>33.333333000000003</v>
      </c>
      <c r="AA323">
        <v>2356.8000000000002</v>
      </c>
      <c r="AB323">
        <v>0</v>
      </c>
      <c r="AC323">
        <v>0</v>
      </c>
      <c r="AD323">
        <v>0</v>
      </c>
      <c r="AE323">
        <v>158.22</v>
      </c>
      <c r="AF323">
        <v>0</v>
      </c>
      <c r="AG323">
        <v>0</v>
      </c>
      <c r="AH323">
        <v>0</v>
      </c>
      <c r="AI323">
        <v>14.49</v>
      </c>
      <c r="AJ323">
        <v>1</v>
      </c>
      <c r="AK323">
        <v>1</v>
      </c>
      <c r="AL323">
        <v>1</v>
      </c>
      <c r="AN323">
        <v>0</v>
      </c>
      <c r="AO323">
        <v>0</v>
      </c>
      <c r="AP323">
        <v>0</v>
      </c>
      <c r="AQ323">
        <v>0</v>
      </c>
      <c r="AR323">
        <v>0</v>
      </c>
      <c r="AS323" t="s">
        <v>3</v>
      </c>
      <c r="AT323">
        <v>33.333333000000003</v>
      </c>
      <c r="AU323" t="s">
        <v>3</v>
      </c>
      <c r="AV323">
        <v>0</v>
      </c>
      <c r="AW323">
        <v>1</v>
      </c>
      <c r="AX323">
        <v>-1</v>
      </c>
      <c r="AY323">
        <v>0</v>
      </c>
      <c r="AZ323">
        <v>0</v>
      </c>
      <c r="BA323" t="s">
        <v>3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CX323">
        <f>Y323*Source!I493</f>
        <v>38.399999616000002</v>
      </c>
      <c r="CY323">
        <f>AA323</f>
        <v>2356.8000000000002</v>
      </c>
      <c r="CZ323">
        <f>AE323</f>
        <v>158.22</v>
      </c>
      <c r="DA323">
        <f>AI323</f>
        <v>14.49</v>
      </c>
      <c r="DB323">
        <f>ROUND(ROUND(AT323*CZ323,2),6)</f>
        <v>5274</v>
      </c>
      <c r="DC323">
        <f>ROUND(ROUND(AT323*AG323,2),6)</f>
        <v>0</v>
      </c>
    </row>
    <row r="324" spans="1:107" x14ac:dyDescent="0.2">
      <c r="A324">
        <f>ROW(Source!A493)</f>
        <v>493</v>
      </c>
      <c r="B324">
        <v>42938047</v>
      </c>
      <c r="C324">
        <v>43143491</v>
      </c>
      <c r="D324">
        <v>0</v>
      </c>
      <c r="E324">
        <v>0</v>
      </c>
      <c r="F324">
        <v>1</v>
      </c>
      <c r="G324">
        <v>35973048</v>
      </c>
      <c r="H324">
        <v>3</v>
      </c>
      <c r="I324" t="s">
        <v>118</v>
      </c>
      <c r="J324" t="s">
        <v>3</v>
      </c>
      <c r="K324" t="s">
        <v>667</v>
      </c>
      <c r="L324">
        <v>1339</v>
      </c>
      <c r="N324">
        <v>1007</v>
      </c>
      <c r="O324" t="s">
        <v>84</v>
      </c>
      <c r="P324" t="s">
        <v>84</v>
      </c>
      <c r="Q324">
        <v>1</v>
      </c>
      <c r="W324">
        <v>0</v>
      </c>
      <c r="X324">
        <v>-429594785</v>
      </c>
      <c r="Y324">
        <v>33.333333000000003</v>
      </c>
      <c r="AA324">
        <v>8738.0400000000009</v>
      </c>
      <c r="AB324">
        <v>0</v>
      </c>
      <c r="AC324">
        <v>0</v>
      </c>
      <c r="AD324">
        <v>0</v>
      </c>
      <c r="AE324">
        <v>1340.7</v>
      </c>
      <c r="AF324">
        <v>0</v>
      </c>
      <c r="AG324">
        <v>0</v>
      </c>
      <c r="AH324">
        <v>0</v>
      </c>
      <c r="AI324">
        <v>6.34</v>
      </c>
      <c r="AJ324">
        <v>1</v>
      </c>
      <c r="AK324">
        <v>1</v>
      </c>
      <c r="AL324">
        <v>1</v>
      </c>
      <c r="AN324">
        <v>0</v>
      </c>
      <c r="AO324">
        <v>0</v>
      </c>
      <c r="AP324">
        <v>0</v>
      </c>
      <c r="AQ324">
        <v>0</v>
      </c>
      <c r="AR324">
        <v>0</v>
      </c>
      <c r="AS324" t="s">
        <v>3</v>
      </c>
      <c r="AT324">
        <v>33.333333000000003</v>
      </c>
      <c r="AU324" t="s">
        <v>3</v>
      </c>
      <c r="AV324">
        <v>0</v>
      </c>
      <c r="AW324">
        <v>1</v>
      </c>
      <c r="AX324">
        <v>-1</v>
      </c>
      <c r="AY324">
        <v>0</v>
      </c>
      <c r="AZ324">
        <v>0</v>
      </c>
      <c r="BA324" t="s">
        <v>3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CX324">
        <f>Y324*Source!I493</f>
        <v>38.399999616000002</v>
      </c>
      <c r="CY324">
        <f>AA324</f>
        <v>8738.0400000000009</v>
      </c>
      <c r="CZ324">
        <f>AE324</f>
        <v>1340.7</v>
      </c>
      <c r="DA324">
        <f>AI324</f>
        <v>6.34</v>
      </c>
      <c r="DB324">
        <f>ROUND(ROUND(AT324*CZ324,2),6)</f>
        <v>44690</v>
      </c>
      <c r="DC324">
        <f>ROUND(ROUND(AT324*AG324,2),6)</f>
        <v>0</v>
      </c>
    </row>
    <row r="325" spans="1:107" x14ac:dyDescent="0.2">
      <c r="A325">
        <f>ROW(Source!A497)</f>
        <v>497</v>
      </c>
      <c r="B325">
        <v>42938047</v>
      </c>
      <c r="C325">
        <v>43143636</v>
      </c>
      <c r="D325">
        <v>35973053</v>
      </c>
      <c r="E325">
        <v>35973048</v>
      </c>
      <c r="F325">
        <v>1</v>
      </c>
      <c r="G325">
        <v>35973048</v>
      </c>
      <c r="H325">
        <v>1</v>
      </c>
      <c r="I325" t="s">
        <v>1228</v>
      </c>
      <c r="J325" t="s">
        <v>3</v>
      </c>
      <c r="K325" t="s">
        <v>1229</v>
      </c>
      <c r="L325">
        <v>1191</v>
      </c>
      <c r="N325">
        <v>1013</v>
      </c>
      <c r="O325" t="s">
        <v>1230</v>
      </c>
      <c r="P325" t="s">
        <v>1230</v>
      </c>
      <c r="Q325">
        <v>1</v>
      </c>
      <c r="W325">
        <v>0</v>
      </c>
      <c r="X325">
        <v>476480486</v>
      </c>
      <c r="Y325">
        <v>3.45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1</v>
      </c>
      <c r="AJ325">
        <v>1</v>
      </c>
      <c r="AK325">
        <v>1</v>
      </c>
      <c r="AL325">
        <v>25.44</v>
      </c>
      <c r="AN325">
        <v>0</v>
      </c>
      <c r="AO325">
        <v>1</v>
      </c>
      <c r="AP325">
        <v>1</v>
      </c>
      <c r="AQ325">
        <v>0</v>
      </c>
      <c r="AR325">
        <v>0</v>
      </c>
      <c r="AS325" t="s">
        <v>3</v>
      </c>
      <c r="AT325">
        <v>3</v>
      </c>
      <c r="AU325" t="s">
        <v>21</v>
      </c>
      <c r="AV325">
        <v>1</v>
      </c>
      <c r="AW325">
        <v>2</v>
      </c>
      <c r="AX325">
        <v>43143637</v>
      </c>
      <c r="AY325">
        <v>1</v>
      </c>
      <c r="AZ325">
        <v>2048</v>
      </c>
      <c r="BA325">
        <v>325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CX325">
        <f>Y325*Source!I497</f>
        <v>186.3</v>
      </c>
      <c r="CY325">
        <f>AD325</f>
        <v>0</v>
      </c>
      <c r="CZ325">
        <f>AH325</f>
        <v>0</v>
      </c>
      <c r="DA325">
        <f>AL325</f>
        <v>25.44</v>
      </c>
      <c r="DB325">
        <f>ROUND((ROUND(AT325*CZ325,2)*1.15),6)</f>
        <v>0</v>
      </c>
      <c r="DC325">
        <f>ROUND((ROUND(AT325*AG325,2)*1.15),6)</f>
        <v>0</v>
      </c>
    </row>
    <row r="326" spans="1:107" x14ac:dyDescent="0.2">
      <c r="A326">
        <f>ROW(Source!A497)</f>
        <v>497</v>
      </c>
      <c r="B326">
        <v>42938047</v>
      </c>
      <c r="C326">
        <v>43143636</v>
      </c>
      <c r="D326">
        <v>36045308</v>
      </c>
      <c r="E326">
        <v>1</v>
      </c>
      <c r="F326">
        <v>1</v>
      </c>
      <c r="G326">
        <v>35973048</v>
      </c>
      <c r="H326">
        <v>2</v>
      </c>
      <c r="I326" t="s">
        <v>1231</v>
      </c>
      <c r="J326" t="s">
        <v>1232</v>
      </c>
      <c r="K326" t="s">
        <v>1233</v>
      </c>
      <c r="L326">
        <v>1367</v>
      </c>
      <c r="N326">
        <v>1011</v>
      </c>
      <c r="O326" t="s">
        <v>738</v>
      </c>
      <c r="P326" t="s">
        <v>738</v>
      </c>
      <c r="Q326">
        <v>1</v>
      </c>
      <c r="W326">
        <v>0</v>
      </c>
      <c r="X326">
        <v>-628430174</v>
      </c>
      <c r="Y326">
        <v>0.4</v>
      </c>
      <c r="AA326">
        <v>0</v>
      </c>
      <c r="AB326">
        <v>748.13</v>
      </c>
      <c r="AC326">
        <v>365.32</v>
      </c>
      <c r="AD326">
        <v>0</v>
      </c>
      <c r="AE326">
        <v>0</v>
      </c>
      <c r="AF326">
        <v>76.81</v>
      </c>
      <c r="AG326">
        <v>14.36</v>
      </c>
      <c r="AH326">
        <v>0</v>
      </c>
      <c r="AI326">
        <v>1</v>
      </c>
      <c r="AJ326">
        <v>9.74</v>
      </c>
      <c r="AK326">
        <v>25.44</v>
      </c>
      <c r="AL326">
        <v>1</v>
      </c>
      <c r="AN326">
        <v>0</v>
      </c>
      <c r="AO326">
        <v>1</v>
      </c>
      <c r="AP326">
        <v>1</v>
      </c>
      <c r="AQ326">
        <v>0</v>
      </c>
      <c r="AR326">
        <v>0</v>
      </c>
      <c r="AS326" t="s">
        <v>3</v>
      </c>
      <c r="AT326">
        <v>0.32</v>
      </c>
      <c r="AU326" t="s">
        <v>20</v>
      </c>
      <c r="AV326">
        <v>0</v>
      </c>
      <c r="AW326">
        <v>2</v>
      </c>
      <c r="AX326">
        <v>43143638</v>
      </c>
      <c r="AY326">
        <v>1</v>
      </c>
      <c r="AZ326">
        <v>0</v>
      </c>
      <c r="BA326">
        <v>326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CX326">
        <f>Y326*Source!I497</f>
        <v>21.6</v>
      </c>
      <c r="CY326">
        <f>AB326</f>
        <v>748.13</v>
      </c>
      <c r="CZ326">
        <f>AF326</f>
        <v>76.81</v>
      </c>
      <c r="DA326">
        <f>AJ326</f>
        <v>9.74</v>
      </c>
      <c r="DB326">
        <f>ROUND((ROUND(AT326*CZ326,2)*1.25),6)</f>
        <v>30.725000000000001</v>
      </c>
      <c r="DC326">
        <f>ROUND((ROUND(AT326*AG326,2)*1.25),6)</f>
        <v>5.75</v>
      </c>
    </row>
    <row r="327" spans="1:107" x14ac:dyDescent="0.2">
      <c r="A327">
        <f>ROW(Source!A497)</f>
        <v>497</v>
      </c>
      <c r="B327">
        <v>42938047</v>
      </c>
      <c r="C327">
        <v>43143636</v>
      </c>
      <c r="D327">
        <v>36021718</v>
      </c>
      <c r="E327">
        <v>1</v>
      </c>
      <c r="F327">
        <v>1</v>
      </c>
      <c r="G327">
        <v>35973048</v>
      </c>
      <c r="H327">
        <v>3</v>
      </c>
      <c r="I327" t="s">
        <v>82</v>
      </c>
      <c r="J327" t="s">
        <v>85</v>
      </c>
      <c r="K327" t="s">
        <v>83</v>
      </c>
      <c r="L327">
        <v>1339</v>
      </c>
      <c r="N327">
        <v>1007</v>
      </c>
      <c r="O327" t="s">
        <v>84</v>
      </c>
      <c r="P327" t="s">
        <v>84</v>
      </c>
      <c r="Q327">
        <v>1</v>
      </c>
      <c r="W327">
        <v>0</v>
      </c>
      <c r="X327">
        <v>2094184890</v>
      </c>
      <c r="Y327">
        <v>1.3</v>
      </c>
      <c r="AA327">
        <v>2356.8000000000002</v>
      </c>
      <c r="AB327">
        <v>0</v>
      </c>
      <c r="AC327">
        <v>0</v>
      </c>
      <c r="AD327">
        <v>0</v>
      </c>
      <c r="AE327">
        <v>158.22</v>
      </c>
      <c r="AF327">
        <v>0</v>
      </c>
      <c r="AG327">
        <v>0</v>
      </c>
      <c r="AH327">
        <v>0</v>
      </c>
      <c r="AI327">
        <v>14.49</v>
      </c>
      <c r="AJ327">
        <v>1</v>
      </c>
      <c r="AK327">
        <v>1</v>
      </c>
      <c r="AL327">
        <v>1</v>
      </c>
      <c r="AN327">
        <v>0</v>
      </c>
      <c r="AO327">
        <v>0</v>
      </c>
      <c r="AP327">
        <v>0</v>
      </c>
      <c r="AQ327">
        <v>0</v>
      </c>
      <c r="AR327">
        <v>0</v>
      </c>
      <c r="AS327" t="s">
        <v>3</v>
      </c>
      <c r="AT327">
        <v>1.3</v>
      </c>
      <c r="AU327" t="s">
        <v>3</v>
      </c>
      <c r="AV327">
        <v>0</v>
      </c>
      <c r="AW327">
        <v>1</v>
      </c>
      <c r="AX327">
        <v>-1</v>
      </c>
      <c r="AY327">
        <v>0</v>
      </c>
      <c r="AZ327">
        <v>0</v>
      </c>
      <c r="BA327" t="s">
        <v>3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CX327">
        <f>Y327*Source!I497</f>
        <v>70.2</v>
      </c>
      <c r="CY327">
        <f>AA327</f>
        <v>2356.8000000000002</v>
      </c>
      <c r="CZ327">
        <f>AE327</f>
        <v>158.22</v>
      </c>
      <c r="DA327">
        <f>AI327</f>
        <v>14.49</v>
      </c>
      <c r="DB327">
        <f>ROUND(ROUND(AT327*CZ327,2),6)</f>
        <v>205.69</v>
      </c>
      <c r="DC327">
        <f>ROUND(ROUND(AT327*AG327,2),6)</f>
        <v>0</v>
      </c>
    </row>
    <row r="328" spans="1:107" x14ac:dyDescent="0.2">
      <c r="A328">
        <f>ROW(Source!A499)</f>
        <v>499</v>
      </c>
      <c r="B328">
        <v>42938047</v>
      </c>
      <c r="C328">
        <v>43143470</v>
      </c>
      <c r="D328">
        <v>35973053</v>
      </c>
      <c r="E328">
        <v>35973048</v>
      </c>
      <c r="F328">
        <v>1</v>
      </c>
      <c r="G328">
        <v>35973048</v>
      </c>
      <c r="H328">
        <v>1</v>
      </c>
      <c r="I328" t="s">
        <v>1228</v>
      </c>
      <c r="J328" t="s">
        <v>3</v>
      </c>
      <c r="K328" t="s">
        <v>1229</v>
      </c>
      <c r="L328">
        <v>1191</v>
      </c>
      <c r="N328">
        <v>1013</v>
      </c>
      <c r="O328" t="s">
        <v>1230</v>
      </c>
      <c r="P328" t="s">
        <v>1230</v>
      </c>
      <c r="Q328">
        <v>1</v>
      </c>
      <c r="W328">
        <v>0</v>
      </c>
      <c r="X328">
        <v>476480486</v>
      </c>
      <c r="Y328">
        <v>323.14999999999998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1</v>
      </c>
      <c r="AJ328">
        <v>1</v>
      </c>
      <c r="AK328">
        <v>1</v>
      </c>
      <c r="AL328">
        <v>25.44</v>
      </c>
      <c r="AN328">
        <v>0</v>
      </c>
      <c r="AO328">
        <v>1</v>
      </c>
      <c r="AP328">
        <v>1</v>
      </c>
      <c r="AQ328">
        <v>0</v>
      </c>
      <c r="AR328">
        <v>0</v>
      </c>
      <c r="AS328" t="s">
        <v>3</v>
      </c>
      <c r="AT328">
        <v>281</v>
      </c>
      <c r="AU328" t="s">
        <v>21</v>
      </c>
      <c r="AV328">
        <v>1</v>
      </c>
      <c r="AW328">
        <v>2</v>
      </c>
      <c r="AX328">
        <v>43143471</v>
      </c>
      <c r="AY328">
        <v>1</v>
      </c>
      <c r="AZ328">
        <v>0</v>
      </c>
      <c r="BA328">
        <v>328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CX328">
        <f>Y328*Source!I499</f>
        <v>116.33399999999999</v>
      </c>
      <c r="CY328">
        <f>AD328</f>
        <v>0</v>
      </c>
      <c r="CZ328">
        <f>AH328</f>
        <v>0</v>
      </c>
      <c r="DA328">
        <f>AL328</f>
        <v>25.44</v>
      </c>
      <c r="DB328">
        <f>ROUND((ROUND(AT328*CZ328,2)*1.15),6)</f>
        <v>0</v>
      </c>
      <c r="DC328">
        <f>ROUND((ROUND(AT328*AG328,2)*1.15),6)</f>
        <v>0</v>
      </c>
    </row>
    <row r="329" spans="1:107" x14ac:dyDescent="0.2">
      <c r="A329">
        <f>ROW(Source!A499)</f>
        <v>499</v>
      </c>
      <c r="B329">
        <v>42938047</v>
      </c>
      <c r="C329">
        <v>43143470</v>
      </c>
      <c r="D329">
        <v>35973762</v>
      </c>
      <c r="E329">
        <v>35973048</v>
      </c>
      <c r="F329">
        <v>1</v>
      </c>
      <c r="G329">
        <v>35973048</v>
      </c>
      <c r="H329">
        <v>2</v>
      </c>
      <c r="I329" t="s">
        <v>1243</v>
      </c>
      <c r="J329" t="s">
        <v>3</v>
      </c>
      <c r="K329" t="s">
        <v>1244</v>
      </c>
      <c r="L329">
        <v>1344</v>
      </c>
      <c r="N329">
        <v>1008</v>
      </c>
      <c r="O329" t="s">
        <v>1245</v>
      </c>
      <c r="P329" t="s">
        <v>1245</v>
      </c>
      <c r="Q329">
        <v>1</v>
      </c>
      <c r="W329">
        <v>0</v>
      </c>
      <c r="X329">
        <v>-1180195794</v>
      </c>
      <c r="Y329">
        <v>10.262499999999999</v>
      </c>
      <c r="AA329">
        <v>0</v>
      </c>
      <c r="AB329">
        <v>11.02</v>
      </c>
      <c r="AC329">
        <v>0</v>
      </c>
      <c r="AD329">
        <v>0</v>
      </c>
      <c r="AE329">
        <v>0</v>
      </c>
      <c r="AF329">
        <v>1</v>
      </c>
      <c r="AG329">
        <v>0</v>
      </c>
      <c r="AH329">
        <v>0</v>
      </c>
      <c r="AI329">
        <v>1</v>
      </c>
      <c r="AJ329">
        <v>10.53</v>
      </c>
      <c r="AK329">
        <v>25.44</v>
      </c>
      <c r="AL329">
        <v>1</v>
      </c>
      <c r="AN329">
        <v>0</v>
      </c>
      <c r="AO329">
        <v>1</v>
      </c>
      <c r="AP329">
        <v>1</v>
      </c>
      <c r="AQ329">
        <v>0</v>
      </c>
      <c r="AR329">
        <v>0</v>
      </c>
      <c r="AS329" t="s">
        <v>3</v>
      </c>
      <c r="AT329">
        <v>8.2100000000000009</v>
      </c>
      <c r="AU329" t="s">
        <v>20</v>
      </c>
      <c r="AV329">
        <v>0</v>
      </c>
      <c r="AW329">
        <v>2</v>
      </c>
      <c r="AX329">
        <v>43143472</v>
      </c>
      <c r="AY329">
        <v>1</v>
      </c>
      <c r="AZ329">
        <v>2048</v>
      </c>
      <c r="BA329">
        <v>329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CX329">
        <f>Y329*Source!I499</f>
        <v>3.6944999999999997</v>
      </c>
      <c r="CY329">
        <f>AB329</f>
        <v>11.02</v>
      </c>
      <c r="CZ329">
        <f>AF329</f>
        <v>1</v>
      </c>
      <c r="DA329">
        <f>AJ329</f>
        <v>10.53</v>
      </c>
      <c r="DB329">
        <f>ROUND((ROUND(AT329*CZ329,2)*1.25),6)</f>
        <v>10.262499999999999</v>
      </c>
      <c r="DC329">
        <f>ROUND((ROUND(AT329*AG329,2)*1.25),6)</f>
        <v>0</v>
      </c>
    </row>
    <row r="330" spans="1:107" x14ac:dyDescent="0.2">
      <c r="A330">
        <f>ROW(Source!A499)</f>
        <v>499</v>
      </c>
      <c r="B330">
        <v>42938047</v>
      </c>
      <c r="C330">
        <v>43143470</v>
      </c>
      <c r="D330">
        <v>0</v>
      </c>
      <c r="E330">
        <v>0</v>
      </c>
      <c r="F330">
        <v>1</v>
      </c>
      <c r="G330">
        <v>35973048</v>
      </c>
      <c r="H330">
        <v>3</v>
      </c>
      <c r="I330" t="s">
        <v>118</v>
      </c>
      <c r="J330" t="s">
        <v>3</v>
      </c>
      <c r="K330" t="s">
        <v>684</v>
      </c>
      <c r="L330">
        <v>1348</v>
      </c>
      <c r="N330">
        <v>1009</v>
      </c>
      <c r="O330" t="s">
        <v>104</v>
      </c>
      <c r="P330" t="s">
        <v>104</v>
      </c>
      <c r="Q330">
        <v>1000</v>
      </c>
      <c r="W330">
        <v>0</v>
      </c>
      <c r="X330">
        <v>147350784</v>
      </c>
      <c r="Y330">
        <v>41.666666999999997</v>
      </c>
      <c r="AA330">
        <v>9350.0400000000009</v>
      </c>
      <c r="AB330">
        <v>0</v>
      </c>
      <c r="AC330">
        <v>0</v>
      </c>
      <c r="AD330">
        <v>0</v>
      </c>
      <c r="AE330">
        <v>1474.77</v>
      </c>
      <c r="AF330">
        <v>0</v>
      </c>
      <c r="AG330">
        <v>0</v>
      </c>
      <c r="AH330">
        <v>0</v>
      </c>
      <c r="AI330">
        <v>6.34</v>
      </c>
      <c r="AJ330">
        <v>1</v>
      </c>
      <c r="AK330">
        <v>1</v>
      </c>
      <c r="AL330">
        <v>1</v>
      </c>
      <c r="AN330">
        <v>0</v>
      </c>
      <c r="AO330">
        <v>0</v>
      </c>
      <c r="AP330">
        <v>0</v>
      </c>
      <c r="AQ330">
        <v>0</v>
      </c>
      <c r="AR330">
        <v>0</v>
      </c>
      <c r="AS330" t="s">
        <v>3</v>
      </c>
      <c r="AT330">
        <v>41.666666999999997</v>
      </c>
      <c r="AU330" t="s">
        <v>3</v>
      </c>
      <c r="AV330">
        <v>0</v>
      </c>
      <c r="AW330">
        <v>1</v>
      </c>
      <c r="AX330">
        <v>-1</v>
      </c>
      <c r="AY330">
        <v>0</v>
      </c>
      <c r="AZ330">
        <v>0</v>
      </c>
      <c r="BA330" t="s">
        <v>3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CX330">
        <f>Y330*Source!I499</f>
        <v>15.000000119999997</v>
      </c>
      <c r="CY330">
        <f>AA330</f>
        <v>9350.0400000000009</v>
      </c>
      <c r="CZ330">
        <f>AE330</f>
        <v>1474.77</v>
      </c>
      <c r="DA330">
        <f>AI330</f>
        <v>6.34</v>
      </c>
      <c r="DB330">
        <f t="shared" ref="DB330:DB335" si="66">ROUND(ROUND(AT330*CZ330,2),6)</f>
        <v>61448.75</v>
      </c>
      <c r="DC330">
        <f t="shared" ref="DC330:DC335" si="67">ROUND(ROUND(AT330*AG330,2),6)</f>
        <v>0</v>
      </c>
    </row>
    <row r="331" spans="1:107" x14ac:dyDescent="0.2">
      <c r="A331">
        <f>ROW(Source!A501)</f>
        <v>501</v>
      </c>
      <c r="B331">
        <v>42938047</v>
      </c>
      <c r="C331">
        <v>43159573</v>
      </c>
      <c r="D331">
        <v>35973762</v>
      </c>
      <c r="E331">
        <v>35973048</v>
      </c>
      <c r="F331">
        <v>1</v>
      </c>
      <c r="G331">
        <v>35973048</v>
      </c>
      <c r="H331">
        <v>2</v>
      </c>
      <c r="I331" t="s">
        <v>1243</v>
      </c>
      <c r="J331" t="s">
        <v>3</v>
      </c>
      <c r="K331" t="s">
        <v>1244</v>
      </c>
      <c r="L331">
        <v>1344</v>
      </c>
      <c r="N331">
        <v>1008</v>
      </c>
      <c r="O331" t="s">
        <v>1245</v>
      </c>
      <c r="P331" t="s">
        <v>1245</v>
      </c>
      <c r="Q331">
        <v>1</v>
      </c>
      <c r="W331">
        <v>0</v>
      </c>
      <c r="X331">
        <v>-1180195794</v>
      </c>
      <c r="Y331">
        <v>8.86</v>
      </c>
      <c r="AA331">
        <v>0</v>
      </c>
      <c r="AB331">
        <v>9.5500000000000007</v>
      </c>
      <c r="AC331">
        <v>0</v>
      </c>
      <c r="AD331">
        <v>0</v>
      </c>
      <c r="AE331">
        <v>0</v>
      </c>
      <c r="AF331">
        <v>1</v>
      </c>
      <c r="AG331">
        <v>0</v>
      </c>
      <c r="AH331">
        <v>0</v>
      </c>
      <c r="AI331">
        <v>1</v>
      </c>
      <c r="AJ331">
        <v>9.1199999999999992</v>
      </c>
      <c r="AK331">
        <v>25.44</v>
      </c>
      <c r="AL331">
        <v>1</v>
      </c>
      <c r="AN331">
        <v>0</v>
      </c>
      <c r="AO331">
        <v>1</v>
      </c>
      <c r="AP331">
        <v>0</v>
      </c>
      <c r="AQ331">
        <v>0</v>
      </c>
      <c r="AR331">
        <v>0</v>
      </c>
      <c r="AS331" t="s">
        <v>3</v>
      </c>
      <c r="AT331">
        <v>8.86</v>
      </c>
      <c r="AU331" t="s">
        <v>3</v>
      </c>
      <c r="AV331">
        <v>0</v>
      </c>
      <c r="AW331">
        <v>2</v>
      </c>
      <c r="AX331">
        <v>43159575</v>
      </c>
      <c r="AY331">
        <v>1</v>
      </c>
      <c r="AZ331">
        <v>0</v>
      </c>
      <c r="BA331">
        <v>331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CX331">
        <f>Y331*Source!I501</f>
        <v>8496.74</v>
      </c>
      <c r="CY331">
        <f>AB331</f>
        <v>9.5500000000000007</v>
      </c>
      <c r="CZ331">
        <f>AF331</f>
        <v>1</v>
      </c>
      <c r="DA331">
        <f>AJ331</f>
        <v>9.1199999999999992</v>
      </c>
      <c r="DB331">
        <f t="shared" si="66"/>
        <v>8.86</v>
      </c>
      <c r="DC331">
        <f t="shared" si="67"/>
        <v>0</v>
      </c>
    </row>
    <row r="332" spans="1:107" x14ac:dyDescent="0.2">
      <c r="A332">
        <f>ROW(Source!A502)</f>
        <v>502</v>
      </c>
      <c r="B332">
        <v>42938047</v>
      </c>
      <c r="C332">
        <v>43159576</v>
      </c>
      <c r="D332">
        <v>36759507</v>
      </c>
      <c r="E332">
        <v>1</v>
      </c>
      <c r="F332">
        <v>1</v>
      </c>
      <c r="G332">
        <v>35973048</v>
      </c>
      <c r="H332">
        <v>2</v>
      </c>
      <c r="I332" t="s">
        <v>1329</v>
      </c>
      <c r="J332" t="s">
        <v>1330</v>
      </c>
      <c r="K332" t="s">
        <v>1331</v>
      </c>
      <c r="L332">
        <v>1367</v>
      </c>
      <c r="N332">
        <v>1011</v>
      </c>
      <c r="O332" t="s">
        <v>738</v>
      </c>
      <c r="P332" t="s">
        <v>738</v>
      </c>
      <c r="Q332">
        <v>1</v>
      </c>
      <c r="W332">
        <v>0</v>
      </c>
      <c r="X332">
        <v>-1132105959</v>
      </c>
      <c r="Y332">
        <v>1</v>
      </c>
      <c r="AA332">
        <v>0</v>
      </c>
      <c r="AB332">
        <v>115.66</v>
      </c>
      <c r="AC332">
        <v>14.4</v>
      </c>
      <c r="AD332">
        <v>0</v>
      </c>
      <c r="AE332">
        <v>0</v>
      </c>
      <c r="AF332">
        <v>115.66</v>
      </c>
      <c r="AG332">
        <v>14.4</v>
      </c>
      <c r="AH332">
        <v>0</v>
      </c>
      <c r="AI332">
        <v>1</v>
      </c>
      <c r="AJ332">
        <v>1</v>
      </c>
      <c r="AK332">
        <v>1</v>
      </c>
      <c r="AL332">
        <v>1</v>
      </c>
      <c r="AN332">
        <v>0</v>
      </c>
      <c r="AO332">
        <v>1</v>
      </c>
      <c r="AP332">
        <v>0</v>
      </c>
      <c r="AQ332">
        <v>0</v>
      </c>
      <c r="AR332">
        <v>0</v>
      </c>
      <c r="AS332" t="s">
        <v>3</v>
      </c>
      <c r="AT332">
        <v>1</v>
      </c>
      <c r="AU332" t="s">
        <v>3</v>
      </c>
      <c r="AV332">
        <v>0</v>
      </c>
      <c r="AW332">
        <v>2</v>
      </c>
      <c r="AX332">
        <v>43159578</v>
      </c>
      <c r="AY332">
        <v>1</v>
      </c>
      <c r="AZ332">
        <v>0</v>
      </c>
      <c r="BA332">
        <v>332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CX332">
        <f>Y332*Source!I502</f>
        <v>959</v>
      </c>
      <c r="CY332">
        <f>AB332</f>
        <v>115.66</v>
      </c>
      <c r="CZ332">
        <f>AF332</f>
        <v>115.66</v>
      </c>
      <c r="DA332">
        <f>AJ332</f>
        <v>1</v>
      </c>
      <c r="DB332">
        <f t="shared" si="66"/>
        <v>115.66</v>
      </c>
      <c r="DC332">
        <f t="shared" si="67"/>
        <v>14.4</v>
      </c>
    </row>
    <row r="333" spans="1:107" x14ac:dyDescent="0.2">
      <c r="A333">
        <f>ROW(Source!A503)</f>
        <v>503</v>
      </c>
      <c r="B333">
        <v>42938047</v>
      </c>
      <c r="C333">
        <v>43159577</v>
      </c>
      <c r="D333">
        <v>36759504</v>
      </c>
      <c r="E333">
        <v>1</v>
      </c>
      <c r="F333">
        <v>1</v>
      </c>
      <c r="G333">
        <v>35973048</v>
      </c>
      <c r="H333">
        <v>2</v>
      </c>
      <c r="I333" t="s">
        <v>1332</v>
      </c>
      <c r="J333" t="s">
        <v>1333</v>
      </c>
      <c r="K333" t="s">
        <v>1334</v>
      </c>
      <c r="L333">
        <v>1367</v>
      </c>
      <c r="N333">
        <v>1011</v>
      </c>
      <c r="O333" t="s">
        <v>738</v>
      </c>
      <c r="P333" t="s">
        <v>738</v>
      </c>
      <c r="Q333">
        <v>1</v>
      </c>
      <c r="W333">
        <v>0</v>
      </c>
      <c r="X333">
        <v>1815391720</v>
      </c>
      <c r="Y333">
        <v>1</v>
      </c>
      <c r="AA333">
        <v>0</v>
      </c>
      <c r="AB333">
        <v>100.09</v>
      </c>
      <c r="AC333">
        <v>13.81</v>
      </c>
      <c r="AD333">
        <v>0</v>
      </c>
      <c r="AE333">
        <v>0</v>
      </c>
      <c r="AF333">
        <v>100.09</v>
      </c>
      <c r="AG333">
        <v>13.81</v>
      </c>
      <c r="AH333">
        <v>0</v>
      </c>
      <c r="AI333">
        <v>1</v>
      </c>
      <c r="AJ333">
        <v>1</v>
      </c>
      <c r="AK333">
        <v>1</v>
      </c>
      <c r="AL333">
        <v>1</v>
      </c>
      <c r="AN333">
        <v>0</v>
      </c>
      <c r="AO333">
        <v>1</v>
      </c>
      <c r="AP333">
        <v>0</v>
      </c>
      <c r="AQ333">
        <v>0</v>
      </c>
      <c r="AR333">
        <v>0</v>
      </c>
      <c r="AS333" t="s">
        <v>3</v>
      </c>
      <c r="AT333">
        <v>1</v>
      </c>
      <c r="AU333" t="s">
        <v>3</v>
      </c>
      <c r="AV333">
        <v>0</v>
      </c>
      <c r="AW333">
        <v>2</v>
      </c>
      <c r="AX333">
        <v>43159579</v>
      </c>
      <c r="AY333">
        <v>1</v>
      </c>
      <c r="AZ333">
        <v>0</v>
      </c>
      <c r="BA333">
        <v>333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CX333">
        <f>Y333*Source!I503</f>
        <v>274</v>
      </c>
      <c r="CY333">
        <f>AB333</f>
        <v>100.09</v>
      </c>
      <c r="CZ333">
        <f>AF333</f>
        <v>100.09</v>
      </c>
      <c r="DA333">
        <f>AJ333</f>
        <v>1</v>
      </c>
      <c r="DB333">
        <f t="shared" si="66"/>
        <v>100.09</v>
      </c>
      <c r="DC333">
        <f t="shared" si="67"/>
        <v>13.81</v>
      </c>
    </row>
    <row r="334" spans="1:107" x14ac:dyDescent="0.2">
      <c r="A334">
        <f>ROW(Source!A504)</f>
        <v>504</v>
      </c>
      <c r="B334">
        <v>42938047</v>
      </c>
      <c r="C334">
        <v>43159574</v>
      </c>
      <c r="D334">
        <v>35973762</v>
      </c>
      <c r="E334">
        <v>35973048</v>
      </c>
      <c r="F334">
        <v>1</v>
      </c>
      <c r="G334">
        <v>35973048</v>
      </c>
      <c r="H334">
        <v>2</v>
      </c>
      <c r="I334" t="s">
        <v>1243</v>
      </c>
      <c r="J334" t="s">
        <v>3</v>
      </c>
      <c r="K334" t="s">
        <v>1244</v>
      </c>
      <c r="L334">
        <v>1344</v>
      </c>
      <c r="N334">
        <v>1008</v>
      </c>
      <c r="O334" t="s">
        <v>1245</v>
      </c>
      <c r="P334" t="s">
        <v>1245</v>
      </c>
      <c r="Q334">
        <v>1</v>
      </c>
      <c r="W334">
        <v>0</v>
      </c>
      <c r="X334">
        <v>-1180195794</v>
      </c>
      <c r="Y334">
        <v>12.61</v>
      </c>
      <c r="AA334">
        <v>0</v>
      </c>
      <c r="AB334">
        <v>1</v>
      </c>
      <c r="AC334">
        <v>0</v>
      </c>
      <c r="AD334">
        <v>0</v>
      </c>
      <c r="AE334">
        <v>0</v>
      </c>
      <c r="AF334">
        <v>1</v>
      </c>
      <c r="AG334">
        <v>0</v>
      </c>
      <c r="AH334">
        <v>0</v>
      </c>
      <c r="AI334">
        <v>1</v>
      </c>
      <c r="AJ334">
        <v>1</v>
      </c>
      <c r="AK334">
        <v>1</v>
      </c>
      <c r="AL334">
        <v>1</v>
      </c>
      <c r="AN334">
        <v>0</v>
      </c>
      <c r="AO334">
        <v>1</v>
      </c>
      <c r="AP334">
        <v>0</v>
      </c>
      <c r="AQ334">
        <v>0</v>
      </c>
      <c r="AR334">
        <v>0</v>
      </c>
      <c r="AS334" t="s">
        <v>3</v>
      </c>
      <c r="AT334">
        <v>12.61</v>
      </c>
      <c r="AU334" t="s">
        <v>3</v>
      </c>
      <c r="AV334">
        <v>0</v>
      </c>
      <c r="AW334">
        <v>2</v>
      </c>
      <c r="AX334">
        <v>43159583</v>
      </c>
      <c r="AY334">
        <v>1</v>
      </c>
      <c r="AZ334">
        <v>0</v>
      </c>
      <c r="BA334">
        <v>334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CX334">
        <f>Y334*Source!I504</f>
        <v>3455.14</v>
      </c>
      <c r="CY334">
        <f>AB334</f>
        <v>1</v>
      </c>
      <c r="CZ334">
        <f>AF334</f>
        <v>1</v>
      </c>
      <c r="DA334">
        <f>AJ334</f>
        <v>1</v>
      </c>
      <c r="DB334">
        <f t="shared" si="66"/>
        <v>12.61</v>
      </c>
      <c r="DC334">
        <f t="shared" si="67"/>
        <v>0</v>
      </c>
    </row>
    <row r="335" spans="1:107" x14ac:dyDescent="0.2">
      <c r="A335">
        <f>ROW(Source!A505)</f>
        <v>505</v>
      </c>
      <c r="B335">
        <v>42938047</v>
      </c>
      <c r="C335">
        <v>43159654</v>
      </c>
      <c r="D335">
        <v>35973762</v>
      </c>
      <c r="E335">
        <v>35973048</v>
      </c>
      <c r="F335">
        <v>1</v>
      </c>
      <c r="G335">
        <v>35973048</v>
      </c>
      <c r="H335">
        <v>2</v>
      </c>
      <c r="I335" t="s">
        <v>1243</v>
      </c>
      <c r="J335" t="s">
        <v>3</v>
      </c>
      <c r="K335" t="s">
        <v>1244</v>
      </c>
      <c r="L335">
        <v>1344</v>
      </c>
      <c r="N335">
        <v>1008</v>
      </c>
      <c r="O335" t="s">
        <v>1245</v>
      </c>
      <c r="P335" t="s">
        <v>1245</v>
      </c>
      <c r="Q335">
        <v>1</v>
      </c>
      <c r="W335">
        <v>0</v>
      </c>
      <c r="X335">
        <v>-1180195794</v>
      </c>
      <c r="Y335">
        <v>17.84</v>
      </c>
      <c r="AA335">
        <v>0</v>
      </c>
      <c r="AB335">
        <v>1</v>
      </c>
      <c r="AC335">
        <v>0</v>
      </c>
      <c r="AD335">
        <v>0</v>
      </c>
      <c r="AE335">
        <v>0</v>
      </c>
      <c r="AF335">
        <v>1</v>
      </c>
      <c r="AG335">
        <v>0</v>
      </c>
      <c r="AH335">
        <v>0</v>
      </c>
      <c r="AI335">
        <v>1</v>
      </c>
      <c r="AJ335">
        <v>1</v>
      </c>
      <c r="AK335">
        <v>1</v>
      </c>
      <c r="AL335">
        <v>1</v>
      </c>
      <c r="AN335">
        <v>0</v>
      </c>
      <c r="AO335">
        <v>1</v>
      </c>
      <c r="AP335">
        <v>0</v>
      </c>
      <c r="AQ335">
        <v>0</v>
      </c>
      <c r="AR335">
        <v>0</v>
      </c>
      <c r="AS335" t="s">
        <v>3</v>
      </c>
      <c r="AT335">
        <v>17.84</v>
      </c>
      <c r="AU335" t="s">
        <v>3</v>
      </c>
      <c r="AV335">
        <v>0</v>
      </c>
      <c r="AW335">
        <v>2</v>
      </c>
      <c r="AX335">
        <v>43159655</v>
      </c>
      <c r="AY335">
        <v>1</v>
      </c>
      <c r="AZ335">
        <v>0</v>
      </c>
      <c r="BA335">
        <v>335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CX335">
        <f>Y335*Source!I505</f>
        <v>17116.409599999999</v>
      </c>
      <c r="CY335">
        <f>AB335</f>
        <v>1</v>
      </c>
      <c r="CZ335">
        <f>AF335</f>
        <v>1</v>
      </c>
      <c r="DA335">
        <f>AJ335</f>
        <v>1</v>
      </c>
      <c r="DB335">
        <f t="shared" si="66"/>
        <v>17.84</v>
      </c>
      <c r="DC335">
        <f t="shared" si="67"/>
        <v>0</v>
      </c>
    </row>
    <row r="336" spans="1:107" x14ac:dyDescent="0.2">
      <c r="A336">
        <f>ROW(Source!A541)</f>
        <v>541</v>
      </c>
      <c r="B336">
        <v>42938047</v>
      </c>
      <c r="C336">
        <v>43159537</v>
      </c>
      <c r="D336">
        <v>35973053</v>
      </c>
      <c r="E336">
        <v>35973048</v>
      </c>
      <c r="F336">
        <v>1</v>
      </c>
      <c r="G336">
        <v>35973048</v>
      </c>
      <c r="H336">
        <v>1</v>
      </c>
      <c r="I336" t="s">
        <v>1228</v>
      </c>
      <c r="J336" t="s">
        <v>3</v>
      </c>
      <c r="K336" t="s">
        <v>1229</v>
      </c>
      <c r="L336">
        <v>1191</v>
      </c>
      <c r="N336">
        <v>1013</v>
      </c>
      <c r="O336" t="s">
        <v>1230</v>
      </c>
      <c r="P336" t="s">
        <v>1230</v>
      </c>
      <c r="Q336">
        <v>1</v>
      </c>
      <c r="W336">
        <v>0</v>
      </c>
      <c r="X336">
        <v>476480486</v>
      </c>
      <c r="Y336">
        <v>62.280900000000003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1</v>
      </c>
      <c r="AJ336">
        <v>1</v>
      </c>
      <c r="AK336">
        <v>1</v>
      </c>
      <c r="AL336">
        <v>25.44</v>
      </c>
      <c r="AN336">
        <v>0</v>
      </c>
      <c r="AO336">
        <v>1</v>
      </c>
      <c r="AP336">
        <v>1</v>
      </c>
      <c r="AQ336">
        <v>0</v>
      </c>
      <c r="AR336">
        <v>0</v>
      </c>
      <c r="AS336" t="s">
        <v>3</v>
      </c>
      <c r="AT336">
        <v>188.73</v>
      </c>
      <c r="AU336" t="s">
        <v>443</v>
      </c>
      <c r="AV336">
        <v>1</v>
      </c>
      <c r="AW336">
        <v>2</v>
      </c>
      <c r="AX336">
        <v>43159539</v>
      </c>
      <c r="AY336">
        <v>1</v>
      </c>
      <c r="AZ336">
        <v>0</v>
      </c>
      <c r="BA336">
        <v>336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CX336">
        <f>Y336*Source!I541</f>
        <v>210.1980375</v>
      </c>
      <c r="CY336">
        <f>AD336</f>
        <v>0</v>
      </c>
      <c r="CZ336">
        <f>AH336</f>
        <v>0</v>
      </c>
      <c r="DA336">
        <f>AL336</f>
        <v>25.44</v>
      </c>
      <c r="DB336">
        <f>ROUND((ROUND(AT336*CZ336,2)*0.33),6)</f>
        <v>0</v>
      </c>
      <c r="DC336">
        <f>ROUND((ROUND(AT336*AG336,2)*0.33),6)</f>
        <v>0</v>
      </c>
    </row>
    <row r="337" spans="1:107" x14ac:dyDescent="0.2">
      <c r="A337">
        <f>ROW(Source!A541)</f>
        <v>541</v>
      </c>
      <c r="B337">
        <v>42938047</v>
      </c>
      <c r="C337">
        <v>43159537</v>
      </c>
      <c r="D337">
        <v>36044926</v>
      </c>
      <c r="E337">
        <v>1</v>
      </c>
      <c r="F337">
        <v>1</v>
      </c>
      <c r="G337">
        <v>35973048</v>
      </c>
      <c r="H337">
        <v>2</v>
      </c>
      <c r="I337" t="s">
        <v>1352</v>
      </c>
      <c r="J337" t="s">
        <v>1353</v>
      </c>
      <c r="K337" t="s">
        <v>1354</v>
      </c>
      <c r="L337">
        <v>1367</v>
      </c>
      <c r="N337">
        <v>1011</v>
      </c>
      <c r="O337" t="s">
        <v>738</v>
      </c>
      <c r="P337" t="s">
        <v>738</v>
      </c>
      <c r="Q337">
        <v>1</v>
      </c>
      <c r="W337">
        <v>0</v>
      </c>
      <c r="X337">
        <v>-668768829</v>
      </c>
      <c r="Y337">
        <v>7.79</v>
      </c>
      <c r="AA337">
        <v>0</v>
      </c>
      <c r="AB337">
        <v>489.04</v>
      </c>
      <c r="AC337">
        <v>339.12</v>
      </c>
      <c r="AD337">
        <v>0</v>
      </c>
      <c r="AE337">
        <v>0</v>
      </c>
      <c r="AF337">
        <v>41.62</v>
      </c>
      <c r="AG337">
        <v>13.33</v>
      </c>
      <c r="AH337">
        <v>0</v>
      </c>
      <c r="AI337">
        <v>1</v>
      </c>
      <c r="AJ337">
        <v>11.75</v>
      </c>
      <c r="AK337">
        <v>25.44</v>
      </c>
      <c r="AL337">
        <v>1</v>
      </c>
      <c r="AN337">
        <v>0</v>
      </c>
      <c r="AO337">
        <v>1</v>
      </c>
      <c r="AP337">
        <v>0</v>
      </c>
      <c r="AQ337">
        <v>0</v>
      </c>
      <c r="AR337">
        <v>0</v>
      </c>
      <c r="AS337" t="s">
        <v>3</v>
      </c>
      <c r="AT337">
        <v>7.79</v>
      </c>
      <c r="AU337" t="s">
        <v>3</v>
      </c>
      <c r="AV337">
        <v>0</v>
      </c>
      <c r="AW337">
        <v>2</v>
      </c>
      <c r="AX337">
        <v>43159540</v>
      </c>
      <c r="AY337">
        <v>1</v>
      </c>
      <c r="AZ337">
        <v>0</v>
      </c>
      <c r="BA337">
        <v>337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CX337">
        <f>Y337*Source!I541</f>
        <v>26.291250000000002</v>
      </c>
      <c r="CY337">
        <f>AB337</f>
        <v>489.04</v>
      </c>
      <c r="CZ337">
        <f>AF337</f>
        <v>41.62</v>
      </c>
      <c r="DA337">
        <f>AJ337</f>
        <v>11.75</v>
      </c>
      <c r="DB337">
        <f>ROUND(ROUND(AT337*CZ337,2),6)</f>
        <v>324.22000000000003</v>
      </c>
      <c r="DC337">
        <f>ROUND(ROUND(AT337*AG337,2),6)</f>
        <v>103.84</v>
      </c>
    </row>
    <row r="338" spans="1:107" x14ac:dyDescent="0.2">
      <c r="A338">
        <f>ROW(Source!A541)</f>
        <v>541</v>
      </c>
      <c r="B338">
        <v>42938047</v>
      </c>
      <c r="C338">
        <v>43159537</v>
      </c>
      <c r="D338">
        <v>36045386</v>
      </c>
      <c r="E338">
        <v>1</v>
      </c>
      <c r="F338">
        <v>1</v>
      </c>
      <c r="G338">
        <v>35973048</v>
      </c>
      <c r="H338">
        <v>2</v>
      </c>
      <c r="I338" t="s">
        <v>1355</v>
      </c>
      <c r="J338" t="s">
        <v>1356</v>
      </c>
      <c r="K338" t="s">
        <v>1357</v>
      </c>
      <c r="L338">
        <v>1367</v>
      </c>
      <c r="N338">
        <v>1011</v>
      </c>
      <c r="O338" t="s">
        <v>738</v>
      </c>
      <c r="P338" t="s">
        <v>738</v>
      </c>
      <c r="Q338">
        <v>1</v>
      </c>
      <c r="W338">
        <v>0</v>
      </c>
      <c r="X338">
        <v>-48163219</v>
      </c>
      <c r="Y338">
        <v>7.79</v>
      </c>
      <c r="AA338">
        <v>0</v>
      </c>
      <c r="AB338">
        <v>6.26</v>
      </c>
      <c r="AC338">
        <v>1.02</v>
      </c>
      <c r="AD338">
        <v>0</v>
      </c>
      <c r="AE338">
        <v>0</v>
      </c>
      <c r="AF338">
        <v>3.16</v>
      </c>
      <c r="AG338">
        <v>0.04</v>
      </c>
      <c r="AH338">
        <v>0</v>
      </c>
      <c r="AI338">
        <v>1</v>
      </c>
      <c r="AJ338">
        <v>1.98</v>
      </c>
      <c r="AK338">
        <v>25.44</v>
      </c>
      <c r="AL338">
        <v>1</v>
      </c>
      <c r="AN338">
        <v>0</v>
      </c>
      <c r="AO338">
        <v>1</v>
      </c>
      <c r="AP338">
        <v>0</v>
      </c>
      <c r="AQ338">
        <v>0</v>
      </c>
      <c r="AR338">
        <v>0</v>
      </c>
      <c r="AS338" t="s">
        <v>3</v>
      </c>
      <c r="AT338">
        <v>7.79</v>
      </c>
      <c r="AU338" t="s">
        <v>3</v>
      </c>
      <c r="AV338">
        <v>0</v>
      </c>
      <c r="AW338">
        <v>2</v>
      </c>
      <c r="AX338">
        <v>43159541</v>
      </c>
      <c r="AY338">
        <v>1</v>
      </c>
      <c r="AZ338">
        <v>0</v>
      </c>
      <c r="BA338">
        <v>338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CX338">
        <f>Y338*Source!I541</f>
        <v>26.291250000000002</v>
      </c>
      <c r="CY338">
        <f>AB338</f>
        <v>6.26</v>
      </c>
      <c r="CZ338">
        <f>AF338</f>
        <v>3.16</v>
      </c>
      <c r="DA338">
        <f>AJ338</f>
        <v>1.98</v>
      </c>
      <c r="DB338">
        <f>ROUND(ROUND(AT338*CZ338,2),6)</f>
        <v>24.62</v>
      </c>
      <c r="DC338">
        <f>ROUND(ROUND(AT338*AG338,2),6)</f>
        <v>0.31</v>
      </c>
    </row>
    <row r="339" spans="1:107" x14ac:dyDescent="0.2">
      <c r="A339">
        <f>ROW(Source!A541)</f>
        <v>541</v>
      </c>
      <c r="B339">
        <v>42938047</v>
      </c>
      <c r="C339">
        <v>43159537</v>
      </c>
      <c r="D339">
        <v>35973762</v>
      </c>
      <c r="E339">
        <v>35973048</v>
      </c>
      <c r="F339">
        <v>1</v>
      </c>
      <c r="G339">
        <v>35973048</v>
      </c>
      <c r="H339">
        <v>2</v>
      </c>
      <c r="I339" t="s">
        <v>1243</v>
      </c>
      <c r="J339" t="s">
        <v>3</v>
      </c>
      <c r="K339" t="s">
        <v>1244</v>
      </c>
      <c r="L339">
        <v>1344</v>
      </c>
      <c r="N339">
        <v>1008</v>
      </c>
      <c r="O339" t="s">
        <v>1245</v>
      </c>
      <c r="P339" t="s">
        <v>1245</v>
      </c>
      <c r="Q339">
        <v>1</v>
      </c>
      <c r="W339">
        <v>0</v>
      </c>
      <c r="X339">
        <v>-1180195794</v>
      </c>
      <c r="Y339">
        <v>162.80000000000001</v>
      </c>
      <c r="AA339">
        <v>0</v>
      </c>
      <c r="AB339">
        <v>11.5</v>
      </c>
      <c r="AC339">
        <v>0</v>
      </c>
      <c r="AD339">
        <v>0</v>
      </c>
      <c r="AE339">
        <v>0</v>
      </c>
      <c r="AF339">
        <v>1</v>
      </c>
      <c r="AG339">
        <v>0</v>
      </c>
      <c r="AH339">
        <v>0</v>
      </c>
      <c r="AI339">
        <v>1</v>
      </c>
      <c r="AJ339">
        <v>10.98</v>
      </c>
      <c r="AK339">
        <v>25.44</v>
      </c>
      <c r="AL339">
        <v>1</v>
      </c>
      <c r="AN339">
        <v>0</v>
      </c>
      <c r="AO339">
        <v>1</v>
      </c>
      <c r="AP339">
        <v>0</v>
      </c>
      <c r="AQ339">
        <v>0</v>
      </c>
      <c r="AR339">
        <v>0</v>
      </c>
      <c r="AS339" t="s">
        <v>3</v>
      </c>
      <c r="AT339">
        <v>162.80000000000001</v>
      </c>
      <c r="AU339" t="s">
        <v>3</v>
      </c>
      <c r="AV339">
        <v>0</v>
      </c>
      <c r="AW339">
        <v>2</v>
      </c>
      <c r="AX339">
        <v>43159542</v>
      </c>
      <c r="AY339">
        <v>1</v>
      </c>
      <c r="AZ339">
        <v>0</v>
      </c>
      <c r="BA339">
        <v>339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CX339">
        <f>Y339*Source!I541</f>
        <v>549.45000000000005</v>
      </c>
      <c r="CY339">
        <f>AB339</f>
        <v>11.5</v>
      </c>
      <c r="CZ339">
        <f>AF339</f>
        <v>1</v>
      </c>
      <c r="DA339">
        <f>AJ339</f>
        <v>10.98</v>
      </c>
      <c r="DB339">
        <f>ROUND(ROUND(AT339*CZ339,2),6)</f>
        <v>162.80000000000001</v>
      </c>
      <c r="DC339">
        <f>ROUND(ROUND(AT339*AG339,2),6)</f>
        <v>0</v>
      </c>
    </row>
    <row r="340" spans="1:107" x14ac:dyDescent="0.2">
      <c r="A340">
        <f>ROW(Source!A541)</f>
        <v>541</v>
      </c>
      <c r="B340">
        <v>42938047</v>
      </c>
      <c r="C340">
        <v>43159537</v>
      </c>
      <c r="D340">
        <v>35994352</v>
      </c>
      <c r="E340">
        <v>35973048</v>
      </c>
      <c r="F340">
        <v>1</v>
      </c>
      <c r="G340">
        <v>35973048</v>
      </c>
      <c r="H340">
        <v>3</v>
      </c>
      <c r="I340" t="s">
        <v>1350</v>
      </c>
      <c r="J340" t="s">
        <v>3</v>
      </c>
      <c r="K340" t="s">
        <v>1351</v>
      </c>
      <c r="L340">
        <v>1348</v>
      </c>
      <c r="N340">
        <v>1009</v>
      </c>
      <c r="O340" t="s">
        <v>104</v>
      </c>
      <c r="P340" t="s">
        <v>104</v>
      </c>
      <c r="Q340">
        <v>1000</v>
      </c>
      <c r="W340">
        <v>0</v>
      </c>
      <c r="X340">
        <v>1489638031</v>
      </c>
      <c r="Y340">
        <v>22.64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1</v>
      </c>
      <c r="AJ340">
        <v>1</v>
      </c>
      <c r="AK340">
        <v>1</v>
      </c>
      <c r="AL340">
        <v>1</v>
      </c>
      <c r="AN340">
        <v>0</v>
      </c>
      <c r="AO340">
        <v>1</v>
      </c>
      <c r="AP340">
        <v>0</v>
      </c>
      <c r="AQ340">
        <v>0</v>
      </c>
      <c r="AR340">
        <v>0</v>
      </c>
      <c r="AS340" t="s">
        <v>3</v>
      </c>
      <c r="AT340">
        <v>22.64</v>
      </c>
      <c r="AU340" t="s">
        <v>3</v>
      </c>
      <c r="AV340">
        <v>0</v>
      </c>
      <c r="AW340">
        <v>2</v>
      </c>
      <c r="AX340">
        <v>43159543</v>
      </c>
      <c r="AY340">
        <v>1</v>
      </c>
      <c r="AZ340">
        <v>0</v>
      </c>
      <c r="BA340">
        <v>340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CX340">
        <f>Y340*Source!I541</f>
        <v>76.41</v>
      </c>
      <c r="CY340">
        <f>AA340</f>
        <v>0</v>
      </c>
      <c r="CZ340">
        <f>AE340</f>
        <v>0</v>
      </c>
      <c r="DA340">
        <f>AI340</f>
        <v>1</v>
      </c>
      <c r="DB340">
        <f>ROUND(ROUND(AT340*CZ340,2),6)</f>
        <v>0</v>
      </c>
      <c r="DC340">
        <f>ROUND(ROUND(AT340*AG340,2),6)</f>
        <v>0</v>
      </c>
    </row>
    <row r="341" spans="1:107" x14ac:dyDescent="0.2">
      <c r="A341">
        <f>ROW(Source!A542)</f>
        <v>542</v>
      </c>
      <c r="B341">
        <v>42938047</v>
      </c>
      <c r="C341">
        <v>43159538</v>
      </c>
      <c r="D341">
        <v>35973053</v>
      </c>
      <c r="E341">
        <v>35973048</v>
      </c>
      <c r="F341">
        <v>1</v>
      </c>
      <c r="G341">
        <v>35973048</v>
      </c>
      <c r="H341">
        <v>1</v>
      </c>
      <c r="I341" t="s">
        <v>1228</v>
      </c>
      <c r="J341" t="s">
        <v>3</v>
      </c>
      <c r="K341" t="s">
        <v>1229</v>
      </c>
      <c r="L341">
        <v>1191</v>
      </c>
      <c r="N341">
        <v>1013</v>
      </c>
      <c r="O341" t="s">
        <v>1230</v>
      </c>
      <c r="P341" t="s">
        <v>1230</v>
      </c>
      <c r="Q341">
        <v>1</v>
      </c>
      <c r="W341">
        <v>0</v>
      </c>
      <c r="X341">
        <v>476480486</v>
      </c>
      <c r="Y341">
        <v>4.6229999999999993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1</v>
      </c>
      <c r="AJ341">
        <v>1</v>
      </c>
      <c r="AK341">
        <v>1</v>
      </c>
      <c r="AL341">
        <v>25.44</v>
      </c>
      <c r="AN341">
        <v>0</v>
      </c>
      <c r="AO341">
        <v>1</v>
      </c>
      <c r="AP341">
        <v>1</v>
      </c>
      <c r="AQ341">
        <v>0</v>
      </c>
      <c r="AR341">
        <v>0</v>
      </c>
      <c r="AS341" t="s">
        <v>3</v>
      </c>
      <c r="AT341">
        <v>4.0199999999999996</v>
      </c>
      <c r="AU341" t="s">
        <v>21</v>
      </c>
      <c r="AV341">
        <v>1</v>
      </c>
      <c r="AW341">
        <v>2</v>
      </c>
      <c r="AX341">
        <v>43159553</v>
      </c>
      <c r="AY341">
        <v>1</v>
      </c>
      <c r="AZ341">
        <v>0</v>
      </c>
      <c r="BA341">
        <v>341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CX341">
        <f>Y341*Source!I542</f>
        <v>156.02624999999998</v>
      </c>
      <c r="CY341">
        <f>AD341</f>
        <v>0</v>
      </c>
      <c r="CZ341">
        <f>AH341</f>
        <v>0</v>
      </c>
      <c r="DA341">
        <f>AL341</f>
        <v>25.44</v>
      </c>
      <c r="DB341">
        <f>ROUND((ROUND(AT341*CZ341,2)*1.15),6)</f>
        <v>0</v>
      </c>
      <c r="DC341">
        <f>ROUND((ROUND(AT341*AG341,2)*1.15),6)</f>
        <v>0</v>
      </c>
    </row>
    <row r="342" spans="1:107" x14ac:dyDescent="0.2">
      <c r="A342">
        <f>ROW(Source!A542)</f>
        <v>542</v>
      </c>
      <c r="B342">
        <v>42938047</v>
      </c>
      <c r="C342">
        <v>43159538</v>
      </c>
      <c r="D342">
        <v>36020415</v>
      </c>
      <c r="E342">
        <v>1</v>
      </c>
      <c r="F342">
        <v>1</v>
      </c>
      <c r="G342">
        <v>35973048</v>
      </c>
      <c r="H342">
        <v>3</v>
      </c>
      <c r="I342" t="s">
        <v>469</v>
      </c>
      <c r="J342" t="s">
        <v>471</v>
      </c>
      <c r="K342" t="s">
        <v>470</v>
      </c>
      <c r="L342">
        <v>1339</v>
      </c>
      <c r="N342">
        <v>1007</v>
      </c>
      <c r="O342" t="s">
        <v>84</v>
      </c>
      <c r="P342" t="s">
        <v>84</v>
      </c>
      <c r="Q342">
        <v>1</v>
      </c>
      <c r="W342">
        <v>0</v>
      </c>
      <c r="X342">
        <v>-862991314</v>
      </c>
      <c r="Y342">
        <v>0.1</v>
      </c>
      <c r="AA342">
        <v>36.340000000000003</v>
      </c>
      <c r="AB342">
        <v>0</v>
      </c>
      <c r="AC342">
        <v>0</v>
      </c>
      <c r="AD342">
        <v>0</v>
      </c>
      <c r="AE342">
        <v>7.07</v>
      </c>
      <c r="AF342">
        <v>0</v>
      </c>
      <c r="AG342">
        <v>0</v>
      </c>
      <c r="AH342">
        <v>0</v>
      </c>
      <c r="AI342">
        <v>5.14</v>
      </c>
      <c r="AJ342">
        <v>1</v>
      </c>
      <c r="AK342">
        <v>1</v>
      </c>
      <c r="AL342">
        <v>1</v>
      </c>
      <c r="AN342">
        <v>0</v>
      </c>
      <c r="AO342">
        <v>1</v>
      </c>
      <c r="AP342">
        <v>1</v>
      </c>
      <c r="AQ342">
        <v>0</v>
      </c>
      <c r="AR342">
        <v>0</v>
      </c>
      <c r="AS342" t="s">
        <v>3</v>
      </c>
      <c r="AT342">
        <v>0.1</v>
      </c>
      <c r="AU342" t="s">
        <v>3</v>
      </c>
      <c r="AV342">
        <v>0</v>
      </c>
      <c r="AW342">
        <v>2</v>
      </c>
      <c r="AX342">
        <v>43159554</v>
      </c>
      <c r="AY342">
        <v>1</v>
      </c>
      <c r="AZ342">
        <v>0</v>
      </c>
      <c r="BA342">
        <v>342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CX342">
        <f>Y342*Source!I542</f>
        <v>3.375</v>
      </c>
      <c r="CY342">
        <f>AA342</f>
        <v>36.340000000000003</v>
      </c>
      <c r="CZ342">
        <f>AE342</f>
        <v>7.07</v>
      </c>
      <c r="DA342">
        <f>AI342</f>
        <v>5.14</v>
      </c>
      <c r="DB342">
        <f t="shared" ref="DB342:DB358" si="68">ROUND(ROUND(AT342*CZ342,2),6)</f>
        <v>0.71</v>
      </c>
      <c r="DC342">
        <f t="shared" ref="DC342:DC358" si="69">ROUND(ROUND(AT342*AG342,2),6)</f>
        <v>0</v>
      </c>
    </row>
    <row r="343" spans="1:107" x14ac:dyDescent="0.2">
      <c r="A343">
        <f>ROW(Source!A542)</f>
        <v>542</v>
      </c>
      <c r="B343">
        <v>42938047</v>
      </c>
      <c r="C343">
        <v>43159538</v>
      </c>
      <c r="D343">
        <v>36020385</v>
      </c>
      <c r="E343">
        <v>1</v>
      </c>
      <c r="F343">
        <v>1</v>
      </c>
      <c r="G343">
        <v>35973048</v>
      </c>
      <c r="H343">
        <v>3</v>
      </c>
      <c r="I343" t="s">
        <v>1388</v>
      </c>
      <c r="J343" t="s">
        <v>1389</v>
      </c>
      <c r="K343" t="s">
        <v>1390</v>
      </c>
      <c r="L343">
        <v>1339</v>
      </c>
      <c r="N343">
        <v>1007</v>
      </c>
      <c r="O343" t="s">
        <v>84</v>
      </c>
      <c r="P343" t="s">
        <v>84</v>
      </c>
      <c r="Q343">
        <v>1</v>
      </c>
      <c r="W343">
        <v>0</v>
      </c>
      <c r="X343">
        <v>-1452877897</v>
      </c>
      <c r="Y343">
        <v>5.0000000000000001E-4</v>
      </c>
      <c r="AA343">
        <v>8998.5499999999993</v>
      </c>
      <c r="AB343">
        <v>0</v>
      </c>
      <c r="AC343">
        <v>0</v>
      </c>
      <c r="AD343">
        <v>0</v>
      </c>
      <c r="AE343">
        <v>2472.13</v>
      </c>
      <c r="AF343">
        <v>0</v>
      </c>
      <c r="AG343">
        <v>0</v>
      </c>
      <c r="AH343">
        <v>0</v>
      </c>
      <c r="AI343">
        <v>3.64</v>
      </c>
      <c r="AJ343">
        <v>1</v>
      </c>
      <c r="AK343">
        <v>1</v>
      </c>
      <c r="AL343">
        <v>1</v>
      </c>
      <c r="AN343">
        <v>0</v>
      </c>
      <c r="AO343">
        <v>1</v>
      </c>
      <c r="AP343">
        <v>1</v>
      </c>
      <c r="AQ343">
        <v>0</v>
      </c>
      <c r="AR343">
        <v>0</v>
      </c>
      <c r="AS343" t="s">
        <v>3</v>
      </c>
      <c r="AT343">
        <v>5.0000000000000001E-4</v>
      </c>
      <c r="AU343" t="s">
        <v>3</v>
      </c>
      <c r="AV343">
        <v>0</v>
      </c>
      <c r="AW343">
        <v>2</v>
      </c>
      <c r="AX343">
        <v>43159555</v>
      </c>
      <c r="AY343">
        <v>1</v>
      </c>
      <c r="AZ343">
        <v>0</v>
      </c>
      <c r="BA343">
        <v>343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CX343">
        <f>Y343*Source!I542</f>
        <v>1.6875000000000001E-2</v>
      </c>
      <c r="CY343">
        <f>AA343</f>
        <v>8998.5499999999993</v>
      </c>
      <c r="CZ343">
        <f>AE343</f>
        <v>2472.13</v>
      </c>
      <c r="DA343">
        <f>AI343</f>
        <v>3.64</v>
      </c>
      <c r="DB343">
        <f t="shared" si="68"/>
        <v>1.24</v>
      </c>
      <c r="DC343">
        <f t="shared" si="69"/>
        <v>0</v>
      </c>
    </row>
    <row r="344" spans="1:107" x14ac:dyDescent="0.2">
      <c r="A344">
        <f>ROW(Source!A542)</f>
        <v>542</v>
      </c>
      <c r="B344">
        <v>42938047</v>
      </c>
      <c r="C344">
        <v>43159538</v>
      </c>
      <c r="D344">
        <v>36021115</v>
      </c>
      <c r="E344">
        <v>1</v>
      </c>
      <c r="F344">
        <v>1</v>
      </c>
      <c r="G344">
        <v>35973048</v>
      </c>
      <c r="H344">
        <v>3</v>
      </c>
      <c r="I344" t="s">
        <v>1391</v>
      </c>
      <c r="J344" t="s">
        <v>1392</v>
      </c>
      <c r="K344" t="s">
        <v>1393</v>
      </c>
      <c r="L344">
        <v>1348</v>
      </c>
      <c r="N344">
        <v>1009</v>
      </c>
      <c r="O344" t="s">
        <v>104</v>
      </c>
      <c r="P344" t="s">
        <v>104</v>
      </c>
      <c r="Q344">
        <v>1000</v>
      </c>
      <c r="W344">
        <v>0</v>
      </c>
      <c r="X344">
        <v>-1557622869</v>
      </c>
      <c r="Y344">
        <v>8.9999999999999998E-4</v>
      </c>
      <c r="AA344">
        <v>50568.06</v>
      </c>
      <c r="AB344">
        <v>0</v>
      </c>
      <c r="AC344">
        <v>0</v>
      </c>
      <c r="AD344">
        <v>0</v>
      </c>
      <c r="AE344">
        <v>6870.66</v>
      </c>
      <c r="AF344">
        <v>0</v>
      </c>
      <c r="AG344">
        <v>0</v>
      </c>
      <c r="AH344">
        <v>0</v>
      </c>
      <c r="AI344">
        <v>7.36</v>
      </c>
      <c r="AJ344">
        <v>1</v>
      </c>
      <c r="AK344">
        <v>1</v>
      </c>
      <c r="AL344">
        <v>1</v>
      </c>
      <c r="AN344">
        <v>0</v>
      </c>
      <c r="AO344">
        <v>1</v>
      </c>
      <c r="AP344">
        <v>1</v>
      </c>
      <c r="AQ344">
        <v>0</v>
      </c>
      <c r="AR344">
        <v>0</v>
      </c>
      <c r="AS344" t="s">
        <v>3</v>
      </c>
      <c r="AT344">
        <v>8.9999999999999998E-4</v>
      </c>
      <c r="AU344" t="s">
        <v>3</v>
      </c>
      <c r="AV344">
        <v>0</v>
      </c>
      <c r="AW344">
        <v>2</v>
      </c>
      <c r="AX344">
        <v>43159556</v>
      </c>
      <c r="AY344">
        <v>1</v>
      </c>
      <c r="AZ344">
        <v>0</v>
      </c>
      <c r="BA344">
        <v>344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CX344">
        <f>Y344*Source!I542</f>
        <v>3.0374999999999999E-2</v>
      </c>
      <c r="CY344">
        <f>AA344</f>
        <v>50568.06</v>
      </c>
      <c r="CZ344">
        <f>AE344</f>
        <v>6870.66</v>
      </c>
      <c r="DA344">
        <f>AI344</f>
        <v>7.36</v>
      </c>
      <c r="DB344">
        <f t="shared" si="68"/>
        <v>6.18</v>
      </c>
      <c r="DC344">
        <f t="shared" si="69"/>
        <v>0</v>
      </c>
    </row>
    <row r="345" spans="1:107" x14ac:dyDescent="0.2">
      <c r="A345">
        <f>ROW(Source!A542)</f>
        <v>542</v>
      </c>
      <c r="B345">
        <v>42938047</v>
      </c>
      <c r="C345">
        <v>43159538</v>
      </c>
      <c r="D345">
        <v>36038933</v>
      </c>
      <c r="E345">
        <v>1</v>
      </c>
      <c r="F345">
        <v>1</v>
      </c>
      <c r="G345">
        <v>35973048</v>
      </c>
      <c r="H345">
        <v>3</v>
      </c>
      <c r="I345" t="s">
        <v>705</v>
      </c>
      <c r="J345" t="s">
        <v>707</v>
      </c>
      <c r="K345" t="s">
        <v>706</v>
      </c>
      <c r="L345">
        <v>1339</v>
      </c>
      <c r="N345">
        <v>1007</v>
      </c>
      <c r="O345" t="s">
        <v>84</v>
      </c>
      <c r="P345" t="s">
        <v>84</v>
      </c>
      <c r="Q345">
        <v>1</v>
      </c>
      <c r="W345">
        <v>0</v>
      </c>
      <c r="X345">
        <v>202608499</v>
      </c>
      <c r="Y345">
        <v>7.0000000000000007E-2</v>
      </c>
      <c r="AA345">
        <v>3327.76</v>
      </c>
      <c r="AB345">
        <v>0</v>
      </c>
      <c r="AC345">
        <v>0</v>
      </c>
      <c r="AD345">
        <v>0</v>
      </c>
      <c r="AE345">
        <v>481.69</v>
      </c>
      <c r="AF345">
        <v>0</v>
      </c>
      <c r="AG345">
        <v>0</v>
      </c>
      <c r="AH345">
        <v>0</v>
      </c>
      <c r="AI345">
        <v>6.74</v>
      </c>
      <c r="AJ345">
        <v>1</v>
      </c>
      <c r="AK345">
        <v>1</v>
      </c>
      <c r="AL345">
        <v>1</v>
      </c>
      <c r="AN345">
        <v>0</v>
      </c>
      <c r="AO345">
        <v>0</v>
      </c>
      <c r="AP345">
        <v>0</v>
      </c>
      <c r="AQ345">
        <v>0</v>
      </c>
      <c r="AR345">
        <v>0</v>
      </c>
      <c r="AS345" t="s">
        <v>3</v>
      </c>
      <c r="AT345">
        <v>7.0000000000000007E-2</v>
      </c>
      <c r="AU345" t="s">
        <v>3</v>
      </c>
      <c r="AV345">
        <v>0</v>
      </c>
      <c r="AW345">
        <v>1</v>
      </c>
      <c r="AX345">
        <v>-1</v>
      </c>
      <c r="AY345">
        <v>0</v>
      </c>
      <c r="AZ345">
        <v>0</v>
      </c>
      <c r="BA345" t="s">
        <v>3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CX345">
        <f>Y345*Source!I542</f>
        <v>2.3625000000000003</v>
      </c>
      <c r="CY345">
        <f>AA345</f>
        <v>3327.76</v>
      </c>
      <c r="CZ345">
        <f>AE345</f>
        <v>481.69</v>
      </c>
      <c r="DA345">
        <f>AI345</f>
        <v>6.74</v>
      </c>
      <c r="DB345">
        <f t="shared" si="68"/>
        <v>33.72</v>
      </c>
      <c r="DC345">
        <f t="shared" si="69"/>
        <v>0</v>
      </c>
    </row>
    <row r="346" spans="1:107" x14ac:dyDescent="0.2">
      <c r="A346">
        <f>ROW(Source!A542)</f>
        <v>542</v>
      </c>
      <c r="B346">
        <v>42938047</v>
      </c>
      <c r="C346">
        <v>43159538</v>
      </c>
      <c r="D346">
        <v>0</v>
      </c>
      <c r="E346">
        <v>0</v>
      </c>
      <c r="F346">
        <v>1</v>
      </c>
      <c r="G346">
        <v>35973048</v>
      </c>
      <c r="H346">
        <v>3</v>
      </c>
      <c r="I346" t="s">
        <v>118</v>
      </c>
      <c r="J346" t="s">
        <v>3</v>
      </c>
      <c r="K346" t="s">
        <v>703</v>
      </c>
      <c r="L346">
        <v>1339</v>
      </c>
      <c r="N346">
        <v>1007</v>
      </c>
      <c r="O346" t="s">
        <v>84</v>
      </c>
      <c r="P346" t="s">
        <v>84</v>
      </c>
      <c r="Q346">
        <v>1</v>
      </c>
      <c r="W346">
        <v>0</v>
      </c>
      <c r="X346">
        <v>-608548090</v>
      </c>
      <c r="Y346">
        <v>1</v>
      </c>
      <c r="AA346">
        <v>8712.5400000000009</v>
      </c>
      <c r="AB346">
        <v>0</v>
      </c>
      <c r="AC346">
        <v>0</v>
      </c>
      <c r="AD346">
        <v>0</v>
      </c>
      <c r="AE346">
        <v>1340.7</v>
      </c>
      <c r="AF346">
        <v>0</v>
      </c>
      <c r="AG346">
        <v>0</v>
      </c>
      <c r="AH346">
        <v>0</v>
      </c>
      <c r="AI346">
        <v>6.34</v>
      </c>
      <c r="AJ346">
        <v>1</v>
      </c>
      <c r="AK346">
        <v>1</v>
      </c>
      <c r="AL346">
        <v>1</v>
      </c>
      <c r="AN346">
        <v>0</v>
      </c>
      <c r="AO346">
        <v>0</v>
      </c>
      <c r="AP346">
        <v>0</v>
      </c>
      <c r="AQ346">
        <v>0</v>
      </c>
      <c r="AR346">
        <v>0</v>
      </c>
      <c r="AS346" t="s">
        <v>3</v>
      </c>
      <c r="AT346">
        <v>1</v>
      </c>
      <c r="AU346" t="s">
        <v>3</v>
      </c>
      <c r="AV346">
        <v>0</v>
      </c>
      <c r="AW346">
        <v>1</v>
      </c>
      <c r="AX346">
        <v>-1</v>
      </c>
      <c r="AY346">
        <v>0</v>
      </c>
      <c r="AZ346">
        <v>0</v>
      </c>
      <c r="BA346" t="s">
        <v>3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CX346">
        <f>Y346*Source!I542</f>
        <v>33.75</v>
      </c>
      <c r="CY346">
        <f>AA346</f>
        <v>8712.5400000000009</v>
      </c>
      <c r="CZ346">
        <f>AE346</f>
        <v>1340.7</v>
      </c>
      <c r="DA346">
        <f>AI346</f>
        <v>6.34</v>
      </c>
      <c r="DB346">
        <f t="shared" si="68"/>
        <v>1340.7</v>
      </c>
      <c r="DC346">
        <f t="shared" si="69"/>
        <v>0</v>
      </c>
    </row>
    <row r="347" spans="1:107" x14ac:dyDescent="0.2">
      <c r="A347">
        <f>ROW(Source!A545)</f>
        <v>545</v>
      </c>
      <c r="B347">
        <v>42938047</v>
      </c>
      <c r="C347">
        <v>43159502</v>
      </c>
      <c r="D347">
        <v>35973053</v>
      </c>
      <c r="E347">
        <v>35973048</v>
      </c>
      <c r="F347">
        <v>1</v>
      </c>
      <c r="G347">
        <v>35973048</v>
      </c>
      <c r="H347">
        <v>1</v>
      </c>
      <c r="I347" t="s">
        <v>1228</v>
      </c>
      <c r="J347" t="s">
        <v>3</v>
      </c>
      <c r="K347" t="s">
        <v>1229</v>
      </c>
      <c r="L347">
        <v>1191</v>
      </c>
      <c r="N347">
        <v>1013</v>
      </c>
      <c r="O347" t="s">
        <v>1230</v>
      </c>
      <c r="P347" t="s">
        <v>1230</v>
      </c>
      <c r="Q347">
        <v>1</v>
      </c>
      <c r="W347">
        <v>0</v>
      </c>
      <c r="X347">
        <v>476480486</v>
      </c>
      <c r="Y347">
        <v>148.12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1</v>
      </c>
      <c r="AJ347">
        <v>1</v>
      </c>
      <c r="AK347">
        <v>1</v>
      </c>
      <c r="AL347">
        <v>25.44</v>
      </c>
      <c r="AN347">
        <v>0</v>
      </c>
      <c r="AO347">
        <v>1</v>
      </c>
      <c r="AP347">
        <v>0</v>
      </c>
      <c r="AQ347">
        <v>0</v>
      </c>
      <c r="AR347">
        <v>0</v>
      </c>
      <c r="AS347" t="s">
        <v>3</v>
      </c>
      <c r="AT347">
        <v>148.12</v>
      </c>
      <c r="AU347" t="s">
        <v>3</v>
      </c>
      <c r="AV347">
        <v>1</v>
      </c>
      <c r="AW347">
        <v>2</v>
      </c>
      <c r="AX347">
        <v>43159611</v>
      </c>
      <c r="AY347">
        <v>1</v>
      </c>
      <c r="AZ347">
        <v>0</v>
      </c>
      <c r="BA347">
        <v>347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CX347">
        <f>Y347*Source!I545</f>
        <v>41.473600000000005</v>
      </c>
      <c r="CY347">
        <f>AD347</f>
        <v>0</v>
      </c>
      <c r="CZ347">
        <f>AH347</f>
        <v>0</v>
      </c>
      <c r="DA347">
        <f>AL347</f>
        <v>25.44</v>
      </c>
      <c r="DB347">
        <f t="shared" si="68"/>
        <v>0</v>
      </c>
      <c r="DC347">
        <f t="shared" si="69"/>
        <v>0</v>
      </c>
    </row>
    <row r="348" spans="1:107" x14ac:dyDescent="0.2">
      <c r="A348">
        <f>ROW(Source!A545)</f>
        <v>545</v>
      </c>
      <c r="B348">
        <v>42938047</v>
      </c>
      <c r="C348">
        <v>43159502</v>
      </c>
      <c r="D348">
        <v>36044935</v>
      </c>
      <c r="E348">
        <v>1</v>
      </c>
      <c r="F348">
        <v>1</v>
      </c>
      <c r="G348">
        <v>35973048</v>
      </c>
      <c r="H348">
        <v>2</v>
      </c>
      <c r="I348" t="s">
        <v>1394</v>
      </c>
      <c r="J348" t="s">
        <v>1395</v>
      </c>
      <c r="K348" t="s">
        <v>1396</v>
      </c>
      <c r="L348">
        <v>1367</v>
      </c>
      <c r="N348">
        <v>1011</v>
      </c>
      <c r="O348" t="s">
        <v>738</v>
      </c>
      <c r="P348" t="s">
        <v>738</v>
      </c>
      <c r="Q348">
        <v>1</v>
      </c>
      <c r="W348">
        <v>0</v>
      </c>
      <c r="X348">
        <v>-563364306</v>
      </c>
      <c r="Y348">
        <v>4.67</v>
      </c>
      <c r="AA348">
        <v>0</v>
      </c>
      <c r="AB348">
        <v>111.64</v>
      </c>
      <c r="AC348">
        <v>35.36</v>
      </c>
      <c r="AD348">
        <v>0</v>
      </c>
      <c r="AE348">
        <v>0</v>
      </c>
      <c r="AF348">
        <v>16.11</v>
      </c>
      <c r="AG348">
        <v>1.39</v>
      </c>
      <c r="AH348">
        <v>0</v>
      </c>
      <c r="AI348">
        <v>1</v>
      </c>
      <c r="AJ348">
        <v>6.93</v>
      </c>
      <c r="AK348">
        <v>25.44</v>
      </c>
      <c r="AL348">
        <v>1</v>
      </c>
      <c r="AN348">
        <v>0</v>
      </c>
      <c r="AO348">
        <v>1</v>
      </c>
      <c r="AP348">
        <v>0</v>
      </c>
      <c r="AQ348">
        <v>0</v>
      </c>
      <c r="AR348">
        <v>0</v>
      </c>
      <c r="AS348" t="s">
        <v>3</v>
      </c>
      <c r="AT348">
        <v>4.67</v>
      </c>
      <c r="AU348" t="s">
        <v>3</v>
      </c>
      <c r="AV348">
        <v>0</v>
      </c>
      <c r="AW348">
        <v>2</v>
      </c>
      <c r="AX348">
        <v>43159612</v>
      </c>
      <c r="AY348">
        <v>1</v>
      </c>
      <c r="AZ348">
        <v>0</v>
      </c>
      <c r="BA348">
        <v>348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CX348">
        <f>Y348*Source!I545</f>
        <v>1.3076000000000001</v>
      </c>
      <c r="CY348">
        <f>AB348</f>
        <v>111.64</v>
      </c>
      <c r="CZ348">
        <f>AF348</f>
        <v>16.11</v>
      </c>
      <c r="DA348">
        <f>AJ348</f>
        <v>6.93</v>
      </c>
      <c r="DB348">
        <f t="shared" si="68"/>
        <v>75.23</v>
      </c>
      <c r="DC348">
        <f t="shared" si="69"/>
        <v>6.49</v>
      </c>
    </row>
    <row r="349" spans="1:107" x14ac:dyDescent="0.2">
      <c r="A349">
        <f>ROW(Source!A545)</f>
        <v>545</v>
      </c>
      <c r="B349">
        <v>42938047</v>
      </c>
      <c r="C349">
        <v>43159502</v>
      </c>
      <c r="D349">
        <v>36045056</v>
      </c>
      <c r="E349">
        <v>1</v>
      </c>
      <c r="F349">
        <v>1</v>
      </c>
      <c r="G349">
        <v>35973048</v>
      </c>
      <c r="H349">
        <v>2</v>
      </c>
      <c r="I349" t="s">
        <v>1397</v>
      </c>
      <c r="J349" t="s">
        <v>1398</v>
      </c>
      <c r="K349" t="s">
        <v>1399</v>
      </c>
      <c r="L349">
        <v>1367</v>
      </c>
      <c r="N349">
        <v>1011</v>
      </c>
      <c r="O349" t="s">
        <v>738</v>
      </c>
      <c r="P349" t="s">
        <v>738</v>
      </c>
      <c r="Q349">
        <v>1</v>
      </c>
      <c r="W349">
        <v>0</v>
      </c>
      <c r="X349">
        <v>-1547019182</v>
      </c>
      <c r="Y349">
        <v>27.1</v>
      </c>
      <c r="AA349">
        <v>0</v>
      </c>
      <c r="AB349">
        <v>56.48</v>
      </c>
      <c r="AC349">
        <v>20.61</v>
      </c>
      <c r="AD349">
        <v>0</v>
      </c>
      <c r="AE349">
        <v>0</v>
      </c>
      <c r="AF349">
        <v>8.65</v>
      </c>
      <c r="AG349">
        <v>0.81</v>
      </c>
      <c r="AH349">
        <v>0</v>
      </c>
      <c r="AI349">
        <v>1</v>
      </c>
      <c r="AJ349">
        <v>6.53</v>
      </c>
      <c r="AK349">
        <v>25.44</v>
      </c>
      <c r="AL349">
        <v>1</v>
      </c>
      <c r="AN349">
        <v>0</v>
      </c>
      <c r="AO349">
        <v>1</v>
      </c>
      <c r="AP349">
        <v>0</v>
      </c>
      <c r="AQ349">
        <v>0</v>
      </c>
      <c r="AR349">
        <v>0</v>
      </c>
      <c r="AS349" t="s">
        <v>3</v>
      </c>
      <c r="AT349">
        <v>27.1</v>
      </c>
      <c r="AU349" t="s">
        <v>3</v>
      </c>
      <c r="AV349">
        <v>0</v>
      </c>
      <c r="AW349">
        <v>2</v>
      </c>
      <c r="AX349">
        <v>43159613</v>
      </c>
      <c r="AY349">
        <v>1</v>
      </c>
      <c r="AZ349">
        <v>0</v>
      </c>
      <c r="BA349">
        <v>349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CX349">
        <f>Y349*Source!I545</f>
        <v>7.588000000000001</v>
      </c>
      <c r="CY349">
        <f>AB349</f>
        <v>56.48</v>
      </c>
      <c r="CZ349">
        <f>AF349</f>
        <v>8.65</v>
      </c>
      <c r="DA349">
        <f>AJ349</f>
        <v>6.53</v>
      </c>
      <c r="DB349">
        <f t="shared" si="68"/>
        <v>234.42</v>
      </c>
      <c r="DC349">
        <f t="shared" si="69"/>
        <v>21.95</v>
      </c>
    </row>
    <row r="350" spans="1:107" x14ac:dyDescent="0.2">
      <c r="A350">
        <f>ROW(Source!A545)</f>
        <v>545</v>
      </c>
      <c r="B350">
        <v>42938047</v>
      </c>
      <c r="C350">
        <v>43159502</v>
      </c>
      <c r="D350">
        <v>36045346</v>
      </c>
      <c r="E350">
        <v>1</v>
      </c>
      <c r="F350">
        <v>1</v>
      </c>
      <c r="G350">
        <v>35973048</v>
      </c>
      <c r="H350">
        <v>2</v>
      </c>
      <c r="I350" t="s">
        <v>1400</v>
      </c>
      <c r="J350" t="s">
        <v>1401</v>
      </c>
      <c r="K350" t="s">
        <v>1402</v>
      </c>
      <c r="L350">
        <v>1367</v>
      </c>
      <c r="N350">
        <v>1011</v>
      </c>
      <c r="O350" t="s">
        <v>738</v>
      </c>
      <c r="P350" t="s">
        <v>738</v>
      </c>
      <c r="Q350">
        <v>1</v>
      </c>
      <c r="W350">
        <v>0</v>
      </c>
      <c r="X350">
        <v>814809297</v>
      </c>
      <c r="Y350">
        <v>36.270000000000003</v>
      </c>
      <c r="AA350">
        <v>0</v>
      </c>
      <c r="AB350">
        <v>6.53</v>
      </c>
      <c r="AC350">
        <v>2.29</v>
      </c>
      <c r="AD350">
        <v>0</v>
      </c>
      <c r="AE350">
        <v>0</v>
      </c>
      <c r="AF350">
        <v>1.59</v>
      </c>
      <c r="AG350">
        <v>0.09</v>
      </c>
      <c r="AH350">
        <v>0</v>
      </c>
      <c r="AI350">
        <v>1</v>
      </c>
      <c r="AJ350">
        <v>4.1100000000000003</v>
      </c>
      <c r="AK350">
        <v>25.44</v>
      </c>
      <c r="AL350">
        <v>1</v>
      </c>
      <c r="AN350">
        <v>0</v>
      </c>
      <c r="AO350">
        <v>1</v>
      </c>
      <c r="AP350">
        <v>0</v>
      </c>
      <c r="AQ350">
        <v>0</v>
      </c>
      <c r="AR350">
        <v>0</v>
      </c>
      <c r="AS350" t="s">
        <v>3</v>
      </c>
      <c r="AT350">
        <v>36.270000000000003</v>
      </c>
      <c r="AU350" t="s">
        <v>3</v>
      </c>
      <c r="AV350">
        <v>0</v>
      </c>
      <c r="AW350">
        <v>2</v>
      </c>
      <c r="AX350">
        <v>43159614</v>
      </c>
      <c r="AY350">
        <v>1</v>
      </c>
      <c r="AZ350">
        <v>0</v>
      </c>
      <c r="BA350">
        <v>350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CX350">
        <f>Y350*Source!I545</f>
        <v>10.155600000000002</v>
      </c>
      <c r="CY350">
        <f>AB350</f>
        <v>6.53</v>
      </c>
      <c r="CZ350">
        <f>AF350</f>
        <v>1.59</v>
      </c>
      <c r="DA350">
        <f>AJ350</f>
        <v>4.1100000000000003</v>
      </c>
      <c r="DB350">
        <f t="shared" si="68"/>
        <v>57.67</v>
      </c>
      <c r="DC350">
        <f t="shared" si="69"/>
        <v>3.26</v>
      </c>
    </row>
    <row r="351" spans="1:107" x14ac:dyDescent="0.2">
      <c r="A351">
        <f>ROW(Source!A545)</f>
        <v>545</v>
      </c>
      <c r="B351">
        <v>42938047</v>
      </c>
      <c r="C351">
        <v>43159502</v>
      </c>
      <c r="D351">
        <v>36045354</v>
      </c>
      <c r="E351">
        <v>1</v>
      </c>
      <c r="F351">
        <v>1</v>
      </c>
      <c r="G351">
        <v>35973048</v>
      </c>
      <c r="H351">
        <v>2</v>
      </c>
      <c r="I351" t="s">
        <v>1403</v>
      </c>
      <c r="J351" t="s">
        <v>1404</v>
      </c>
      <c r="K351" t="s">
        <v>1405</v>
      </c>
      <c r="L351">
        <v>1367</v>
      </c>
      <c r="N351">
        <v>1011</v>
      </c>
      <c r="O351" t="s">
        <v>738</v>
      </c>
      <c r="P351" t="s">
        <v>738</v>
      </c>
      <c r="Q351">
        <v>1</v>
      </c>
      <c r="W351">
        <v>0</v>
      </c>
      <c r="X351">
        <v>-1780114133</v>
      </c>
      <c r="Y351">
        <v>13.6</v>
      </c>
      <c r="AA351">
        <v>0</v>
      </c>
      <c r="AB351">
        <v>2.7</v>
      </c>
      <c r="AC351">
        <v>0</v>
      </c>
      <c r="AD351">
        <v>0</v>
      </c>
      <c r="AE351">
        <v>0</v>
      </c>
      <c r="AF351">
        <v>0.44</v>
      </c>
      <c r="AG351">
        <v>0</v>
      </c>
      <c r="AH351">
        <v>0</v>
      </c>
      <c r="AI351">
        <v>1</v>
      </c>
      <c r="AJ351">
        <v>6.14</v>
      </c>
      <c r="AK351">
        <v>25.44</v>
      </c>
      <c r="AL351">
        <v>1</v>
      </c>
      <c r="AN351">
        <v>0</v>
      </c>
      <c r="AO351">
        <v>1</v>
      </c>
      <c r="AP351">
        <v>0</v>
      </c>
      <c r="AQ351">
        <v>0</v>
      </c>
      <c r="AR351">
        <v>0</v>
      </c>
      <c r="AS351" t="s">
        <v>3</v>
      </c>
      <c r="AT351">
        <v>13.6</v>
      </c>
      <c r="AU351" t="s">
        <v>3</v>
      </c>
      <c r="AV351">
        <v>0</v>
      </c>
      <c r="AW351">
        <v>2</v>
      </c>
      <c r="AX351">
        <v>43159615</v>
      </c>
      <c r="AY351">
        <v>1</v>
      </c>
      <c r="AZ351">
        <v>0</v>
      </c>
      <c r="BA351">
        <v>351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CX351">
        <f>Y351*Source!I545</f>
        <v>3.8080000000000003</v>
      </c>
      <c r="CY351">
        <f>AB351</f>
        <v>2.7</v>
      </c>
      <c r="CZ351">
        <f>AF351</f>
        <v>0.44</v>
      </c>
      <c r="DA351">
        <f>AJ351</f>
        <v>6.14</v>
      </c>
      <c r="DB351">
        <f t="shared" si="68"/>
        <v>5.98</v>
      </c>
      <c r="DC351">
        <f t="shared" si="69"/>
        <v>0</v>
      </c>
    </row>
    <row r="352" spans="1:107" x14ac:dyDescent="0.2">
      <c r="A352">
        <f>ROW(Source!A545)</f>
        <v>545</v>
      </c>
      <c r="B352">
        <v>42938047</v>
      </c>
      <c r="C352">
        <v>43159502</v>
      </c>
      <c r="D352">
        <v>36044847</v>
      </c>
      <c r="E352">
        <v>1</v>
      </c>
      <c r="F352">
        <v>1</v>
      </c>
      <c r="G352">
        <v>35973048</v>
      </c>
      <c r="H352">
        <v>2</v>
      </c>
      <c r="I352" t="s">
        <v>1406</v>
      </c>
      <c r="J352" t="s">
        <v>1407</v>
      </c>
      <c r="K352" t="s">
        <v>1408</v>
      </c>
      <c r="L352">
        <v>1367</v>
      </c>
      <c r="N352">
        <v>1011</v>
      </c>
      <c r="O352" t="s">
        <v>738</v>
      </c>
      <c r="P352" t="s">
        <v>738</v>
      </c>
      <c r="Q352">
        <v>1</v>
      </c>
      <c r="W352">
        <v>0</v>
      </c>
      <c r="X352">
        <v>-1095071496</v>
      </c>
      <c r="Y352">
        <v>31</v>
      </c>
      <c r="AA352">
        <v>0</v>
      </c>
      <c r="AB352">
        <v>10.75</v>
      </c>
      <c r="AC352">
        <v>1.78</v>
      </c>
      <c r="AD352">
        <v>0</v>
      </c>
      <c r="AE352">
        <v>0</v>
      </c>
      <c r="AF352">
        <v>2.23</v>
      </c>
      <c r="AG352">
        <v>7.0000000000000007E-2</v>
      </c>
      <c r="AH352">
        <v>0</v>
      </c>
      <c r="AI352">
        <v>1</v>
      </c>
      <c r="AJ352">
        <v>4.82</v>
      </c>
      <c r="AK352">
        <v>25.44</v>
      </c>
      <c r="AL352">
        <v>1</v>
      </c>
      <c r="AN352">
        <v>0</v>
      </c>
      <c r="AO352">
        <v>1</v>
      </c>
      <c r="AP352">
        <v>0</v>
      </c>
      <c r="AQ352">
        <v>0</v>
      </c>
      <c r="AR352">
        <v>0</v>
      </c>
      <c r="AS352" t="s">
        <v>3</v>
      </c>
      <c r="AT352">
        <v>31</v>
      </c>
      <c r="AU352" t="s">
        <v>3</v>
      </c>
      <c r="AV352">
        <v>0</v>
      </c>
      <c r="AW352">
        <v>2</v>
      </c>
      <c r="AX352">
        <v>43159616</v>
      </c>
      <c r="AY352">
        <v>1</v>
      </c>
      <c r="AZ352">
        <v>0</v>
      </c>
      <c r="BA352">
        <v>352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CX352">
        <f>Y352*Source!I545</f>
        <v>8.6800000000000015</v>
      </c>
      <c r="CY352">
        <f>AB352</f>
        <v>10.75</v>
      </c>
      <c r="CZ352">
        <f>AF352</f>
        <v>2.23</v>
      </c>
      <c r="DA352">
        <f>AJ352</f>
        <v>4.82</v>
      </c>
      <c r="DB352">
        <f t="shared" si="68"/>
        <v>69.13</v>
      </c>
      <c r="DC352">
        <f t="shared" si="69"/>
        <v>2.17</v>
      </c>
    </row>
    <row r="353" spans="1:107" x14ac:dyDescent="0.2">
      <c r="A353">
        <f>ROW(Source!A545)</f>
        <v>545</v>
      </c>
      <c r="B353">
        <v>42938047</v>
      </c>
      <c r="C353">
        <v>43159502</v>
      </c>
      <c r="D353">
        <v>36020415</v>
      </c>
      <c r="E353">
        <v>1</v>
      </c>
      <c r="F353">
        <v>1</v>
      </c>
      <c r="G353">
        <v>35973048</v>
      </c>
      <c r="H353">
        <v>3</v>
      </c>
      <c r="I353" t="s">
        <v>469</v>
      </c>
      <c r="J353" t="s">
        <v>471</v>
      </c>
      <c r="K353" t="s">
        <v>470</v>
      </c>
      <c r="L353">
        <v>1339</v>
      </c>
      <c r="N353">
        <v>1007</v>
      </c>
      <c r="O353" t="s">
        <v>84</v>
      </c>
      <c r="P353" t="s">
        <v>84</v>
      </c>
      <c r="Q353">
        <v>1</v>
      </c>
      <c r="W353">
        <v>0</v>
      </c>
      <c r="X353">
        <v>-862991314</v>
      </c>
      <c r="Y353">
        <v>0.05</v>
      </c>
      <c r="AA353">
        <v>36.340000000000003</v>
      </c>
      <c r="AB353">
        <v>0</v>
      </c>
      <c r="AC353">
        <v>0</v>
      </c>
      <c r="AD353">
        <v>0</v>
      </c>
      <c r="AE353">
        <v>7.07</v>
      </c>
      <c r="AF353">
        <v>0</v>
      </c>
      <c r="AG353">
        <v>0</v>
      </c>
      <c r="AH353">
        <v>0</v>
      </c>
      <c r="AI353">
        <v>5.14</v>
      </c>
      <c r="AJ353">
        <v>1</v>
      </c>
      <c r="AK353">
        <v>1</v>
      </c>
      <c r="AL353">
        <v>1</v>
      </c>
      <c r="AN353">
        <v>0</v>
      </c>
      <c r="AO353">
        <v>1</v>
      </c>
      <c r="AP353">
        <v>0</v>
      </c>
      <c r="AQ353">
        <v>0</v>
      </c>
      <c r="AR353">
        <v>0</v>
      </c>
      <c r="AS353" t="s">
        <v>3</v>
      </c>
      <c r="AT353">
        <v>0.05</v>
      </c>
      <c r="AU353" t="s">
        <v>3</v>
      </c>
      <c r="AV353">
        <v>0</v>
      </c>
      <c r="AW353">
        <v>2</v>
      </c>
      <c r="AX353">
        <v>43159617</v>
      </c>
      <c r="AY353">
        <v>1</v>
      </c>
      <c r="AZ353">
        <v>0</v>
      </c>
      <c r="BA353">
        <v>353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CX353">
        <f>Y353*Source!I545</f>
        <v>1.4000000000000002E-2</v>
      </c>
      <c r="CY353">
        <f>AA353</f>
        <v>36.340000000000003</v>
      </c>
      <c r="CZ353">
        <f>AE353</f>
        <v>7.07</v>
      </c>
      <c r="DA353">
        <f>AI353</f>
        <v>5.14</v>
      </c>
      <c r="DB353">
        <f t="shared" si="68"/>
        <v>0.35</v>
      </c>
      <c r="DC353">
        <f t="shared" si="69"/>
        <v>0</v>
      </c>
    </row>
    <row r="354" spans="1:107" x14ac:dyDescent="0.2">
      <c r="A354">
        <f>ROW(Source!A545)</f>
        <v>545</v>
      </c>
      <c r="B354">
        <v>42938047</v>
      </c>
      <c r="C354">
        <v>43159502</v>
      </c>
      <c r="D354">
        <v>39285218</v>
      </c>
      <c r="E354">
        <v>1</v>
      </c>
      <c r="F354">
        <v>1</v>
      </c>
      <c r="G354">
        <v>35973048</v>
      </c>
      <c r="H354">
        <v>3</v>
      </c>
      <c r="I354" t="s">
        <v>718</v>
      </c>
      <c r="J354" t="s">
        <v>719</v>
      </c>
      <c r="K354" t="s">
        <v>1593</v>
      </c>
      <c r="L354">
        <v>1346</v>
      </c>
      <c r="N354">
        <v>1009</v>
      </c>
      <c r="O354" t="s">
        <v>131</v>
      </c>
      <c r="P354" t="s">
        <v>131</v>
      </c>
      <c r="Q354">
        <v>1</v>
      </c>
      <c r="W354">
        <v>0</v>
      </c>
      <c r="X354">
        <v>281873734</v>
      </c>
      <c r="Y354">
        <v>342</v>
      </c>
      <c r="AA354">
        <v>416.7</v>
      </c>
      <c r="AB354">
        <v>0</v>
      </c>
      <c r="AC354">
        <v>0</v>
      </c>
      <c r="AD354">
        <v>0</v>
      </c>
      <c r="AE354">
        <v>144.4</v>
      </c>
      <c r="AF354">
        <v>0</v>
      </c>
      <c r="AG354">
        <v>0</v>
      </c>
      <c r="AH354">
        <v>0</v>
      </c>
      <c r="AI354">
        <v>2.88</v>
      </c>
      <c r="AJ354">
        <v>1</v>
      </c>
      <c r="AK354">
        <v>1</v>
      </c>
      <c r="AL354">
        <v>1</v>
      </c>
      <c r="AN354">
        <v>0</v>
      </c>
      <c r="AO354">
        <v>0</v>
      </c>
      <c r="AP354">
        <v>0</v>
      </c>
      <c r="AQ354">
        <v>0</v>
      </c>
      <c r="AR354">
        <v>0</v>
      </c>
      <c r="AS354" t="s">
        <v>3</v>
      </c>
      <c r="AT354">
        <v>342</v>
      </c>
      <c r="AU354" t="s">
        <v>3</v>
      </c>
      <c r="AV354">
        <v>0</v>
      </c>
      <c r="AW354">
        <v>1</v>
      </c>
      <c r="AX354">
        <v>-1</v>
      </c>
      <c r="AY354">
        <v>0</v>
      </c>
      <c r="AZ354">
        <v>0</v>
      </c>
      <c r="BA354" t="s">
        <v>3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CX354">
        <f>Y354*Source!I545</f>
        <v>95.76</v>
      </c>
      <c r="CY354">
        <f>AA354</f>
        <v>416.7</v>
      </c>
      <c r="CZ354">
        <f>AE354</f>
        <v>144.4</v>
      </c>
      <c r="DA354">
        <f>AI354</f>
        <v>2.88</v>
      </c>
      <c r="DB354">
        <f t="shared" si="68"/>
        <v>49384.800000000003</v>
      </c>
      <c r="DC354">
        <f t="shared" si="69"/>
        <v>0</v>
      </c>
    </row>
    <row r="355" spans="1:107" x14ac:dyDescent="0.2">
      <c r="A355">
        <f>ROW(Source!A545)</f>
        <v>545</v>
      </c>
      <c r="B355">
        <v>42938047</v>
      </c>
      <c r="C355">
        <v>43159502</v>
      </c>
      <c r="D355">
        <v>36043355</v>
      </c>
      <c r="E355">
        <v>1</v>
      </c>
      <c r="F355">
        <v>1</v>
      </c>
      <c r="G355">
        <v>35973048</v>
      </c>
      <c r="H355">
        <v>3</v>
      </c>
      <c r="I355" t="s">
        <v>714</v>
      </c>
      <c r="J355" t="s">
        <v>716</v>
      </c>
      <c r="K355" t="s">
        <v>715</v>
      </c>
      <c r="L355">
        <v>1301</v>
      </c>
      <c r="N355">
        <v>1003</v>
      </c>
      <c r="O355" t="s">
        <v>136</v>
      </c>
      <c r="P355" t="s">
        <v>136</v>
      </c>
      <c r="Q355">
        <v>1</v>
      </c>
      <c r="W355">
        <v>0</v>
      </c>
      <c r="X355">
        <v>456889814</v>
      </c>
      <c r="Y355">
        <v>666.7</v>
      </c>
      <c r="AA355">
        <v>201.99</v>
      </c>
      <c r="AB355">
        <v>0</v>
      </c>
      <c r="AC355">
        <v>0</v>
      </c>
      <c r="AD355">
        <v>0</v>
      </c>
      <c r="AE355">
        <v>139.99</v>
      </c>
      <c r="AF355">
        <v>0</v>
      </c>
      <c r="AG355">
        <v>0</v>
      </c>
      <c r="AH355">
        <v>0</v>
      </c>
      <c r="AI355">
        <v>1.44</v>
      </c>
      <c r="AJ355">
        <v>1</v>
      </c>
      <c r="AK355">
        <v>1</v>
      </c>
      <c r="AL355">
        <v>1</v>
      </c>
      <c r="AN355">
        <v>0</v>
      </c>
      <c r="AO355">
        <v>0</v>
      </c>
      <c r="AP355">
        <v>0</v>
      </c>
      <c r="AQ355">
        <v>0</v>
      </c>
      <c r="AR355">
        <v>0</v>
      </c>
      <c r="AS355" t="s">
        <v>3</v>
      </c>
      <c r="AT355">
        <v>666.7</v>
      </c>
      <c r="AU355" t="s">
        <v>3</v>
      </c>
      <c r="AV355">
        <v>0</v>
      </c>
      <c r="AW355">
        <v>1</v>
      </c>
      <c r="AX355">
        <v>-1</v>
      </c>
      <c r="AY355">
        <v>0</v>
      </c>
      <c r="AZ355">
        <v>0</v>
      </c>
      <c r="BA355" t="s">
        <v>3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CX355">
        <f>Y355*Source!I545</f>
        <v>186.67600000000004</v>
      </c>
      <c r="CY355">
        <f>AA355</f>
        <v>201.99</v>
      </c>
      <c r="CZ355">
        <f>AE355</f>
        <v>139.99</v>
      </c>
      <c r="DA355">
        <f>AI355</f>
        <v>1.44</v>
      </c>
      <c r="DB355">
        <f t="shared" si="68"/>
        <v>93331.33</v>
      </c>
      <c r="DC355">
        <f t="shared" si="69"/>
        <v>0</v>
      </c>
    </row>
    <row r="356" spans="1:107" x14ac:dyDescent="0.2">
      <c r="A356">
        <f>ROW(Source!A548)</f>
        <v>548</v>
      </c>
      <c r="B356">
        <v>42938047</v>
      </c>
      <c r="C356">
        <v>43159663</v>
      </c>
      <c r="D356">
        <v>35973762</v>
      </c>
      <c r="E356">
        <v>35973048</v>
      </c>
      <c r="F356">
        <v>1</v>
      </c>
      <c r="G356">
        <v>35973048</v>
      </c>
      <c r="H356">
        <v>2</v>
      </c>
      <c r="I356" t="s">
        <v>1243</v>
      </c>
      <c r="J356" t="s">
        <v>3</v>
      </c>
      <c r="K356" t="s">
        <v>1244</v>
      </c>
      <c r="L356">
        <v>1344</v>
      </c>
      <c r="N356">
        <v>1008</v>
      </c>
      <c r="O356" t="s">
        <v>1245</v>
      </c>
      <c r="P356" t="s">
        <v>1245</v>
      </c>
      <c r="Q356">
        <v>1</v>
      </c>
      <c r="W356">
        <v>0</v>
      </c>
      <c r="X356">
        <v>-1180195794</v>
      </c>
      <c r="Y356">
        <v>8.86</v>
      </c>
      <c r="AA356">
        <v>0</v>
      </c>
      <c r="AB356">
        <v>9.5500000000000007</v>
      </c>
      <c r="AC356">
        <v>0</v>
      </c>
      <c r="AD356">
        <v>0</v>
      </c>
      <c r="AE356">
        <v>0</v>
      </c>
      <c r="AF356">
        <v>1</v>
      </c>
      <c r="AG356">
        <v>0</v>
      </c>
      <c r="AH356">
        <v>0</v>
      </c>
      <c r="AI356">
        <v>1</v>
      </c>
      <c r="AJ356">
        <v>9.1199999999999992</v>
      </c>
      <c r="AK356">
        <v>25.44</v>
      </c>
      <c r="AL356">
        <v>1</v>
      </c>
      <c r="AN356">
        <v>0</v>
      </c>
      <c r="AO356">
        <v>1</v>
      </c>
      <c r="AP356">
        <v>0</v>
      </c>
      <c r="AQ356">
        <v>0</v>
      </c>
      <c r="AR356">
        <v>0</v>
      </c>
      <c r="AS356" t="s">
        <v>3</v>
      </c>
      <c r="AT356">
        <v>8.86</v>
      </c>
      <c r="AU356" t="s">
        <v>3</v>
      </c>
      <c r="AV356">
        <v>0</v>
      </c>
      <c r="AW356">
        <v>2</v>
      </c>
      <c r="AX356">
        <v>43159664</v>
      </c>
      <c r="AY356">
        <v>1</v>
      </c>
      <c r="AZ356">
        <v>0</v>
      </c>
      <c r="BA356">
        <v>356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CX356">
        <f>Y356*Source!I548</f>
        <v>717.66</v>
      </c>
      <c r="CY356">
        <f>AB356</f>
        <v>9.5500000000000007</v>
      </c>
      <c r="CZ356">
        <f>AF356</f>
        <v>1</v>
      </c>
      <c r="DA356">
        <f>AJ356</f>
        <v>9.1199999999999992</v>
      </c>
      <c r="DB356">
        <f t="shared" si="68"/>
        <v>8.86</v>
      </c>
      <c r="DC356">
        <f t="shared" si="69"/>
        <v>0</v>
      </c>
    </row>
    <row r="357" spans="1:107" x14ac:dyDescent="0.2">
      <c r="A357">
        <f>ROW(Source!A549)</f>
        <v>549</v>
      </c>
      <c r="B357">
        <v>42938047</v>
      </c>
      <c r="C357">
        <v>43159665</v>
      </c>
      <c r="D357">
        <v>36759507</v>
      </c>
      <c r="E357">
        <v>1</v>
      </c>
      <c r="F357">
        <v>1</v>
      </c>
      <c r="G357">
        <v>35973048</v>
      </c>
      <c r="H357">
        <v>2</v>
      </c>
      <c r="I357" t="s">
        <v>1329</v>
      </c>
      <c r="J357" t="s">
        <v>1330</v>
      </c>
      <c r="K357" t="s">
        <v>1331</v>
      </c>
      <c r="L357">
        <v>1367</v>
      </c>
      <c r="N357">
        <v>1011</v>
      </c>
      <c r="O357" t="s">
        <v>738</v>
      </c>
      <c r="P357" t="s">
        <v>738</v>
      </c>
      <c r="Q357">
        <v>1</v>
      </c>
      <c r="W357">
        <v>0</v>
      </c>
      <c r="X357">
        <v>-1132105959</v>
      </c>
      <c r="Y357">
        <v>1</v>
      </c>
      <c r="AA357">
        <v>0</v>
      </c>
      <c r="AB357">
        <v>115.66</v>
      </c>
      <c r="AC357">
        <v>14.4</v>
      </c>
      <c r="AD357">
        <v>0</v>
      </c>
      <c r="AE357">
        <v>0</v>
      </c>
      <c r="AF357">
        <v>115.66</v>
      </c>
      <c r="AG357">
        <v>14.4</v>
      </c>
      <c r="AH357">
        <v>0</v>
      </c>
      <c r="AI357">
        <v>1</v>
      </c>
      <c r="AJ357">
        <v>1</v>
      </c>
      <c r="AK357">
        <v>1</v>
      </c>
      <c r="AL357">
        <v>1</v>
      </c>
      <c r="AN357">
        <v>0</v>
      </c>
      <c r="AO357">
        <v>1</v>
      </c>
      <c r="AP357">
        <v>0</v>
      </c>
      <c r="AQ357">
        <v>0</v>
      </c>
      <c r="AR357">
        <v>0</v>
      </c>
      <c r="AS357" t="s">
        <v>3</v>
      </c>
      <c r="AT357">
        <v>1</v>
      </c>
      <c r="AU357" t="s">
        <v>3</v>
      </c>
      <c r="AV357">
        <v>0</v>
      </c>
      <c r="AW357">
        <v>2</v>
      </c>
      <c r="AX357">
        <v>43159666</v>
      </c>
      <c r="AY357">
        <v>1</v>
      </c>
      <c r="AZ357">
        <v>0</v>
      </c>
      <c r="BA357">
        <v>357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CX357">
        <f>Y357*Source!I549</f>
        <v>81</v>
      </c>
      <c r="CY357">
        <f>AB357</f>
        <v>115.66</v>
      </c>
      <c r="CZ357">
        <f>AF357</f>
        <v>115.66</v>
      </c>
      <c r="DA357">
        <f>AJ357</f>
        <v>1</v>
      </c>
      <c r="DB357">
        <f t="shared" si="68"/>
        <v>115.66</v>
      </c>
      <c r="DC357">
        <f t="shared" si="69"/>
        <v>14.4</v>
      </c>
    </row>
    <row r="358" spans="1:107" x14ac:dyDescent="0.2">
      <c r="A358">
        <f>ROW(Source!A550)</f>
        <v>550</v>
      </c>
      <c r="B358">
        <v>42938047</v>
      </c>
      <c r="C358">
        <v>43159667</v>
      </c>
      <c r="D358">
        <v>35973762</v>
      </c>
      <c r="E358">
        <v>35973048</v>
      </c>
      <c r="F358">
        <v>1</v>
      </c>
      <c r="G358">
        <v>35973048</v>
      </c>
      <c r="H358">
        <v>2</v>
      </c>
      <c r="I358" t="s">
        <v>1243</v>
      </c>
      <c r="J358" t="s">
        <v>3</v>
      </c>
      <c r="K358" t="s">
        <v>1244</v>
      </c>
      <c r="L358">
        <v>1344</v>
      </c>
      <c r="N358">
        <v>1008</v>
      </c>
      <c r="O358" t="s">
        <v>1245</v>
      </c>
      <c r="P358" t="s">
        <v>1245</v>
      </c>
      <c r="Q358">
        <v>1</v>
      </c>
      <c r="W358">
        <v>0</v>
      </c>
      <c r="X358">
        <v>-1180195794</v>
      </c>
      <c r="Y358">
        <v>17.84</v>
      </c>
      <c r="AA358">
        <v>0</v>
      </c>
      <c r="AB358">
        <v>1</v>
      </c>
      <c r="AC358">
        <v>0</v>
      </c>
      <c r="AD358">
        <v>0</v>
      </c>
      <c r="AE358">
        <v>0</v>
      </c>
      <c r="AF358">
        <v>1</v>
      </c>
      <c r="AG358">
        <v>0</v>
      </c>
      <c r="AH358">
        <v>0</v>
      </c>
      <c r="AI358">
        <v>1</v>
      </c>
      <c r="AJ358">
        <v>1</v>
      </c>
      <c r="AK358">
        <v>1</v>
      </c>
      <c r="AL358">
        <v>1</v>
      </c>
      <c r="AN358">
        <v>0</v>
      </c>
      <c r="AO358">
        <v>1</v>
      </c>
      <c r="AP358">
        <v>0</v>
      </c>
      <c r="AQ358">
        <v>0</v>
      </c>
      <c r="AR358">
        <v>0</v>
      </c>
      <c r="AS358" t="s">
        <v>3</v>
      </c>
      <c r="AT358">
        <v>17.84</v>
      </c>
      <c r="AU358" t="s">
        <v>3</v>
      </c>
      <c r="AV358">
        <v>0</v>
      </c>
      <c r="AW358">
        <v>2</v>
      </c>
      <c r="AX358">
        <v>43159668</v>
      </c>
      <c r="AY358">
        <v>1</v>
      </c>
      <c r="AZ358">
        <v>0</v>
      </c>
      <c r="BA358">
        <v>358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CX358">
        <f>Y358*Source!I550</f>
        <v>1445.04</v>
      </c>
      <c r="CY358">
        <f>AB358</f>
        <v>1</v>
      </c>
      <c r="CZ358">
        <f>AF358</f>
        <v>1</v>
      </c>
      <c r="DA358">
        <f>AJ358</f>
        <v>1</v>
      </c>
      <c r="DB358">
        <f t="shared" si="68"/>
        <v>17.84</v>
      </c>
      <c r="DC358">
        <f t="shared" si="69"/>
        <v>0</v>
      </c>
    </row>
    <row r="359" spans="1:107" x14ac:dyDescent="0.2">
      <c r="A359">
        <f>ROW(Source!A590)</f>
        <v>590</v>
      </c>
      <c r="B359">
        <v>42938047</v>
      </c>
      <c r="C359">
        <v>43143643</v>
      </c>
      <c r="D359">
        <v>35973053</v>
      </c>
      <c r="E359">
        <v>35973048</v>
      </c>
      <c r="F359">
        <v>1</v>
      </c>
      <c r="G359">
        <v>35973048</v>
      </c>
      <c r="H359">
        <v>1</v>
      </c>
      <c r="I359" t="s">
        <v>1228</v>
      </c>
      <c r="J359" t="s">
        <v>3</v>
      </c>
      <c r="K359" t="s">
        <v>1229</v>
      </c>
      <c r="L359">
        <v>1191</v>
      </c>
      <c r="N359">
        <v>1013</v>
      </c>
      <c r="O359" t="s">
        <v>1230</v>
      </c>
      <c r="P359" t="s">
        <v>1230</v>
      </c>
      <c r="Q359">
        <v>1</v>
      </c>
      <c r="W359">
        <v>0</v>
      </c>
      <c r="X359">
        <v>476480486</v>
      </c>
      <c r="Y359">
        <v>29.992000000000001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1</v>
      </c>
      <c r="AJ359">
        <v>1</v>
      </c>
      <c r="AK359">
        <v>1</v>
      </c>
      <c r="AL359">
        <v>25.44</v>
      </c>
      <c r="AN359">
        <v>0</v>
      </c>
      <c r="AO359">
        <v>1</v>
      </c>
      <c r="AP359">
        <v>1</v>
      </c>
      <c r="AQ359">
        <v>0</v>
      </c>
      <c r="AR359">
        <v>0</v>
      </c>
      <c r="AS359" t="s">
        <v>3</v>
      </c>
      <c r="AT359">
        <v>26.08</v>
      </c>
      <c r="AU359" t="s">
        <v>21</v>
      </c>
      <c r="AV359">
        <v>1</v>
      </c>
      <c r="AW359">
        <v>2</v>
      </c>
      <c r="AX359">
        <v>43143783</v>
      </c>
      <c r="AY359">
        <v>1</v>
      </c>
      <c r="AZ359">
        <v>2048</v>
      </c>
      <c r="BA359">
        <v>359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CX359">
        <f>Y359*Source!I590</f>
        <v>86.976799999999997</v>
      </c>
      <c r="CY359">
        <f>AD359</f>
        <v>0</v>
      </c>
      <c r="CZ359">
        <f>AH359</f>
        <v>0</v>
      </c>
      <c r="DA359">
        <f>AL359</f>
        <v>25.44</v>
      </c>
      <c r="DB359">
        <f>ROUND((ROUND(AT359*CZ359,2)*1.15),6)</f>
        <v>0</v>
      </c>
      <c r="DC359">
        <f>ROUND((ROUND(AT359*AG359,2)*1.15),6)</f>
        <v>0</v>
      </c>
    </row>
    <row r="360" spans="1:107" x14ac:dyDescent="0.2">
      <c r="A360">
        <f>ROW(Source!A590)</f>
        <v>590</v>
      </c>
      <c r="B360">
        <v>42938047</v>
      </c>
      <c r="C360">
        <v>43143643</v>
      </c>
      <c r="D360">
        <v>36044486</v>
      </c>
      <c r="E360">
        <v>1</v>
      </c>
      <c r="F360">
        <v>1</v>
      </c>
      <c r="G360">
        <v>35973048</v>
      </c>
      <c r="H360">
        <v>2</v>
      </c>
      <c r="I360" t="s">
        <v>1296</v>
      </c>
      <c r="J360" t="s">
        <v>1297</v>
      </c>
      <c r="K360" t="s">
        <v>1298</v>
      </c>
      <c r="L360">
        <v>1367</v>
      </c>
      <c r="N360">
        <v>1011</v>
      </c>
      <c r="O360" t="s">
        <v>738</v>
      </c>
      <c r="P360" t="s">
        <v>738</v>
      </c>
      <c r="Q360">
        <v>1</v>
      </c>
      <c r="W360">
        <v>0</v>
      </c>
      <c r="X360">
        <v>-785900531</v>
      </c>
      <c r="Y360">
        <v>0.23749999999999999</v>
      </c>
      <c r="AA360">
        <v>0</v>
      </c>
      <c r="AB360">
        <v>779.3</v>
      </c>
      <c r="AC360">
        <v>326.39999999999998</v>
      </c>
      <c r="AD360">
        <v>0</v>
      </c>
      <c r="AE360">
        <v>0</v>
      </c>
      <c r="AF360">
        <v>73.45</v>
      </c>
      <c r="AG360">
        <v>12.83</v>
      </c>
      <c r="AH360">
        <v>0</v>
      </c>
      <c r="AI360">
        <v>1</v>
      </c>
      <c r="AJ360">
        <v>10.61</v>
      </c>
      <c r="AK360">
        <v>25.44</v>
      </c>
      <c r="AL360">
        <v>1</v>
      </c>
      <c r="AN360">
        <v>0</v>
      </c>
      <c r="AO360">
        <v>1</v>
      </c>
      <c r="AP360">
        <v>1</v>
      </c>
      <c r="AQ360">
        <v>0</v>
      </c>
      <c r="AR360">
        <v>0</v>
      </c>
      <c r="AS360" t="s">
        <v>3</v>
      </c>
      <c r="AT360">
        <v>0.19</v>
      </c>
      <c r="AU360" t="s">
        <v>20</v>
      </c>
      <c r="AV360">
        <v>0</v>
      </c>
      <c r="AW360">
        <v>2</v>
      </c>
      <c r="AX360">
        <v>43143784</v>
      </c>
      <c r="AY360">
        <v>1</v>
      </c>
      <c r="AZ360">
        <v>0</v>
      </c>
      <c r="BA360">
        <v>360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CX360">
        <f>Y360*Source!I590</f>
        <v>0.68874999999999997</v>
      </c>
      <c r="CY360">
        <f>AB360</f>
        <v>779.3</v>
      </c>
      <c r="CZ360">
        <f>AF360</f>
        <v>73.45</v>
      </c>
      <c r="DA360">
        <f>AJ360</f>
        <v>10.61</v>
      </c>
      <c r="DB360">
        <f>ROUND((ROUND(AT360*CZ360,2)*1.25),6)</f>
        <v>17.45</v>
      </c>
      <c r="DC360">
        <f>ROUND((ROUND(AT360*AG360,2)*1.25),6)</f>
        <v>3.05</v>
      </c>
    </row>
    <row r="361" spans="1:107" x14ac:dyDescent="0.2">
      <c r="A361">
        <f>ROW(Source!A590)</f>
        <v>590</v>
      </c>
      <c r="B361">
        <v>42938047</v>
      </c>
      <c r="C361">
        <v>43143643</v>
      </c>
      <c r="D361">
        <v>36045308</v>
      </c>
      <c r="E361">
        <v>1</v>
      </c>
      <c r="F361">
        <v>1</v>
      </c>
      <c r="G361">
        <v>35973048</v>
      </c>
      <c r="H361">
        <v>2</v>
      </c>
      <c r="I361" t="s">
        <v>1231</v>
      </c>
      <c r="J361" t="s">
        <v>1232</v>
      </c>
      <c r="K361" t="s">
        <v>1233</v>
      </c>
      <c r="L361">
        <v>1367</v>
      </c>
      <c r="N361">
        <v>1011</v>
      </c>
      <c r="O361" t="s">
        <v>738</v>
      </c>
      <c r="P361" t="s">
        <v>738</v>
      </c>
      <c r="Q361">
        <v>1</v>
      </c>
      <c r="W361">
        <v>0</v>
      </c>
      <c r="X361">
        <v>-628430174</v>
      </c>
      <c r="Y361">
        <v>3.7499999999999999E-2</v>
      </c>
      <c r="AA361">
        <v>0</v>
      </c>
      <c r="AB361">
        <v>748.13</v>
      </c>
      <c r="AC361">
        <v>365.32</v>
      </c>
      <c r="AD361">
        <v>0</v>
      </c>
      <c r="AE361">
        <v>0</v>
      </c>
      <c r="AF361">
        <v>76.81</v>
      </c>
      <c r="AG361">
        <v>14.36</v>
      </c>
      <c r="AH361">
        <v>0</v>
      </c>
      <c r="AI361">
        <v>1</v>
      </c>
      <c r="AJ361">
        <v>9.74</v>
      </c>
      <c r="AK361">
        <v>25.44</v>
      </c>
      <c r="AL361">
        <v>1</v>
      </c>
      <c r="AN361">
        <v>0</v>
      </c>
      <c r="AO361">
        <v>1</v>
      </c>
      <c r="AP361">
        <v>1</v>
      </c>
      <c r="AQ361">
        <v>0</v>
      </c>
      <c r="AR361">
        <v>0</v>
      </c>
      <c r="AS361" t="s">
        <v>3</v>
      </c>
      <c r="AT361">
        <v>0.03</v>
      </c>
      <c r="AU361" t="s">
        <v>20</v>
      </c>
      <c r="AV361">
        <v>0</v>
      </c>
      <c r="AW361">
        <v>2</v>
      </c>
      <c r="AX361">
        <v>43143785</v>
      </c>
      <c r="AY361">
        <v>1</v>
      </c>
      <c r="AZ361">
        <v>0</v>
      </c>
      <c r="BA361">
        <v>361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CX361">
        <f>Y361*Source!I590</f>
        <v>0.10875</v>
      </c>
      <c r="CY361">
        <f>AB361</f>
        <v>748.13</v>
      </c>
      <c r="CZ361">
        <f>AF361</f>
        <v>76.81</v>
      </c>
      <c r="DA361">
        <f>AJ361</f>
        <v>9.74</v>
      </c>
      <c r="DB361">
        <f>ROUND((ROUND(AT361*CZ361,2)*1.25),6)</f>
        <v>2.875</v>
      </c>
      <c r="DC361">
        <f>ROUND((ROUND(AT361*AG361,2)*1.25),6)</f>
        <v>0.53749999999999998</v>
      </c>
    </row>
    <row r="362" spans="1:107" x14ac:dyDescent="0.2">
      <c r="A362">
        <f>ROW(Source!A590)</f>
        <v>590</v>
      </c>
      <c r="B362">
        <v>42938047</v>
      </c>
      <c r="C362">
        <v>43143643</v>
      </c>
      <c r="D362">
        <v>36045337</v>
      </c>
      <c r="E362">
        <v>1</v>
      </c>
      <c r="F362">
        <v>1</v>
      </c>
      <c r="G362">
        <v>35973048</v>
      </c>
      <c r="H362">
        <v>2</v>
      </c>
      <c r="I362" t="s">
        <v>1299</v>
      </c>
      <c r="J362" t="s">
        <v>1300</v>
      </c>
      <c r="K362" t="s">
        <v>1301</v>
      </c>
      <c r="L362">
        <v>1367</v>
      </c>
      <c r="N362">
        <v>1011</v>
      </c>
      <c r="O362" t="s">
        <v>738</v>
      </c>
      <c r="P362" t="s">
        <v>738</v>
      </c>
      <c r="Q362">
        <v>1</v>
      </c>
      <c r="W362">
        <v>0</v>
      </c>
      <c r="X362">
        <v>1280158331</v>
      </c>
      <c r="Y362">
        <v>0.97499999999999998</v>
      </c>
      <c r="AA362">
        <v>0</v>
      </c>
      <c r="AB362">
        <v>3.85</v>
      </c>
      <c r="AC362">
        <v>2.29</v>
      </c>
      <c r="AD362">
        <v>0</v>
      </c>
      <c r="AE362">
        <v>0</v>
      </c>
      <c r="AF362">
        <v>0.56000000000000005</v>
      </c>
      <c r="AG362">
        <v>0.09</v>
      </c>
      <c r="AH362">
        <v>0</v>
      </c>
      <c r="AI362">
        <v>1</v>
      </c>
      <c r="AJ362">
        <v>6.88</v>
      </c>
      <c r="AK362">
        <v>25.44</v>
      </c>
      <c r="AL362">
        <v>1</v>
      </c>
      <c r="AN362">
        <v>0</v>
      </c>
      <c r="AO362">
        <v>1</v>
      </c>
      <c r="AP362">
        <v>1</v>
      </c>
      <c r="AQ362">
        <v>0</v>
      </c>
      <c r="AR362">
        <v>0</v>
      </c>
      <c r="AS362" t="s">
        <v>3</v>
      </c>
      <c r="AT362">
        <v>0.78</v>
      </c>
      <c r="AU362" t="s">
        <v>20</v>
      </c>
      <c r="AV362">
        <v>0</v>
      </c>
      <c r="AW362">
        <v>2</v>
      </c>
      <c r="AX362">
        <v>43143787</v>
      </c>
      <c r="AY362">
        <v>1</v>
      </c>
      <c r="AZ362">
        <v>2048</v>
      </c>
      <c r="BA362">
        <v>362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CX362">
        <f>Y362*Source!I590</f>
        <v>2.8274999999999997</v>
      </c>
      <c r="CY362">
        <f>AB362</f>
        <v>3.85</v>
      </c>
      <c r="CZ362">
        <f>AF362</f>
        <v>0.56000000000000005</v>
      </c>
      <c r="DA362">
        <f>AJ362</f>
        <v>6.88</v>
      </c>
      <c r="DB362">
        <f>ROUND((ROUND(AT362*CZ362,2)*1.25),6)</f>
        <v>0.55000000000000004</v>
      </c>
      <c r="DC362">
        <f>ROUND((ROUND(AT362*AG362,2)*1.25),6)</f>
        <v>8.7499999999999994E-2</v>
      </c>
    </row>
    <row r="363" spans="1:107" x14ac:dyDescent="0.2">
      <c r="A363">
        <f>ROW(Source!A590)</f>
        <v>590</v>
      </c>
      <c r="B363">
        <v>42938047</v>
      </c>
      <c r="C363">
        <v>43143643</v>
      </c>
      <c r="D363">
        <v>36044555</v>
      </c>
      <c r="E363">
        <v>1</v>
      </c>
      <c r="F363">
        <v>1</v>
      </c>
      <c r="G363">
        <v>35973048</v>
      </c>
      <c r="H363">
        <v>2</v>
      </c>
      <c r="I363" t="s">
        <v>1267</v>
      </c>
      <c r="J363" t="s">
        <v>1268</v>
      </c>
      <c r="K363" t="s">
        <v>1269</v>
      </c>
      <c r="L363">
        <v>1367</v>
      </c>
      <c r="N363">
        <v>1011</v>
      </c>
      <c r="O363" t="s">
        <v>738</v>
      </c>
      <c r="P363" t="s">
        <v>738</v>
      </c>
      <c r="Q363">
        <v>1</v>
      </c>
      <c r="W363">
        <v>0</v>
      </c>
      <c r="X363">
        <v>-266174272</v>
      </c>
      <c r="Y363">
        <v>3.7499999999999999E-2</v>
      </c>
      <c r="AA363">
        <v>0</v>
      </c>
      <c r="AB363">
        <v>1636.27</v>
      </c>
      <c r="AC363">
        <v>461.74</v>
      </c>
      <c r="AD363">
        <v>0</v>
      </c>
      <c r="AE363">
        <v>0</v>
      </c>
      <c r="AF363">
        <v>190.93</v>
      </c>
      <c r="AG363">
        <v>18.149999999999999</v>
      </c>
      <c r="AH363">
        <v>0</v>
      </c>
      <c r="AI363">
        <v>1</v>
      </c>
      <c r="AJ363">
        <v>8.57</v>
      </c>
      <c r="AK363">
        <v>25.44</v>
      </c>
      <c r="AL363">
        <v>1</v>
      </c>
      <c r="AN363">
        <v>0</v>
      </c>
      <c r="AO363">
        <v>1</v>
      </c>
      <c r="AP363">
        <v>1</v>
      </c>
      <c r="AQ363">
        <v>0</v>
      </c>
      <c r="AR363">
        <v>0</v>
      </c>
      <c r="AS363" t="s">
        <v>3</v>
      </c>
      <c r="AT363">
        <v>0.03</v>
      </c>
      <c r="AU363" t="s">
        <v>20</v>
      </c>
      <c r="AV363">
        <v>0</v>
      </c>
      <c r="AW363">
        <v>2</v>
      </c>
      <c r="AX363">
        <v>43143786</v>
      </c>
      <c r="AY363">
        <v>1</v>
      </c>
      <c r="AZ363">
        <v>0</v>
      </c>
      <c r="BA363">
        <v>363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CX363">
        <f>Y363*Source!I590</f>
        <v>0.10875</v>
      </c>
      <c r="CY363">
        <f>AB363</f>
        <v>1636.27</v>
      </c>
      <c r="CZ363">
        <f>AF363</f>
        <v>190.93</v>
      </c>
      <c r="DA363">
        <f>AJ363</f>
        <v>8.57</v>
      </c>
      <c r="DB363">
        <f>ROUND((ROUND(AT363*CZ363,2)*1.25),6)</f>
        <v>7.1624999999999996</v>
      </c>
      <c r="DC363">
        <f>ROUND((ROUND(AT363*AG363,2)*1.25),6)</f>
        <v>0.67500000000000004</v>
      </c>
    </row>
    <row r="364" spans="1:107" x14ac:dyDescent="0.2">
      <c r="A364">
        <f>ROW(Source!A590)</f>
        <v>590</v>
      </c>
      <c r="B364">
        <v>42938047</v>
      </c>
      <c r="C364">
        <v>43143643</v>
      </c>
      <c r="D364">
        <v>35973762</v>
      </c>
      <c r="E364">
        <v>35973048</v>
      </c>
      <c r="F364">
        <v>1</v>
      </c>
      <c r="G364">
        <v>35973048</v>
      </c>
      <c r="H364">
        <v>2</v>
      </c>
      <c r="I364" t="s">
        <v>1243</v>
      </c>
      <c r="J364" t="s">
        <v>3</v>
      </c>
      <c r="K364" t="s">
        <v>1244</v>
      </c>
      <c r="L364">
        <v>1344</v>
      </c>
      <c r="N364">
        <v>1008</v>
      </c>
      <c r="O364" t="s">
        <v>1245</v>
      </c>
      <c r="P364" t="s">
        <v>1245</v>
      </c>
      <c r="Q364">
        <v>1</v>
      </c>
      <c r="W364">
        <v>0</v>
      </c>
      <c r="X364">
        <v>-1180195794</v>
      </c>
      <c r="Y364">
        <v>1.2500000000000001E-2</v>
      </c>
      <c r="AA364">
        <v>0</v>
      </c>
      <c r="AB364">
        <v>10.6</v>
      </c>
      <c r="AC364">
        <v>0</v>
      </c>
      <c r="AD364">
        <v>0</v>
      </c>
      <c r="AE364">
        <v>0</v>
      </c>
      <c r="AF364">
        <v>1</v>
      </c>
      <c r="AG364">
        <v>0</v>
      </c>
      <c r="AH364">
        <v>0</v>
      </c>
      <c r="AI364">
        <v>1</v>
      </c>
      <c r="AJ364">
        <v>9.93</v>
      </c>
      <c r="AK364">
        <v>25.44</v>
      </c>
      <c r="AL364">
        <v>1</v>
      </c>
      <c r="AN364">
        <v>0</v>
      </c>
      <c r="AO364">
        <v>1</v>
      </c>
      <c r="AP364">
        <v>1</v>
      </c>
      <c r="AQ364">
        <v>0</v>
      </c>
      <c r="AR364">
        <v>0</v>
      </c>
      <c r="AS364" t="s">
        <v>3</v>
      </c>
      <c r="AT364">
        <v>0.01</v>
      </c>
      <c r="AU364" t="s">
        <v>20</v>
      </c>
      <c r="AV364">
        <v>0</v>
      </c>
      <c r="AW364">
        <v>2</v>
      </c>
      <c r="AX364">
        <v>43143788</v>
      </c>
      <c r="AY364">
        <v>1</v>
      </c>
      <c r="AZ364">
        <v>0</v>
      </c>
      <c r="BA364">
        <v>364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CX364">
        <f>Y364*Source!I590</f>
        <v>3.6249999999999998E-2</v>
      </c>
      <c r="CY364">
        <f>AB364</f>
        <v>10.6</v>
      </c>
      <c r="CZ364">
        <f>AF364</f>
        <v>1</v>
      </c>
      <c r="DA364">
        <f>AJ364</f>
        <v>9.93</v>
      </c>
      <c r="DB364">
        <f>ROUND((ROUND(AT364*CZ364,2)*1.25),6)</f>
        <v>1.2500000000000001E-2</v>
      </c>
      <c r="DC364">
        <f>ROUND((ROUND(AT364*AG364,2)*1.25),6)</f>
        <v>0</v>
      </c>
    </row>
    <row r="365" spans="1:107" x14ac:dyDescent="0.2">
      <c r="A365">
        <f>ROW(Source!A590)</f>
        <v>590</v>
      </c>
      <c r="B365">
        <v>42938047</v>
      </c>
      <c r="C365">
        <v>43143643</v>
      </c>
      <c r="D365">
        <v>36021690</v>
      </c>
      <c r="E365">
        <v>1</v>
      </c>
      <c r="F365">
        <v>1</v>
      </c>
      <c r="G365">
        <v>35973048</v>
      </c>
      <c r="H365">
        <v>3</v>
      </c>
      <c r="I365" t="s">
        <v>1302</v>
      </c>
      <c r="J365" t="s">
        <v>1303</v>
      </c>
      <c r="K365" t="s">
        <v>1304</v>
      </c>
      <c r="L365">
        <v>1339</v>
      </c>
      <c r="N365">
        <v>1007</v>
      </c>
      <c r="O365" t="s">
        <v>84</v>
      </c>
      <c r="P365" t="s">
        <v>84</v>
      </c>
      <c r="Q365">
        <v>1</v>
      </c>
      <c r="W365">
        <v>0</v>
      </c>
      <c r="X365">
        <v>874290911</v>
      </c>
      <c r="Y365">
        <v>20</v>
      </c>
      <c r="AA365">
        <v>2533.52</v>
      </c>
      <c r="AB365">
        <v>0</v>
      </c>
      <c r="AC365">
        <v>0</v>
      </c>
      <c r="AD365">
        <v>0</v>
      </c>
      <c r="AE365">
        <v>230.95</v>
      </c>
      <c r="AF365">
        <v>0</v>
      </c>
      <c r="AG365">
        <v>0</v>
      </c>
      <c r="AH365">
        <v>0</v>
      </c>
      <c r="AI365">
        <v>10.97</v>
      </c>
      <c r="AJ365">
        <v>1</v>
      </c>
      <c r="AK365">
        <v>1</v>
      </c>
      <c r="AL365">
        <v>1</v>
      </c>
      <c r="AN365">
        <v>0</v>
      </c>
      <c r="AO365">
        <v>1</v>
      </c>
      <c r="AP365">
        <v>1</v>
      </c>
      <c r="AQ365">
        <v>0</v>
      </c>
      <c r="AR365">
        <v>0</v>
      </c>
      <c r="AS365" t="s">
        <v>3</v>
      </c>
      <c r="AT365">
        <v>20</v>
      </c>
      <c r="AU365" t="s">
        <v>3</v>
      </c>
      <c r="AV365">
        <v>0</v>
      </c>
      <c r="AW365">
        <v>2</v>
      </c>
      <c r="AX365">
        <v>43143789</v>
      </c>
      <c r="AY365">
        <v>1</v>
      </c>
      <c r="AZ365">
        <v>0</v>
      </c>
      <c r="BA365">
        <v>365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CX365">
        <f>Y365*Source!I590</f>
        <v>58</v>
      </c>
      <c r="CY365">
        <f>AA365</f>
        <v>2533.52</v>
      </c>
      <c r="CZ365">
        <f>AE365</f>
        <v>230.95</v>
      </c>
      <c r="DA365">
        <f>AI365</f>
        <v>10.97</v>
      </c>
      <c r="DB365">
        <f>ROUND(ROUND(AT365*CZ365,2),6)</f>
        <v>4619</v>
      </c>
      <c r="DC365">
        <f>ROUND(ROUND(AT365*AG365,2),6)</f>
        <v>0</v>
      </c>
    </row>
    <row r="366" spans="1:107" x14ac:dyDescent="0.2">
      <c r="A366">
        <f>ROW(Source!A590)</f>
        <v>590</v>
      </c>
      <c r="B366">
        <v>42938047</v>
      </c>
      <c r="C366">
        <v>43143643</v>
      </c>
      <c r="D366">
        <v>36022065</v>
      </c>
      <c r="E366">
        <v>1</v>
      </c>
      <c r="F366">
        <v>1</v>
      </c>
      <c r="G366">
        <v>35973048</v>
      </c>
      <c r="H366">
        <v>3</v>
      </c>
      <c r="I366" t="s">
        <v>1305</v>
      </c>
      <c r="J366" t="s">
        <v>1306</v>
      </c>
      <c r="K366" t="s">
        <v>1307</v>
      </c>
      <c r="L366">
        <v>1327</v>
      </c>
      <c r="N366">
        <v>1005</v>
      </c>
      <c r="O366" t="s">
        <v>120</v>
      </c>
      <c r="P366" t="s">
        <v>120</v>
      </c>
      <c r="Q366">
        <v>1</v>
      </c>
      <c r="W366">
        <v>0</v>
      </c>
      <c r="X366">
        <v>-650690830</v>
      </c>
      <c r="Y366">
        <v>270</v>
      </c>
      <c r="AA366">
        <v>51.34</v>
      </c>
      <c r="AB366">
        <v>0</v>
      </c>
      <c r="AC366">
        <v>0</v>
      </c>
      <c r="AD366">
        <v>0</v>
      </c>
      <c r="AE366">
        <v>16.559999999999999</v>
      </c>
      <c r="AF366">
        <v>0</v>
      </c>
      <c r="AG366">
        <v>0</v>
      </c>
      <c r="AH366">
        <v>0</v>
      </c>
      <c r="AI366">
        <v>3.1</v>
      </c>
      <c r="AJ366">
        <v>1</v>
      </c>
      <c r="AK366">
        <v>1</v>
      </c>
      <c r="AL366">
        <v>1</v>
      </c>
      <c r="AN366">
        <v>0</v>
      </c>
      <c r="AO366">
        <v>1</v>
      </c>
      <c r="AP366">
        <v>1</v>
      </c>
      <c r="AQ366">
        <v>0</v>
      </c>
      <c r="AR366">
        <v>0</v>
      </c>
      <c r="AS366" t="s">
        <v>3</v>
      </c>
      <c r="AT366">
        <v>270</v>
      </c>
      <c r="AU366" t="s">
        <v>3</v>
      </c>
      <c r="AV366">
        <v>0</v>
      </c>
      <c r="AW366">
        <v>2</v>
      </c>
      <c r="AX366">
        <v>43143790</v>
      </c>
      <c r="AY366">
        <v>1</v>
      </c>
      <c r="AZ366">
        <v>0</v>
      </c>
      <c r="BA366">
        <v>366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CX366">
        <f>Y366*Source!I590</f>
        <v>783</v>
      </c>
      <c r="CY366">
        <f>AA366</f>
        <v>51.34</v>
      </c>
      <c r="CZ366">
        <f>AE366</f>
        <v>16.559999999999999</v>
      </c>
      <c r="DA366">
        <f>AI366</f>
        <v>3.1</v>
      </c>
      <c r="DB366">
        <f>ROUND(ROUND(AT366*CZ366,2),6)</f>
        <v>4471.2</v>
      </c>
      <c r="DC366">
        <f>ROUND(ROUND(AT366*AG366,2),6)</f>
        <v>0</v>
      </c>
    </row>
    <row r="367" spans="1:107" x14ac:dyDescent="0.2">
      <c r="A367">
        <f>ROW(Source!A590)</f>
        <v>590</v>
      </c>
      <c r="B367">
        <v>42938047</v>
      </c>
      <c r="C367">
        <v>43143643</v>
      </c>
      <c r="D367">
        <v>36020974</v>
      </c>
      <c r="E367">
        <v>1</v>
      </c>
      <c r="F367">
        <v>1</v>
      </c>
      <c r="G367">
        <v>35973048</v>
      </c>
      <c r="H367">
        <v>3</v>
      </c>
      <c r="I367" t="s">
        <v>91</v>
      </c>
      <c r="J367" t="s">
        <v>93</v>
      </c>
      <c r="K367" t="s">
        <v>92</v>
      </c>
      <c r="L367">
        <v>1339</v>
      </c>
      <c r="N367">
        <v>1007</v>
      </c>
      <c r="O367" t="s">
        <v>84</v>
      </c>
      <c r="P367" t="s">
        <v>84</v>
      </c>
      <c r="Q367">
        <v>1</v>
      </c>
      <c r="W367">
        <v>0</v>
      </c>
      <c r="X367">
        <v>2069056849</v>
      </c>
      <c r="Y367">
        <v>28</v>
      </c>
      <c r="AA367">
        <v>578.49</v>
      </c>
      <c r="AB367">
        <v>0</v>
      </c>
      <c r="AC367">
        <v>0</v>
      </c>
      <c r="AD367">
        <v>0</v>
      </c>
      <c r="AE367">
        <v>104.99</v>
      </c>
      <c r="AF367">
        <v>0</v>
      </c>
      <c r="AG367">
        <v>0</v>
      </c>
      <c r="AH367">
        <v>0</v>
      </c>
      <c r="AI367">
        <v>5.51</v>
      </c>
      <c r="AJ367">
        <v>1</v>
      </c>
      <c r="AK367">
        <v>1</v>
      </c>
      <c r="AL367">
        <v>1</v>
      </c>
      <c r="AN367">
        <v>0</v>
      </c>
      <c r="AO367">
        <v>1</v>
      </c>
      <c r="AP367">
        <v>1</v>
      </c>
      <c r="AQ367">
        <v>0</v>
      </c>
      <c r="AR367">
        <v>0</v>
      </c>
      <c r="AS367" t="s">
        <v>3</v>
      </c>
      <c r="AT367">
        <v>28</v>
      </c>
      <c r="AU367" t="s">
        <v>3</v>
      </c>
      <c r="AV367">
        <v>0</v>
      </c>
      <c r="AW367">
        <v>2</v>
      </c>
      <c r="AX367">
        <v>43143791</v>
      </c>
      <c r="AY367">
        <v>1</v>
      </c>
      <c r="AZ367">
        <v>0</v>
      </c>
      <c r="BA367">
        <v>367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CX367">
        <f>Y367*Source!I590</f>
        <v>81.2</v>
      </c>
      <c r="CY367">
        <f>AA367</f>
        <v>578.49</v>
      </c>
      <c r="CZ367">
        <f>AE367</f>
        <v>104.99</v>
      </c>
      <c r="DA367">
        <f>AI367</f>
        <v>5.51</v>
      </c>
      <c r="DB367">
        <f>ROUND(ROUND(AT367*CZ367,2),6)</f>
        <v>2939.72</v>
      </c>
      <c r="DC367">
        <f>ROUND(ROUND(AT367*AG367,2),6)</f>
        <v>0</v>
      </c>
    </row>
    <row r="368" spans="1:107" x14ac:dyDescent="0.2">
      <c r="A368">
        <f>ROW(Source!A590)</f>
        <v>590</v>
      </c>
      <c r="B368">
        <v>42938047</v>
      </c>
      <c r="C368">
        <v>43143643</v>
      </c>
      <c r="D368">
        <v>0</v>
      </c>
      <c r="E368">
        <v>0</v>
      </c>
      <c r="F368">
        <v>1</v>
      </c>
      <c r="G368">
        <v>35973048</v>
      </c>
      <c r="H368">
        <v>3</v>
      </c>
      <c r="I368" t="s">
        <v>118</v>
      </c>
      <c r="J368" t="s">
        <v>3</v>
      </c>
      <c r="K368" t="s">
        <v>730</v>
      </c>
      <c r="L368">
        <v>1301</v>
      </c>
      <c r="N368">
        <v>1003</v>
      </c>
      <c r="O368" t="s">
        <v>136</v>
      </c>
      <c r="P368" t="s">
        <v>136</v>
      </c>
      <c r="Q368">
        <v>1</v>
      </c>
      <c r="W368">
        <v>0</v>
      </c>
      <c r="X368">
        <v>-954942173</v>
      </c>
      <c r="Y368">
        <v>100</v>
      </c>
      <c r="AA368">
        <v>281.39</v>
      </c>
      <c r="AB368">
        <v>0</v>
      </c>
      <c r="AC368">
        <v>0</v>
      </c>
      <c r="AD368">
        <v>0</v>
      </c>
      <c r="AE368">
        <v>44.25</v>
      </c>
      <c r="AF368">
        <v>0</v>
      </c>
      <c r="AG368">
        <v>0</v>
      </c>
      <c r="AH368">
        <v>0</v>
      </c>
      <c r="AI368">
        <v>6.34</v>
      </c>
      <c r="AJ368">
        <v>1</v>
      </c>
      <c r="AK368">
        <v>1</v>
      </c>
      <c r="AL368">
        <v>1</v>
      </c>
      <c r="AN368">
        <v>0</v>
      </c>
      <c r="AO368">
        <v>0</v>
      </c>
      <c r="AP368">
        <v>0</v>
      </c>
      <c r="AQ368">
        <v>0</v>
      </c>
      <c r="AR368">
        <v>0</v>
      </c>
      <c r="AS368" t="s">
        <v>3</v>
      </c>
      <c r="AT368">
        <v>100</v>
      </c>
      <c r="AU368" t="s">
        <v>3</v>
      </c>
      <c r="AV368">
        <v>0</v>
      </c>
      <c r="AW368">
        <v>1</v>
      </c>
      <c r="AX368">
        <v>-1</v>
      </c>
      <c r="AY368">
        <v>0</v>
      </c>
      <c r="AZ368">
        <v>0</v>
      </c>
      <c r="BA368" t="s">
        <v>3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CX368">
        <f>Y368*Source!I590</f>
        <v>290</v>
      </c>
      <c r="CY368">
        <f>AA368</f>
        <v>281.39</v>
      </c>
      <c r="CZ368">
        <f>AE368</f>
        <v>44.25</v>
      </c>
      <c r="DA368">
        <f>AI368</f>
        <v>6.34</v>
      </c>
      <c r="DB368">
        <f>ROUND(ROUND(AT368*CZ368,2),6)</f>
        <v>4425</v>
      </c>
      <c r="DC368">
        <f>ROUND(ROUND(AT368*AG368,2),6)</f>
        <v>0</v>
      </c>
    </row>
    <row r="369" spans="1:107" x14ac:dyDescent="0.2">
      <c r="A369">
        <f>ROW(Source!A592)</f>
        <v>592</v>
      </c>
      <c r="B369">
        <v>42938047</v>
      </c>
      <c r="C369">
        <v>43143686</v>
      </c>
      <c r="D369">
        <v>35973053</v>
      </c>
      <c r="E369">
        <v>35973048</v>
      </c>
      <c r="F369">
        <v>1</v>
      </c>
      <c r="G369">
        <v>35973048</v>
      </c>
      <c r="H369">
        <v>1</v>
      </c>
      <c r="I369" t="s">
        <v>1228</v>
      </c>
      <c r="J369" t="s">
        <v>3</v>
      </c>
      <c r="K369" t="s">
        <v>1229</v>
      </c>
      <c r="L369">
        <v>1191</v>
      </c>
      <c r="N369">
        <v>1013</v>
      </c>
      <c r="O369" t="s">
        <v>1230</v>
      </c>
      <c r="P369" t="s">
        <v>1230</v>
      </c>
      <c r="Q369">
        <v>1</v>
      </c>
      <c r="W369">
        <v>0</v>
      </c>
      <c r="X369">
        <v>476480486</v>
      </c>
      <c r="Y369">
        <v>16.559999999999999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1</v>
      </c>
      <c r="AJ369">
        <v>1</v>
      </c>
      <c r="AK369">
        <v>1</v>
      </c>
      <c r="AL369">
        <v>25.44</v>
      </c>
      <c r="AN369">
        <v>0</v>
      </c>
      <c r="AO369">
        <v>1</v>
      </c>
      <c r="AP369">
        <v>1</v>
      </c>
      <c r="AQ369">
        <v>0</v>
      </c>
      <c r="AR369">
        <v>0</v>
      </c>
      <c r="AS369" t="s">
        <v>3</v>
      </c>
      <c r="AT369">
        <v>14.4</v>
      </c>
      <c r="AU369" t="s">
        <v>21</v>
      </c>
      <c r="AV369">
        <v>1</v>
      </c>
      <c r="AW369">
        <v>2</v>
      </c>
      <c r="AX369">
        <v>43143810</v>
      </c>
      <c r="AY369">
        <v>1</v>
      </c>
      <c r="AZ369">
        <v>0</v>
      </c>
      <c r="BA369">
        <v>370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CX369">
        <f>Y369*Source!I592</f>
        <v>1.4903999999999997</v>
      </c>
      <c r="CY369">
        <f>AD369</f>
        <v>0</v>
      </c>
      <c r="CZ369">
        <f>AH369</f>
        <v>0</v>
      </c>
      <c r="DA369">
        <f>AL369</f>
        <v>25.44</v>
      </c>
      <c r="DB369">
        <f>ROUND((ROUND(AT369*CZ369,2)*1.15),6)</f>
        <v>0</v>
      </c>
      <c r="DC369">
        <f>ROUND((ROUND(AT369*AG369,2)*1.15),6)</f>
        <v>0</v>
      </c>
    </row>
    <row r="370" spans="1:107" x14ac:dyDescent="0.2">
      <c r="A370">
        <f>ROW(Source!A592)</f>
        <v>592</v>
      </c>
      <c r="B370">
        <v>42938047</v>
      </c>
      <c r="C370">
        <v>43143686</v>
      </c>
      <c r="D370">
        <v>36044508</v>
      </c>
      <c r="E370">
        <v>1</v>
      </c>
      <c r="F370">
        <v>1</v>
      </c>
      <c r="G370">
        <v>35973048</v>
      </c>
      <c r="H370">
        <v>2</v>
      </c>
      <c r="I370" t="s">
        <v>1258</v>
      </c>
      <c r="J370" t="s">
        <v>1259</v>
      </c>
      <c r="K370" t="s">
        <v>1260</v>
      </c>
      <c r="L370">
        <v>1367</v>
      </c>
      <c r="N370">
        <v>1011</v>
      </c>
      <c r="O370" t="s">
        <v>738</v>
      </c>
      <c r="P370" t="s">
        <v>738</v>
      </c>
      <c r="Q370">
        <v>1</v>
      </c>
      <c r="W370">
        <v>0</v>
      </c>
      <c r="X370">
        <v>1928543733</v>
      </c>
      <c r="Y370">
        <v>2.0750000000000002</v>
      </c>
      <c r="AA370">
        <v>0</v>
      </c>
      <c r="AB370">
        <v>1242.54</v>
      </c>
      <c r="AC370">
        <v>595.54999999999995</v>
      </c>
      <c r="AD370">
        <v>0</v>
      </c>
      <c r="AE370">
        <v>0</v>
      </c>
      <c r="AF370">
        <v>116.89</v>
      </c>
      <c r="AG370">
        <v>23.41</v>
      </c>
      <c r="AH370">
        <v>0</v>
      </c>
      <c r="AI370">
        <v>1</v>
      </c>
      <c r="AJ370">
        <v>10.63</v>
      </c>
      <c r="AK370">
        <v>25.44</v>
      </c>
      <c r="AL370">
        <v>1</v>
      </c>
      <c r="AN370">
        <v>0</v>
      </c>
      <c r="AO370">
        <v>1</v>
      </c>
      <c r="AP370">
        <v>1</v>
      </c>
      <c r="AQ370">
        <v>0</v>
      </c>
      <c r="AR370">
        <v>0</v>
      </c>
      <c r="AS370" t="s">
        <v>3</v>
      </c>
      <c r="AT370">
        <v>1.66</v>
      </c>
      <c r="AU370" t="s">
        <v>20</v>
      </c>
      <c r="AV370">
        <v>0</v>
      </c>
      <c r="AW370">
        <v>2</v>
      </c>
      <c r="AX370">
        <v>43143811</v>
      </c>
      <c r="AY370">
        <v>1</v>
      </c>
      <c r="AZ370">
        <v>2048</v>
      </c>
      <c r="BA370">
        <v>371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CX370">
        <f>Y370*Source!I592</f>
        <v>0.18675</v>
      </c>
      <c r="CY370">
        <f>AB370</f>
        <v>1242.54</v>
      </c>
      <c r="CZ370">
        <f>AF370</f>
        <v>116.89</v>
      </c>
      <c r="DA370">
        <f>AJ370</f>
        <v>10.63</v>
      </c>
      <c r="DB370">
        <f>ROUND((ROUND(AT370*CZ370,2)*1.25),6)</f>
        <v>242.55</v>
      </c>
      <c r="DC370">
        <f>ROUND((ROUND(AT370*AG370,2)*1.25),6)</f>
        <v>48.575000000000003</v>
      </c>
    </row>
    <row r="371" spans="1:107" x14ac:dyDescent="0.2">
      <c r="A371">
        <f>ROW(Source!A592)</f>
        <v>592</v>
      </c>
      <c r="B371">
        <v>42938047</v>
      </c>
      <c r="C371">
        <v>43143686</v>
      </c>
      <c r="D371">
        <v>36044731</v>
      </c>
      <c r="E371">
        <v>1</v>
      </c>
      <c r="F371">
        <v>1</v>
      </c>
      <c r="G371">
        <v>35973048</v>
      </c>
      <c r="H371">
        <v>2</v>
      </c>
      <c r="I371" t="s">
        <v>749</v>
      </c>
      <c r="J371" t="s">
        <v>751</v>
      </c>
      <c r="K371" t="s">
        <v>750</v>
      </c>
      <c r="L371">
        <v>1367</v>
      </c>
      <c r="N371">
        <v>1011</v>
      </c>
      <c r="O371" t="s">
        <v>738</v>
      </c>
      <c r="P371" t="s">
        <v>738</v>
      </c>
      <c r="Q371">
        <v>1</v>
      </c>
      <c r="W371">
        <v>1</v>
      </c>
      <c r="X371">
        <v>142191915</v>
      </c>
      <c r="Y371">
        <v>-2.0750000000000002</v>
      </c>
      <c r="AA371">
        <v>0</v>
      </c>
      <c r="AB371">
        <v>453.6</v>
      </c>
      <c r="AC371">
        <v>176.86</v>
      </c>
      <c r="AD371">
        <v>0</v>
      </c>
      <c r="AE371">
        <v>0</v>
      </c>
      <c r="AF371">
        <v>62.97</v>
      </c>
      <c r="AG371">
        <v>6.64</v>
      </c>
      <c r="AH371">
        <v>0</v>
      </c>
      <c r="AI371">
        <v>1</v>
      </c>
      <c r="AJ371">
        <v>6.88</v>
      </c>
      <c r="AK371">
        <v>25.44</v>
      </c>
      <c r="AL371">
        <v>1</v>
      </c>
      <c r="AN371">
        <v>0</v>
      </c>
      <c r="AO371">
        <v>1</v>
      </c>
      <c r="AP371">
        <v>1</v>
      </c>
      <c r="AQ371">
        <v>0</v>
      </c>
      <c r="AR371">
        <v>0</v>
      </c>
      <c r="AS371" t="s">
        <v>3</v>
      </c>
      <c r="AT371">
        <v>-1.66</v>
      </c>
      <c r="AU371" t="s">
        <v>20</v>
      </c>
      <c r="AV371">
        <v>0</v>
      </c>
      <c r="AW371">
        <v>2</v>
      </c>
      <c r="AX371">
        <v>43143812</v>
      </c>
      <c r="AY371">
        <v>1</v>
      </c>
      <c r="AZ371">
        <v>6144</v>
      </c>
      <c r="BA371">
        <v>372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CX371">
        <f>Y371*Source!I592</f>
        <v>-0.18675</v>
      </c>
      <c r="CY371">
        <f>AB371</f>
        <v>453.6</v>
      </c>
      <c r="CZ371">
        <f>AF371</f>
        <v>62.97</v>
      </c>
      <c r="DA371">
        <f>AJ371</f>
        <v>6.88</v>
      </c>
      <c r="DB371">
        <f>ROUND((ROUND(AT371*CZ371,2)*1.25),6)</f>
        <v>-130.66249999999999</v>
      </c>
      <c r="DC371">
        <f>ROUND((ROUND(AT371*AG371,2)*1.25),6)</f>
        <v>-13.775</v>
      </c>
    </row>
    <row r="372" spans="1:107" x14ac:dyDescent="0.2">
      <c r="A372">
        <f>ROW(Source!A592)</f>
        <v>592</v>
      </c>
      <c r="B372">
        <v>42938047</v>
      </c>
      <c r="C372">
        <v>43143686</v>
      </c>
      <c r="D372">
        <v>36044734</v>
      </c>
      <c r="E372">
        <v>1</v>
      </c>
      <c r="F372">
        <v>1</v>
      </c>
      <c r="G372">
        <v>35973048</v>
      </c>
      <c r="H372">
        <v>2</v>
      </c>
      <c r="I372" t="s">
        <v>745</v>
      </c>
      <c r="J372" t="s">
        <v>747</v>
      </c>
      <c r="K372" t="s">
        <v>746</v>
      </c>
      <c r="L372">
        <v>1367</v>
      </c>
      <c r="N372">
        <v>1011</v>
      </c>
      <c r="O372" t="s">
        <v>738</v>
      </c>
      <c r="P372" t="s">
        <v>738</v>
      </c>
      <c r="Q372">
        <v>1</v>
      </c>
      <c r="W372">
        <v>1</v>
      </c>
      <c r="X372">
        <v>366114799</v>
      </c>
      <c r="Y372">
        <v>-0.8125</v>
      </c>
      <c r="AA372">
        <v>0</v>
      </c>
      <c r="AB372">
        <v>2130.7600000000002</v>
      </c>
      <c r="AC372">
        <v>356.12</v>
      </c>
      <c r="AD372">
        <v>0</v>
      </c>
      <c r="AE372">
        <v>0</v>
      </c>
      <c r="AF372">
        <v>246.68</v>
      </c>
      <c r="AG372">
        <v>13.37</v>
      </c>
      <c r="AH372">
        <v>0</v>
      </c>
      <c r="AI372">
        <v>1</v>
      </c>
      <c r="AJ372">
        <v>8.25</v>
      </c>
      <c r="AK372">
        <v>25.44</v>
      </c>
      <c r="AL372">
        <v>1</v>
      </c>
      <c r="AN372">
        <v>0</v>
      </c>
      <c r="AO372">
        <v>1</v>
      </c>
      <c r="AP372">
        <v>1</v>
      </c>
      <c r="AQ372">
        <v>0</v>
      </c>
      <c r="AR372">
        <v>0</v>
      </c>
      <c r="AS372" t="s">
        <v>3</v>
      </c>
      <c r="AT372">
        <v>-0.65</v>
      </c>
      <c r="AU372" t="s">
        <v>20</v>
      </c>
      <c r="AV372">
        <v>0</v>
      </c>
      <c r="AW372">
        <v>2</v>
      </c>
      <c r="AX372">
        <v>43143813</v>
      </c>
      <c r="AY372">
        <v>1</v>
      </c>
      <c r="AZ372">
        <v>6144</v>
      </c>
      <c r="BA372">
        <v>373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CX372">
        <f>Y372*Source!I592</f>
        <v>-7.3124999999999996E-2</v>
      </c>
      <c r="CY372">
        <f>AB372</f>
        <v>2130.7600000000002</v>
      </c>
      <c r="CZ372">
        <f>AF372</f>
        <v>246.68</v>
      </c>
      <c r="DA372">
        <f>AJ372</f>
        <v>8.25</v>
      </c>
      <c r="DB372">
        <f>ROUND((ROUND(AT372*CZ372,2)*1.25),6)</f>
        <v>-200.42500000000001</v>
      </c>
      <c r="DC372">
        <f>ROUND((ROUND(AT372*AG372,2)*1.25),6)</f>
        <v>-10.862500000000001</v>
      </c>
    </row>
    <row r="373" spans="1:107" x14ac:dyDescent="0.2">
      <c r="A373">
        <f>ROW(Source!A592)</f>
        <v>592</v>
      </c>
      <c r="B373">
        <v>42938047</v>
      </c>
      <c r="C373">
        <v>43143686</v>
      </c>
      <c r="D373">
        <v>36044762</v>
      </c>
      <c r="E373">
        <v>1</v>
      </c>
      <c r="F373">
        <v>1</v>
      </c>
      <c r="G373">
        <v>35973048</v>
      </c>
      <c r="H373">
        <v>2</v>
      </c>
      <c r="I373" t="s">
        <v>736</v>
      </c>
      <c r="J373" t="s">
        <v>739</v>
      </c>
      <c r="K373" t="s">
        <v>737</v>
      </c>
      <c r="L373">
        <v>1367</v>
      </c>
      <c r="N373">
        <v>1011</v>
      </c>
      <c r="O373" t="s">
        <v>738</v>
      </c>
      <c r="P373" t="s">
        <v>738</v>
      </c>
      <c r="Q373">
        <v>1</v>
      </c>
      <c r="W373">
        <v>1</v>
      </c>
      <c r="X373">
        <v>856318566</v>
      </c>
      <c r="Y373">
        <v>-1.9375</v>
      </c>
      <c r="AA373">
        <v>0</v>
      </c>
      <c r="AB373">
        <v>1591.78</v>
      </c>
      <c r="AC373">
        <v>658.97</v>
      </c>
      <c r="AD373">
        <v>0</v>
      </c>
      <c r="AE373">
        <v>0</v>
      </c>
      <c r="AF373">
        <v>125.13</v>
      </c>
      <c r="AG373">
        <v>24.74</v>
      </c>
      <c r="AH373">
        <v>0</v>
      </c>
      <c r="AI373">
        <v>1</v>
      </c>
      <c r="AJ373">
        <v>12.15</v>
      </c>
      <c r="AK373">
        <v>25.44</v>
      </c>
      <c r="AL373">
        <v>1</v>
      </c>
      <c r="AN373">
        <v>0</v>
      </c>
      <c r="AO373">
        <v>1</v>
      </c>
      <c r="AP373">
        <v>1</v>
      </c>
      <c r="AQ373">
        <v>0</v>
      </c>
      <c r="AR373">
        <v>0</v>
      </c>
      <c r="AS373" t="s">
        <v>3</v>
      </c>
      <c r="AT373">
        <v>-1.55</v>
      </c>
      <c r="AU373" t="s">
        <v>20</v>
      </c>
      <c r="AV373">
        <v>0</v>
      </c>
      <c r="AW373">
        <v>2</v>
      </c>
      <c r="AX373">
        <v>43143814</v>
      </c>
      <c r="AY373">
        <v>1</v>
      </c>
      <c r="AZ373">
        <v>6144</v>
      </c>
      <c r="BA373">
        <v>374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CX373">
        <f>Y373*Source!I592</f>
        <v>-0.174375</v>
      </c>
      <c r="CY373">
        <f>AB373</f>
        <v>1591.78</v>
      </c>
      <c r="CZ373">
        <f>AF373</f>
        <v>125.13</v>
      </c>
      <c r="DA373">
        <f>AJ373</f>
        <v>12.15</v>
      </c>
      <c r="DB373">
        <f>ROUND((ROUND(AT373*CZ373,2)*1.25),6)</f>
        <v>-242.4375</v>
      </c>
      <c r="DC373">
        <f>ROUND((ROUND(AT373*AG373,2)*1.25),6)</f>
        <v>-47.9375</v>
      </c>
    </row>
    <row r="374" spans="1:107" x14ac:dyDescent="0.2">
      <c r="A374">
        <f>ROW(Source!A592)</f>
        <v>592</v>
      </c>
      <c r="B374">
        <v>42938047</v>
      </c>
      <c r="C374">
        <v>43143686</v>
      </c>
      <c r="D374">
        <v>36044724</v>
      </c>
      <c r="E374">
        <v>1</v>
      </c>
      <c r="F374">
        <v>1</v>
      </c>
      <c r="G374">
        <v>35973048</v>
      </c>
      <c r="H374">
        <v>2</v>
      </c>
      <c r="I374" t="s">
        <v>741</v>
      </c>
      <c r="J374" t="s">
        <v>743</v>
      </c>
      <c r="K374" t="s">
        <v>742</v>
      </c>
      <c r="L374">
        <v>1367</v>
      </c>
      <c r="N374">
        <v>1011</v>
      </c>
      <c r="O374" t="s">
        <v>738</v>
      </c>
      <c r="P374" t="s">
        <v>738</v>
      </c>
      <c r="Q374">
        <v>1</v>
      </c>
      <c r="W374">
        <v>1</v>
      </c>
      <c r="X374">
        <v>-646811103</v>
      </c>
      <c r="Y374">
        <v>-0.65</v>
      </c>
      <c r="AA374">
        <v>0</v>
      </c>
      <c r="AB374">
        <v>1650.65</v>
      </c>
      <c r="AC374">
        <v>463.99</v>
      </c>
      <c r="AD374">
        <v>0</v>
      </c>
      <c r="AE374">
        <v>0</v>
      </c>
      <c r="AF374">
        <v>177.54</v>
      </c>
      <c r="AG374">
        <v>17.420000000000002</v>
      </c>
      <c r="AH374">
        <v>0</v>
      </c>
      <c r="AI374">
        <v>1</v>
      </c>
      <c r="AJ374">
        <v>8.8800000000000008</v>
      </c>
      <c r="AK374">
        <v>25.44</v>
      </c>
      <c r="AL374">
        <v>1</v>
      </c>
      <c r="AN374">
        <v>0</v>
      </c>
      <c r="AO374">
        <v>1</v>
      </c>
      <c r="AP374">
        <v>1</v>
      </c>
      <c r="AQ374">
        <v>0</v>
      </c>
      <c r="AR374">
        <v>0</v>
      </c>
      <c r="AS374" t="s">
        <v>3</v>
      </c>
      <c r="AT374">
        <v>-0.52</v>
      </c>
      <c r="AU374" t="s">
        <v>20</v>
      </c>
      <c r="AV374">
        <v>0</v>
      </c>
      <c r="AW374">
        <v>2</v>
      </c>
      <c r="AX374">
        <v>43143815</v>
      </c>
      <c r="AY374">
        <v>1</v>
      </c>
      <c r="AZ374">
        <v>6144</v>
      </c>
      <c r="BA374">
        <v>375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CX374">
        <f>Y374*Source!I592</f>
        <v>-5.8499999999999996E-2</v>
      </c>
      <c r="CY374">
        <f>AB374</f>
        <v>1650.65</v>
      </c>
      <c r="CZ374">
        <f>AF374</f>
        <v>177.54</v>
      </c>
      <c r="DA374">
        <f>AJ374</f>
        <v>8.8800000000000008</v>
      </c>
      <c r="DB374">
        <f>ROUND((ROUND(AT374*CZ374,2)*1.25),6)</f>
        <v>-115.4</v>
      </c>
      <c r="DC374">
        <f>ROUND((ROUND(AT374*AG374,2)*1.25),6)</f>
        <v>-11.324999999999999</v>
      </c>
    </row>
    <row r="375" spans="1:107" x14ac:dyDescent="0.2">
      <c r="A375">
        <f>ROW(Source!A592)</f>
        <v>592</v>
      </c>
      <c r="B375">
        <v>42938047</v>
      </c>
      <c r="C375">
        <v>43143686</v>
      </c>
      <c r="D375">
        <v>36020415</v>
      </c>
      <c r="E375">
        <v>1</v>
      </c>
      <c r="F375">
        <v>1</v>
      </c>
      <c r="G375">
        <v>35973048</v>
      </c>
      <c r="H375">
        <v>3</v>
      </c>
      <c r="I375" t="s">
        <v>469</v>
      </c>
      <c r="J375" t="s">
        <v>471</v>
      </c>
      <c r="K375" t="s">
        <v>470</v>
      </c>
      <c r="L375">
        <v>1339</v>
      </c>
      <c r="N375">
        <v>1007</v>
      </c>
      <c r="O375" t="s">
        <v>84</v>
      </c>
      <c r="P375" t="s">
        <v>84</v>
      </c>
      <c r="Q375">
        <v>1</v>
      </c>
      <c r="W375">
        <v>0</v>
      </c>
      <c r="X375">
        <v>-862991314</v>
      </c>
      <c r="Y375">
        <v>5</v>
      </c>
      <c r="AA375">
        <v>36.340000000000003</v>
      </c>
      <c r="AB375">
        <v>0</v>
      </c>
      <c r="AC375">
        <v>0</v>
      </c>
      <c r="AD375">
        <v>0</v>
      </c>
      <c r="AE375">
        <v>7.07</v>
      </c>
      <c r="AF375">
        <v>0</v>
      </c>
      <c r="AG375">
        <v>0</v>
      </c>
      <c r="AH375">
        <v>0</v>
      </c>
      <c r="AI375">
        <v>5.14</v>
      </c>
      <c r="AJ375">
        <v>1</v>
      </c>
      <c r="AK375">
        <v>1</v>
      </c>
      <c r="AL375">
        <v>1</v>
      </c>
      <c r="AN375">
        <v>0</v>
      </c>
      <c r="AO375">
        <v>1</v>
      </c>
      <c r="AP375">
        <v>1</v>
      </c>
      <c r="AQ375">
        <v>0</v>
      </c>
      <c r="AR375">
        <v>0</v>
      </c>
      <c r="AS375" t="s">
        <v>3</v>
      </c>
      <c r="AT375">
        <v>5</v>
      </c>
      <c r="AU375" t="s">
        <v>3</v>
      </c>
      <c r="AV375">
        <v>0</v>
      </c>
      <c r="AW375">
        <v>2</v>
      </c>
      <c r="AX375">
        <v>43143816</v>
      </c>
      <c r="AY375">
        <v>1</v>
      </c>
      <c r="AZ375">
        <v>0</v>
      </c>
      <c r="BA375">
        <v>376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CX375">
        <f>Y375*Source!I592</f>
        <v>0.44999999999999996</v>
      </c>
      <c r="CY375">
        <f>AA375</f>
        <v>36.340000000000003</v>
      </c>
      <c r="CZ375">
        <f>AE375</f>
        <v>7.07</v>
      </c>
      <c r="DA375">
        <f>AI375</f>
        <v>5.14</v>
      </c>
      <c r="DB375">
        <f>ROUND(ROUND(AT375*CZ375,2),6)</f>
        <v>35.35</v>
      </c>
      <c r="DC375">
        <f>ROUND(ROUND(AT375*AG375,2),6)</f>
        <v>0</v>
      </c>
    </row>
    <row r="376" spans="1:107" x14ac:dyDescent="0.2">
      <c r="A376">
        <f>ROW(Source!A592)</f>
        <v>592</v>
      </c>
      <c r="B376">
        <v>42938047</v>
      </c>
      <c r="C376">
        <v>43143686</v>
      </c>
      <c r="D376">
        <v>36020974</v>
      </c>
      <c r="E376">
        <v>1</v>
      </c>
      <c r="F376">
        <v>1</v>
      </c>
      <c r="G376">
        <v>35973048</v>
      </c>
      <c r="H376">
        <v>3</v>
      </c>
      <c r="I376" t="s">
        <v>91</v>
      </c>
      <c r="J376" t="s">
        <v>93</v>
      </c>
      <c r="K376" t="s">
        <v>92</v>
      </c>
      <c r="L376">
        <v>1339</v>
      </c>
      <c r="N376">
        <v>1007</v>
      </c>
      <c r="O376" t="s">
        <v>84</v>
      </c>
      <c r="P376" t="s">
        <v>84</v>
      </c>
      <c r="Q376">
        <v>1</v>
      </c>
      <c r="W376">
        <v>0</v>
      </c>
      <c r="X376">
        <v>2069056849</v>
      </c>
      <c r="Y376">
        <v>100</v>
      </c>
      <c r="AA376">
        <v>579.65</v>
      </c>
      <c r="AB376">
        <v>0</v>
      </c>
      <c r="AC376">
        <v>0</v>
      </c>
      <c r="AD376">
        <v>0</v>
      </c>
      <c r="AE376">
        <v>104.99</v>
      </c>
      <c r="AF376">
        <v>0</v>
      </c>
      <c r="AG376">
        <v>0</v>
      </c>
      <c r="AH376">
        <v>0</v>
      </c>
      <c r="AI376">
        <v>5.51</v>
      </c>
      <c r="AJ376">
        <v>1</v>
      </c>
      <c r="AK376">
        <v>1</v>
      </c>
      <c r="AL376">
        <v>1</v>
      </c>
      <c r="AN376">
        <v>0</v>
      </c>
      <c r="AO376">
        <v>0</v>
      </c>
      <c r="AP376">
        <v>0</v>
      </c>
      <c r="AQ376">
        <v>0</v>
      </c>
      <c r="AR376">
        <v>0</v>
      </c>
      <c r="AS376" t="s">
        <v>3</v>
      </c>
      <c r="AT376">
        <v>100</v>
      </c>
      <c r="AU376" t="s">
        <v>3</v>
      </c>
      <c r="AV376">
        <v>0</v>
      </c>
      <c r="AW376">
        <v>1</v>
      </c>
      <c r="AX376">
        <v>-1</v>
      </c>
      <c r="AY376">
        <v>0</v>
      </c>
      <c r="AZ376">
        <v>0</v>
      </c>
      <c r="BA376" t="s">
        <v>3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CX376">
        <f>Y376*Source!I592</f>
        <v>9</v>
      </c>
      <c r="CY376">
        <f>AA376</f>
        <v>579.65</v>
      </c>
      <c r="CZ376">
        <f>AE376</f>
        <v>104.99</v>
      </c>
      <c r="DA376">
        <f>AI376</f>
        <v>5.51</v>
      </c>
      <c r="DB376">
        <f>ROUND(ROUND(AT376*CZ376,2),6)</f>
        <v>10499</v>
      </c>
      <c r="DC376">
        <f>ROUND(ROUND(AT376*AG376,2),6)</f>
        <v>0</v>
      </c>
    </row>
    <row r="377" spans="1:107" x14ac:dyDescent="0.2">
      <c r="A377">
        <f>ROW(Source!A598)</f>
        <v>598</v>
      </c>
      <c r="B377">
        <v>42938047</v>
      </c>
      <c r="C377">
        <v>43143687</v>
      </c>
      <c r="D377">
        <v>35973053</v>
      </c>
      <c r="E377">
        <v>35973048</v>
      </c>
      <c r="F377">
        <v>1</v>
      </c>
      <c r="G377">
        <v>35973048</v>
      </c>
      <c r="H377">
        <v>1</v>
      </c>
      <c r="I377" t="s">
        <v>1228</v>
      </c>
      <c r="J377" t="s">
        <v>3</v>
      </c>
      <c r="K377" t="s">
        <v>1229</v>
      </c>
      <c r="L377">
        <v>1191</v>
      </c>
      <c r="N377">
        <v>1013</v>
      </c>
      <c r="O377" t="s">
        <v>1230</v>
      </c>
      <c r="P377" t="s">
        <v>1230</v>
      </c>
      <c r="Q377">
        <v>1</v>
      </c>
      <c r="W377">
        <v>0</v>
      </c>
      <c r="X377">
        <v>476480486</v>
      </c>
      <c r="Y377">
        <v>24.84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1</v>
      </c>
      <c r="AJ377">
        <v>1</v>
      </c>
      <c r="AK377">
        <v>1</v>
      </c>
      <c r="AL377">
        <v>25.44</v>
      </c>
      <c r="AN377">
        <v>0</v>
      </c>
      <c r="AO377">
        <v>1</v>
      </c>
      <c r="AP377">
        <v>1</v>
      </c>
      <c r="AQ377">
        <v>0</v>
      </c>
      <c r="AR377">
        <v>0</v>
      </c>
      <c r="AS377" t="s">
        <v>3</v>
      </c>
      <c r="AT377">
        <v>21.6</v>
      </c>
      <c r="AU377" t="s">
        <v>21</v>
      </c>
      <c r="AV377">
        <v>1</v>
      </c>
      <c r="AW377">
        <v>2</v>
      </c>
      <c r="AX377">
        <v>43143826</v>
      </c>
      <c r="AY377">
        <v>1</v>
      </c>
      <c r="AZ377">
        <v>0</v>
      </c>
      <c r="BA377">
        <v>378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CX377">
        <f>Y377*Source!I598</f>
        <v>7.9488000000000003</v>
      </c>
      <c r="CY377">
        <f>AD377</f>
        <v>0</v>
      </c>
      <c r="CZ377">
        <f>AH377</f>
        <v>0</v>
      </c>
      <c r="DA377">
        <f>AL377</f>
        <v>25.44</v>
      </c>
      <c r="DB377">
        <f>ROUND((ROUND(AT377*CZ377,2)*1.15),6)</f>
        <v>0</v>
      </c>
      <c r="DC377">
        <f>ROUND((ROUND(AT377*AG377,2)*1.15),6)</f>
        <v>0</v>
      </c>
    </row>
    <row r="378" spans="1:107" x14ac:dyDescent="0.2">
      <c r="A378">
        <f>ROW(Source!A598)</f>
        <v>598</v>
      </c>
      <c r="B378">
        <v>42938047</v>
      </c>
      <c r="C378">
        <v>43143687</v>
      </c>
      <c r="D378">
        <v>36044487</v>
      </c>
      <c r="E378">
        <v>1</v>
      </c>
      <c r="F378">
        <v>1</v>
      </c>
      <c r="G378">
        <v>35973048</v>
      </c>
      <c r="H378">
        <v>2</v>
      </c>
      <c r="I378" t="s">
        <v>769</v>
      </c>
      <c r="J378" t="s">
        <v>771</v>
      </c>
      <c r="K378" t="s">
        <v>770</v>
      </c>
      <c r="L378">
        <v>1367</v>
      </c>
      <c r="N378">
        <v>1011</v>
      </c>
      <c r="O378" t="s">
        <v>738</v>
      </c>
      <c r="P378" t="s">
        <v>738</v>
      </c>
      <c r="Q378">
        <v>1</v>
      </c>
      <c r="W378">
        <v>1</v>
      </c>
      <c r="X378">
        <v>-1500897512</v>
      </c>
      <c r="Y378">
        <v>-2.9375</v>
      </c>
      <c r="AA378">
        <v>0</v>
      </c>
      <c r="AB378">
        <v>1463.45</v>
      </c>
      <c r="AC378">
        <v>412.05</v>
      </c>
      <c r="AD378">
        <v>0</v>
      </c>
      <c r="AE378">
        <v>0</v>
      </c>
      <c r="AF378">
        <v>163.47999999999999</v>
      </c>
      <c r="AG378">
        <v>15.47</v>
      </c>
      <c r="AH378">
        <v>0</v>
      </c>
      <c r="AI378">
        <v>1</v>
      </c>
      <c r="AJ378">
        <v>8.5500000000000007</v>
      </c>
      <c r="AK378">
        <v>25.44</v>
      </c>
      <c r="AL378">
        <v>1</v>
      </c>
      <c r="AN378">
        <v>0</v>
      </c>
      <c r="AO378">
        <v>1</v>
      </c>
      <c r="AP378">
        <v>1</v>
      </c>
      <c r="AQ378">
        <v>0</v>
      </c>
      <c r="AR378">
        <v>0</v>
      </c>
      <c r="AS378" t="s">
        <v>3</v>
      </c>
      <c r="AT378">
        <v>-2.35</v>
      </c>
      <c r="AU378" t="s">
        <v>20</v>
      </c>
      <c r="AV378">
        <v>0</v>
      </c>
      <c r="AW378">
        <v>2</v>
      </c>
      <c r="AX378">
        <v>43143827</v>
      </c>
      <c r="AY378">
        <v>1</v>
      </c>
      <c r="AZ378">
        <v>6144</v>
      </c>
      <c r="BA378">
        <v>379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CX378">
        <f>Y378*Source!I598</f>
        <v>-0.94000000000000006</v>
      </c>
      <c r="CY378">
        <f t="shared" ref="CY378:CY383" si="70">AB378</f>
        <v>1463.45</v>
      </c>
      <c r="CZ378">
        <f t="shared" ref="CZ378:CZ383" si="71">AF378</f>
        <v>163.47999999999999</v>
      </c>
      <c r="DA378">
        <f t="shared" ref="DA378:DA383" si="72">AJ378</f>
        <v>8.5500000000000007</v>
      </c>
      <c r="DB378">
        <f t="shared" ref="DB378:DB383" si="73">ROUND((ROUND(AT378*CZ378,2)*1.25),6)</f>
        <v>-480.22500000000002</v>
      </c>
      <c r="DC378">
        <f t="shared" ref="DC378:DC383" si="74">ROUND((ROUND(AT378*AG378,2)*1.25),6)</f>
        <v>-45.4375</v>
      </c>
    </row>
    <row r="379" spans="1:107" x14ac:dyDescent="0.2">
      <c r="A379">
        <f>ROW(Source!A598)</f>
        <v>598</v>
      </c>
      <c r="B379">
        <v>42938047</v>
      </c>
      <c r="C379">
        <v>43143687</v>
      </c>
      <c r="D379">
        <v>36044734</v>
      </c>
      <c r="E379">
        <v>1</v>
      </c>
      <c r="F379">
        <v>1</v>
      </c>
      <c r="G379">
        <v>35973048</v>
      </c>
      <c r="H379">
        <v>2</v>
      </c>
      <c r="I379" t="s">
        <v>745</v>
      </c>
      <c r="J379" t="s">
        <v>747</v>
      </c>
      <c r="K379" t="s">
        <v>746</v>
      </c>
      <c r="L379">
        <v>1367</v>
      </c>
      <c r="N379">
        <v>1011</v>
      </c>
      <c r="O379" t="s">
        <v>738</v>
      </c>
      <c r="P379" t="s">
        <v>738</v>
      </c>
      <c r="Q379">
        <v>1</v>
      </c>
      <c r="W379">
        <v>1</v>
      </c>
      <c r="X379">
        <v>366114799</v>
      </c>
      <c r="Y379">
        <v>-1.1375</v>
      </c>
      <c r="AA379">
        <v>0</v>
      </c>
      <c r="AB379">
        <v>2130.7600000000002</v>
      </c>
      <c r="AC379">
        <v>356.12</v>
      </c>
      <c r="AD379">
        <v>0</v>
      </c>
      <c r="AE379">
        <v>0</v>
      </c>
      <c r="AF379">
        <v>246.68</v>
      </c>
      <c r="AG379">
        <v>13.37</v>
      </c>
      <c r="AH379">
        <v>0</v>
      </c>
      <c r="AI379">
        <v>1</v>
      </c>
      <c r="AJ379">
        <v>8.25</v>
      </c>
      <c r="AK379">
        <v>25.44</v>
      </c>
      <c r="AL379">
        <v>1</v>
      </c>
      <c r="AN379">
        <v>0</v>
      </c>
      <c r="AO379">
        <v>1</v>
      </c>
      <c r="AP379">
        <v>1</v>
      </c>
      <c r="AQ379">
        <v>0</v>
      </c>
      <c r="AR379">
        <v>0</v>
      </c>
      <c r="AS379" t="s">
        <v>3</v>
      </c>
      <c r="AT379">
        <v>-0.91</v>
      </c>
      <c r="AU379" t="s">
        <v>20</v>
      </c>
      <c r="AV379">
        <v>0</v>
      </c>
      <c r="AW379">
        <v>2</v>
      </c>
      <c r="AX379">
        <v>43143828</v>
      </c>
      <c r="AY379">
        <v>1</v>
      </c>
      <c r="AZ379">
        <v>6144</v>
      </c>
      <c r="BA379">
        <v>380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CX379">
        <f>Y379*Source!I598</f>
        <v>-0.36399999999999999</v>
      </c>
      <c r="CY379">
        <f t="shared" si="70"/>
        <v>2130.7600000000002</v>
      </c>
      <c r="CZ379">
        <f t="shared" si="71"/>
        <v>246.68</v>
      </c>
      <c r="DA379">
        <f t="shared" si="72"/>
        <v>8.25</v>
      </c>
      <c r="DB379">
        <f t="shared" si="73"/>
        <v>-280.60000000000002</v>
      </c>
      <c r="DC379">
        <f t="shared" si="74"/>
        <v>-15.2125</v>
      </c>
    </row>
    <row r="380" spans="1:107" x14ac:dyDescent="0.2">
      <c r="A380">
        <f>ROW(Source!A598)</f>
        <v>598</v>
      </c>
      <c r="B380">
        <v>42938047</v>
      </c>
      <c r="C380">
        <v>43143687</v>
      </c>
      <c r="D380">
        <v>36044719</v>
      </c>
      <c r="E380">
        <v>1</v>
      </c>
      <c r="F380">
        <v>1</v>
      </c>
      <c r="G380">
        <v>35973048</v>
      </c>
      <c r="H380">
        <v>2</v>
      </c>
      <c r="I380" t="s">
        <v>1255</v>
      </c>
      <c r="J380" t="s">
        <v>1256</v>
      </c>
      <c r="K380" t="s">
        <v>1257</v>
      </c>
      <c r="L380">
        <v>1367</v>
      </c>
      <c r="N380">
        <v>1011</v>
      </c>
      <c r="O380" t="s">
        <v>738</v>
      </c>
      <c r="P380" t="s">
        <v>738</v>
      </c>
      <c r="Q380">
        <v>1</v>
      </c>
      <c r="W380">
        <v>0</v>
      </c>
      <c r="X380">
        <v>-1882480599</v>
      </c>
      <c r="Y380">
        <v>8.9625000000000004</v>
      </c>
      <c r="AA380">
        <v>0</v>
      </c>
      <c r="AB380">
        <v>1447.02</v>
      </c>
      <c r="AC380">
        <v>382.11</v>
      </c>
      <c r="AD380">
        <v>0</v>
      </c>
      <c r="AE380">
        <v>0</v>
      </c>
      <c r="AF380">
        <v>169.44</v>
      </c>
      <c r="AG380">
        <v>15.02</v>
      </c>
      <c r="AH380">
        <v>0</v>
      </c>
      <c r="AI380">
        <v>1</v>
      </c>
      <c r="AJ380">
        <v>8.5399999999999991</v>
      </c>
      <c r="AK380">
        <v>25.44</v>
      </c>
      <c r="AL380">
        <v>1</v>
      </c>
      <c r="AN380">
        <v>0</v>
      </c>
      <c r="AO380">
        <v>1</v>
      </c>
      <c r="AP380">
        <v>1</v>
      </c>
      <c r="AQ380">
        <v>0</v>
      </c>
      <c r="AR380">
        <v>0</v>
      </c>
      <c r="AS380" t="s">
        <v>3</v>
      </c>
      <c r="AT380">
        <v>7.17</v>
      </c>
      <c r="AU380" t="s">
        <v>20</v>
      </c>
      <c r="AV380">
        <v>0</v>
      </c>
      <c r="AW380">
        <v>2</v>
      </c>
      <c r="AX380">
        <v>43143829</v>
      </c>
      <c r="AY380">
        <v>1</v>
      </c>
      <c r="AZ380">
        <v>0</v>
      </c>
      <c r="BA380">
        <v>381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CX380">
        <f>Y380*Source!I598</f>
        <v>2.8680000000000003</v>
      </c>
      <c r="CY380">
        <f t="shared" si="70"/>
        <v>1447.02</v>
      </c>
      <c r="CZ380">
        <f t="shared" si="71"/>
        <v>169.44</v>
      </c>
      <c r="DA380">
        <f t="shared" si="72"/>
        <v>8.5399999999999991</v>
      </c>
      <c r="DB380">
        <f t="shared" si="73"/>
        <v>1518.6</v>
      </c>
      <c r="DC380">
        <f t="shared" si="74"/>
        <v>134.61250000000001</v>
      </c>
    </row>
    <row r="381" spans="1:107" x14ac:dyDescent="0.2">
      <c r="A381">
        <f>ROW(Source!A598)</f>
        <v>598</v>
      </c>
      <c r="B381">
        <v>42938047</v>
      </c>
      <c r="C381">
        <v>43143687</v>
      </c>
      <c r="D381">
        <v>36044720</v>
      </c>
      <c r="E381">
        <v>1</v>
      </c>
      <c r="F381">
        <v>1</v>
      </c>
      <c r="G381">
        <v>35973048</v>
      </c>
      <c r="H381">
        <v>2</v>
      </c>
      <c r="I381" t="s">
        <v>765</v>
      </c>
      <c r="J381" t="s">
        <v>767</v>
      </c>
      <c r="K381" t="s">
        <v>766</v>
      </c>
      <c r="L381">
        <v>1367</v>
      </c>
      <c r="N381">
        <v>1011</v>
      </c>
      <c r="O381" t="s">
        <v>738</v>
      </c>
      <c r="P381" t="s">
        <v>738</v>
      </c>
      <c r="Q381">
        <v>1</v>
      </c>
      <c r="W381">
        <v>1</v>
      </c>
      <c r="X381">
        <v>-1920329426</v>
      </c>
      <c r="Y381">
        <v>-18.25</v>
      </c>
      <c r="AA381">
        <v>0</v>
      </c>
      <c r="AB381">
        <v>1981.02</v>
      </c>
      <c r="AC381">
        <v>466.39</v>
      </c>
      <c r="AD381">
        <v>0</v>
      </c>
      <c r="AE381">
        <v>0</v>
      </c>
      <c r="AF381">
        <v>219.5</v>
      </c>
      <c r="AG381">
        <v>17.510000000000002</v>
      </c>
      <c r="AH381">
        <v>0</v>
      </c>
      <c r="AI381">
        <v>1</v>
      </c>
      <c r="AJ381">
        <v>8.6199999999999992</v>
      </c>
      <c r="AK381">
        <v>25.44</v>
      </c>
      <c r="AL381">
        <v>1</v>
      </c>
      <c r="AN381">
        <v>0</v>
      </c>
      <c r="AO381">
        <v>1</v>
      </c>
      <c r="AP381">
        <v>1</v>
      </c>
      <c r="AQ381">
        <v>0</v>
      </c>
      <c r="AR381">
        <v>0</v>
      </c>
      <c r="AS381" t="s">
        <v>3</v>
      </c>
      <c r="AT381">
        <v>-14.6</v>
      </c>
      <c r="AU381" t="s">
        <v>20</v>
      </c>
      <c r="AV381">
        <v>0</v>
      </c>
      <c r="AW381">
        <v>2</v>
      </c>
      <c r="AX381">
        <v>43143830</v>
      </c>
      <c r="AY381">
        <v>1</v>
      </c>
      <c r="AZ381">
        <v>6144</v>
      </c>
      <c r="BA381">
        <v>382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CX381">
        <f>Y381*Source!I598</f>
        <v>-5.84</v>
      </c>
      <c r="CY381">
        <f t="shared" si="70"/>
        <v>1981.02</v>
      </c>
      <c r="CZ381">
        <f t="shared" si="71"/>
        <v>219.5</v>
      </c>
      <c r="DA381">
        <f t="shared" si="72"/>
        <v>8.6199999999999992</v>
      </c>
      <c r="DB381">
        <f t="shared" si="73"/>
        <v>-4005.875</v>
      </c>
      <c r="DC381">
        <f t="shared" si="74"/>
        <v>-319.5625</v>
      </c>
    </row>
    <row r="382" spans="1:107" x14ac:dyDescent="0.2">
      <c r="A382">
        <f>ROW(Source!A598)</f>
        <v>598</v>
      </c>
      <c r="B382">
        <v>42938047</v>
      </c>
      <c r="C382">
        <v>43143687</v>
      </c>
      <c r="D382">
        <v>36044762</v>
      </c>
      <c r="E382">
        <v>1</v>
      </c>
      <c r="F382">
        <v>1</v>
      </c>
      <c r="G382">
        <v>35973048</v>
      </c>
      <c r="H382">
        <v>2</v>
      </c>
      <c r="I382" t="s">
        <v>736</v>
      </c>
      <c r="J382" t="s">
        <v>739</v>
      </c>
      <c r="K382" t="s">
        <v>737</v>
      </c>
      <c r="L382">
        <v>1367</v>
      </c>
      <c r="N382">
        <v>1011</v>
      </c>
      <c r="O382" t="s">
        <v>738</v>
      </c>
      <c r="P382" t="s">
        <v>738</v>
      </c>
      <c r="Q382">
        <v>1</v>
      </c>
      <c r="W382">
        <v>1</v>
      </c>
      <c r="X382">
        <v>856318566</v>
      </c>
      <c r="Y382">
        <v>-2.2374999999999998</v>
      </c>
      <c r="AA382">
        <v>0</v>
      </c>
      <c r="AB382">
        <v>1591.78</v>
      </c>
      <c r="AC382">
        <v>658.97</v>
      </c>
      <c r="AD382">
        <v>0</v>
      </c>
      <c r="AE382">
        <v>0</v>
      </c>
      <c r="AF382">
        <v>125.13</v>
      </c>
      <c r="AG382">
        <v>24.74</v>
      </c>
      <c r="AH382">
        <v>0</v>
      </c>
      <c r="AI382">
        <v>1</v>
      </c>
      <c r="AJ382">
        <v>12.15</v>
      </c>
      <c r="AK382">
        <v>25.44</v>
      </c>
      <c r="AL382">
        <v>1</v>
      </c>
      <c r="AN382">
        <v>0</v>
      </c>
      <c r="AO382">
        <v>1</v>
      </c>
      <c r="AP382">
        <v>1</v>
      </c>
      <c r="AQ382">
        <v>0</v>
      </c>
      <c r="AR382">
        <v>0</v>
      </c>
      <c r="AS382" t="s">
        <v>3</v>
      </c>
      <c r="AT382">
        <v>-1.79</v>
      </c>
      <c r="AU382" t="s">
        <v>20</v>
      </c>
      <c r="AV382">
        <v>0</v>
      </c>
      <c r="AW382">
        <v>2</v>
      </c>
      <c r="AX382">
        <v>43143831</v>
      </c>
      <c r="AY382">
        <v>1</v>
      </c>
      <c r="AZ382">
        <v>6144</v>
      </c>
      <c r="BA382">
        <v>383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CX382">
        <f>Y382*Source!I598</f>
        <v>-0.71599999999999997</v>
      </c>
      <c r="CY382">
        <f t="shared" si="70"/>
        <v>1591.78</v>
      </c>
      <c r="CZ382">
        <f t="shared" si="71"/>
        <v>125.13</v>
      </c>
      <c r="DA382">
        <f t="shared" si="72"/>
        <v>12.15</v>
      </c>
      <c r="DB382">
        <f t="shared" si="73"/>
        <v>-279.97500000000002</v>
      </c>
      <c r="DC382">
        <f t="shared" si="74"/>
        <v>-55.35</v>
      </c>
    </row>
    <row r="383" spans="1:107" x14ac:dyDescent="0.2">
      <c r="A383">
        <f>ROW(Source!A598)</f>
        <v>598</v>
      </c>
      <c r="B383">
        <v>42938047</v>
      </c>
      <c r="C383">
        <v>43143687</v>
      </c>
      <c r="D383">
        <v>36044724</v>
      </c>
      <c r="E383">
        <v>1</v>
      </c>
      <c r="F383">
        <v>1</v>
      </c>
      <c r="G383">
        <v>35973048</v>
      </c>
      <c r="H383">
        <v>2</v>
      </c>
      <c r="I383" t="s">
        <v>741</v>
      </c>
      <c r="J383" t="s">
        <v>743</v>
      </c>
      <c r="K383" t="s">
        <v>742</v>
      </c>
      <c r="L383">
        <v>1367</v>
      </c>
      <c r="N383">
        <v>1011</v>
      </c>
      <c r="O383" t="s">
        <v>738</v>
      </c>
      <c r="P383" t="s">
        <v>738</v>
      </c>
      <c r="Q383">
        <v>1</v>
      </c>
      <c r="W383">
        <v>1</v>
      </c>
      <c r="X383">
        <v>-646811103</v>
      </c>
      <c r="Y383">
        <v>-0.65</v>
      </c>
      <c r="AA383">
        <v>0</v>
      </c>
      <c r="AB383">
        <v>1650.65</v>
      </c>
      <c r="AC383">
        <v>463.99</v>
      </c>
      <c r="AD383">
        <v>0</v>
      </c>
      <c r="AE383">
        <v>0</v>
      </c>
      <c r="AF383">
        <v>177.54</v>
      </c>
      <c r="AG383">
        <v>17.420000000000002</v>
      </c>
      <c r="AH383">
        <v>0</v>
      </c>
      <c r="AI383">
        <v>1</v>
      </c>
      <c r="AJ383">
        <v>8.8800000000000008</v>
      </c>
      <c r="AK383">
        <v>25.44</v>
      </c>
      <c r="AL383">
        <v>1</v>
      </c>
      <c r="AN383">
        <v>0</v>
      </c>
      <c r="AO383">
        <v>1</v>
      </c>
      <c r="AP383">
        <v>1</v>
      </c>
      <c r="AQ383">
        <v>0</v>
      </c>
      <c r="AR383">
        <v>0</v>
      </c>
      <c r="AS383" t="s">
        <v>3</v>
      </c>
      <c r="AT383">
        <v>-0.52</v>
      </c>
      <c r="AU383" t="s">
        <v>20</v>
      </c>
      <c r="AV383">
        <v>0</v>
      </c>
      <c r="AW383">
        <v>2</v>
      </c>
      <c r="AX383">
        <v>43143832</v>
      </c>
      <c r="AY383">
        <v>1</v>
      </c>
      <c r="AZ383">
        <v>6144</v>
      </c>
      <c r="BA383">
        <v>384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CX383">
        <f>Y383*Source!I598</f>
        <v>-0.20800000000000002</v>
      </c>
      <c r="CY383">
        <f t="shared" si="70"/>
        <v>1650.65</v>
      </c>
      <c r="CZ383">
        <f t="shared" si="71"/>
        <v>177.54</v>
      </c>
      <c r="DA383">
        <f t="shared" si="72"/>
        <v>8.8800000000000008</v>
      </c>
      <c r="DB383">
        <f t="shared" si="73"/>
        <v>-115.4</v>
      </c>
      <c r="DC383">
        <f t="shared" si="74"/>
        <v>-11.324999999999999</v>
      </c>
    </row>
    <row r="384" spans="1:107" x14ac:dyDescent="0.2">
      <c r="A384">
        <f>ROW(Source!A598)</f>
        <v>598</v>
      </c>
      <c r="B384">
        <v>42938047</v>
      </c>
      <c r="C384">
        <v>43143687</v>
      </c>
      <c r="D384">
        <v>36020415</v>
      </c>
      <c r="E384">
        <v>1</v>
      </c>
      <c r="F384">
        <v>1</v>
      </c>
      <c r="G384">
        <v>35973048</v>
      </c>
      <c r="H384">
        <v>3</v>
      </c>
      <c r="I384" t="s">
        <v>469</v>
      </c>
      <c r="J384" t="s">
        <v>471</v>
      </c>
      <c r="K384" t="s">
        <v>470</v>
      </c>
      <c r="L384">
        <v>1339</v>
      </c>
      <c r="N384">
        <v>1007</v>
      </c>
      <c r="O384" t="s">
        <v>84</v>
      </c>
      <c r="P384" t="s">
        <v>84</v>
      </c>
      <c r="Q384">
        <v>1</v>
      </c>
      <c r="W384">
        <v>0</v>
      </c>
      <c r="X384">
        <v>-862991314</v>
      </c>
      <c r="Y384">
        <v>7</v>
      </c>
      <c r="AA384">
        <v>36.340000000000003</v>
      </c>
      <c r="AB384">
        <v>0</v>
      </c>
      <c r="AC384">
        <v>0</v>
      </c>
      <c r="AD384">
        <v>0</v>
      </c>
      <c r="AE384">
        <v>7.07</v>
      </c>
      <c r="AF384">
        <v>0</v>
      </c>
      <c r="AG384">
        <v>0</v>
      </c>
      <c r="AH384">
        <v>0</v>
      </c>
      <c r="AI384">
        <v>5.14</v>
      </c>
      <c r="AJ384">
        <v>1</v>
      </c>
      <c r="AK384">
        <v>1</v>
      </c>
      <c r="AL384">
        <v>1</v>
      </c>
      <c r="AN384">
        <v>0</v>
      </c>
      <c r="AO384">
        <v>1</v>
      </c>
      <c r="AP384">
        <v>1</v>
      </c>
      <c r="AQ384">
        <v>0</v>
      </c>
      <c r="AR384">
        <v>0</v>
      </c>
      <c r="AS384" t="s">
        <v>3</v>
      </c>
      <c r="AT384">
        <v>7</v>
      </c>
      <c r="AU384" t="s">
        <v>3</v>
      </c>
      <c r="AV384">
        <v>0</v>
      </c>
      <c r="AW384">
        <v>2</v>
      </c>
      <c r="AX384">
        <v>43143833</v>
      </c>
      <c r="AY384">
        <v>1</v>
      </c>
      <c r="AZ384">
        <v>0</v>
      </c>
      <c r="BA384">
        <v>385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CX384">
        <f>Y384*Source!I598</f>
        <v>2.2400000000000002</v>
      </c>
      <c r="CY384">
        <f>AA384</f>
        <v>36.340000000000003</v>
      </c>
      <c r="CZ384">
        <f>AE384</f>
        <v>7.07</v>
      </c>
      <c r="DA384">
        <f>AI384</f>
        <v>5.14</v>
      </c>
      <c r="DB384">
        <f>ROUND(ROUND(AT384*CZ384,2),6)</f>
        <v>49.49</v>
      </c>
      <c r="DC384">
        <f>ROUND(ROUND(AT384*AG384,2),6)</f>
        <v>0</v>
      </c>
    </row>
    <row r="385" spans="1:107" x14ac:dyDescent="0.2">
      <c r="A385">
        <f>ROW(Source!A598)</f>
        <v>598</v>
      </c>
      <c r="B385">
        <v>42938047</v>
      </c>
      <c r="C385">
        <v>43143687</v>
      </c>
      <c r="D385">
        <v>36021709</v>
      </c>
      <c r="E385">
        <v>1</v>
      </c>
      <c r="F385">
        <v>1</v>
      </c>
      <c r="G385">
        <v>35973048</v>
      </c>
      <c r="H385">
        <v>3</v>
      </c>
      <c r="I385" t="s">
        <v>755</v>
      </c>
      <c r="J385" t="s">
        <v>757</v>
      </c>
      <c r="K385" t="s">
        <v>756</v>
      </c>
      <c r="L385">
        <v>1339</v>
      </c>
      <c r="N385">
        <v>1007</v>
      </c>
      <c r="O385" t="s">
        <v>84</v>
      </c>
      <c r="P385" t="s">
        <v>84</v>
      </c>
      <c r="Q385">
        <v>1</v>
      </c>
      <c r="W385">
        <v>0</v>
      </c>
      <c r="X385">
        <v>2065553662</v>
      </c>
      <c r="Y385">
        <v>62.5</v>
      </c>
      <c r="AA385">
        <v>1947.62</v>
      </c>
      <c r="AB385">
        <v>0</v>
      </c>
      <c r="AC385">
        <v>0</v>
      </c>
      <c r="AD385">
        <v>0</v>
      </c>
      <c r="AE385">
        <v>206.56</v>
      </c>
      <c r="AF385">
        <v>0</v>
      </c>
      <c r="AG385">
        <v>0</v>
      </c>
      <c r="AH385">
        <v>0</v>
      </c>
      <c r="AI385">
        <v>9.41</v>
      </c>
      <c r="AJ385">
        <v>1</v>
      </c>
      <c r="AK385">
        <v>1</v>
      </c>
      <c r="AL385">
        <v>1</v>
      </c>
      <c r="AN385">
        <v>0</v>
      </c>
      <c r="AO385">
        <v>0</v>
      </c>
      <c r="AP385">
        <v>1</v>
      </c>
      <c r="AQ385">
        <v>0</v>
      </c>
      <c r="AR385">
        <v>0</v>
      </c>
      <c r="AS385" t="s">
        <v>3</v>
      </c>
      <c r="AT385">
        <v>62.5</v>
      </c>
      <c r="AU385" t="s">
        <v>3</v>
      </c>
      <c r="AV385">
        <v>0</v>
      </c>
      <c r="AW385">
        <v>1</v>
      </c>
      <c r="AX385">
        <v>-1</v>
      </c>
      <c r="AY385">
        <v>0</v>
      </c>
      <c r="AZ385">
        <v>0</v>
      </c>
      <c r="BA385" t="s">
        <v>3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CX385">
        <f>Y385*Source!I598</f>
        <v>20</v>
      </c>
      <c r="CY385">
        <f>AA385</f>
        <v>1947.62</v>
      </c>
      <c r="CZ385">
        <f>AE385</f>
        <v>206.56</v>
      </c>
      <c r="DA385">
        <f>AI385</f>
        <v>9.41</v>
      </c>
      <c r="DB385">
        <f>ROUND(ROUND(AT385*CZ385,2),6)</f>
        <v>12910</v>
      </c>
      <c r="DC385">
        <f>ROUND(ROUND(AT385*AG385,2),6)</f>
        <v>0</v>
      </c>
    </row>
    <row r="386" spans="1:107" x14ac:dyDescent="0.2">
      <c r="A386">
        <f>ROW(Source!A598)</f>
        <v>598</v>
      </c>
      <c r="B386">
        <v>42938047</v>
      </c>
      <c r="C386">
        <v>43143687</v>
      </c>
      <c r="D386">
        <v>36021711</v>
      </c>
      <c r="E386">
        <v>1</v>
      </c>
      <c r="F386">
        <v>1</v>
      </c>
      <c r="G386">
        <v>35973048</v>
      </c>
      <c r="H386">
        <v>3</v>
      </c>
      <c r="I386" t="s">
        <v>759</v>
      </c>
      <c r="J386" t="s">
        <v>761</v>
      </c>
      <c r="K386" t="s">
        <v>760</v>
      </c>
      <c r="L386">
        <v>1339</v>
      </c>
      <c r="N386">
        <v>1007</v>
      </c>
      <c r="O386" t="s">
        <v>84</v>
      </c>
      <c r="P386" t="s">
        <v>84</v>
      </c>
      <c r="Q386">
        <v>1</v>
      </c>
      <c r="W386">
        <v>0</v>
      </c>
      <c r="X386">
        <v>-820942871</v>
      </c>
      <c r="Y386">
        <v>37.5</v>
      </c>
      <c r="AA386">
        <v>2006.43</v>
      </c>
      <c r="AB386">
        <v>0</v>
      </c>
      <c r="AC386">
        <v>0</v>
      </c>
      <c r="AD386">
        <v>0</v>
      </c>
      <c r="AE386">
        <v>173.37</v>
      </c>
      <c r="AF386">
        <v>0</v>
      </c>
      <c r="AG386">
        <v>0</v>
      </c>
      <c r="AH386">
        <v>0</v>
      </c>
      <c r="AI386">
        <v>11.55</v>
      </c>
      <c r="AJ386">
        <v>1</v>
      </c>
      <c r="AK386">
        <v>1</v>
      </c>
      <c r="AL386">
        <v>1</v>
      </c>
      <c r="AN386">
        <v>0</v>
      </c>
      <c r="AO386">
        <v>0</v>
      </c>
      <c r="AP386">
        <v>0</v>
      </c>
      <c r="AQ386">
        <v>0</v>
      </c>
      <c r="AR386">
        <v>0</v>
      </c>
      <c r="AS386" t="s">
        <v>3</v>
      </c>
      <c r="AT386">
        <v>37.5</v>
      </c>
      <c r="AU386" t="s">
        <v>3</v>
      </c>
      <c r="AV386">
        <v>0</v>
      </c>
      <c r="AW386">
        <v>1</v>
      </c>
      <c r="AX386">
        <v>-1</v>
      </c>
      <c r="AY386">
        <v>0</v>
      </c>
      <c r="AZ386">
        <v>0</v>
      </c>
      <c r="BA386" t="s">
        <v>3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CX386">
        <f>Y386*Source!I598</f>
        <v>12</v>
      </c>
      <c r="CY386">
        <f>AA386</f>
        <v>2006.43</v>
      </c>
      <c r="CZ386">
        <f>AE386</f>
        <v>173.37</v>
      </c>
      <c r="DA386">
        <f>AI386</f>
        <v>11.55</v>
      </c>
      <c r="DB386">
        <f>ROUND(ROUND(AT386*CZ386,2),6)</f>
        <v>6501.38</v>
      </c>
      <c r="DC386">
        <f>ROUND(ROUND(AT386*AG386,2),6)</f>
        <v>0</v>
      </c>
    </row>
    <row r="387" spans="1:107" x14ac:dyDescent="0.2">
      <c r="A387">
        <f>ROW(Source!A606)</f>
        <v>606</v>
      </c>
      <c r="B387">
        <v>42938047</v>
      </c>
      <c r="C387">
        <v>43143865</v>
      </c>
      <c r="D387">
        <v>35973053</v>
      </c>
      <c r="E387">
        <v>35973048</v>
      </c>
      <c r="F387">
        <v>1</v>
      </c>
      <c r="G387">
        <v>35973048</v>
      </c>
      <c r="H387">
        <v>1</v>
      </c>
      <c r="I387" t="s">
        <v>1228</v>
      </c>
      <c r="J387" t="s">
        <v>3</v>
      </c>
      <c r="K387" t="s">
        <v>1229</v>
      </c>
      <c r="L387">
        <v>1191</v>
      </c>
      <c r="N387">
        <v>1013</v>
      </c>
      <c r="O387" t="s">
        <v>1230</v>
      </c>
      <c r="P387" t="s">
        <v>1230</v>
      </c>
      <c r="Q387">
        <v>1</v>
      </c>
      <c r="W387">
        <v>0</v>
      </c>
      <c r="X387">
        <v>476480486</v>
      </c>
      <c r="Y387">
        <v>8.4179999999999993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1</v>
      </c>
      <c r="AJ387">
        <v>1</v>
      </c>
      <c r="AK387">
        <v>1</v>
      </c>
      <c r="AL387">
        <v>25.44</v>
      </c>
      <c r="AN387">
        <v>0</v>
      </c>
      <c r="AO387">
        <v>1</v>
      </c>
      <c r="AP387">
        <v>1</v>
      </c>
      <c r="AQ387">
        <v>0</v>
      </c>
      <c r="AR387">
        <v>0</v>
      </c>
      <c r="AS387" t="s">
        <v>3</v>
      </c>
      <c r="AT387">
        <v>7.32</v>
      </c>
      <c r="AU387" t="s">
        <v>21</v>
      </c>
      <c r="AV387">
        <v>1</v>
      </c>
      <c r="AW387">
        <v>2</v>
      </c>
      <c r="AX387">
        <v>43148783</v>
      </c>
      <c r="AY387">
        <v>1</v>
      </c>
      <c r="AZ387">
        <v>0</v>
      </c>
      <c r="BA387">
        <v>387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CX387">
        <f>Y387*Source!I606</f>
        <v>16.835999999999999</v>
      </c>
      <c r="CY387">
        <f>AD387</f>
        <v>0</v>
      </c>
      <c r="CZ387">
        <f>AH387</f>
        <v>0</v>
      </c>
      <c r="DA387">
        <f>AL387</f>
        <v>25.44</v>
      </c>
      <c r="DB387">
        <f>ROUND((ROUND(AT387*CZ387,2)*1.15),6)</f>
        <v>0</v>
      </c>
      <c r="DC387">
        <f>ROUND((ROUND(AT387*AG387,2)*1.15),6)</f>
        <v>0</v>
      </c>
    </row>
    <row r="388" spans="1:107" x14ac:dyDescent="0.2">
      <c r="A388">
        <f>ROW(Source!A606)</f>
        <v>606</v>
      </c>
      <c r="B388">
        <v>42938047</v>
      </c>
      <c r="C388">
        <v>43143865</v>
      </c>
      <c r="D388">
        <v>36045311</v>
      </c>
      <c r="E388">
        <v>1</v>
      </c>
      <c r="F388">
        <v>1</v>
      </c>
      <c r="G388">
        <v>35973048</v>
      </c>
      <c r="H388">
        <v>2</v>
      </c>
      <c r="I388" t="s">
        <v>1308</v>
      </c>
      <c r="J388" t="s">
        <v>1309</v>
      </c>
      <c r="K388" t="s">
        <v>1310</v>
      </c>
      <c r="L388">
        <v>1367</v>
      </c>
      <c r="N388">
        <v>1011</v>
      </c>
      <c r="O388" t="s">
        <v>738</v>
      </c>
      <c r="P388" t="s">
        <v>738</v>
      </c>
      <c r="Q388">
        <v>1</v>
      </c>
      <c r="W388">
        <v>0</v>
      </c>
      <c r="X388">
        <v>739358316</v>
      </c>
      <c r="Y388">
        <v>2.5000000000000001E-2</v>
      </c>
      <c r="AA388">
        <v>0</v>
      </c>
      <c r="AB388">
        <v>1024.32</v>
      </c>
      <c r="AC388">
        <v>395.85</v>
      </c>
      <c r="AD388">
        <v>0</v>
      </c>
      <c r="AE388">
        <v>0</v>
      </c>
      <c r="AF388">
        <v>113.31</v>
      </c>
      <c r="AG388">
        <v>15.56</v>
      </c>
      <c r="AH388">
        <v>0</v>
      </c>
      <c r="AI388">
        <v>1</v>
      </c>
      <c r="AJ388">
        <v>9.0399999999999991</v>
      </c>
      <c r="AK388">
        <v>25.44</v>
      </c>
      <c r="AL388">
        <v>1</v>
      </c>
      <c r="AN388">
        <v>0</v>
      </c>
      <c r="AO388">
        <v>1</v>
      </c>
      <c r="AP388">
        <v>1</v>
      </c>
      <c r="AQ388">
        <v>0</v>
      </c>
      <c r="AR388">
        <v>0</v>
      </c>
      <c r="AS388" t="s">
        <v>3</v>
      </c>
      <c r="AT388">
        <v>0.02</v>
      </c>
      <c r="AU388" t="s">
        <v>20</v>
      </c>
      <c r="AV388">
        <v>0</v>
      </c>
      <c r="AW388">
        <v>2</v>
      </c>
      <c r="AX388">
        <v>43148784</v>
      </c>
      <c r="AY388">
        <v>1</v>
      </c>
      <c r="AZ388">
        <v>0</v>
      </c>
      <c r="BA388">
        <v>388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CX388">
        <f>Y388*Source!I606</f>
        <v>0.05</v>
      </c>
      <c r="CY388">
        <f>AB388</f>
        <v>1024.32</v>
      </c>
      <c r="CZ388">
        <f>AF388</f>
        <v>113.31</v>
      </c>
      <c r="DA388">
        <f>AJ388</f>
        <v>9.0399999999999991</v>
      </c>
      <c r="DB388">
        <f>ROUND((ROUND(AT388*CZ388,2)*1.25),6)</f>
        <v>2.8374999999999999</v>
      </c>
      <c r="DC388">
        <f>ROUND((ROUND(AT388*AG388,2)*1.25),6)</f>
        <v>0.38750000000000001</v>
      </c>
    </row>
    <row r="389" spans="1:107" x14ac:dyDescent="0.2">
      <c r="A389">
        <f>ROW(Source!A606)</f>
        <v>606</v>
      </c>
      <c r="B389">
        <v>42938047</v>
      </c>
      <c r="C389">
        <v>43143865</v>
      </c>
      <c r="D389">
        <v>36045430</v>
      </c>
      <c r="E389">
        <v>1</v>
      </c>
      <c r="F389">
        <v>1</v>
      </c>
      <c r="G389">
        <v>35973048</v>
      </c>
      <c r="H389">
        <v>2</v>
      </c>
      <c r="I389" t="s">
        <v>1311</v>
      </c>
      <c r="J389" t="s">
        <v>1312</v>
      </c>
      <c r="K389" t="s">
        <v>1313</v>
      </c>
      <c r="L389">
        <v>1367</v>
      </c>
      <c r="N389">
        <v>1011</v>
      </c>
      <c r="O389" t="s">
        <v>738</v>
      </c>
      <c r="P389" t="s">
        <v>738</v>
      </c>
      <c r="Q389">
        <v>1</v>
      </c>
      <c r="W389">
        <v>0</v>
      </c>
      <c r="X389">
        <v>1822400490</v>
      </c>
      <c r="Y389">
        <v>0.13750000000000001</v>
      </c>
      <c r="AA389">
        <v>0</v>
      </c>
      <c r="AB389">
        <v>7.6</v>
      </c>
      <c r="AC389">
        <v>1.02</v>
      </c>
      <c r="AD389">
        <v>0</v>
      </c>
      <c r="AE389">
        <v>0</v>
      </c>
      <c r="AF389">
        <v>2.21</v>
      </c>
      <c r="AG389">
        <v>0.04</v>
      </c>
      <c r="AH389">
        <v>0</v>
      </c>
      <c r="AI389">
        <v>1</v>
      </c>
      <c r="AJ389">
        <v>3.44</v>
      </c>
      <c r="AK389">
        <v>25.44</v>
      </c>
      <c r="AL389">
        <v>1</v>
      </c>
      <c r="AN389">
        <v>0</v>
      </c>
      <c r="AO389">
        <v>1</v>
      </c>
      <c r="AP389">
        <v>1</v>
      </c>
      <c r="AQ389">
        <v>0</v>
      </c>
      <c r="AR389">
        <v>0</v>
      </c>
      <c r="AS389" t="s">
        <v>3</v>
      </c>
      <c r="AT389">
        <v>0.11</v>
      </c>
      <c r="AU389" t="s">
        <v>20</v>
      </c>
      <c r="AV389">
        <v>0</v>
      </c>
      <c r="AW389">
        <v>2</v>
      </c>
      <c r="AX389">
        <v>43148786</v>
      </c>
      <c r="AY389">
        <v>1</v>
      </c>
      <c r="AZ389">
        <v>0</v>
      </c>
      <c r="BA389">
        <v>389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CX389">
        <f>Y389*Source!I606</f>
        <v>0.27500000000000002</v>
      </c>
      <c r="CY389">
        <f>AB389</f>
        <v>7.6</v>
      </c>
      <c r="CZ389">
        <f>AF389</f>
        <v>2.21</v>
      </c>
      <c r="DA389">
        <f>AJ389</f>
        <v>3.44</v>
      </c>
      <c r="DB389">
        <f>ROUND((ROUND(AT389*CZ389,2)*1.25),6)</f>
        <v>0.3</v>
      </c>
      <c r="DC389">
        <f>ROUND((ROUND(AT389*AG389,2)*1.25),6)</f>
        <v>0</v>
      </c>
    </row>
    <row r="390" spans="1:107" x14ac:dyDescent="0.2">
      <c r="A390">
        <f>ROW(Source!A606)</f>
        <v>606</v>
      </c>
      <c r="B390">
        <v>42938047</v>
      </c>
      <c r="C390">
        <v>43143865</v>
      </c>
      <c r="D390">
        <v>36045388</v>
      </c>
      <c r="E390">
        <v>1</v>
      </c>
      <c r="F390">
        <v>1</v>
      </c>
      <c r="G390">
        <v>35973048</v>
      </c>
      <c r="H390">
        <v>2</v>
      </c>
      <c r="I390" t="s">
        <v>1314</v>
      </c>
      <c r="J390" t="s">
        <v>1315</v>
      </c>
      <c r="K390" t="s">
        <v>1316</v>
      </c>
      <c r="L390">
        <v>1367</v>
      </c>
      <c r="N390">
        <v>1011</v>
      </c>
      <c r="O390" t="s">
        <v>738</v>
      </c>
      <c r="P390" t="s">
        <v>738</v>
      </c>
      <c r="Q390">
        <v>1</v>
      </c>
      <c r="W390">
        <v>0</v>
      </c>
      <c r="X390">
        <v>926785503</v>
      </c>
      <c r="Y390">
        <v>3.7499999999999999E-2</v>
      </c>
      <c r="AA390">
        <v>0</v>
      </c>
      <c r="AB390">
        <v>5.81</v>
      </c>
      <c r="AC390">
        <v>1.02</v>
      </c>
      <c r="AD390">
        <v>0</v>
      </c>
      <c r="AE390">
        <v>0</v>
      </c>
      <c r="AF390">
        <v>0.64</v>
      </c>
      <c r="AG390">
        <v>0.04</v>
      </c>
      <c r="AH390">
        <v>0</v>
      </c>
      <c r="AI390">
        <v>1</v>
      </c>
      <c r="AJ390">
        <v>9.08</v>
      </c>
      <c r="AK390">
        <v>25.44</v>
      </c>
      <c r="AL390">
        <v>1</v>
      </c>
      <c r="AN390">
        <v>0</v>
      </c>
      <c r="AO390">
        <v>1</v>
      </c>
      <c r="AP390">
        <v>1</v>
      </c>
      <c r="AQ390">
        <v>0</v>
      </c>
      <c r="AR390">
        <v>0</v>
      </c>
      <c r="AS390" t="s">
        <v>3</v>
      </c>
      <c r="AT390">
        <v>0.03</v>
      </c>
      <c r="AU390" t="s">
        <v>20</v>
      </c>
      <c r="AV390">
        <v>0</v>
      </c>
      <c r="AW390">
        <v>2</v>
      </c>
      <c r="AX390">
        <v>43148787</v>
      </c>
      <c r="AY390">
        <v>1</v>
      </c>
      <c r="AZ390">
        <v>0</v>
      </c>
      <c r="BA390">
        <v>390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CX390">
        <f>Y390*Source!I606</f>
        <v>7.4999999999999997E-2</v>
      </c>
      <c r="CY390">
        <f>AB390</f>
        <v>5.81</v>
      </c>
      <c r="CZ390">
        <f>AF390</f>
        <v>0.64</v>
      </c>
      <c r="DA390">
        <f>AJ390</f>
        <v>9.08</v>
      </c>
      <c r="DB390">
        <f>ROUND((ROUND(AT390*CZ390,2)*1.25),6)</f>
        <v>2.5000000000000001E-2</v>
      </c>
      <c r="DC390">
        <f>ROUND((ROUND(AT390*AG390,2)*1.25),6)</f>
        <v>0</v>
      </c>
    </row>
    <row r="391" spans="1:107" x14ac:dyDescent="0.2">
      <c r="A391">
        <f>ROW(Source!A606)</f>
        <v>606</v>
      </c>
      <c r="B391">
        <v>42938047</v>
      </c>
      <c r="C391">
        <v>43143865</v>
      </c>
      <c r="D391">
        <v>36044555</v>
      </c>
      <c r="E391">
        <v>1</v>
      </c>
      <c r="F391">
        <v>1</v>
      </c>
      <c r="G391">
        <v>35973048</v>
      </c>
      <c r="H391">
        <v>2</v>
      </c>
      <c r="I391" t="s">
        <v>1267</v>
      </c>
      <c r="J391" t="s">
        <v>1268</v>
      </c>
      <c r="K391" t="s">
        <v>1269</v>
      </c>
      <c r="L391">
        <v>1367</v>
      </c>
      <c r="N391">
        <v>1011</v>
      </c>
      <c r="O391" t="s">
        <v>738</v>
      </c>
      <c r="P391" t="s">
        <v>738</v>
      </c>
      <c r="Q391">
        <v>1</v>
      </c>
      <c r="W391">
        <v>0</v>
      </c>
      <c r="X391">
        <v>-266174272</v>
      </c>
      <c r="Y391">
        <v>2.5000000000000001E-2</v>
      </c>
      <c r="AA391">
        <v>0</v>
      </c>
      <c r="AB391">
        <v>1636.27</v>
      </c>
      <c r="AC391">
        <v>461.74</v>
      </c>
      <c r="AD391">
        <v>0</v>
      </c>
      <c r="AE391">
        <v>0</v>
      </c>
      <c r="AF391">
        <v>190.93</v>
      </c>
      <c r="AG391">
        <v>18.149999999999999</v>
      </c>
      <c r="AH391">
        <v>0</v>
      </c>
      <c r="AI391">
        <v>1</v>
      </c>
      <c r="AJ391">
        <v>8.57</v>
      </c>
      <c r="AK391">
        <v>25.44</v>
      </c>
      <c r="AL391">
        <v>1</v>
      </c>
      <c r="AN391">
        <v>0</v>
      </c>
      <c r="AO391">
        <v>1</v>
      </c>
      <c r="AP391">
        <v>1</v>
      </c>
      <c r="AQ391">
        <v>0</v>
      </c>
      <c r="AR391">
        <v>0</v>
      </c>
      <c r="AS391" t="s">
        <v>3</v>
      </c>
      <c r="AT391">
        <v>0.02</v>
      </c>
      <c r="AU391" t="s">
        <v>20</v>
      </c>
      <c r="AV391">
        <v>0</v>
      </c>
      <c r="AW391">
        <v>2</v>
      </c>
      <c r="AX391">
        <v>43148785</v>
      </c>
      <c r="AY391">
        <v>1</v>
      </c>
      <c r="AZ391">
        <v>0</v>
      </c>
      <c r="BA391">
        <v>391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CX391">
        <f>Y391*Source!I606</f>
        <v>0.05</v>
      </c>
      <c r="CY391">
        <f>AB391</f>
        <v>1636.27</v>
      </c>
      <c r="CZ391">
        <f>AF391</f>
        <v>190.93</v>
      </c>
      <c r="DA391">
        <f>AJ391</f>
        <v>8.57</v>
      </c>
      <c r="DB391">
        <f>ROUND((ROUND(AT391*CZ391,2)*1.25),6)</f>
        <v>4.7750000000000004</v>
      </c>
      <c r="DC391">
        <f>ROUND((ROUND(AT391*AG391,2)*1.25),6)</f>
        <v>0.45</v>
      </c>
    </row>
    <row r="392" spans="1:107" x14ac:dyDescent="0.2">
      <c r="A392">
        <f>ROW(Source!A606)</f>
        <v>606</v>
      </c>
      <c r="B392">
        <v>42938047</v>
      </c>
      <c r="C392">
        <v>43143865</v>
      </c>
      <c r="D392">
        <v>36020412</v>
      </c>
      <c r="E392">
        <v>1</v>
      </c>
      <c r="F392">
        <v>1</v>
      </c>
      <c r="G392">
        <v>35973048</v>
      </c>
      <c r="H392">
        <v>3</v>
      </c>
      <c r="I392" t="s">
        <v>1317</v>
      </c>
      <c r="J392" t="s">
        <v>1318</v>
      </c>
      <c r="K392" t="s">
        <v>1319</v>
      </c>
      <c r="L392">
        <v>1346</v>
      </c>
      <c r="N392">
        <v>1009</v>
      </c>
      <c r="O392" t="s">
        <v>131</v>
      </c>
      <c r="P392" t="s">
        <v>131</v>
      </c>
      <c r="Q392">
        <v>1</v>
      </c>
      <c r="W392">
        <v>0</v>
      </c>
      <c r="X392">
        <v>622621594</v>
      </c>
      <c r="Y392">
        <v>0.5</v>
      </c>
      <c r="AA392">
        <v>50.88</v>
      </c>
      <c r="AB392">
        <v>0</v>
      </c>
      <c r="AC392">
        <v>0</v>
      </c>
      <c r="AD392">
        <v>0</v>
      </c>
      <c r="AE392">
        <v>1.61</v>
      </c>
      <c r="AF392">
        <v>0</v>
      </c>
      <c r="AG392">
        <v>0</v>
      </c>
      <c r="AH392">
        <v>0</v>
      </c>
      <c r="AI392">
        <v>31.6</v>
      </c>
      <c r="AJ392">
        <v>1</v>
      </c>
      <c r="AK392">
        <v>1</v>
      </c>
      <c r="AL392">
        <v>1</v>
      </c>
      <c r="AN392">
        <v>0</v>
      </c>
      <c r="AO392">
        <v>1</v>
      </c>
      <c r="AP392">
        <v>1</v>
      </c>
      <c r="AQ392">
        <v>0</v>
      </c>
      <c r="AR392">
        <v>0</v>
      </c>
      <c r="AS392" t="s">
        <v>3</v>
      </c>
      <c r="AT392">
        <v>0.5</v>
      </c>
      <c r="AU392" t="s">
        <v>3</v>
      </c>
      <c r="AV392">
        <v>0</v>
      </c>
      <c r="AW392">
        <v>2</v>
      </c>
      <c r="AX392">
        <v>43148788</v>
      </c>
      <c r="AY392">
        <v>1</v>
      </c>
      <c r="AZ392">
        <v>0</v>
      </c>
      <c r="BA392">
        <v>392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CX392">
        <f>Y392*Source!I606</f>
        <v>1</v>
      </c>
      <c r="CY392">
        <f t="shared" ref="CY392:CY401" si="75">AA392</f>
        <v>50.88</v>
      </c>
      <c r="CZ392">
        <f t="shared" ref="CZ392:CZ401" si="76">AE392</f>
        <v>1.61</v>
      </c>
      <c r="DA392">
        <f t="shared" ref="DA392:DA401" si="77">AI392</f>
        <v>31.6</v>
      </c>
      <c r="DB392">
        <f t="shared" ref="DB392:DB401" si="78">ROUND(ROUND(AT392*CZ392,2),6)</f>
        <v>0.81</v>
      </c>
      <c r="DC392">
        <f t="shared" ref="DC392:DC401" si="79">ROUND(ROUND(AT392*AG392,2),6)</f>
        <v>0</v>
      </c>
    </row>
    <row r="393" spans="1:107" x14ac:dyDescent="0.2">
      <c r="A393">
        <f>ROW(Source!A606)</f>
        <v>606</v>
      </c>
      <c r="B393">
        <v>42938047</v>
      </c>
      <c r="C393">
        <v>43143865</v>
      </c>
      <c r="D393">
        <v>36020415</v>
      </c>
      <c r="E393">
        <v>1</v>
      </c>
      <c r="F393">
        <v>1</v>
      </c>
      <c r="G393">
        <v>35973048</v>
      </c>
      <c r="H393">
        <v>3</v>
      </c>
      <c r="I393" t="s">
        <v>469</v>
      </c>
      <c r="J393" t="s">
        <v>471</v>
      </c>
      <c r="K393" t="s">
        <v>470</v>
      </c>
      <c r="L393">
        <v>1339</v>
      </c>
      <c r="N393">
        <v>1007</v>
      </c>
      <c r="O393" t="s">
        <v>84</v>
      </c>
      <c r="P393" t="s">
        <v>84</v>
      </c>
      <c r="Q393">
        <v>1</v>
      </c>
      <c r="W393">
        <v>0</v>
      </c>
      <c r="X393">
        <v>-862991314</v>
      </c>
      <c r="Y393">
        <v>0.52600000000000002</v>
      </c>
      <c r="AA393">
        <v>36.340000000000003</v>
      </c>
      <c r="AB393">
        <v>0</v>
      </c>
      <c r="AC393">
        <v>0</v>
      </c>
      <c r="AD393">
        <v>0</v>
      </c>
      <c r="AE393">
        <v>7.07</v>
      </c>
      <c r="AF393">
        <v>0</v>
      </c>
      <c r="AG393">
        <v>0</v>
      </c>
      <c r="AH393">
        <v>0</v>
      </c>
      <c r="AI393">
        <v>5.14</v>
      </c>
      <c r="AJ393">
        <v>1</v>
      </c>
      <c r="AK393">
        <v>1</v>
      </c>
      <c r="AL393">
        <v>1</v>
      </c>
      <c r="AN393">
        <v>0</v>
      </c>
      <c r="AO393">
        <v>1</v>
      </c>
      <c r="AP393">
        <v>1</v>
      </c>
      <c r="AQ393">
        <v>0</v>
      </c>
      <c r="AR393">
        <v>0</v>
      </c>
      <c r="AS393" t="s">
        <v>3</v>
      </c>
      <c r="AT393">
        <v>0.52600000000000002</v>
      </c>
      <c r="AU393" t="s">
        <v>3</v>
      </c>
      <c r="AV393">
        <v>0</v>
      </c>
      <c r="AW393">
        <v>2</v>
      </c>
      <c r="AX393">
        <v>43148789</v>
      </c>
      <c r="AY393">
        <v>1</v>
      </c>
      <c r="AZ393">
        <v>0</v>
      </c>
      <c r="BA393">
        <v>393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CX393">
        <f>Y393*Source!I606</f>
        <v>1.052</v>
      </c>
      <c r="CY393">
        <f t="shared" si="75"/>
        <v>36.340000000000003</v>
      </c>
      <c r="CZ393">
        <f t="shared" si="76"/>
        <v>7.07</v>
      </c>
      <c r="DA393">
        <f t="shared" si="77"/>
        <v>5.14</v>
      </c>
      <c r="DB393">
        <f t="shared" si="78"/>
        <v>3.72</v>
      </c>
      <c r="DC393">
        <f t="shared" si="79"/>
        <v>0</v>
      </c>
    </row>
    <row r="394" spans="1:107" x14ac:dyDescent="0.2">
      <c r="A394">
        <f>ROW(Source!A606)</f>
        <v>606</v>
      </c>
      <c r="B394">
        <v>42938047</v>
      </c>
      <c r="C394">
        <v>43143865</v>
      </c>
      <c r="D394">
        <v>36022664</v>
      </c>
      <c r="E394">
        <v>1</v>
      </c>
      <c r="F394">
        <v>1</v>
      </c>
      <c r="G394">
        <v>35973048</v>
      </c>
      <c r="H394">
        <v>3</v>
      </c>
      <c r="I394" t="s">
        <v>1320</v>
      </c>
      <c r="J394" t="s">
        <v>1321</v>
      </c>
      <c r="K394" t="s">
        <v>1322</v>
      </c>
      <c r="L394">
        <v>1346</v>
      </c>
      <c r="N394">
        <v>1009</v>
      </c>
      <c r="O394" t="s">
        <v>131</v>
      </c>
      <c r="P394" t="s">
        <v>131</v>
      </c>
      <c r="Q394">
        <v>1</v>
      </c>
      <c r="W394">
        <v>0</v>
      </c>
      <c r="X394">
        <v>-774921586</v>
      </c>
      <c r="Y394">
        <v>9.2799999999999994E-2</v>
      </c>
      <c r="AA394">
        <v>109.69</v>
      </c>
      <c r="AB394">
        <v>0</v>
      </c>
      <c r="AC394">
        <v>0</v>
      </c>
      <c r="AD394">
        <v>0</v>
      </c>
      <c r="AE394">
        <v>27.63</v>
      </c>
      <c r="AF394">
        <v>0</v>
      </c>
      <c r="AG394">
        <v>0</v>
      </c>
      <c r="AH394">
        <v>0</v>
      </c>
      <c r="AI394">
        <v>3.97</v>
      </c>
      <c r="AJ394">
        <v>1</v>
      </c>
      <c r="AK394">
        <v>1</v>
      </c>
      <c r="AL394">
        <v>1</v>
      </c>
      <c r="AN394">
        <v>0</v>
      </c>
      <c r="AO394">
        <v>1</v>
      </c>
      <c r="AP394">
        <v>1</v>
      </c>
      <c r="AQ394">
        <v>0</v>
      </c>
      <c r="AR394">
        <v>0</v>
      </c>
      <c r="AS394" t="s">
        <v>3</v>
      </c>
      <c r="AT394">
        <v>9.2799999999999994E-2</v>
      </c>
      <c r="AU394" t="s">
        <v>3</v>
      </c>
      <c r="AV394">
        <v>0</v>
      </c>
      <c r="AW394">
        <v>2</v>
      </c>
      <c r="AX394">
        <v>43148790</v>
      </c>
      <c r="AY394">
        <v>1</v>
      </c>
      <c r="AZ394">
        <v>0</v>
      </c>
      <c r="BA394">
        <v>394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CX394">
        <f>Y394*Source!I606</f>
        <v>0.18559999999999999</v>
      </c>
      <c r="CY394">
        <f t="shared" si="75"/>
        <v>109.69</v>
      </c>
      <c r="CZ394">
        <f t="shared" si="76"/>
        <v>27.63</v>
      </c>
      <c r="DA394">
        <f t="shared" si="77"/>
        <v>3.97</v>
      </c>
      <c r="DB394">
        <f t="shared" si="78"/>
        <v>2.56</v>
      </c>
      <c r="DC394">
        <f t="shared" si="79"/>
        <v>0</v>
      </c>
    </row>
    <row r="395" spans="1:107" x14ac:dyDescent="0.2">
      <c r="A395">
        <f>ROW(Source!A606)</f>
        <v>606</v>
      </c>
      <c r="B395">
        <v>42938047</v>
      </c>
      <c r="C395">
        <v>43143865</v>
      </c>
      <c r="D395">
        <v>36020901</v>
      </c>
      <c r="E395">
        <v>1</v>
      </c>
      <c r="F395">
        <v>1</v>
      </c>
      <c r="G395">
        <v>35973048</v>
      </c>
      <c r="H395">
        <v>3</v>
      </c>
      <c r="I395" t="s">
        <v>1323</v>
      </c>
      <c r="J395" t="s">
        <v>1324</v>
      </c>
      <c r="K395" t="s">
        <v>1325</v>
      </c>
      <c r="L395">
        <v>1348</v>
      </c>
      <c r="N395">
        <v>1009</v>
      </c>
      <c r="O395" t="s">
        <v>104</v>
      </c>
      <c r="P395" t="s">
        <v>104</v>
      </c>
      <c r="Q395">
        <v>1000</v>
      </c>
      <c r="W395">
        <v>0</v>
      </c>
      <c r="X395">
        <v>2122386331</v>
      </c>
      <c r="Y395">
        <v>3.5E-4</v>
      </c>
      <c r="AA395">
        <v>14262.77</v>
      </c>
      <c r="AB395">
        <v>0</v>
      </c>
      <c r="AC395">
        <v>0</v>
      </c>
      <c r="AD395">
        <v>0</v>
      </c>
      <c r="AE395">
        <v>18054.14</v>
      </c>
      <c r="AF395">
        <v>0</v>
      </c>
      <c r="AG395">
        <v>0</v>
      </c>
      <c r="AH395">
        <v>0</v>
      </c>
      <c r="AI395">
        <v>0.79</v>
      </c>
      <c r="AJ395">
        <v>1</v>
      </c>
      <c r="AK395">
        <v>1</v>
      </c>
      <c r="AL395">
        <v>1</v>
      </c>
      <c r="AN395">
        <v>0</v>
      </c>
      <c r="AO395">
        <v>1</v>
      </c>
      <c r="AP395">
        <v>1</v>
      </c>
      <c r="AQ395">
        <v>0</v>
      </c>
      <c r="AR395">
        <v>0</v>
      </c>
      <c r="AS395" t="s">
        <v>3</v>
      </c>
      <c r="AT395">
        <v>3.5E-4</v>
      </c>
      <c r="AU395" t="s">
        <v>3</v>
      </c>
      <c r="AV395">
        <v>0</v>
      </c>
      <c r="AW395">
        <v>2</v>
      </c>
      <c r="AX395">
        <v>43148791</v>
      </c>
      <c r="AY395">
        <v>1</v>
      </c>
      <c r="AZ395">
        <v>0</v>
      </c>
      <c r="BA395">
        <v>395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CX395">
        <f>Y395*Source!I606</f>
        <v>6.9999999999999999E-4</v>
      </c>
      <c r="CY395">
        <f t="shared" si="75"/>
        <v>14262.77</v>
      </c>
      <c r="CZ395">
        <f t="shared" si="76"/>
        <v>18054.14</v>
      </c>
      <c r="DA395">
        <f t="shared" si="77"/>
        <v>0.79</v>
      </c>
      <c r="DB395">
        <f t="shared" si="78"/>
        <v>6.32</v>
      </c>
      <c r="DC395">
        <f t="shared" si="79"/>
        <v>0</v>
      </c>
    </row>
    <row r="396" spans="1:107" x14ac:dyDescent="0.2">
      <c r="A396">
        <f>ROW(Source!A606)</f>
        <v>606</v>
      </c>
      <c r="B396">
        <v>42938047</v>
      </c>
      <c r="C396">
        <v>43143865</v>
      </c>
      <c r="D396">
        <v>36020974</v>
      </c>
      <c r="E396">
        <v>1</v>
      </c>
      <c r="F396">
        <v>1</v>
      </c>
      <c r="G396">
        <v>35973048</v>
      </c>
      <c r="H396">
        <v>3</v>
      </c>
      <c r="I396" t="s">
        <v>91</v>
      </c>
      <c r="J396" t="s">
        <v>93</v>
      </c>
      <c r="K396" t="s">
        <v>92</v>
      </c>
      <c r="L396">
        <v>1339</v>
      </c>
      <c r="N396">
        <v>1007</v>
      </c>
      <c r="O396" t="s">
        <v>84</v>
      </c>
      <c r="P396" t="s">
        <v>84</v>
      </c>
      <c r="Q396">
        <v>1</v>
      </c>
      <c r="W396">
        <v>0</v>
      </c>
      <c r="X396">
        <v>2069056849</v>
      </c>
      <c r="Y396">
        <v>2.37</v>
      </c>
      <c r="AA396">
        <v>578.49</v>
      </c>
      <c r="AB396">
        <v>0</v>
      </c>
      <c r="AC396">
        <v>0</v>
      </c>
      <c r="AD396">
        <v>0</v>
      </c>
      <c r="AE396">
        <v>104.99</v>
      </c>
      <c r="AF396">
        <v>0</v>
      </c>
      <c r="AG396">
        <v>0</v>
      </c>
      <c r="AH396">
        <v>0</v>
      </c>
      <c r="AI396">
        <v>5.51</v>
      </c>
      <c r="AJ396">
        <v>1</v>
      </c>
      <c r="AK396">
        <v>1</v>
      </c>
      <c r="AL396">
        <v>1</v>
      </c>
      <c r="AN396">
        <v>0</v>
      </c>
      <c r="AO396">
        <v>1</v>
      </c>
      <c r="AP396">
        <v>1</v>
      </c>
      <c r="AQ396">
        <v>0</v>
      </c>
      <c r="AR396">
        <v>0</v>
      </c>
      <c r="AS396" t="s">
        <v>3</v>
      </c>
      <c r="AT396">
        <v>2.37</v>
      </c>
      <c r="AU396" t="s">
        <v>3</v>
      </c>
      <c r="AV396">
        <v>0</v>
      </c>
      <c r="AW396">
        <v>2</v>
      </c>
      <c r="AX396">
        <v>43148792</v>
      </c>
      <c r="AY396">
        <v>1</v>
      </c>
      <c r="AZ396">
        <v>0</v>
      </c>
      <c r="BA396">
        <v>396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CX396">
        <f>Y396*Source!I606</f>
        <v>4.74</v>
      </c>
      <c r="CY396">
        <f t="shared" si="75"/>
        <v>578.49</v>
      </c>
      <c r="CZ396">
        <f t="shared" si="76"/>
        <v>104.99</v>
      </c>
      <c r="DA396">
        <f t="shared" si="77"/>
        <v>5.51</v>
      </c>
      <c r="DB396">
        <f t="shared" si="78"/>
        <v>248.83</v>
      </c>
      <c r="DC396">
        <f t="shared" si="79"/>
        <v>0</v>
      </c>
    </row>
    <row r="397" spans="1:107" x14ac:dyDescent="0.2">
      <c r="A397">
        <f>ROW(Source!A606)</f>
        <v>606</v>
      </c>
      <c r="B397">
        <v>42938047</v>
      </c>
      <c r="C397">
        <v>43143865</v>
      </c>
      <c r="D397">
        <v>36030000</v>
      </c>
      <c r="E397">
        <v>1</v>
      </c>
      <c r="F397">
        <v>1</v>
      </c>
      <c r="G397">
        <v>35973048</v>
      </c>
      <c r="H397">
        <v>3</v>
      </c>
      <c r="I397" t="s">
        <v>172</v>
      </c>
      <c r="J397" t="s">
        <v>174</v>
      </c>
      <c r="K397" t="s">
        <v>173</v>
      </c>
      <c r="L397">
        <v>1354</v>
      </c>
      <c r="N397">
        <v>1010</v>
      </c>
      <c r="O397" t="s">
        <v>169</v>
      </c>
      <c r="P397" t="s">
        <v>169</v>
      </c>
      <c r="Q397">
        <v>1</v>
      </c>
      <c r="W397">
        <v>0</v>
      </c>
      <c r="X397">
        <v>-809151191</v>
      </c>
      <c r="Y397">
        <v>1</v>
      </c>
      <c r="AA397">
        <v>21523.45</v>
      </c>
      <c r="AB397">
        <v>0</v>
      </c>
      <c r="AC397">
        <v>0</v>
      </c>
      <c r="AD397">
        <v>0</v>
      </c>
      <c r="AE397">
        <v>1902.4</v>
      </c>
      <c r="AF397">
        <v>0</v>
      </c>
      <c r="AG397">
        <v>0</v>
      </c>
      <c r="AH397">
        <v>0</v>
      </c>
      <c r="AI397">
        <v>11.28</v>
      </c>
      <c r="AJ397">
        <v>1</v>
      </c>
      <c r="AK397">
        <v>1</v>
      </c>
      <c r="AL397">
        <v>1</v>
      </c>
      <c r="AN397">
        <v>0</v>
      </c>
      <c r="AO397">
        <v>0</v>
      </c>
      <c r="AP397">
        <v>0</v>
      </c>
      <c r="AQ397">
        <v>0</v>
      </c>
      <c r="AR397">
        <v>0</v>
      </c>
      <c r="AS397" t="s">
        <v>3</v>
      </c>
      <c r="AT397">
        <v>1</v>
      </c>
      <c r="AU397" t="s">
        <v>3</v>
      </c>
      <c r="AV397">
        <v>0</v>
      </c>
      <c r="AW397">
        <v>1</v>
      </c>
      <c r="AX397">
        <v>-1</v>
      </c>
      <c r="AY397">
        <v>0</v>
      </c>
      <c r="AZ397">
        <v>0</v>
      </c>
      <c r="BA397" t="s">
        <v>3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CX397">
        <f>Y397*Source!I606</f>
        <v>2</v>
      </c>
      <c r="CY397">
        <f t="shared" si="75"/>
        <v>21523.45</v>
      </c>
      <c r="CZ397">
        <f t="shared" si="76"/>
        <v>1902.4</v>
      </c>
      <c r="DA397">
        <f t="shared" si="77"/>
        <v>11.28</v>
      </c>
      <c r="DB397">
        <f t="shared" si="78"/>
        <v>1902.4</v>
      </c>
      <c r="DC397">
        <f t="shared" si="79"/>
        <v>0</v>
      </c>
    </row>
    <row r="398" spans="1:107" x14ac:dyDescent="0.2">
      <c r="A398">
        <f>ROW(Source!A606)</f>
        <v>606</v>
      </c>
      <c r="B398">
        <v>42938047</v>
      </c>
      <c r="C398">
        <v>43143865</v>
      </c>
      <c r="D398">
        <v>36030003</v>
      </c>
      <c r="E398">
        <v>1</v>
      </c>
      <c r="F398">
        <v>1</v>
      </c>
      <c r="G398">
        <v>35973048</v>
      </c>
      <c r="H398">
        <v>3</v>
      </c>
      <c r="I398" t="s">
        <v>176</v>
      </c>
      <c r="J398" t="s">
        <v>178</v>
      </c>
      <c r="K398" t="s">
        <v>778</v>
      </c>
      <c r="L398">
        <v>1354</v>
      </c>
      <c r="N398">
        <v>1010</v>
      </c>
      <c r="O398" t="s">
        <v>169</v>
      </c>
      <c r="P398" t="s">
        <v>169</v>
      </c>
      <c r="Q398">
        <v>1</v>
      </c>
      <c r="W398">
        <v>0</v>
      </c>
      <c r="X398">
        <v>998031743</v>
      </c>
      <c r="Y398">
        <v>1</v>
      </c>
      <c r="AA398">
        <v>74347.34</v>
      </c>
      <c r="AB398">
        <v>0</v>
      </c>
      <c r="AC398">
        <v>0</v>
      </c>
      <c r="AD398">
        <v>0</v>
      </c>
      <c r="AE398">
        <v>7360.97</v>
      </c>
      <c r="AF398">
        <v>0</v>
      </c>
      <c r="AG398">
        <v>0</v>
      </c>
      <c r="AH398">
        <v>0</v>
      </c>
      <c r="AI398">
        <v>10.07</v>
      </c>
      <c r="AJ398">
        <v>1</v>
      </c>
      <c r="AK398">
        <v>1</v>
      </c>
      <c r="AL398">
        <v>1</v>
      </c>
      <c r="AN398">
        <v>0</v>
      </c>
      <c r="AO398">
        <v>0</v>
      </c>
      <c r="AP398">
        <v>0</v>
      </c>
      <c r="AQ398">
        <v>0</v>
      </c>
      <c r="AR398">
        <v>0</v>
      </c>
      <c r="AS398" t="s">
        <v>3</v>
      </c>
      <c r="AT398">
        <v>1</v>
      </c>
      <c r="AU398" t="s">
        <v>3</v>
      </c>
      <c r="AV398">
        <v>0</v>
      </c>
      <c r="AW398">
        <v>1</v>
      </c>
      <c r="AX398">
        <v>-1</v>
      </c>
      <c r="AY398">
        <v>0</v>
      </c>
      <c r="AZ398">
        <v>0</v>
      </c>
      <c r="BA398" t="s">
        <v>3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CX398">
        <f>Y398*Source!I606</f>
        <v>2</v>
      </c>
      <c r="CY398">
        <f t="shared" si="75"/>
        <v>74347.34</v>
      </c>
      <c r="CZ398">
        <f t="shared" si="76"/>
        <v>7360.97</v>
      </c>
      <c r="DA398">
        <f t="shared" si="77"/>
        <v>10.07</v>
      </c>
      <c r="DB398">
        <f t="shared" si="78"/>
        <v>7360.97</v>
      </c>
      <c r="DC398">
        <f t="shared" si="79"/>
        <v>0</v>
      </c>
    </row>
    <row r="399" spans="1:107" x14ac:dyDescent="0.2">
      <c r="A399">
        <f>ROW(Source!A606)</f>
        <v>606</v>
      </c>
      <c r="B399">
        <v>42938047</v>
      </c>
      <c r="C399">
        <v>43143865</v>
      </c>
      <c r="D399">
        <v>36030006</v>
      </c>
      <c r="E399">
        <v>1</v>
      </c>
      <c r="F399">
        <v>1</v>
      </c>
      <c r="G399">
        <v>35973048</v>
      </c>
      <c r="H399">
        <v>3</v>
      </c>
      <c r="I399" t="s">
        <v>167</v>
      </c>
      <c r="J399" t="s">
        <v>170</v>
      </c>
      <c r="K399" t="s">
        <v>168</v>
      </c>
      <c r="L399">
        <v>1354</v>
      </c>
      <c r="N399">
        <v>1010</v>
      </c>
      <c r="O399" t="s">
        <v>169</v>
      </c>
      <c r="P399" t="s">
        <v>169</v>
      </c>
      <c r="Q399">
        <v>1</v>
      </c>
      <c r="W399">
        <v>0</v>
      </c>
      <c r="X399">
        <v>-1841816724</v>
      </c>
      <c r="Y399">
        <v>1</v>
      </c>
      <c r="AA399">
        <v>10652.82</v>
      </c>
      <c r="AB399">
        <v>0</v>
      </c>
      <c r="AC399">
        <v>0</v>
      </c>
      <c r="AD399">
        <v>0</v>
      </c>
      <c r="AE399">
        <v>1732.62</v>
      </c>
      <c r="AF399">
        <v>0</v>
      </c>
      <c r="AG399">
        <v>0</v>
      </c>
      <c r="AH399">
        <v>0</v>
      </c>
      <c r="AI399">
        <v>6.13</v>
      </c>
      <c r="AJ399">
        <v>1</v>
      </c>
      <c r="AK399">
        <v>1</v>
      </c>
      <c r="AL399">
        <v>1</v>
      </c>
      <c r="AN399">
        <v>0</v>
      </c>
      <c r="AO399">
        <v>0</v>
      </c>
      <c r="AP399">
        <v>0</v>
      </c>
      <c r="AQ399">
        <v>0</v>
      </c>
      <c r="AR399">
        <v>0</v>
      </c>
      <c r="AS399" t="s">
        <v>3</v>
      </c>
      <c r="AT399">
        <v>1</v>
      </c>
      <c r="AU399" t="s">
        <v>3</v>
      </c>
      <c r="AV399">
        <v>0</v>
      </c>
      <c r="AW399">
        <v>1</v>
      </c>
      <c r="AX399">
        <v>-1</v>
      </c>
      <c r="AY399">
        <v>0</v>
      </c>
      <c r="AZ399">
        <v>0</v>
      </c>
      <c r="BA399" t="s">
        <v>3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CX399">
        <f>Y399*Source!I606</f>
        <v>2</v>
      </c>
      <c r="CY399">
        <f t="shared" si="75"/>
        <v>10652.82</v>
      </c>
      <c r="CZ399">
        <f t="shared" si="76"/>
        <v>1732.62</v>
      </c>
      <c r="DA399">
        <f t="shared" si="77"/>
        <v>6.13</v>
      </c>
      <c r="DB399">
        <f t="shared" si="78"/>
        <v>1732.62</v>
      </c>
      <c r="DC399">
        <f t="shared" si="79"/>
        <v>0</v>
      </c>
    </row>
    <row r="400" spans="1:107" x14ac:dyDescent="0.2">
      <c r="A400">
        <f>ROW(Source!A606)</f>
        <v>606</v>
      </c>
      <c r="B400">
        <v>42938047</v>
      </c>
      <c r="C400">
        <v>43143865</v>
      </c>
      <c r="D400">
        <v>36042796</v>
      </c>
      <c r="E400">
        <v>1</v>
      </c>
      <c r="F400">
        <v>1</v>
      </c>
      <c r="G400">
        <v>35973048</v>
      </c>
      <c r="H400">
        <v>3</v>
      </c>
      <c r="I400" t="s">
        <v>1326</v>
      </c>
      <c r="J400" t="s">
        <v>1327</v>
      </c>
      <c r="K400" t="s">
        <v>1328</v>
      </c>
      <c r="L400">
        <v>1354</v>
      </c>
      <c r="N400">
        <v>1010</v>
      </c>
      <c r="O400" t="s">
        <v>169</v>
      </c>
      <c r="P400" t="s">
        <v>169</v>
      </c>
      <c r="Q400">
        <v>1</v>
      </c>
      <c r="W400">
        <v>0</v>
      </c>
      <c r="X400">
        <v>-788421466</v>
      </c>
      <c r="Y400">
        <v>4</v>
      </c>
      <c r="AA400">
        <v>96.85</v>
      </c>
      <c r="AB400">
        <v>0</v>
      </c>
      <c r="AC400">
        <v>0</v>
      </c>
      <c r="AD400">
        <v>0</v>
      </c>
      <c r="AE400">
        <v>13</v>
      </c>
      <c r="AF400">
        <v>0</v>
      </c>
      <c r="AG400">
        <v>0</v>
      </c>
      <c r="AH400">
        <v>0</v>
      </c>
      <c r="AI400">
        <v>7.45</v>
      </c>
      <c r="AJ400">
        <v>1</v>
      </c>
      <c r="AK400">
        <v>1</v>
      </c>
      <c r="AL400">
        <v>1</v>
      </c>
      <c r="AN400">
        <v>0</v>
      </c>
      <c r="AO400">
        <v>1</v>
      </c>
      <c r="AP400">
        <v>1</v>
      </c>
      <c r="AQ400">
        <v>0</v>
      </c>
      <c r="AR400">
        <v>0</v>
      </c>
      <c r="AS400" t="s">
        <v>3</v>
      </c>
      <c r="AT400">
        <v>4</v>
      </c>
      <c r="AU400" t="s">
        <v>3</v>
      </c>
      <c r="AV400">
        <v>0</v>
      </c>
      <c r="AW400">
        <v>2</v>
      </c>
      <c r="AX400">
        <v>43148793</v>
      </c>
      <c r="AY400">
        <v>1</v>
      </c>
      <c r="AZ400">
        <v>0</v>
      </c>
      <c r="BA400">
        <v>397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CX400">
        <f>Y400*Source!I606</f>
        <v>8</v>
      </c>
      <c r="CY400">
        <f t="shared" si="75"/>
        <v>96.85</v>
      </c>
      <c r="CZ400">
        <f t="shared" si="76"/>
        <v>13</v>
      </c>
      <c r="DA400">
        <f t="shared" si="77"/>
        <v>7.45</v>
      </c>
      <c r="DB400">
        <f t="shared" si="78"/>
        <v>52</v>
      </c>
      <c r="DC400">
        <f t="shared" si="79"/>
        <v>0</v>
      </c>
    </row>
    <row r="401" spans="1:107" x14ac:dyDescent="0.2">
      <c r="A401">
        <f>ROW(Source!A606)</f>
        <v>606</v>
      </c>
      <c r="B401">
        <v>42938047</v>
      </c>
      <c r="C401">
        <v>43143865</v>
      </c>
      <c r="D401">
        <v>35994366</v>
      </c>
      <c r="E401">
        <v>35973048</v>
      </c>
      <c r="F401">
        <v>1</v>
      </c>
      <c r="G401">
        <v>35973048</v>
      </c>
      <c r="H401">
        <v>3</v>
      </c>
      <c r="I401" t="s">
        <v>1294</v>
      </c>
      <c r="J401" t="s">
        <v>3</v>
      </c>
      <c r="K401" t="s">
        <v>1295</v>
      </c>
      <c r="L401">
        <v>1344</v>
      </c>
      <c r="N401">
        <v>1008</v>
      </c>
      <c r="O401" t="s">
        <v>1245</v>
      </c>
      <c r="P401" t="s">
        <v>1245</v>
      </c>
      <c r="Q401">
        <v>1</v>
      </c>
      <c r="W401">
        <v>0</v>
      </c>
      <c r="X401">
        <v>-94250534</v>
      </c>
      <c r="Y401">
        <v>0.01</v>
      </c>
      <c r="AA401">
        <v>5.8</v>
      </c>
      <c r="AB401">
        <v>0</v>
      </c>
      <c r="AC401">
        <v>0</v>
      </c>
      <c r="AD401">
        <v>0</v>
      </c>
      <c r="AE401">
        <v>1</v>
      </c>
      <c r="AF401">
        <v>0</v>
      </c>
      <c r="AG401">
        <v>0</v>
      </c>
      <c r="AH401">
        <v>0</v>
      </c>
      <c r="AI401">
        <v>5.78</v>
      </c>
      <c r="AJ401">
        <v>1</v>
      </c>
      <c r="AK401">
        <v>1</v>
      </c>
      <c r="AL401">
        <v>1</v>
      </c>
      <c r="AN401">
        <v>0</v>
      </c>
      <c r="AO401">
        <v>1</v>
      </c>
      <c r="AP401">
        <v>1</v>
      </c>
      <c r="AQ401">
        <v>0</v>
      </c>
      <c r="AR401">
        <v>0</v>
      </c>
      <c r="AS401" t="s">
        <v>3</v>
      </c>
      <c r="AT401">
        <v>0.01</v>
      </c>
      <c r="AU401" t="s">
        <v>3</v>
      </c>
      <c r="AV401">
        <v>0</v>
      </c>
      <c r="AW401">
        <v>2</v>
      </c>
      <c r="AX401">
        <v>43148795</v>
      </c>
      <c r="AY401">
        <v>1</v>
      </c>
      <c r="AZ401">
        <v>0</v>
      </c>
      <c r="BA401">
        <v>399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CX401">
        <f>Y401*Source!I606</f>
        <v>0.02</v>
      </c>
      <c r="CY401">
        <f t="shared" si="75"/>
        <v>5.8</v>
      </c>
      <c r="CZ401">
        <f t="shared" si="76"/>
        <v>1</v>
      </c>
      <c r="DA401">
        <f t="shared" si="77"/>
        <v>5.78</v>
      </c>
      <c r="DB401">
        <f t="shared" si="78"/>
        <v>0.01</v>
      </c>
      <c r="DC401">
        <f t="shared" si="79"/>
        <v>0</v>
      </c>
    </row>
    <row r="402" spans="1:107" x14ac:dyDescent="0.2">
      <c r="A402">
        <f>ROW(Source!A694)</f>
        <v>694</v>
      </c>
      <c r="B402">
        <v>42938047</v>
      </c>
      <c r="C402">
        <v>43144002</v>
      </c>
      <c r="D402">
        <v>35973053</v>
      </c>
      <c r="E402">
        <v>35973048</v>
      </c>
      <c r="F402">
        <v>1</v>
      </c>
      <c r="G402">
        <v>35973048</v>
      </c>
      <c r="H402">
        <v>1</v>
      </c>
      <c r="I402" t="s">
        <v>1228</v>
      </c>
      <c r="J402" t="s">
        <v>3</v>
      </c>
      <c r="K402" t="s">
        <v>1229</v>
      </c>
      <c r="L402">
        <v>1191</v>
      </c>
      <c r="N402">
        <v>1013</v>
      </c>
      <c r="O402" t="s">
        <v>1230</v>
      </c>
      <c r="P402" t="s">
        <v>1230</v>
      </c>
      <c r="Q402">
        <v>1</v>
      </c>
      <c r="W402">
        <v>0</v>
      </c>
      <c r="X402">
        <v>476480486</v>
      </c>
      <c r="Y402">
        <v>7.0839999999999996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1</v>
      </c>
      <c r="AJ402">
        <v>1</v>
      </c>
      <c r="AK402">
        <v>1</v>
      </c>
      <c r="AL402">
        <v>25.44</v>
      </c>
      <c r="AN402">
        <v>0</v>
      </c>
      <c r="AO402">
        <v>1</v>
      </c>
      <c r="AP402">
        <v>1</v>
      </c>
      <c r="AQ402">
        <v>0</v>
      </c>
      <c r="AR402">
        <v>0</v>
      </c>
      <c r="AS402" t="s">
        <v>3</v>
      </c>
      <c r="AT402">
        <v>6.16</v>
      </c>
      <c r="AU402" t="s">
        <v>21</v>
      </c>
      <c r="AV402">
        <v>1</v>
      </c>
      <c r="AW402">
        <v>2</v>
      </c>
      <c r="AX402">
        <v>43144003</v>
      </c>
      <c r="AY402">
        <v>1</v>
      </c>
      <c r="AZ402">
        <v>0</v>
      </c>
      <c r="BA402">
        <v>400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CX402">
        <f>Y402*Source!I694</f>
        <v>212.51999999999998</v>
      </c>
      <c r="CY402">
        <f>AD402</f>
        <v>0</v>
      </c>
      <c r="CZ402">
        <f>AH402</f>
        <v>0</v>
      </c>
      <c r="DA402">
        <f>AL402</f>
        <v>25.44</v>
      </c>
      <c r="DB402">
        <f>ROUND((ROUND(AT402*CZ402,2)*1.15),6)</f>
        <v>0</v>
      </c>
      <c r="DC402">
        <f>ROUND((ROUND(AT402*AG402,2)*1.15),6)</f>
        <v>0</v>
      </c>
    </row>
    <row r="403" spans="1:107" x14ac:dyDescent="0.2">
      <c r="A403">
        <f>ROW(Source!A694)</f>
        <v>694</v>
      </c>
      <c r="B403">
        <v>42938047</v>
      </c>
      <c r="C403">
        <v>43144002</v>
      </c>
      <c r="D403">
        <v>36044734</v>
      </c>
      <c r="E403">
        <v>1</v>
      </c>
      <c r="F403">
        <v>1</v>
      </c>
      <c r="G403">
        <v>35973048</v>
      </c>
      <c r="H403">
        <v>2</v>
      </c>
      <c r="I403" t="s">
        <v>745</v>
      </c>
      <c r="J403" t="s">
        <v>747</v>
      </c>
      <c r="K403" t="s">
        <v>746</v>
      </c>
      <c r="L403">
        <v>1367</v>
      </c>
      <c r="N403">
        <v>1011</v>
      </c>
      <c r="O403" t="s">
        <v>738</v>
      </c>
      <c r="P403" t="s">
        <v>738</v>
      </c>
      <c r="Q403">
        <v>1</v>
      </c>
      <c r="W403">
        <v>0</v>
      </c>
      <c r="X403">
        <v>366114799</v>
      </c>
      <c r="Y403">
        <v>0.32500000000000001</v>
      </c>
      <c r="AA403">
        <v>0</v>
      </c>
      <c r="AB403">
        <v>2035.11</v>
      </c>
      <c r="AC403">
        <v>340.13</v>
      </c>
      <c r="AD403">
        <v>0</v>
      </c>
      <c r="AE403">
        <v>0</v>
      </c>
      <c r="AF403">
        <v>246.68</v>
      </c>
      <c r="AG403">
        <v>13.37</v>
      </c>
      <c r="AH403">
        <v>0</v>
      </c>
      <c r="AI403">
        <v>1</v>
      </c>
      <c r="AJ403">
        <v>8.25</v>
      </c>
      <c r="AK403">
        <v>25.44</v>
      </c>
      <c r="AL403">
        <v>1</v>
      </c>
      <c r="AN403">
        <v>0</v>
      </c>
      <c r="AO403">
        <v>1</v>
      </c>
      <c r="AP403">
        <v>1</v>
      </c>
      <c r="AQ403">
        <v>0</v>
      </c>
      <c r="AR403">
        <v>0</v>
      </c>
      <c r="AS403" t="s">
        <v>3</v>
      </c>
      <c r="AT403">
        <v>0.26</v>
      </c>
      <c r="AU403" t="s">
        <v>20</v>
      </c>
      <c r="AV403">
        <v>0</v>
      </c>
      <c r="AW403">
        <v>2</v>
      </c>
      <c r="AX403">
        <v>43144004</v>
      </c>
      <c r="AY403">
        <v>1</v>
      </c>
      <c r="AZ403">
        <v>0</v>
      </c>
      <c r="BA403">
        <v>401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CX403">
        <f>Y403*Source!I694</f>
        <v>9.75</v>
      </c>
      <c r="CY403">
        <f>AB403</f>
        <v>2035.11</v>
      </c>
      <c r="CZ403">
        <f>AF403</f>
        <v>246.68</v>
      </c>
      <c r="DA403">
        <f>AJ403</f>
        <v>8.25</v>
      </c>
      <c r="DB403">
        <f>ROUND((ROUND(AT403*CZ403,2)*1.25),6)</f>
        <v>80.174999999999997</v>
      </c>
      <c r="DC403">
        <f>ROUND((ROUND(AT403*AG403,2)*1.25),6)</f>
        <v>4.3499999999999996</v>
      </c>
    </row>
    <row r="404" spans="1:107" x14ac:dyDescent="0.2">
      <c r="A404">
        <f>ROW(Source!A694)</f>
        <v>694</v>
      </c>
      <c r="B404">
        <v>42938047</v>
      </c>
      <c r="C404">
        <v>43144002</v>
      </c>
      <c r="D404">
        <v>36020415</v>
      </c>
      <c r="E404">
        <v>1</v>
      </c>
      <c r="F404">
        <v>1</v>
      </c>
      <c r="G404">
        <v>35973048</v>
      </c>
      <c r="H404">
        <v>3</v>
      </c>
      <c r="I404" t="s">
        <v>469</v>
      </c>
      <c r="J404" t="s">
        <v>471</v>
      </c>
      <c r="K404" t="s">
        <v>470</v>
      </c>
      <c r="L404">
        <v>1339</v>
      </c>
      <c r="N404">
        <v>1007</v>
      </c>
      <c r="O404" t="s">
        <v>84</v>
      </c>
      <c r="P404" t="s">
        <v>84</v>
      </c>
      <c r="Q404">
        <v>1</v>
      </c>
      <c r="W404">
        <v>0</v>
      </c>
      <c r="X404">
        <v>-862991314</v>
      </c>
      <c r="Y404">
        <v>1.07</v>
      </c>
      <c r="AA404">
        <v>36.340000000000003</v>
      </c>
      <c r="AB404">
        <v>0</v>
      </c>
      <c r="AC404">
        <v>0</v>
      </c>
      <c r="AD404">
        <v>0</v>
      </c>
      <c r="AE404">
        <v>7.07</v>
      </c>
      <c r="AF404">
        <v>0</v>
      </c>
      <c r="AG404">
        <v>0</v>
      </c>
      <c r="AH404">
        <v>0</v>
      </c>
      <c r="AI404">
        <v>5.14</v>
      </c>
      <c r="AJ404">
        <v>1</v>
      </c>
      <c r="AK404">
        <v>1</v>
      </c>
      <c r="AL404">
        <v>1</v>
      </c>
      <c r="AN404">
        <v>0</v>
      </c>
      <c r="AO404">
        <v>1</v>
      </c>
      <c r="AP404">
        <v>1</v>
      </c>
      <c r="AQ404">
        <v>0</v>
      </c>
      <c r="AR404">
        <v>0</v>
      </c>
      <c r="AS404" t="s">
        <v>3</v>
      </c>
      <c r="AT404">
        <v>1.07</v>
      </c>
      <c r="AU404" t="s">
        <v>3</v>
      </c>
      <c r="AV404">
        <v>0</v>
      </c>
      <c r="AW404">
        <v>2</v>
      </c>
      <c r="AX404">
        <v>43144005</v>
      </c>
      <c r="AY404">
        <v>1</v>
      </c>
      <c r="AZ404">
        <v>0</v>
      </c>
      <c r="BA404">
        <v>402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CX404">
        <f>Y404*Source!I694</f>
        <v>32.1</v>
      </c>
      <c r="CY404">
        <f t="shared" ref="CY404:CY410" si="80">AA404</f>
        <v>36.340000000000003</v>
      </c>
      <c r="CZ404">
        <f t="shared" ref="CZ404:CZ410" si="81">AE404</f>
        <v>7.07</v>
      </c>
      <c r="DA404">
        <f t="shared" ref="DA404:DA410" si="82">AI404</f>
        <v>5.14</v>
      </c>
      <c r="DB404">
        <f t="shared" ref="DB404:DB410" si="83">ROUND(ROUND(AT404*CZ404,2),6)</f>
        <v>7.56</v>
      </c>
      <c r="DC404">
        <f t="shared" ref="DC404:DC410" si="84">ROUND(ROUND(AT404*AG404,2),6)</f>
        <v>0</v>
      </c>
    </row>
    <row r="405" spans="1:107" x14ac:dyDescent="0.2">
      <c r="A405">
        <f>ROW(Source!A694)</f>
        <v>694</v>
      </c>
      <c r="B405">
        <v>42938047</v>
      </c>
      <c r="C405">
        <v>43144002</v>
      </c>
      <c r="D405">
        <v>0</v>
      </c>
      <c r="E405">
        <v>0</v>
      </c>
      <c r="F405">
        <v>1</v>
      </c>
      <c r="G405">
        <v>35973048</v>
      </c>
      <c r="H405">
        <v>3</v>
      </c>
      <c r="I405" t="s">
        <v>118</v>
      </c>
      <c r="J405" t="s">
        <v>3</v>
      </c>
      <c r="K405" t="s">
        <v>837</v>
      </c>
      <c r="L405">
        <v>1354</v>
      </c>
      <c r="N405">
        <v>1010</v>
      </c>
      <c r="O405" t="s">
        <v>169</v>
      </c>
      <c r="P405" t="s">
        <v>169</v>
      </c>
      <c r="Q405">
        <v>1</v>
      </c>
      <c r="W405">
        <v>0</v>
      </c>
      <c r="X405">
        <v>-714054163</v>
      </c>
      <c r="Y405">
        <v>5</v>
      </c>
      <c r="AA405">
        <v>340.01</v>
      </c>
      <c r="AB405">
        <v>0</v>
      </c>
      <c r="AC405">
        <v>0</v>
      </c>
      <c r="AD405">
        <v>0</v>
      </c>
      <c r="AE405">
        <v>53.629999999999995</v>
      </c>
      <c r="AF405">
        <v>0</v>
      </c>
      <c r="AG405">
        <v>0</v>
      </c>
      <c r="AH405">
        <v>0</v>
      </c>
      <c r="AI405">
        <v>6.34</v>
      </c>
      <c r="AJ405">
        <v>1</v>
      </c>
      <c r="AK405">
        <v>1</v>
      </c>
      <c r="AL405">
        <v>1</v>
      </c>
      <c r="AN405">
        <v>0</v>
      </c>
      <c r="AO405">
        <v>0</v>
      </c>
      <c r="AP405">
        <v>0</v>
      </c>
      <c r="AQ405">
        <v>0</v>
      </c>
      <c r="AR405">
        <v>0</v>
      </c>
      <c r="AS405" t="s">
        <v>3</v>
      </c>
      <c r="AT405">
        <v>5</v>
      </c>
      <c r="AU405" t="s">
        <v>3</v>
      </c>
      <c r="AV405">
        <v>0</v>
      </c>
      <c r="AW405">
        <v>1</v>
      </c>
      <c r="AX405">
        <v>-1</v>
      </c>
      <c r="AY405">
        <v>0</v>
      </c>
      <c r="AZ405">
        <v>0</v>
      </c>
      <c r="BA405" t="s">
        <v>3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CX405">
        <f>Y405*Source!I694</f>
        <v>150</v>
      </c>
      <c r="CY405">
        <f t="shared" si="80"/>
        <v>340.01</v>
      </c>
      <c r="CZ405">
        <f t="shared" si="81"/>
        <v>53.629999999999995</v>
      </c>
      <c r="DA405">
        <f t="shared" si="82"/>
        <v>6.34</v>
      </c>
      <c r="DB405">
        <f t="shared" si="83"/>
        <v>268.14999999999998</v>
      </c>
      <c r="DC405">
        <f t="shared" si="84"/>
        <v>0</v>
      </c>
    </row>
    <row r="406" spans="1:107" x14ac:dyDescent="0.2">
      <c r="A406">
        <f>ROW(Source!A694)</f>
        <v>694</v>
      </c>
      <c r="B406">
        <v>42938047</v>
      </c>
      <c r="C406">
        <v>43144002</v>
      </c>
      <c r="D406">
        <v>0</v>
      </c>
      <c r="E406">
        <v>0</v>
      </c>
      <c r="F406">
        <v>1</v>
      </c>
      <c r="G406">
        <v>35973048</v>
      </c>
      <c r="H406">
        <v>3</v>
      </c>
      <c r="I406" t="s">
        <v>118</v>
      </c>
      <c r="J406" t="s">
        <v>3</v>
      </c>
      <c r="K406" t="s">
        <v>839</v>
      </c>
      <c r="L406">
        <v>1354</v>
      </c>
      <c r="N406">
        <v>1010</v>
      </c>
      <c r="O406" t="s">
        <v>169</v>
      </c>
      <c r="P406" t="s">
        <v>169</v>
      </c>
      <c r="Q406">
        <v>1</v>
      </c>
      <c r="W406">
        <v>0</v>
      </c>
      <c r="X406">
        <v>-1529282453</v>
      </c>
      <c r="Y406">
        <v>0.33333299999999999</v>
      </c>
      <c r="AA406">
        <v>296.64999999999998</v>
      </c>
      <c r="AB406">
        <v>0</v>
      </c>
      <c r="AC406">
        <v>0</v>
      </c>
      <c r="AD406">
        <v>0</v>
      </c>
      <c r="AE406">
        <v>46.79</v>
      </c>
      <c r="AF406">
        <v>0</v>
      </c>
      <c r="AG406">
        <v>0</v>
      </c>
      <c r="AH406">
        <v>0</v>
      </c>
      <c r="AI406">
        <v>6.34</v>
      </c>
      <c r="AJ406">
        <v>1</v>
      </c>
      <c r="AK406">
        <v>1</v>
      </c>
      <c r="AL406">
        <v>1</v>
      </c>
      <c r="AN406">
        <v>0</v>
      </c>
      <c r="AO406">
        <v>0</v>
      </c>
      <c r="AP406">
        <v>0</v>
      </c>
      <c r="AQ406">
        <v>0</v>
      </c>
      <c r="AR406">
        <v>0</v>
      </c>
      <c r="AS406" t="s">
        <v>3</v>
      </c>
      <c r="AT406">
        <v>0.33333299999999999</v>
      </c>
      <c r="AU406" t="s">
        <v>3</v>
      </c>
      <c r="AV406">
        <v>0</v>
      </c>
      <c r="AW406">
        <v>1</v>
      </c>
      <c r="AX406">
        <v>-1</v>
      </c>
      <c r="AY406">
        <v>0</v>
      </c>
      <c r="AZ406">
        <v>0</v>
      </c>
      <c r="BA406" t="s">
        <v>3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CX406">
        <f>Y406*Source!I694</f>
        <v>9.9999900000000004</v>
      </c>
      <c r="CY406">
        <f t="shared" si="80"/>
        <v>296.64999999999998</v>
      </c>
      <c r="CZ406">
        <f t="shared" si="81"/>
        <v>46.79</v>
      </c>
      <c r="DA406">
        <f t="shared" si="82"/>
        <v>6.34</v>
      </c>
      <c r="DB406">
        <f t="shared" si="83"/>
        <v>15.6</v>
      </c>
      <c r="DC406">
        <f t="shared" si="84"/>
        <v>0</v>
      </c>
    </row>
    <row r="407" spans="1:107" x14ac:dyDescent="0.2">
      <c r="A407">
        <f>ROW(Source!A694)</f>
        <v>694</v>
      </c>
      <c r="B407">
        <v>42938047</v>
      </c>
      <c r="C407">
        <v>43144002</v>
      </c>
      <c r="D407">
        <v>0</v>
      </c>
      <c r="E407">
        <v>0</v>
      </c>
      <c r="F407">
        <v>1</v>
      </c>
      <c r="G407">
        <v>35973048</v>
      </c>
      <c r="H407">
        <v>3</v>
      </c>
      <c r="I407" t="s">
        <v>118</v>
      </c>
      <c r="J407" t="s">
        <v>3</v>
      </c>
      <c r="K407" t="s">
        <v>842</v>
      </c>
      <c r="L407">
        <v>1354</v>
      </c>
      <c r="N407">
        <v>1010</v>
      </c>
      <c r="O407" t="s">
        <v>169</v>
      </c>
      <c r="P407" t="s">
        <v>169</v>
      </c>
      <c r="Q407">
        <v>1</v>
      </c>
      <c r="W407">
        <v>0</v>
      </c>
      <c r="X407">
        <v>-594865204</v>
      </c>
      <c r="Y407">
        <v>1.6666669999999999</v>
      </c>
      <c r="AA407">
        <v>437.71</v>
      </c>
      <c r="AB407">
        <v>0</v>
      </c>
      <c r="AC407">
        <v>0</v>
      </c>
      <c r="AD407">
        <v>0</v>
      </c>
      <c r="AE407">
        <v>69.039999999999992</v>
      </c>
      <c r="AF407">
        <v>0</v>
      </c>
      <c r="AG407">
        <v>0</v>
      </c>
      <c r="AH407">
        <v>0</v>
      </c>
      <c r="AI407">
        <v>6.34</v>
      </c>
      <c r="AJ407">
        <v>1</v>
      </c>
      <c r="AK407">
        <v>1</v>
      </c>
      <c r="AL407">
        <v>1</v>
      </c>
      <c r="AN407">
        <v>0</v>
      </c>
      <c r="AO407">
        <v>0</v>
      </c>
      <c r="AP407">
        <v>0</v>
      </c>
      <c r="AQ407">
        <v>0</v>
      </c>
      <c r="AR407">
        <v>0</v>
      </c>
      <c r="AS407" t="s">
        <v>3</v>
      </c>
      <c r="AT407">
        <v>1.6666669999999999</v>
      </c>
      <c r="AU407" t="s">
        <v>3</v>
      </c>
      <c r="AV407">
        <v>0</v>
      </c>
      <c r="AW407">
        <v>1</v>
      </c>
      <c r="AX407">
        <v>-1</v>
      </c>
      <c r="AY407">
        <v>0</v>
      </c>
      <c r="AZ407">
        <v>0</v>
      </c>
      <c r="BA407" t="s">
        <v>3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CX407">
        <f>Y407*Source!I694</f>
        <v>50.000009999999996</v>
      </c>
      <c r="CY407">
        <f t="shared" si="80"/>
        <v>437.71</v>
      </c>
      <c r="CZ407">
        <f t="shared" si="81"/>
        <v>69.039999999999992</v>
      </c>
      <c r="DA407">
        <f t="shared" si="82"/>
        <v>6.34</v>
      </c>
      <c r="DB407">
        <f t="shared" si="83"/>
        <v>115.07</v>
      </c>
      <c r="DC407">
        <f t="shared" si="84"/>
        <v>0</v>
      </c>
    </row>
    <row r="408" spans="1:107" x14ac:dyDescent="0.2">
      <c r="A408">
        <f>ROW(Source!A694)</f>
        <v>694</v>
      </c>
      <c r="B408">
        <v>42938047</v>
      </c>
      <c r="C408">
        <v>43144002</v>
      </c>
      <c r="D408">
        <v>0</v>
      </c>
      <c r="E408">
        <v>0</v>
      </c>
      <c r="F408">
        <v>1</v>
      </c>
      <c r="G408">
        <v>35973048</v>
      </c>
      <c r="H408">
        <v>3</v>
      </c>
      <c r="I408" t="s">
        <v>118</v>
      </c>
      <c r="J408" t="s">
        <v>3</v>
      </c>
      <c r="K408" t="s">
        <v>848</v>
      </c>
      <c r="L408">
        <v>1354</v>
      </c>
      <c r="N408">
        <v>1010</v>
      </c>
      <c r="O408" t="s">
        <v>169</v>
      </c>
      <c r="P408" t="s">
        <v>169</v>
      </c>
      <c r="Q408">
        <v>1</v>
      </c>
      <c r="W408">
        <v>0</v>
      </c>
      <c r="X408">
        <v>742595960</v>
      </c>
      <c r="Y408">
        <v>0.66666700000000001</v>
      </c>
      <c r="AA408">
        <v>340.01</v>
      </c>
      <c r="AB408">
        <v>0</v>
      </c>
      <c r="AC408">
        <v>0</v>
      </c>
      <c r="AD408">
        <v>0</v>
      </c>
      <c r="AE408">
        <v>53.629999999999995</v>
      </c>
      <c r="AF408">
        <v>0</v>
      </c>
      <c r="AG408">
        <v>0</v>
      </c>
      <c r="AH408">
        <v>0</v>
      </c>
      <c r="AI408">
        <v>6.34</v>
      </c>
      <c r="AJ408">
        <v>1</v>
      </c>
      <c r="AK408">
        <v>1</v>
      </c>
      <c r="AL408">
        <v>1</v>
      </c>
      <c r="AN408">
        <v>0</v>
      </c>
      <c r="AO408">
        <v>0</v>
      </c>
      <c r="AP408">
        <v>0</v>
      </c>
      <c r="AQ408">
        <v>0</v>
      </c>
      <c r="AR408">
        <v>0</v>
      </c>
      <c r="AS408" t="s">
        <v>3</v>
      </c>
      <c r="AT408">
        <v>0.66666700000000001</v>
      </c>
      <c r="AU408" t="s">
        <v>3</v>
      </c>
      <c r="AV408">
        <v>0</v>
      </c>
      <c r="AW408">
        <v>1</v>
      </c>
      <c r="AX408">
        <v>-1</v>
      </c>
      <c r="AY408">
        <v>0</v>
      </c>
      <c r="AZ408">
        <v>0</v>
      </c>
      <c r="BA408" t="s">
        <v>3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CX408">
        <f>Y408*Source!I694</f>
        <v>20.00001</v>
      </c>
      <c r="CY408">
        <f t="shared" si="80"/>
        <v>340.01</v>
      </c>
      <c r="CZ408">
        <f t="shared" si="81"/>
        <v>53.629999999999995</v>
      </c>
      <c r="DA408">
        <f t="shared" si="82"/>
        <v>6.34</v>
      </c>
      <c r="DB408">
        <f t="shared" si="83"/>
        <v>35.75</v>
      </c>
      <c r="DC408">
        <f t="shared" si="84"/>
        <v>0</v>
      </c>
    </row>
    <row r="409" spans="1:107" x14ac:dyDescent="0.2">
      <c r="A409">
        <f>ROW(Source!A694)</f>
        <v>694</v>
      </c>
      <c r="B409">
        <v>42938047</v>
      </c>
      <c r="C409">
        <v>43144002</v>
      </c>
      <c r="D409">
        <v>0</v>
      </c>
      <c r="E409">
        <v>35973048</v>
      </c>
      <c r="F409">
        <v>1</v>
      </c>
      <c r="G409">
        <v>35973048</v>
      </c>
      <c r="H409">
        <v>3</v>
      </c>
      <c r="I409" t="s">
        <v>118</v>
      </c>
      <c r="J409" t="s">
        <v>3</v>
      </c>
      <c r="K409" t="s">
        <v>845</v>
      </c>
      <c r="L409">
        <v>1354</v>
      </c>
      <c r="N409">
        <v>1010</v>
      </c>
      <c r="O409" t="s">
        <v>169</v>
      </c>
      <c r="P409" t="s">
        <v>169</v>
      </c>
      <c r="Q409">
        <v>1</v>
      </c>
      <c r="W409">
        <v>0</v>
      </c>
      <c r="X409">
        <v>-1501250304</v>
      </c>
      <c r="Y409">
        <v>1.6666669999999999</v>
      </c>
      <c r="AA409">
        <v>2124.98</v>
      </c>
      <c r="AB409">
        <v>0</v>
      </c>
      <c r="AC409">
        <v>0</v>
      </c>
      <c r="AD409">
        <v>0</v>
      </c>
      <c r="AE409">
        <v>335.17</v>
      </c>
      <c r="AF409">
        <v>0</v>
      </c>
      <c r="AG409">
        <v>0</v>
      </c>
      <c r="AH409">
        <v>0</v>
      </c>
      <c r="AI409">
        <v>6.34</v>
      </c>
      <c r="AJ409">
        <v>1</v>
      </c>
      <c r="AK409">
        <v>1</v>
      </c>
      <c r="AL409">
        <v>1</v>
      </c>
      <c r="AN409">
        <v>0</v>
      </c>
      <c r="AO409">
        <v>0</v>
      </c>
      <c r="AP409">
        <v>0</v>
      </c>
      <c r="AQ409">
        <v>0</v>
      </c>
      <c r="AR409">
        <v>0</v>
      </c>
      <c r="AS409" t="s">
        <v>3</v>
      </c>
      <c r="AT409">
        <v>1.6666669999999999</v>
      </c>
      <c r="AU409" t="s">
        <v>3</v>
      </c>
      <c r="AV409">
        <v>0</v>
      </c>
      <c r="AW409">
        <v>1</v>
      </c>
      <c r="AX409">
        <v>-1</v>
      </c>
      <c r="AY409">
        <v>0</v>
      </c>
      <c r="AZ409">
        <v>0</v>
      </c>
      <c r="BA409" t="s">
        <v>3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CX409">
        <f>Y409*Source!I694</f>
        <v>50.000009999999996</v>
      </c>
      <c r="CY409">
        <f t="shared" si="80"/>
        <v>2124.98</v>
      </c>
      <c r="CZ409">
        <f t="shared" si="81"/>
        <v>335.17</v>
      </c>
      <c r="DA409">
        <f t="shared" si="82"/>
        <v>6.34</v>
      </c>
      <c r="DB409">
        <f t="shared" si="83"/>
        <v>558.62</v>
      </c>
      <c r="DC409">
        <f t="shared" si="84"/>
        <v>0</v>
      </c>
    </row>
    <row r="410" spans="1:107" x14ac:dyDescent="0.2">
      <c r="A410">
        <f>ROW(Source!A694)</f>
        <v>694</v>
      </c>
      <c r="B410">
        <v>42938047</v>
      </c>
      <c r="C410">
        <v>43144002</v>
      </c>
      <c r="D410">
        <v>0</v>
      </c>
      <c r="E410">
        <v>0</v>
      </c>
      <c r="F410">
        <v>1</v>
      </c>
      <c r="G410">
        <v>35973048</v>
      </c>
      <c r="H410">
        <v>3</v>
      </c>
      <c r="I410" t="s">
        <v>118</v>
      </c>
      <c r="J410" t="s">
        <v>3</v>
      </c>
      <c r="K410" t="s">
        <v>850</v>
      </c>
      <c r="L410">
        <v>1354</v>
      </c>
      <c r="N410">
        <v>1010</v>
      </c>
      <c r="O410" t="s">
        <v>169</v>
      </c>
      <c r="P410" t="s">
        <v>169</v>
      </c>
      <c r="Q410">
        <v>1</v>
      </c>
      <c r="W410">
        <v>0</v>
      </c>
      <c r="X410">
        <v>159186133</v>
      </c>
      <c r="Y410">
        <v>0.66666700000000001</v>
      </c>
      <c r="AA410">
        <v>280.55</v>
      </c>
      <c r="AB410">
        <v>0</v>
      </c>
      <c r="AC410">
        <v>0</v>
      </c>
      <c r="AD410">
        <v>0</v>
      </c>
      <c r="AE410">
        <v>44.25</v>
      </c>
      <c r="AF410">
        <v>0</v>
      </c>
      <c r="AG410">
        <v>0</v>
      </c>
      <c r="AH410">
        <v>0</v>
      </c>
      <c r="AI410">
        <v>6.34</v>
      </c>
      <c r="AJ410">
        <v>1</v>
      </c>
      <c r="AK410">
        <v>1</v>
      </c>
      <c r="AL410">
        <v>1</v>
      </c>
      <c r="AN410">
        <v>0</v>
      </c>
      <c r="AO410">
        <v>0</v>
      </c>
      <c r="AP410">
        <v>0</v>
      </c>
      <c r="AQ410">
        <v>0</v>
      </c>
      <c r="AR410">
        <v>0</v>
      </c>
      <c r="AS410" t="s">
        <v>3</v>
      </c>
      <c r="AT410">
        <v>0.66666700000000001</v>
      </c>
      <c r="AU410" t="s">
        <v>3</v>
      </c>
      <c r="AV410">
        <v>0</v>
      </c>
      <c r="AW410">
        <v>1</v>
      </c>
      <c r="AX410">
        <v>-1</v>
      </c>
      <c r="AY410">
        <v>0</v>
      </c>
      <c r="AZ410">
        <v>0</v>
      </c>
      <c r="BA410" t="s">
        <v>3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CX410">
        <f>Y410*Source!I694</f>
        <v>20.00001</v>
      </c>
      <c r="CY410">
        <f t="shared" si="80"/>
        <v>280.55</v>
      </c>
      <c r="CZ410">
        <f t="shared" si="81"/>
        <v>44.25</v>
      </c>
      <c r="DA410">
        <f t="shared" si="82"/>
        <v>6.34</v>
      </c>
      <c r="DB410">
        <f t="shared" si="83"/>
        <v>29.5</v>
      </c>
      <c r="DC410">
        <f t="shared" si="84"/>
        <v>0</v>
      </c>
    </row>
    <row r="411" spans="1:107" x14ac:dyDescent="0.2">
      <c r="A411">
        <f>ROW(Source!A766)</f>
        <v>766</v>
      </c>
      <c r="B411">
        <v>42938047</v>
      </c>
      <c r="C411">
        <v>43134999</v>
      </c>
      <c r="D411">
        <v>35973053</v>
      </c>
      <c r="E411">
        <v>35973048</v>
      </c>
      <c r="F411">
        <v>1</v>
      </c>
      <c r="G411">
        <v>35973048</v>
      </c>
      <c r="H411">
        <v>1</v>
      </c>
      <c r="I411" t="s">
        <v>1228</v>
      </c>
      <c r="J411" t="s">
        <v>3</v>
      </c>
      <c r="K411" t="s">
        <v>1229</v>
      </c>
      <c r="L411">
        <v>1191</v>
      </c>
      <c r="N411">
        <v>1013</v>
      </c>
      <c r="O411" t="s">
        <v>1230</v>
      </c>
      <c r="P411" t="s">
        <v>1230</v>
      </c>
      <c r="Q411">
        <v>1</v>
      </c>
      <c r="W411">
        <v>0</v>
      </c>
      <c r="X411">
        <v>476480486</v>
      </c>
      <c r="Y411">
        <v>2.1303749999999999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1</v>
      </c>
      <c r="AJ411">
        <v>1</v>
      </c>
      <c r="AK411">
        <v>1</v>
      </c>
      <c r="AL411">
        <v>25.44</v>
      </c>
      <c r="AN411">
        <v>0</v>
      </c>
      <c r="AO411">
        <v>1</v>
      </c>
      <c r="AP411">
        <v>1</v>
      </c>
      <c r="AQ411">
        <v>0</v>
      </c>
      <c r="AR411">
        <v>0</v>
      </c>
      <c r="AS411" t="s">
        <v>3</v>
      </c>
      <c r="AT411">
        <v>7.41</v>
      </c>
      <c r="AU411" t="s">
        <v>65</v>
      </c>
      <c r="AV411">
        <v>1</v>
      </c>
      <c r="AW411">
        <v>2</v>
      </c>
      <c r="AX411">
        <v>43135001</v>
      </c>
      <c r="AY411">
        <v>1</v>
      </c>
      <c r="AZ411">
        <v>0</v>
      </c>
      <c r="BA411">
        <v>404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CX411">
        <f>Y411*Source!I766</f>
        <v>35.555958750000002</v>
      </c>
      <c r="CY411">
        <f>AD411</f>
        <v>0</v>
      </c>
      <c r="CZ411">
        <f>AH411</f>
        <v>0</v>
      </c>
      <c r="DA411">
        <f>AL411</f>
        <v>25.44</v>
      </c>
      <c r="DB411">
        <f>ROUND(((ROUND(AT411*CZ411,2)*0.25)*1.15),6)</f>
        <v>0</v>
      </c>
      <c r="DC411">
        <f>ROUND(((ROUND(AT411*AG411,2)*0.25)*1.15),6)</f>
        <v>0</v>
      </c>
    </row>
    <row r="412" spans="1:107" x14ac:dyDescent="0.2">
      <c r="A412">
        <f>ROW(Source!A767)</f>
        <v>767</v>
      </c>
      <c r="B412">
        <v>42938047</v>
      </c>
      <c r="C412">
        <v>43137045</v>
      </c>
      <c r="D412">
        <v>35973053</v>
      </c>
      <c r="E412">
        <v>35973048</v>
      </c>
      <c r="F412">
        <v>1</v>
      </c>
      <c r="G412">
        <v>35973048</v>
      </c>
      <c r="H412">
        <v>1</v>
      </c>
      <c r="I412" t="s">
        <v>1228</v>
      </c>
      <c r="J412" t="s">
        <v>3</v>
      </c>
      <c r="K412" t="s">
        <v>1229</v>
      </c>
      <c r="L412">
        <v>1191</v>
      </c>
      <c r="N412">
        <v>1013</v>
      </c>
      <c r="O412" t="s">
        <v>1230</v>
      </c>
      <c r="P412" t="s">
        <v>1230</v>
      </c>
      <c r="Q412">
        <v>1</v>
      </c>
      <c r="W412">
        <v>0</v>
      </c>
      <c r="X412">
        <v>476480486</v>
      </c>
      <c r="Y412">
        <v>2.6564999999999999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1</v>
      </c>
      <c r="AJ412">
        <v>1</v>
      </c>
      <c r="AK412">
        <v>1</v>
      </c>
      <c r="AL412">
        <v>25.44</v>
      </c>
      <c r="AN412">
        <v>0</v>
      </c>
      <c r="AO412">
        <v>1</v>
      </c>
      <c r="AP412">
        <v>1</v>
      </c>
      <c r="AQ412">
        <v>0</v>
      </c>
      <c r="AR412">
        <v>0</v>
      </c>
      <c r="AS412" t="s">
        <v>3</v>
      </c>
      <c r="AT412">
        <v>2.31</v>
      </c>
      <c r="AU412" t="s">
        <v>21</v>
      </c>
      <c r="AV412">
        <v>1</v>
      </c>
      <c r="AW412">
        <v>2</v>
      </c>
      <c r="AX412">
        <v>43137046</v>
      </c>
      <c r="AY412">
        <v>1</v>
      </c>
      <c r="AZ412">
        <v>0</v>
      </c>
      <c r="BA412">
        <v>405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CX412">
        <f>Y412*Source!I767</f>
        <v>886.73969999999997</v>
      </c>
      <c r="CY412">
        <f>AD412</f>
        <v>0</v>
      </c>
      <c r="CZ412">
        <f>AH412</f>
        <v>0</v>
      </c>
      <c r="DA412">
        <f>AL412</f>
        <v>25.44</v>
      </c>
      <c r="DB412">
        <f>ROUND((ROUND(AT412*CZ412,2)*1.15),6)</f>
        <v>0</v>
      </c>
      <c r="DC412">
        <f>ROUND((ROUND(AT412*AG412,2)*1.15),6)</f>
        <v>0</v>
      </c>
    </row>
    <row r="413" spans="1:107" x14ac:dyDescent="0.2">
      <c r="A413">
        <f>ROW(Source!A768)</f>
        <v>768</v>
      </c>
      <c r="B413">
        <v>42938047</v>
      </c>
      <c r="C413">
        <v>43134980</v>
      </c>
      <c r="D413">
        <v>35973053</v>
      </c>
      <c r="E413">
        <v>35973048</v>
      </c>
      <c r="F413">
        <v>1</v>
      </c>
      <c r="G413">
        <v>35973048</v>
      </c>
      <c r="H413">
        <v>1</v>
      </c>
      <c r="I413" t="s">
        <v>1228</v>
      </c>
      <c r="J413" t="s">
        <v>3</v>
      </c>
      <c r="K413" t="s">
        <v>1229</v>
      </c>
      <c r="L413">
        <v>1191</v>
      </c>
      <c r="N413">
        <v>1013</v>
      </c>
      <c r="O413" t="s">
        <v>1230</v>
      </c>
      <c r="P413" t="s">
        <v>1230</v>
      </c>
      <c r="Q413">
        <v>1</v>
      </c>
      <c r="W413">
        <v>0</v>
      </c>
      <c r="X413">
        <v>476480486</v>
      </c>
      <c r="Y413">
        <v>23.097750000000001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1</v>
      </c>
      <c r="AJ413">
        <v>1</v>
      </c>
      <c r="AK413">
        <v>1</v>
      </c>
      <c r="AL413">
        <v>25.44</v>
      </c>
      <c r="AN413">
        <v>0</v>
      </c>
      <c r="AO413">
        <v>1</v>
      </c>
      <c r="AP413">
        <v>1</v>
      </c>
      <c r="AQ413">
        <v>0</v>
      </c>
      <c r="AR413">
        <v>0</v>
      </c>
      <c r="AS413" t="s">
        <v>3</v>
      </c>
      <c r="AT413">
        <v>26.78</v>
      </c>
      <c r="AU413" t="s">
        <v>56</v>
      </c>
      <c r="AV413">
        <v>1</v>
      </c>
      <c r="AW413">
        <v>2</v>
      </c>
      <c r="AX413">
        <v>43134981</v>
      </c>
      <c r="AY413">
        <v>1</v>
      </c>
      <c r="AZ413">
        <v>2048</v>
      </c>
      <c r="BA413">
        <v>406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CX413">
        <f>Y413*Source!I768</f>
        <v>385.50144750000004</v>
      </c>
      <c r="CY413">
        <f>AD413</f>
        <v>0</v>
      </c>
      <c r="CZ413">
        <f>AH413</f>
        <v>0</v>
      </c>
      <c r="DA413">
        <f>AL413</f>
        <v>25.44</v>
      </c>
      <c r="DB413">
        <f>ROUND(((ROUND(AT413*CZ413,2)*0.75)*1.15),6)</f>
        <v>0</v>
      </c>
      <c r="DC413">
        <f>ROUND(((ROUND(AT413*AG413,2)*0.75)*1.15),6)</f>
        <v>0</v>
      </c>
    </row>
    <row r="414" spans="1:107" x14ac:dyDescent="0.2">
      <c r="A414">
        <f>ROW(Source!A768)</f>
        <v>768</v>
      </c>
      <c r="B414">
        <v>42938047</v>
      </c>
      <c r="C414">
        <v>43134980</v>
      </c>
      <c r="D414">
        <v>36044514</v>
      </c>
      <c r="E414">
        <v>1</v>
      </c>
      <c r="F414">
        <v>1</v>
      </c>
      <c r="G414">
        <v>35973048</v>
      </c>
      <c r="H414">
        <v>2</v>
      </c>
      <c r="I414" t="s">
        <v>1409</v>
      </c>
      <c r="J414" t="s">
        <v>1410</v>
      </c>
      <c r="K414" t="s">
        <v>1411</v>
      </c>
      <c r="L414">
        <v>1367</v>
      </c>
      <c r="N414">
        <v>1011</v>
      </c>
      <c r="O414" t="s">
        <v>738</v>
      </c>
      <c r="P414" t="s">
        <v>738</v>
      </c>
      <c r="Q414">
        <v>1</v>
      </c>
      <c r="W414">
        <v>0</v>
      </c>
      <c r="X414">
        <v>-1684065391</v>
      </c>
      <c r="Y414">
        <v>4.6875E-2</v>
      </c>
      <c r="AA414">
        <v>0</v>
      </c>
      <c r="AB414">
        <v>961.7</v>
      </c>
      <c r="AC414">
        <v>328.18</v>
      </c>
      <c r="AD414">
        <v>0</v>
      </c>
      <c r="AE414">
        <v>0</v>
      </c>
      <c r="AF414">
        <v>97.24</v>
      </c>
      <c r="AG414">
        <v>12.9</v>
      </c>
      <c r="AH414">
        <v>0</v>
      </c>
      <c r="AI414">
        <v>1</v>
      </c>
      <c r="AJ414">
        <v>9.89</v>
      </c>
      <c r="AK414">
        <v>25.44</v>
      </c>
      <c r="AL414">
        <v>1</v>
      </c>
      <c r="AN414">
        <v>0</v>
      </c>
      <c r="AO414">
        <v>1</v>
      </c>
      <c r="AP414">
        <v>1</v>
      </c>
      <c r="AQ414">
        <v>0</v>
      </c>
      <c r="AR414">
        <v>0</v>
      </c>
      <c r="AS414" t="s">
        <v>3</v>
      </c>
      <c r="AT414">
        <v>0.05</v>
      </c>
      <c r="AU414" t="s">
        <v>55</v>
      </c>
      <c r="AV414">
        <v>0</v>
      </c>
      <c r="AW414">
        <v>2</v>
      </c>
      <c r="AX414">
        <v>43134982</v>
      </c>
      <c r="AY414">
        <v>1</v>
      </c>
      <c r="AZ414">
        <v>2048</v>
      </c>
      <c r="BA414">
        <v>407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CX414">
        <f>Y414*Source!I768</f>
        <v>0.78234375000000012</v>
      </c>
      <c r="CY414">
        <f>AB414</f>
        <v>961.7</v>
      </c>
      <c r="CZ414">
        <f>AF414</f>
        <v>97.24</v>
      </c>
      <c r="DA414">
        <f>AJ414</f>
        <v>9.89</v>
      </c>
      <c r="DB414">
        <f>ROUND(((ROUND(AT414*CZ414,2)*0.75)*1.25),6)</f>
        <v>4.5562500000000004</v>
      </c>
      <c r="DC414">
        <f>ROUND(((ROUND(AT414*AG414,2)*0.75)*1.25),6)</f>
        <v>0.609375</v>
      </c>
    </row>
    <row r="415" spans="1:107" x14ac:dyDescent="0.2">
      <c r="A415">
        <f>ROW(Source!A768)</f>
        <v>768</v>
      </c>
      <c r="B415">
        <v>42938047</v>
      </c>
      <c r="C415">
        <v>43134980</v>
      </c>
      <c r="D415">
        <v>35973762</v>
      </c>
      <c r="E415">
        <v>35973048</v>
      </c>
      <c r="F415">
        <v>1</v>
      </c>
      <c r="G415">
        <v>35973048</v>
      </c>
      <c r="H415">
        <v>2</v>
      </c>
      <c r="I415" t="s">
        <v>1243</v>
      </c>
      <c r="J415" t="s">
        <v>3</v>
      </c>
      <c r="K415" t="s">
        <v>1244</v>
      </c>
      <c r="L415">
        <v>1344</v>
      </c>
      <c r="N415">
        <v>1008</v>
      </c>
      <c r="O415" t="s">
        <v>1245</v>
      </c>
      <c r="P415" t="s">
        <v>1245</v>
      </c>
      <c r="Q415">
        <v>1</v>
      </c>
      <c r="W415">
        <v>0</v>
      </c>
      <c r="X415">
        <v>-1180195794</v>
      </c>
      <c r="Y415">
        <v>0.1125</v>
      </c>
      <c r="AA415">
        <v>0</v>
      </c>
      <c r="AB415">
        <v>9.8000000000000007</v>
      </c>
      <c r="AC415">
        <v>0</v>
      </c>
      <c r="AD415">
        <v>0</v>
      </c>
      <c r="AE415">
        <v>0</v>
      </c>
      <c r="AF415">
        <v>1</v>
      </c>
      <c r="AG415">
        <v>0</v>
      </c>
      <c r="AH415">
        <v>0</v>
      </c>
      <c r="AI415">
        <v>1</v>
      </c>
      <c r="AJ415">
        <v>9.8000000000000007</v>
      </c>
      <c r="AK415">
        <v>25.44</v>
      </c>
      <c r="AL415">
        <v>1</v>
      </c>
      <c r="AN415">
        <v>0</v>
      </c>
      <c r="AO415">
        <v>1</v>
      </c>
      <c r="AP415">
        <v>1</v>
      </c>
      <c r="AQ415">
        <v>0</v>
      </c>
      <c r="AR415">
        <v>0</v>
      </c>
      <c r="AS415" t="s">
        <v>3</v>
      </c>
      <c r="AT415">
        <v>0.12</v>
      </c>
      <c r="AU415" t="s">
        <v>55</v>
      </c>
      <c r="AV415">
        <v>0</v>
      </c>
      <c r="AW415">
        <v>2</v>
      </c>
      <c r="AX415">
        <v>43134983</v>
      </c>
      <c r="AY415">
        <v>1</v>
      </c>
      <c r="AZ415">
        <v>2048</v>
      </c>
      <c r="BA415">
        <v>408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CX415">
        <f>Y415*Source!I768</f>
        <v>1.8776250000000001</v>
      </c>
      <c r="CY415">
        <f>AB415</f>
        <v>9.8000000000000007</v>
      </c>
      <c r="CZ415">
        <f>AF415</f>
        <v>1</v>
      </c>
      <c r="DA415">
        <f>AJ415</f>
        <v>9.8000000000000007</v>
      </c>
      <c r="DB415">
        <f>ROUND(((ROUND(AT415*CZ415,2)*0.75)*1.25),6)</f>
        <v>0.1125</v>
      </c>
      <c r="DC415">
        <f>ROUND(((ROUND(AT415*AG415,2)*0.75)*1.25),6)</f>
        <v>0</v>
      </c>
    </row>
    <row r="416" spans="1:107" x14ac:dyDescent="0.2">
      <c r="A416">
        <f>ROW(Source!A768)</f>
        <v>768</v>
      </c>
      <c r="B416">
        <v>42938047</v>
      </c>
      <c r="C416">
        <v>43134980</v>
      </c>
      <c r="D416">
        <v>36039478</v>
      </c>
      <c r="E416">
        <v>1</v>
      </c>
      <c r="F416">
        <v>1</v>
      </c>
      <c r="G416">
        <v>35973048</v>
      </c>
      <c r="H416">
        <v>3</v>
      </c>
      <c r="I416" t="s">
        <v>860</v>
      </c>
      <c r="J416" t="s">
        <v>862</v>
      </c>
      <c r="K416" t="s">
        <v>861</v>
      </c>
      <c r="L416">
        <v>1339</v>
      </c>
      <c r="N416">
        <v>1007</v>
      </c>
      <c r="O416" t="s">
        <v>84</v>
      </c>
      <c r="P416" t="s">
        <v>84</v>
      </c>
      <c r="Q416">
        <v>1</v>
      </c>
      <c r="W416">
        <v>0</v>
      </c>
      <c r="X416">
        <v>-2018563240</v>
      </c>
      <c r="Y416">
        <v>15</v>
      </c>
      <c r="AA416">
        <v>1148.23</v>
      </c>
      <c r="AB416">
        <v>0</v>
      </c>
      <c r="AC416">
        <v>0</v>
      </c>
      <c r="AD416">
        <v>0</v>
      </c>
      <c r="AE416">
        <v>297.47000000000003</v>
      </c>
      <c r="AF416">
        <v>0</v>
      </c>
      <c r="AG416">
        <v>0</v>
      </c>
      <c r="AH416">
        <v>0</v>
      </c>
      <c r="AI416">
        <v>3.86</v>
      </c>
      <c r="AJ416">
        <v>1</v>
      </c>
      <c r="AK416">
        <v>1</v>
      </c>
      <c r="AL416">
        <v>1</v>
      </c>
      <c r="AN416">
        <v>0</v>
      </c>
      <c r="AO416">
        <v>0</v>
      </c>
      <c r="AP416">
        <v>0</v>
      </c>
      <c r="AQ416">
        <v>0</v>
      </c>
      <c r="AR416">
        <v>0</v>
      </c>
      <c r="AS416" t="s">
        <v>3</v>
      </c>
      <c r="AT416">
        <v>15</v>
      </c>
      <c r="AU416" t="s">
        <v>3</v>
      </c>
      <c r="AV416">
        <v>0</v>
      </c>
      <c r="AW416">
        <v>1</v>
      </c>
      <c r="AX416">
        <v>-1</v>
      </c>
      <c r="AY416">
        <v>0</v>
      </c>
      <c r="AZ416">
        <v>0</v>
      </c>
      <c r="BA416" t="s">
        <v>3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CX416">
        <f>Y416*Source!I768</f>
        <v>250.35000000000002</v>
      </c>
      <c r="CY416">
        <f>AA416</f>
        <v>1148.23</v>
      </c>
      <c r="CZ416">
        <f>AE416</f>
        <v>297.47000000000003</v>
      </c>
      <c r="DA416">
        <f>AI416</f>
        <v>3.86</v>
      </c>
      <c r="DB416">
        <f>ROUND(ROUND(AT416*CZ416,2),6)</f>
        <v>4462.05</v>
      </c>
      <c r="DC416">
        <f>ROUND(ROUND(AT416*AG416,2),6)</f>
        <v>0</v>
      </c>
    </row>
    <row r="417" spans="1:107" x14ac:dyDescent="0.2">
      <c r="A417">
        <f>ROW(Source!A770)</f>
        <v>770</v>
      </c>
      <c r="B417">
        <v>42938047</v>
      </c>
      <c r="C417">
        <v>43134990</v>
      </c>
      <c r="D417">
        <v>35973053</v>
      </c>
      <c r="E417">
        <v>35973048</v>
      </c>
      <c r="F417">
        <v>1</v>
      </c>
      <c r="G417">
        <v>35973048</v>
      </c>
      <c r="H417">
        <v>1</v>
      </c>
      <c r="I417" t="s">
        <v>1228</v>
      </c>
      <c r="J417" t="s">
        <v>3</v>
      </c>
      <c r="K417" t="s">
        <v>1229</v>
      </c>
      <c r="L417">
        <v>1191</v>
      </c>
      <c r="N417">
        <v>1013</v>
      </c>
      <c r="O417" t="s">
        <v>1230</v>
      </c>
      <c r="P417" t="s">
        <v>1230</v>
      </c>
      <c r="Q417">
        <v>1</v>
      </c>
      <c r="W417">
        <v>0</v>
      </c>
      <c r="X417">
        <v>476480486</v>
      </c>
      <c r="Y417">
        <v>11.5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1</v>
      </c>
      <c r="AJ417">
        <v>1</v>
      </c>
      <c r="AK417">
        <v>1</v>
      </c>
      <c r="AL417">
        <v>25.44</v>
      </c>
      <c r="AN417">
        <v>0</v>
      </c>
      <c r="AO417">
        <v>1</v>
      </c>
      <c r="AP417">
        <v>1</v>
      </c>
      <c r="AQ417">
        <v>0</v>
      </c>
      <c r="AR417">
        <v>0</v>
      </c>
      <c r="AS417" t="s">
        <v>3</v>
      </c>
      <c r="AT417">
        <v>40</v>
      </c>
      <c r="AU417" t="s">
        <v>65</v>
      </c>
      <c r="AV417">
        <v>1</v>
      </c>
      <c r="AW417">
        <v>2</v>
      </c>
      <c r="AX417">
        <v>43134993</v>
      </c>
      <c r="AY417">
        <v>1</v>
      </c>
      <c r="AZ417">
        <v>0</v>
      </c>
      <c r="BA417">
        <v>410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CX417">
        <f>Y417*Source!I770</f>
        <v>191.935</v>
      </c>
      <c r="CY417">
        <f>AD417</f>
        <v>0</v>
      </c>
      <c r="CZ417">
        <f>AH417</f>
        <v>0</v>
      </c>
      <c r="DA417">
        <f>AL417</f>
        <v>25.44</v>
      </c>
      <c r="DB417">
        <f>ROUND(((ROUND(AT417*CZ417,2)*0.25)*1.15),6)</f>
        <v>0</v>
      </c>
      <c r="DC417">
        <f>ROUND(((ROUND(AT417*AG417,2)*0.25)*1.15),6)</f>
        <v>0</v>
      </c>
    </row>
    <row r="418" spans="1:107" x14ac:dyDescent="0.2">
      <c r="A418">
        <f>ROW(Source!A770)</f>
        <v>770</v>
      </c>
      <c r="B418">
        <v>42938047</v>
      </c>
      <c r="C418">
        <v>43134990</v>
      </c>
      <c r="D418">
        <v>36039478</v>
      </c>
      <c r="E418">
        <v>1</v>
      </c>
      <c r="F418">
        <v>1</v>
      </c>
      <c r="G418">
        <v>35973048</v>
      </c>
      <c r="H418">
        <v>3</v>
      </c>
      <c r="I418" t="s">
        <v>860</v>
      </c>
      <c r="J418" t="s">
        <v>862</v>
      </c>
      <c r="K418" t="s">
        <v>861</v>
      </c>
      <c r="L418">
        <v>1339</v>
      </c>
      <c r="N418">
        <v>1007</v>
      </c>
      <c r="O418" t="s">
        <v>84</v>
      </c>
      <c r="P418" t="s">
        <v>84</v>
      </c>
      <c r="Q418">
        <v>1</v>
      </c>
      <c r="W418">
        <v>0</v>
      </c>
      <c r="X418">
        <v>-2018563240</v>
      </c>
      <c r="Y418">
        <v>15</v>
      </c>
      <c r="AA418">
        <v>1148.23</v>
      </c>
      <c r="AB418">
        <v>0</v>
      </c>
      <c r="AC418">
        <v>0</v>
      </c>
      <c r="AD418">
        <v>0</v>
      </c>
      <c r="AE418">
        <v>297.47000000000003</v>
      </c>
      <c r="AF418">
        <v>0</v>
      </c>
      <c r="AG418">
        <v>0</v>
      </c>
      <c r="AH418">
        <v>0</v>
      </c>
      <c r="AI418">
        <v>3.86</v>
      </c>
      <c r="AJ418">
        <v>1</v>
      </c>
      <c r="AK418">
        <v>1</v>
      </c>
      <c r="AL418">
        <v>1</v>
      </c>
      <c r="AN418">
        <v>0</v>
      </c>
      <c r="AO418">
        <v>0</v>
      </c>
      <c r="AP418">
        <v>0</v>
      </c>
      <c r="AQ418">
        <v>0</v>
      </c>
      <c r="AR418">
        <v>0</v>
      </c>
      <c r="AS418" t="s">
        <v>3</v>
      </c>
      <c r="AT418">
        <v>15</v>
      </c>
      <c r="AU418" t="s">
        <v>3</v>
      </c>
      <c r="AV418">
        <v>0</v>
      </c>
      <c r="AW418">
        <v>1</v>
      </c>
      <c r="AX418">
        <v>-1</v>
      </c>
      <c r="AY418">
        <v>0</v>
      </c>
      <c r="AZ418">
        <v>0</v>
      </c>
      <c r="BA418" t="s">
        <v>3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CX418">
        <f>Y418*Source!I770</f>
        <v>250.35000000000002</v>
      </c>
      <c r="CY418">
        <f>AA418</f>
        <v>1148.23</v>
      </c>
      <c r="CZ418">
        <f>AE418</f>
        <v>297.47000000000003</v>
      </c>
      <c r="DA418">
        <f>AI418</f>
        <v>3.86</v>
      </c>
      <c r="DB418">
        <f>ROUND(ROUND(AT418*CZ418,2),6)</f>
        <v>4462.05</v>
      </c>
      <c r="DC418">
        <f>ROUND(ROUND(AT418*AG418,2),6)</f>
        <v>0</v>
      </c>
    </row>
    <row r="419" spans="1:107" x14ac:dyDescent="0.2">
      <c r="A419">
        <f>ROW(Source!A772)</f>
        <v>772</v>
      </c>
      <c r="B419">
        <v>42938047</v>
      </c>
      <c r="C419">
        <v>43135102</v>
      </c>
      <c r="D419">
        <v>35973053</v>
      </c>
      <c r="E419">
        <v>35973048</v>
      </c>
      <c r="F419">
        <v>1</v>
      </c>
      <c r="G419">
        <v>35973048</v>
      </c>
      <c r="H419">
        <v>1</v>
      </c>
      <c r="I419" t="s">
        <v>1228</v>
      </c>
      <c r="J419" t="s">
        <v>3</v>
      </c>
      <c r="K419" t="s">
        <v>1229</v>
      </c>
      <c r="L419">
        <v>1191</v>
      </c>
      <c r="N419">
        <v>1013</v>
      </c>
      <c r="O419" t="s">
        <v>1230</v>
      </c>
      <c r="P419" t="s">
        <v>1230</v>
      </c>
      <c r="Q419">
        <v>1</v>
      </c>
      <c r="W419">
        <v>0</v>
      </c>
      <c r="X419">
        <v>476480486</v>
      </c>
      <c r="Y419">
        <v>6.2904999999999998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1</v>
      </c>
      <c r="AJ419">
        <v>1</v>
      </c>
      <c r="AK419">
        <v>1</v>
      </c>
      <c r="AL419">
        <v>25.44</v>
      </c>
      <c r="AN419">
        <v>0</v>
      </c>
      <c r="AO419">
        <v>1</v>
      </c>
      <c r="AP419">
        <v>1</v>
      </c>
      <c r="AQ419">
        <v>0</v>
      </c>
      <c r="AR419">
        <v>0</v>
      </c>
      <c r="AS419" t="s">
        <v>3</v>
      </c>
      <c r="AT419">
        <v>5.47</v>
      </c>
      <c r="AU419" t="s">
        <v>21</v>
      </c>
      <c r="AV419">
        <v>1</v>
      </c>
      <c r="AW419">
        <v>2</v>
      </c>
      <c r="AX419">
        <v>43135103</v>
      </c>
      <c r="AY419">
        <v>1</v>
      </c>
      <c r="AZ419">
        <v>2048</v>
      </c>
      <c r="BA419">
        <v>412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CX419">
        <f>Y419*Source!I772</f>
        <v>104.988445</v>
      </c>
      <c r="CY419">
        <f>AD419</f>
        <v>0</v>
      </c>
      <c r="CZ419">
        <f>AH419</f>
        <v>0</v>
      </c>
      <c r="DA419">
        <f>AL419</f>
        <v>25.44</v>
      </c>
      <c r="DB419">
        <f>ROUND((ROUND(AT419*CZ419,2)*1.15),6)</f>
        <v>0</v>
      </c>
      <c r="DC419">
        <f>ROUND((ROUND(AT419*AG419,2)*1.15),6)</f>
        <v>0</v>
      </c>
    </row>
    <row r="420" spans="1:107" x14ac:dyDescent="0.2">
      <c r="A420">
        <f>ROW(Source!A772)</f>
        <v>772</v>
      </c>
      <c r="B420">
        <v>42938047</v>
      </c>
      <c r="C420">
        <v>43135102</v>
      </c>
      <c r="D420">
        <v>36039478</v>
      </c>
      <c r="E420">
        <v>1</v>
      </c>
      <c r="F420">
        <v>1</v>
      </c>
      <c r="G420">
        <v>35973048</v>
      </c>
      <c r="H420">
        <v>3</v>
      </c>
      <c r="I420" t="s">
        <v>860</v>
      </c>
      <c r="J420" t="s">
        <v>862</v>
      </c>
      <c r="K420" t="s">
        <v>861</v>
      </c>
      <c r="L420">
        <v>1339</v>
      </c>
      <c r="N420">
        <v>1007</v>
      </c>
      <c r="O420" t="s">
        <v>84</v>
      </c>
      <c r="P420" t="s">
        <v>84</v>
      </c>
      <c r="Q420">
        <v>1</v>
      </c>
      <c r="W420">
        <v>0</v>
      </c>
      <c r="X420">
        <v>-2018563240</v>
      </c>
      <c r="Y420">
        <v>5</v>
      </c>
      <c r="AA420">
        <v>1148.23</v>
      </c>
      <c r="AB420">
        <v>0</v>
      </c>
      <c r="AC420">
        <v>0</v>
      </c>
      <c r="AD420">
        <v>0</v>
      </c>
      <c r="AE420">
        <v>297.47000000000003</v>
      </c>
      <c r="AF420">
        <v>0</v>
      </c>
      <c r="AG420">
        <v>0</v>
      </c>
      <c r="AH420">
        <v>0</v>
      </c>
      <c r="AI420">
        <v>3.86</v>
      </c>
      <c r="AJ420">
        <v>1</v>
      </c>
      <c r="AK420">
        <v>1</v>
      </c>
      <c r="AL420">
        <v>1</v>
      </c>
      <c r="AN420">
        <v>0</v>
      </c>
      <c r="AO420">
        <v>0</v>
      </c>
      <c r="AP420">
        <v>0</v>
      </c>
      <c r="AQ420">
        <v>0</v>
      </c>
      <c r="AR420">
        <v>0</v>
      </c>
      <c r="AS420" t="s">
        <v>3</v>
      </c>
      <c r="AT420">
        <v>5</v>
      </c>
      <c r="AU420" t="s">
        <v>3</v>
      </c>
      <c r="AV420">
        <v>0</v>
      </c>
      <c r="AW420">
        <v>1</v>
      </c>
      <c r="AX420">
        <v>-1</v>
      </c>
      <c r="AY420">
        <v>0</v>
      </c>
      <c r="AZ420">
        <v>0</v>
      </c>
      <c r="BA420" t="s">
        <v>3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CX420">
        <f>Y420*Source!I772</f>
        <v>83.45</v>
      </c>
      <c r="CY420">
        <f>AA420</f>
        <v>1148.23</v>
      </c>
      <c r="CZ420">
        <f>AE420</f>
        <v>297.47000000000003</v>
      </c>
      <c r="DA420">
        <f>AI420</f>
        <v>3.86</v>
      </c>
      <c r="DB420">
        <f>ROUND(ROUND(AT420*CZ420,2),6)</f>
        <v>1487.35</v>
      </c>
      <c r="DC420">
        <f>ROUND(ROUND(AT420*AG420,2),6)</f>
        <v>0</v>
      </c>
    </row>
    <row r="421" spans="1:107" x14ac:dyDescent="0.2">
      <c r="A421">
        <f>ROW(Source!A774)</f>
        <v>774</v>
      </c>
      <c r="B421">
        <v>42938047</v>
      </c>
      <c r="C421">
        <v>42938887</v>
      </c>
      <c r="D421">
        <v>35973053</v>
      </c>
      <c r="E421">
        <v>35973048</v>
      </c>
      <c r="F421">
        <v>1</v>
      </c>
      <c r="G421">
        <v>35973048</v>
      </c>
      <c r="H421">
        <v>1</v>
      </c>
      <c r="I421" t="s">
        <v>1228</v>
      </c>
      <c r="J421" t="s">
        <v>3</v>
      </c>
      <c r="K421" t="s">
        <v>1229</v>
      </c>
      <c r="L421">
        <v>1191</v>
      </c>
      <c r="N421">
        <v>1013</v>
      </c>
      <c r="O421" t="s">
        <v>1230</v>
      </c>
      <c r="P421" t="s">
        <v>1230</v>
      </c>
      <c r="Q421">
        <v>1</v>
      </c>
      <c r="W421">
        <v>0</v>
      </c>
      <c r="X421">
        <v>476480486</v>
      </c>
      <c r="Y421">
        <v>13.420500000000001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1</v>
      </c>
      <c r="AJ421">
        <v>1</v>
      </c>
      <c r="AK421">
        <v>1</v>
      </c>
      <c r="AL421">
        <v>25.44</v>
      </c>
      <c r="AN421">
        <v>0</v>
      </c>
      <c r="AO421">
        <v>1</v>
      </c>
      <c r="AP421">
        <v>1</v>
      </c>
      <c r="AQ421">
        <v>0</v>
      </c>
      <c r="AR421">
        <v>0</v>
      </c>
      <c r="AS421" t="s">
        <v>3</v>
      </c>
      <c r="AT421">
        <v>11.67</v>
      </c>
      <c r="AU421" t="s">
        <v>21</v>
      </c>
      <c r="AV421">
        <v>1</v>
      </c>
      <c r="AW421">
        <v>2</v>
      </c>
      <c r="AX421">
        <v>42938894</v>
      </c>
      <c r="AY421">
        <v>1</v>
      </c>
      <c r="AZ421">
        <v>2048</v>
      </c>
      <c r="BA421">
        <v>414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CX421">
        <f>Y421*Source!I774</f>
        <v>223.98814500000003</v>
      </c>
      <c r="CY421">
        <f>AD421</f>
        <v>0</v>
      </c>
      <c r="CZ421">
        <f>AH421</f>
        <v>0</v>
      </c>
      <c r="DA421">
        <f>AL421</f>
        <v>25.44</v>
      </c>
      <c r="DB421">
        <f>ROUND((ROUND(AT421*CZ421,2)*1.15),6)</f>
        <v>0</v>
      </c>
      <c r="DC421">
        <f>ROUND((ROUND(AT421*AG421,2)*1.15),6)</f>
        <v>0</v>
      </c>
    </row>
    <row r="422" spans="1:107" x14ac:dyDescent="0.2">
      <c r="A422">
        <f>ROW(Source!A774)</f>
        <v>774</v>
      </c>
      <c r="B422">
        <v>42938047</v>
      </c>
      <c r="C422">
        <v>42938887</v>
      </c>
      <c r="D422">
        <v>35994366</v>
      </c>
      <c r="E422">
        <v>35973048</v>
      </c>
      <c r="F422">
        <v>1</v>
      </c>
      <c r="G422">
        <v>35973048</v>
      </c>
      <c r="H422">
        <v>3</v>
      </c>
      <c r="I422" t="s">
        <v>1294</v>
      </c>
      <c r="J422" t="s">
        <v>3</v>
      </c>
      <c r="K422" t="s">
        <v>1295</v>
      </c>
      <c r="L422">
        <v>1344</v>
      </c>
      <c r="N422">
        <v>1008</v>
      </c>
      <c r="O422" t="s">
        <v>1245</v>
      </c>
      <c r="P422" t="s">
        <v>1245</v>
      </c>
      <c r="Q422">
        <v>1</v>
      </c>
      <c r="W422">
        <v>0</v>
      </c>
      <c r="X422">
        <v>-94250534</v>
      </c>
      <c r="Y422">
        <v>171.2</v>
      </c>
      <c r="AA422">
        <v>6.58</v>
      </c>
      <c r="AB422">
        <v>0</v>
      </c>
      <c r="AC422">
        <v>0</v>
      </c>
      <c r="AD422">
        <v>0</v>
      </c>
      <c r="AE422">
        <v>1</v>
      </c>
      <c r="AF422">
        <v>0</v>
      </c>
      <c r="AG422">
        <v>0</v>
      </c>
      <c r="AH422">
        <v>0</v>
      </c>
      <c r="AI422">
        <v>6.58</v>
      </c>
      <c r="AJ422">
        <v>1</v>
      </c>
      <c r="AK422">
        <v>1</v>
      </c>
      <c r="AL422">
        <v>1</v>
      </c>
      <c r="AN422">
        <v>0</v>
      </c>
      <c r="AO422">
        <v>1</v>
      </c>
      <c r="AP422">
        <v>0</v>
      </c>
      <c r="AQ422">
        <v>0</v>
      </c>
      <c r="AR422">
        <v>0</v>
      </c>
      <c r="AS422" t="s">
        <v>3</v>
      </c>
      <c r="AT422">
        <v>171.2</v>
      </c>
      <c r="AU422" t="s">
        <v>3</v>
      </c>
      <c r="AV422">
        <v>0</v>
      </c>
      <c r="AW422">
        <v>2</v>
      </c>
      <c r="AX422">
        <v>42938896</v>
      </c>
      <c r="AY422">
        <v>1</v>
      </c>
      <c r="AZ422">
        <v>0</v>
      </c>
      <c r="BA422">
        <v>416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CX422">
        <f>Y422*Source!I774</f>
        <v>2857.328</v>
      </c>
      <c r="CY422">
        <f>AA422</f>
        <v>6.58</v>
      </c>
      <c r="CZ422">
        <f>AE422</f>
        <v>1</v>
      </c>
      <c r="DA422">
        <f>AI422</f>
        <v>6.58</v>
      </c>
      <c r="DB422">
        <f>ROUND(ROUND(AT422*CZ422,2),6)</f>
        <v>171.2</v>
      </c>
      <c r="DC422">
        <f>ROUND(ROUND(AT422*AG422,2),6)</f>
        <v>0</v>
      </c>
    </row>
    <row r="423" spans="1:107" x14ac:dyDescent="0.2">
      <c r="A423">
        <f>ROW(Source!A776)</f>
        <v>776</v>
      </c>
      <c r="B423">
        <v>42938047</v>
      </c>
      <c r="C423">
        <v>42938900</v>
      </c>
      <c r="D423">
        <v>35973053</v>
      </c>
      <c r="E423">
        <v>35973048</v>
      </c>
      <c r="F423">
        <v>1</v>
      </c>
      <c r="G423">
        <v>35973048</v>
      </c>
      <c r="H423">
        <v>1</v>
      </c>
      <c r="I423" t="s">
        <v>1228</v>
      </c>
      <c r="J423" t="s">
        <v>3</v>
      </c>
      <c r="K423" t="s">
        <v>1229</v>
      </c>
      <c r="L423">
        <v>1191</v>
      </c>
      <c r="N423">
        <v>1013</v>
      </c>
      <c r="O423" t="s">
        <v>1230</v>
      </c>
      <c r="P423" t="s">
        <v>1230</v>
      </c>
      <c r="Q423">
        <v>1</v>
      </c>
      <c r="W423">
        <v>0</v>
      </c>
      <c r="X423">
        <v>476480486</v>
      </c>
      <c r="Y423">
        <v>5.5774999999999997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1</v>
      </c>
      <c r="AJ423">
        <v>1</v>
      </c>
      <c r="AK423">
        <v>1</v>
      </c>
      <c r="AL423">
        <v>25.44</v>
      </c>
      <c r="AN423">
        <v>0</v>
      </c>
      <c r="AO423">
        <v>1</v>
      </c>
      <c r="AP423">
        <v>1</v>
      </c>
      <c r="AQ423">
        <v>0</v>
      </c>
      <c r="AR423">
        <v>0</v>
      </c>
      <c r="AS423" t="s">
        <v>3</v>
      </c>
      <c r="AT423">
        <v>4.8499999999999996</v>
      </c>
      <c r="AU423" t="s">
        <v>21</v>
      </c>
      <c r="AV423">
        <v>1</v>
      </c>
      <c r="AW423">
        <v>2</v>
      </c>
      <c r="AX423">
        <v>42938946</v>
      </c>
      <c r="AY423">
        <v>1</v>
      </c>
      <c r="AZ423">
        <v>2048</v>
      </c>
      <c r="BA423">
        <v>417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CX423">
        <f>Y423*Source!I776</f>
        <v>93.088475000000003</v>
      </c>
      <c r="CY423">
        <f>AD423</f>
        <v>0</v>
      </c>
      <c r="CZ423">
        <f>AH423</f>
        <v>0</v>
      </c>
      <c r="DA423">
        <f>AL423</f>
        <v>25.44</v>
      </c>
      <c r="DB423">
        <f>ROUND((ROUND(AT423*CZ423,2)*1.15),6)</f>
        <v>0</v>
      </c>
      <c r="DC423">
        <f>ROUND((ROUND(AT423*AG423,2)*1.15),6)</f>
        <v>0</v>
      </c>
    </row>
    <row r="424" spans="1:107" x14ac:dyDescent="0.2">
      <c r="A424">
        <f>ROW(Source!A776)</f>
        <v>776</v>
      </c>
      <c r="B424">
        <v>42938047</v>
      </c>
      <c r="C424">
        <v>42938900</v>
      </c>
      <c r="D424">
        <v>36045173</v>
      </c>
      <c r="E424">
        <v>1</v>
      </c>
      <c r="F424">
        <v>1</v>
      </c>
      <c r="G424">
        <v>35973048</v>
      </c>
      <c r="H424">
        <v>2</v>
      </c>
      <c r="I424" t="s">
        <v>1412</v>
      </c>
      <c r="J424" t="s">
        <v>1413</v>
      </c>
      <c r="K424" t="s">
        <v>1414</v>
      </c>
      <c r="L424">
        <v>1367</v>
      </c>
      <c r="N424">
        <v>1011</v>
      </c>
      <c r="O424" t="s">
        <v>738</v>
      </c>
      <c r="P424" t="s">
        <v>738</v>
      </c>
      <c r="Q424">
        <v>1</v>
      </c>
      <c r="W424">
        <v>0</v>
      </c>
      <c r="X424">
        <v>2138031876</v>
      </c>
      <c r="Y424">
        <v>7.4999999999999997E-2</v>
      </c>
      <c r="AA424">
        <v>0</v>
      </c>
      <c r="AB424">
        <v>245.76</v>
      </c>
      <c r="AC424">
        <v>84.46</v>
      </c>
      <c r="AD424">
        <v>0</v>
      </c>
      <c r="AE424">
        <v>0</v>
      </c>
      <c r="AF424">
        <v>32.380000000000003</v>
      </c>
      <c r="AG424">
        <v>3.32</v>
      </c>
      <c r="AH424">
        <v>0</v>
      </c>
      <c r="AI424">
        <v>1</v>
      </c>
      <c r="AJ424">
        <v>7.59</v>
      </c>
      <c r="AK424">
        <v>25.44</v>
      </c>
      <c r="AL424">
        <v>1</v>
      </c>
      <c r="AN424">
        <v>0</v>
      </c>
      <c r="AO424">
        <v>1</v>
      </c>
      <c r="AP424">
        <v>1</v>
      </c>
      <c r="AQ424">
        <v>0</v>
      </c>
      <c r="AR424">
        <v>0</v>
      </c>
      <c r="AS424" t="s">
        <v>3</v>
      </c>
      <c r="AT424">
        <v>0.06</v>
      </c>
      <c r="AU424" t="s">
        <v>20</v>
      </c>
      <c r="AV424">
        <v>0</v>
      </c>
      <c r="AW424">
        <v>2</v>
      </c>
      <c r="AX424">
        <v>42938947</v>
      </c>
      <c r="AY424">
        <v>1</v>
      </c>
      <c r="AZ424">
        <v>0</v>
      </c>
      <c r="BA424">
        <v>418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CX424">
        <f>Y424*Source!I776</f>
        <v>1.2517500000000001</v>
      </c>
      <c r="CY424">
        <f>AB424</f>
        <v>245.76</v>
      </c>
      <c r="CZ424">
        <f>AF424</f>
        <v>32.380000000000003</v>
      </c>
      <c r="DA424">
        <f>AJ424</f>
        <v>7.59</v>
      </c>
      <c r="DB424">
        <f>ROUND((ROUND(AT424*CZ424,2)*1.25),6)</f>
        <v>2.4249999999999998</v>
      </c>
      <c r="DC424">
        <f>ROUND((ROUND(AT424*AG424,2)*1.25),6)</f>
        <v>0.25</v>
      </c>
    </row>
    <row r="425" spans="1:107" x14ac:dyDescent="0.2">
      <c r="A425">
        <f>ROW(Source!A776)</f>
        <v>776</v>
      </c>
      <c r="B425">
        <v>42938047</v>
      </c>
      <c r="C425">
        <v>42938900</v>
      </c>
      <c r="D425">
        <v>36044514</v>
      </c>
      <c r="E425">
        <v>1</v>
      </c>
      <c r="F425">
        <v>1</v>
      </c>
      <c r="G425">
        <v>35973048</v>
      </c>
      <c r="H425">
        <v>2</v>
      </c>
      <c r="I425" t="s">
        <v>1409</v>
      </c>
      <c r="J425" t="s">
        <v>1410</v>
      </c>
      <c r="K425" t="s">
        <v>1411</v>
      </c>
      <c r="L425">
        <v>1367</v>
      </c>
      <c r="N425">
        <v>1011</v>
      </c>
      <c r="O425" t="s">
        <v>738</v>
      </c>
      <c r="P425" t="s">
        <v>738</v>
      </c>
      <c r="Q425">
        <v>1</v>
      </c>
      <c r="W425">
        <v>0</v>
      </c>
      <c r="X425">
        <v>-1684065391</v>
      </c>
      <c r="Y425">
        <v>7.4999999999999997E-2</v>
      </c>
      <c r="AA425">
        <v>0</v>
      </c>
      <c r="AB425">
        <v>961.7</v>
      </c>
      <c r="AC425">
        <v>328.18</v>
      </c>
      <c r="AD425">
        <v>0</v>
      </c>
      <c r="AE425">
        <v>0</v>
      </c>
      <c r="AF425">
        <v>97.24</v>
      </c>
      <c r="AG425">
        <v>12.9</v>
      </c>
      <c r="AH425">
        <v>0</v>
      </c>
      <c r="AI425">
        <v>1</v>
      </c>
      <c r="AJ425">
        <v>9.89</v>
      </c>
      <c r="AK425">
        <v>25.44</v>
      </c>
      <c r="AL425">
        <v>1</v>
      </c>
      <c r="AN425">
        <v>0</v>
      </c>
      <c r="AO425">
        <v>1</v>
      </c>
      <c r="AP425">
        <v>1</v>
      </c>
      <c r="AQ425">
        <v>0</v>
      </c>
      <c r="AR425">
        <v>0</v>
      </c>
      <c r="AS425" t="s">
        <v>3</v>
      </c>
      <c r="AT425">
        <v>0.06</v>
      </c>
      <c r="AU425" t="s">
        <v>20</v>
      </c>
      <c r="AV425">
        <v>0</v>
      </c>
      <c r="AW425">
        <v>2</v>
      </c>
      <c r="AX425">
        <v>42938948</v>
      </c>
      <c r="AY425">
        <v>1</v>
      </c>
      <c r="AZ425">
        <v>0</v>
      </c>
      <c r="BA425">
        <v>419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CX425">
        <f>Y425*Source!I776</f>
        <v>1.2517500000000001</v>
      </c>
      <c r="CY425">
        <f>AB425</f>
        <v>961.7</v>
      </c>
      <c r="CZ425">
        <f>AF425</f>
        <v>97.24</v>
      </c>
      <c r="DA425">
        <f>AJ425</f>
        <v>9.89</v>
      </c>
      <c r="DB425">
        <f>ROUND((ROUND(AT425*CZ425,2)*1.25),6)</f>
        <v>7.2874999999999996</v>
      </c>
      <c r="DC425">
        <f>ROUND((ROUND(AT425*AG425,2)*1.25),6)</f>
        <v>0.96250000000000002</v>
      </c>
    </row>
    <row r="426" spans="1:107" x14ac:dyDescent="0.2">
      <c r="A426">
        <f>ROW(Source!A776)</f>
        <v>776</v>
      </c>
      <c r="B426">
        <v>42938047</v>
      </c>
      <c r="C426">
        <v>42938900</v>
      </c>
      <c r="D426">
        <v>36039457</v>
      </c>
      <c r="E426">
        <v>1</v>
      </c>
      <c r="F426">
        <v>1</v>
      </c>
      <c r="G426">
        <v>35973048</v>
      </c>
      <c r="H426">
        <v>3</v>
      </c>
      <c r="I426" t="s">
        <v>887</v>
      </c>
      <c r="J426" t="s">
        <v>889</v>
      </c>
      <c r="K426" t="s">
        <v>888</v>
      </c>
      <c r="L426">
        <v>1346</v>
      </c>
      <c r="N426">
        <v>1009</v>
      </c>
      <c r="O426" t="s">
        <v>131</v>
      </c>
      <c r="P426" t="s">
        <v>131</v>
      </c>
      <c r="Q426">
        <v>1</v>
      </c>
      <c r="W426">
        <v>0</v>
      </c>
      <c r="X426">
        <v>-668919807</v>
      </c>
      <c r="Y426">
        <v>400</v>
      </c>
      <c r="AA426">
        <v>25.69</v>
      </c>
      <c r="AB426">
        <v>0</v>
      </c>
      <c r="AC426">
        <v>0</v>
      </c>
      <c r="AD426">
        <v>0</v>
      </c>
      <c r="AE426">
        <v>17.72</v>
      </c>
      <c r="AF426">
        <v>0</v>
      </c>
      <c r="AG426">
        <v>0</v>
      </c>
      <c r="AH426">
        <v>0</v>
      </c>
      <c r="AI426">
        <v>1.45</v>
      </c>
      <c r="AJ426">
        <v>1</v>
      </c>
      <c r="AK426">
        <v>1</v>
      </c>
      <c r="AL426">
        <v>1</v>
      </c>
      <c r="AN426">
        <v>0</v>
      </c>
      <c r="AO426">
        <v>0</v>
      </c>
      <c r="AP426">
        <v>0</v>
      </c>
      <c r="AQ426">
        <v>0</v>
      </c>
      <c r="AR426">
        <v>0</v>
      </c>
      <c r="AS426" t="s">
        <v>3</v>
      </c>
      <c r="AT426">
        <v>400</v>
      </c>
      <c r="AU426" t="s">
        <v>3</v>
      </c>
      <c r="AV426">
        <v>0</v>
      </c>
      <c r="AW426">
        <v>1</v>
      </c>
      <c r="AX426">
        <v>-1</v>
      </c>
      <c r="AY426">
        <v>0</v>
      </c>
      <c r="AZ426">
        <v>0</v>
      </c>
      <c r="BA426" t="s">
        <v>3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CX426">
        <f>Y426*Source!I776</f>
        <v>6676.0000000000009</v>
      </c>
      <c r="CY426">
        <f>AA426</f>
        <v>25.69</v>
      </c>
      <c r="CZ426">
        <f>AE426</f>
        <v>17.72</v>
      </c>
      <c r="DA426">
        <f>AI426</f>
        <v>1.45</v>
      </c>
      <c r="DB426">
        <f>ROUND(ROUND(AT426*CZ426,2),6)</f>
        <v>7088</v>
      </c>
      <c r="DC426">
        <f>ROUND(ROUND(AT426*AG426,2),6)</f>
        <v>0</v>
      </c>
    </row>
    <row r="427" spans="1:107" x14ac:dyDescent="0.2">
      <c r="A427">
        <f>ROW(Source!A778)</f>
        <v>778</v>
      </c>
      <c r="B427">
        <v>42938047</v>
      </c>
      <c r="C427">
        <v>43137071</v>
      </c>
      <c r="D427">
        <v>36759504</v>
      </c>
      <c r="E427">
        <v>1</v>
      </c>
      <c r="F427">
        <v>1</v>
      </c>
      <c r="G427">
        <v>35973048</v>
      </c>
      <c r="H427">
        <v>2</v>
      </c>
      <c r="I427" t="s">
        <v>1332</v>
      </c>
      <c r="J427" t="s">
        <v>1333</v>
      </c>
      <c r="K427" t="s">
        <v>1334</v>
      </c>
      <c r="L427">
        <v>1367</v>
      </c>
      <c r="N427">
        <v>1011</v>
      </c>
      <c r="O427" t="s">
        <v>738</v>
      </c>
      <c r="P427" t="s">
        <v>738</v>
      </c>
      <c r="Q427">
        <v>1</v>
      </c>
      <c r="W427">
        <v>0</v>
      </c>
      <c r="X427">
        <v>1815391720</v>
      </c>
      <c r="Y427">
        <v>1</v>
      </c>
      <c r="AA427">
        <v>0</v>
      </c>
      <c r="AB427">
        <v>100.09</v>
      </c>
      <c r="AC427">
        <v>13.81</v>
      </c>
      <c r="AD427">
        <v>0</v>
      </c>
      <c r="AE427">
        <v>0</v>
      </c>
      <c r="AF427">
        <v>100.09</v>
      </c>
      <c r="AG427">
        <v>13.81</v>
      </c>
      <c r="AH427">
        <v>0</v>
      </c>
      <c r="AI427">
        <v>1</v>
      </c>
      <c r="AJ427">
        <v>1</v>
      </c>
      <c r="AK427">
        <v>1</v>
      </c>
      <c r="AL427">
        <v>1</v>
      </c>
      <c r="AN427">
        <v>0</v>
      </c>
      <c r="AO427">
        <v>1</v>
      </c>
      <c r="AP427">
        <v>0</v>
      </c>
      <c r="AQ427">
        <v>0</v>
      </c>
      <c r="AR427">
        <v>0</v>
      </c>
      <c r="AS427" t="s">
        <v>3</v>
      </c>
      <c r="AT427">
        <v>1</v>
      </c>
      <c r="AU427" t="s">
        <v>3</v>
      </c>
      <c r="AV427">
        <v>0</v>
      </c>
      <c r="AW427">
        <v>2</v>
      </c>
      <c r="AX427">
        <v>43137073</v>
      </c>
      <c r="AY427">
        <v>1</v>
      </c>
      <c r="AZ427">
        <v>0</v>
      </c>
      <c r="BA427">
        <v>421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CX427">
        <f>Y427*Source!I778</f>
        <v>534</v>
      </c>
      <c r="CY427">
        <f>AB427</f>
        <v>100.09</v>
      </c>
      <c r="CZ427">
        <f>AF427</f>
        <v>100.09</v>
      </c>
      <c r="DA427">
        <f>AJ427</f>
        <v>1</v>
      </c>
      <c r="DB427">
        <f>ROUND(ROUND(AT427*CZ427,2),6)</f>
        <v>100.09</v>
      </c>
      <c r="DC427">
        <f>ROUND(ROUND(AT427*AG427,2),6)</f>
        <v>13.81</v>
      </c>
    </row>
    <row r="428" spans="1:107" x14ac:dyDescent="0.2">
      <c r="A428">
        <f>ROW(Source!A779)</f>
        <v>779</v>
      </c>
      <c r="B428">
        <v>42938047</v>
      </c>
      <c r="C428">
        <v>43137072</v>
      </c>
      <c r="D428">
        <v>35973762</v>
      </c>
      <c r="E428">
        <v>35973048</v>
      </c>
      <c r="F428">
        <v>1</v>
      </c>
      <c r="G428">
        <v>35973048</v>
      </c>
      <c r="H428">
        <v>2</v>
      </c>
      <c r="I428" t="s">
        <v>1243</v>
      </c>
      <c r="J428" t="s">
        <v>3</v>
      </c>
      <c r="K428" t="s">
        <v>1244</v>
      </c>
      <c r="L428">
        <v>1344</v>
      </c>
      <c r="N428">
        <v>1008</v>
      </c>
      <c r="O428" t="s">
        <v>1245</v>
      </c>
      <c r="P428" t="s">
        <v>1245</v>
      </c>
      <c r="Q428">
        <v>1</v>
      </c>
      <c r="W428">
        <v>0</v>
      </c>
      <c r="X428">
        <v>-1180195794</v>
      </c>
      <c r="Y428">
        <v>12.61</v>
      </c>
      <c r="AA428">
        <v>0</v>
      </c>
      <c r="AB428">
        <v>1</v>
      </c>
      <c r="AC428">
        <v>0</v>
      </c>
      <c r="AD428">
        <v>0</v>
      </c>
      <c r="AE428">
        <v>0</v>
      </c>
      <c r="AF428">
        <v>1</v>
      </c>
      <c r="AG428">
        <v>0</v>
      </c>
      <c r="AH428">
        <v>0</v>
      </c>
      <c r="AI428">
        <v>1</v>
      </c>
      <c r="AJ428">
        <v>1</v>
      </c>
      <c r="AK428">
        <v>1</v>
      </c>
      <c r="AL428">
        <v>1</v>
      </c>
      <c r="AN428">
        <v>0</v>
      </c>
      <c r="AO428">
        <v>1</v>
      </c>
      <c r="AP428">
        <v>0</v>
      </c>
      <c r="AQ428">
        <v>0</v>
      </c>
      <c r="AR428">
        <v>0</v>
      </c>
      <c r="AS428" t="s">
        <v>3</v>
      </c>
      <c r="AT428">
        <v>12.61</v>
      </c>
      <c r="AU428" t="s">
        <v>3</v>
      </c>
      <c r="AV428">
        <v>0</v>
      </c>
      <c r="AW428">
        <v>2</v>
      </c>
      <c r="AX428">
        <v>43137074</v>
      </c>
      <c r="AY428">
        <v>1</v>
      </c>
      <c r="AZ428">
        <v>0</v>
      </c>
      <c r="BA428">
        <v>422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CX428">
        <f>Y428*Source!I779</f>
        <v>6733.74</v>
      </c>
      <c r="CY428">
        <f>AB428</f>
        <v>1</v>
      </c>
      <c r="CZ428">
        <f>AF428</f>
        <v>1</v>
      </c>
      <c r="DA428">
        <f>AJ428</f>
        <v>1</v>
      </c>
      <c r="DB428">
        <f>ROUND(ROUND(AT428*CZ428,2),6)</f>
        <v>12.61</v>
      </c>
      <c r="DC428">
        <f>ROUND(ROUND(AT428*AG428,2),6)</f>
        <v>0</v>
      </c>
    </row>
    <row r="429" spans="1:107" x14ac:dyDescent="0.2">
      <c r="A429">
        <f>ROW(Source!A815)</f>
        <v>815</v>
      </c>
      <c r="B429">
        <v>42938047</v>
      </c>
      <c r="C429">
        <v>42938953</v>
      </c>
      <c r="D429">
        <v>35973053</v>
      </c>
      <c r="E429">
        <v>35973048</v>
      </c>
      <c r="F429">
        <v>1</v>
      </c>
      <c r="G429">
        <v>35973048</v>
      </c>
      <c r="H429">
        <v>1</v>
      </c>
      <c r="I429" t="s">
        <v>1228</v>
      </c>
      <c r="J429" t="s">
        <v>3</v>
      </c>
      <c r="K429" t="s">
        <v>1229</v>
      </c>
      <c r="L429">
        <v>1191</v>
      </c>
      <c r="N429">
        <v>1013</v>
      </c>
      <c r="O429" t="s">
        <v>1230</v>
      </c>
      <c r="P429" t="s">
        <v>1230</v>
      </c>
      <c r="Q429">
        <v>1</v>
      </c>
      <c r="W429">
        <v>0</v>
      </c>
      <c r="X429">
        <v>476480486</v>
      </c>
      <c r="Y429">
        <v>35.799500000000002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1</v>
      </c>
      <c r="AJ429">
        <v>1</v>
      </c>
      <c r="AK429">
        <v>1</v>
      </c>
      <c r="AL429">
        <v>25.44</v>
      </c>
      <c r="AN429">
        <v>0</v>
      </c>
      <c r="AO429">
        <v>1</v>
      </c>
      <c r="AP429">
        <v>1</v>
      </c>
      <c r="AQ429">
        <v>0</v>
      </c>
      <c r="AR429">
        <v>0</v>
      </c>
      <c r="AS429" t="s">
        <v>3</v>
      </c>
      <c r="AT429">
        <v>31.13</v>
      </c>
      <c r="AU429" t="s">
        <v>21</v>
      </c>
      <c r="AV429">
        <v>1</v>
      </c>
      <c r="AW429">
        <v>2</v>
      </c>
      <c r="AX429">
        <v>43137081</v>
      </c>
      <c r="AY429">
        <v>1</v>
      </c>
      <c r="AZ429">
        <v>2048</v>
      </c>
      <c r="BA429">
        <v>423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CX429">
        <f>Y429*Source!I815</f>
        <v>107.39850000000001</v>
      </c>
      <c r="CY429">
        <f>AD429</f>
        <v>0</v>
      </c>
      <c r="CZ429">
        <f>AH429</f>
        <v>0</v>
      </c>
      <c r="DA429">
        <f>AL429</f>
        <v>25.44</v>
      </c>
      <c r="DB429">
        <f>ROUND((ROUND(AT429*CZ429,2)*1.15),6)</f>
        <v>0</v>
      </c>
      <c r="DC429">
        <f>ROUND((ROUND(AT429*AG429,2)*1.15),6)</f>
        <v>0</v>
      </c>
    </row>
    <row r="430" spans="1:107" x14ac:dyDescent="0.2">
      <c r="A430">
        <f>ROW(Source!A815)</f>
        <v>815</v>
      </c>
      <c r="B430">
        <v>42938047</v>
      </c>
      <c r="C430">
        <v>42938953</v>
      </c>
      <c r="D430">
        <v>36039478</v>
      </c>
      <c r="E430">
        <v>1</v>
      </c>
      <c r="F430">
        <v>1</v>
      </c>
      <c r="G430">
        <v>35973048</v>
      </c>
      <c r="H430">
        <v>3</v>
      </c>
      <c r="I430" t="s">
        <v>860</v>
      </c>
      <c r="J430" t="s">
        <v>862</v>
      </c>
      <c r="K430" t="s">
        <v>861</v>
      </c>
      <c r="L430">
        <v>1339</v>
      </c>
      <c r="N430">
        <v>1007</v>
      </c>
      <c r="O430" t="s">
        <v>84</v>
      </c>
      <c r="P430" t="s">
        <v>84</v>
      </c>
      <c r="Q430">
        <v>1</v>
      </c>
      <c r="W430">
        <v>0</v>
      </c>
      <c r="X430">
        <v>-2018563240</v>
      </c>
      <c r="Y430">
        <v>5.44</v>
      </c>
      <c r="AA430">
        <v>1148.23</v>
      </c>
      <c r="AB430">
        <v>0</v>
      </c>
      <c r="AC430">
        <v>0</v>
      </c>
      <c r="AD430">
        <v>0</v>
      </c>
      <c r="AE430">
        <v>297.47000000000003</v>
      </c>
      <c r="AF430">
        <v>0</v>
      </c>
      <c r="AG430">
        <v>0</v>
      </c>
      <c r="AH430">
        <v>0</v>
      </c>
      <c r="AI430">
        <v>3.86</v>
      </c>
      <c r="AJ430">
        <v>1</v>
      </c>
      <c r="AK430">
        <v>1</v>
      </c>
      <c r="AL430">
        <v>1</v>
      </c>
      <c r="AN430">
        <v>0</v>
      </c>
      <c r="AO430">
        <v>0</v>
      </c>
      <c r="AP430">
        <v>0</v>
      </c>
      <c r="AQ430">
        <v>0</v>
      </c>
      <c r="AR430">
        <v>0</v>
      </c>
      <c r="AS430" t="s">
        <v>3</v>
      </c>
      <c r="AT430">
        <v>5.44</v>
      </c>
      <c r="AU430" t="s">
        <v>3</v>
      </c>
      <c r="AV430">
        <v>0</v>
      </c>
      <c r="AW430">
        <v>1</v>
      </c>
      <c r="AX430">
        <v>-1</v>
      </c>
      <c r="AY430">
        <v>0</v>
      </c>
      <c r="AZ430">
        <v>0</v>
      </c>
      <c r="BA430" t="s">
        <v>3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CX430">
        <f>Y430*Source!I815</f>
        <v>16.32</v>
      </c>
      <c r="CY430">
        <f>AA430</f>
        <v>1148.23</v>
      </c>
      <c r="CZ430">
        <f>AE430</f>
        <v>297.47000000000003</v>
      </c>
      <c r="DA430">
        <f>AI430</f>
        <v>3.86</v>
      </c>
      <c r="DB430">
        <f>ROUND(ROUND(AT430*CZ430,2),6)</f>
        <v>1618.24</v>
      </c>
      <c r="DC430">
        <f>ROUND(ROUND(AT430*AG430,2),6)</f>
        <v>0</v>
      </c>
    </row>
    <row r="431" spans="1:107" x14ac:dyDescent="0.2">
      <c r="A431">
        <f>ROW(Source!A815)</f>
        <v>815</v>
      </c>
      <c r="B431">
        <v>42938047</v>
      </c>
      <c r="C431">
        <v>42938953</v>
      </c>
      <c r="D431">
        <v>36039469</v>
      </c>
      <c r="E431">
        <v>1</v>
      </c>
      <c r="F431">
        <v>1</v>
      </c>
      <c r="G431">
        <v>35973048</v>
      </c>
      <c r="H431">
        <v>3</v>
      </c>
      <c r="I431" t="s">
        <v>1415</v>
      </c>
      <c r="J431" t="s">
        <v>1416</v>
      </c>
      <c r="K431" t="s">
        <v>1417</v>
      </c>
      <c r="L431">
        <v>1339</v>
      </c>
      <c r="N431">
        <v>1007</v>
      </c>
      <c r="O431" t="s">
        <v>84</v>
      </c>
      <c r="P431" t="s">
        <v>84</v>
      </c>
      <c r="Q431">
        <v>1</v>
      </c>
      <c r="W431">
        <v>0</v>
      </c>
      <c r="X431">
        <v>814528933</v>
      </c>
      <c r="Y431">
        <v>1.81</v>
      </c>
      <c r="AA431">
        <v>916.83</v>
      </c>
      <c r="AB431">
        <v>0</v>
      </c>
      <c r="AC431">
        <v>0</v>
      </c>
      <c r="AD431">
        <v>0</v>
      </c>
      <c r="AE431">
        <v>407.48</v>
      </c>
      <c r="AF431">
        <v>0</v>
      </c>
      <c r="AG431">
        <v>0</v>
      </c>
      <c r="AH431">
        <v>0</v>
      </c>
      <c r="AI431">
        <v>2.25</v>
      </c>
      <c r="AJ431">
        <v>1</v>
      </c>
      <c r="AK431">
        <v>1</v>
      </c>
      <c r="AL431">
        <v>1</v>
      </c>
      <c r="AN431">
        <v>0</v>
      </c>
      <c r="AO431">
        <v>1</v>
      </c>
      <c r="AP431">
        <v>1</v>
      </c>
      <c r="AQ431">
        <v>0</v>
      </c>
      <c r="AR431">
        <v>0</v>
      </c>
      <c r="AS431" t="s">
        <v>3</v>
      </c>
      <c r="AT431">
        <v>1.81</v>
      </c>
      <c r="AU431" t="s">
        <v>3</v>
      </c>
      <c r="AV431">
        <v>0</v>
      </c>
      <c r="AW431">
        <v>2</v>
      </c>
      <c r="AX431">
        <v>43137082</v>
      </c>
      <c r="AY431">
        <v>1</v>
      </c>
      <c r="AZ431">
        <v>0</v>
      </c>
      <c r="BA431">
        <v>424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CX431">
        <f>Y431*Source!I815</f>
        <v>5.43</v>
      </c>
      <c r="CY431">
        <f>AA431</f>
        <v>916.83</v>
      </c>
      <c r="CZ431">
        <f>AE431</f>
        <v>407.48</v>
      </c>
      <c r="DA431">
        <f>AI431</f>
        <v>2.25</v>
      </c>
      <c r="DB431">
        <f>ROUND(ROUND(AT431*CZ431,2),6)</f>
        <v>737.54</v>
      </c>
      <c r="DC431">
        <f>ROUND(ROUND(AT431*AG431,2),6)</f>
        <v>0</v>
      </c>
    </row>
    <row r="432" spans="1:107" x14ac:dyDescent="0.2">
      <c r="A432">
        <f>ROW(Source!A817)</f>
        <v>817</v>
      </c>
      <c r="B432">
        <v>42938047</v>
      </c>
      <c r="C432">
        <v>42938975</v>
      </c>
      <c r="D432">
        <v>35973053</v>
      </c>
      <c r="E432">
        <v>35973048</v>
      </c>
      <c r="F432">
        <v>1</v>
      </c>
      <c r="G432">
        <v>35973048</v>
      </c>
      <c r="H432">
        <v>1</v>
      </c>
      <c r="I432" t="s">
        <v>1228</v>
      </c>
      <c r="J432" t="s">
        <v>3</v>
      </c>
      <c r="K432" t="s">
        <v>1229</v>
      </c>
      <c r="L432">
        <v>1191</v>
      </c>
      <c r="N432">
        <v>1013</v>
      </c>
      <c r="O432" t="s">
        <v>1230</v>
      </c>
      <c r="P432" t="s">
        <v>1230</v>
      </c>
      <c r="Q432">
        <v>1</v>
      </c>
      <c r="W432">
        <v>0</v>
      </c>
      <c r="X432">
        <v>476480486</v>
      </c>
      <c r="Y432">
        <v>20.711500000000001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1</v>
      </c>
      <c r="AJ432">
        <v>1</v>
      </c>
      <c r="AK432">
        <v>1</v>
      </c>
      <c r="AL432">
        <v>25.44</v>
      </c>
      <c r="AN432">
        <v>0</v>
      </c>
      <c r="AO432">
        <v>1</v>
      </c>
      <c r="AP432">
        <v>1</v>
      </c>
      <c r="AQ432">
        <v>0</v>
      </c>
      <c r="AR432">
        <v>0</v>
      </c>
      <c r="AS432" t="s">
        <v>3</v>
      </c>
      <c r="AT432">
        <v>18.010000000000002</v>
      </c>
      <c r="AU432" t="s">
        <v>21</v>
      </c>
      <c r="AV432">
        <v>1</v>
      </c>
      <c r="AW432">
        <v>2</v>
      </c>
      <c r="AX432">
        <v>42939027</v>
      </c>
      <c r="AY432">
        <v>1</v>
      </c>
      <c r="AZ432">
        <v>0</v>
      </c>
      <c r="BA432">
        <v>426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CX432">
        <f>Y432*Source!I817</f>
        <v>101.48635000000002</v>
      </c>
      <c r="CY432">
        <f>AD432</f>
        <v>0</v>
      </c>
      <c r="CZ432">
        <f>AH432</f>
        <v>0</v>
      </c>
      <c r="DA432">
        <f>AL432</f>
        <v>25.44</v>
      </c>
      <c r="DB432">
        <f>ROUND((ROUND(AT432*CZ432,2)*1.15),6)</f>
        <v>0</v>
      </c>
      <c r="DC432">
        <f>ROUND((ROUND(AT432*AG432,2)*1.15),6)</f>
        <v>0</v>
      </c>
    </row>
    <row r="433" spans="1:107" x14ac:dyDescent="0.2">
      <c r="A433">
        <f>ROW(Source!A817)</f>
        <v>817</v>
      </c>
      <c r="B433">
        <v>42938047</v>
      </c>
      <c r="C433">
        <v>42938975</v>
      </c>
      <c r="D433">
        <v>36044555</v>
      </c>
      <c r="E433">
        <v>1</v>
      </c>
      <c r="F433">
        <v>1</v>
      </c>
      <c r="G433">
        <v>35973048</v>
      </c>
      <c r="H433">
        <v>2</v>
      </c>
      <c r="I433" t="s">
        <v>1267</v>
      </c>
      <c r="J433" t="s">
        <v>1268</v>
      </c>
      <c r="K433" t="s">
        <v>1269</v>
      </c>
      <c r="L433">
        <v>1367</v>
      </c>
      <c r="N433">
        <v>1011</v>
      </c>
      <c r="O433" t="s">
        <v>738</v>
      </c>
      <c r="P433" t="s">
        <v>738</v>
      </c>
      <c r="Q433">
        <v>1</v>
      </c>
      <c r="W433">
        <v>0</v>
      </c>
      <c r="X433">
        <v>-266174272</v>
      </c>
      <c r="Y433">
        <v>1.675</v>
      </c>
      <c r="AA433">
        <v>0</v>
      </c>
      <c r="AB433">
        <v>1636.27</v>
      </c>
      <c r="AC433">
        <v>461.74</v>
      </c>
      <c r="AD433">
        <v>0</v>
      </c>
      <c r="AE433">
        <v>0</v>
      </c>
      <c r="AF433">
        <v>190.93</v>
      </c>
      <c r="AG433">
        <v>18.149999999999999</v>
      </c>
      <c r="AH433">
        <v>0</v>
      </c>
      <c r="AI433">
        <v>1</v>
      </c>
      <c r="AJ433">
        <v>8.57</v>
      </c>
      <c r="AK433">
        <v>25.44</v>
      </c>
      <c r="AL433">
        <v>1</v>
      </c>
      <c r="AN433">
        <v>0</v>
      </c>
      <c r="AO433">
        <v>1</v>
      </c>
      <c r="AP433">
        <v>1</v>
      </c>
      <c r="AQ433">
        <v>0</v>
      </c>
      <c r="AR433">
        <v>0</v>
      </c>
      <c r="AS433" t="s">
        <v>3</v>
      </c>
      <c r="AT433">
        <v>1.34</v>
      </c>
      <c r="AU433" t="s">
        <v>20</v>
      </c>
      <c r="AV433">
        <v>0</v>
      </c>
      <c r="AW433">
        <v>2</v>
      </c>
      <c r="AX433">
        <v>42939028</v>
      </c>
      <c r="AY433">
        <v>1</v>
      </c>
      <c r="AZ433">
        <v>0</v>
      </c>
      <c r="BA433">
        <v>427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CX433">
        <f>Y433*Source!I817</f>
        <v>8.2075000000000014</v>
      </c>
      <c r="CY433">
        <f>AB433</f>
        <v>1636.27</v>
      </c>
      <c r="CZ433">
        <f>AF433</f>
        <v>190.93</v>
      </c>
      <c r="DA433">
        <f>AJ433</f>
        <v>8.57</v>
      </c>
      <c r="DB433">
        <f>ROUND((ROUND(AT433*CZ433,2)*1.25),6)</f>
        <v>319.8125</v>
      </c>
      <c r="DC433">
        <f>ROUND((ROUND(AT433*AG433,2)*1.25),6)</f>
        <v>30.4</v>
      </c>
    </row>
    <row r="434" spans="1:107" x14ac:dyDescent="0.2">
      <c r="A434">
        <f>ROW(Source!A817)</f>
        <v>817</v>
      </c>
      <c r="B434">
        <v>42938047</v>
      </c>
      <c r="C434">
        <v>42938975</v>
      </c>
      <c r="D434">
        <v>36044734</v>
      </c>
      <c r="E434">
        <v>1</v>
      </c>
      <c r="F434">
        <v>1</v>
      </c>
      <c r="G434">
        <v>35973048</v>
      </c>
      <c r="H434">
        <v>2</v>
      </c>
      <c r="I434" t="s">
        <v>745</v>
      </c>
      <c r="J434" t="s">
        <v>747</v>
      </c>
      <c r="K434" t="s">
        <v>746</v>
      </c>
      <c r="L434">
        <v>1367</v>
      </c>
      <c r="N434">
        <v>1011</v>
      </c>
      <c r="O434" t="s">
        <v>738</v>
      </c>
      <c r="P434" t="s">
        <v>738</v>
      </c>
      <c r="Q434">
        <v>1</v>
      </c>
      <c r="W434">
        <v>0</v>
      </c>
      <c r="X434">
        <v>366114799</v>
      </c>
      <c r="Y434">
        <v>0.76249999999999996</v>
      </c>
      <c r="AA434">
        <v>0</v>
      </c>
      <c r="AB434">
        <v>2035.11</v>
      </c>
      <c r="AC434">
        <v>340.13</v>
      </c>
      <c r="AD434">
        <v>0</v>
      </c>
      <c r="AE434">
        <v>0</v>
      </c>
      <c r="AF434">
        <v>246.68</v>
      </c>
      <c r="AG434">
        <v>13.37</v>
      </c>
      <c r="AH434">
        <v>0</v>
      </c>
      <c r="AI434">
        <v>1</v>
      </c>
      <c r="AJ434">
        <v>8.25</v>
      </c>
      <c r="AK434">
        <v>25.44</v>
      </c>
      <c r="AL434">
        <v>1</v>
      </c>
      <c r="AN434">
        <v>0</v>
      </c>
      <c r="AO434">
        <v>1</v>
      </c>
      <c r="AP434">
        <v>1</v>
      </c>
      <c r="AQ434">
        <v>0</v>
      </c>
      <c r="AR434">
        <v>0</v>
      </c>
      <c r="AS434" t="s">
        <v>3</v>
      </c>
      <c r="AT434">
        <v>0.61</v>
      </c>
      <c r="AU434" t="s">
        <v>20</v>
      </c>
      <c r="AV434">
        <v>0</v>
      </c>
      <c r="AW434">
        <v>2</v>
      </c>
      <c r="AX434">
        <v>42939029</v>
      </c>
      <c r="AY434">
        <v>1</v>
      </c>
      <c r="AZ434">
        <v>0</v>
      </c>
      <c r="BA434">
        <v>428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CX434">
        <f>Y434*Source!I817</f>
        <v>3.7362500000000001</v>
      </c>
      <c r="CY434">
        <f>AB434</f>
        <v>2035.11</v>
      </c>
      <c r="CZ434">
        <f>AF434</f>
        <v>246.68</v>
      </c>
      <c r="DA434">
        <f>AJ434</f>
        <v>8.25</v>
      </c>
      <c r="DB434">
        <f>ROUND((ROUND(AT434*CZ434,2)*1.25),6)</f>
        <v>188.08750000000001</v>
      </c>
      <c r="DC434">
        <f>ROUND((ROUND(AT434*AG434,2)*1.25),6)</f>
        <v>10.199999999999999</v>
      </c>
    </row>
    <row r="435" spans="1:107" x14ac:dyDescent="0.2">
      <c r="A435">
        <f>ROW(Source!A817)</f>
        <v>817</v>
      </c>
      <c r="B435">
        <v>42938047</v>
      </c>
      <c r="C435">
        <v>42938975</v>
      </c>
      <c r="D435">
        <v>36020415</v>
      </c>
      <c r="E435">
        <v>1</v>
      </c>
      <c r="F435">
        <v>1</v>
      </c>
      <c r="G435">
        <v>35973048</v>
      </c>
      <c r="H435">
        <v>3</v>
      </c>
      <c r="I435" t="s">
        <v>469</v>
      </c>
      <c r="J435" t="s">
        <v>471</v>
      </c>
      <c r="K435" t="s">
        <v>470</v>
      </c>
      <c r="L435">
        <v>1339</v>
      </c>
      <c r="N435">
        <v>1007</v>
      </c>
      <c r="O435" t="s">
        <v>84</v>
      </c>
      <c r="P435" t="s">
        <v>84</v>
      </c>
      <c r="Q435">
        <v>1</v>
      </c>
      <c r="W435">
        <v>0</v>
      </c>
      <c r="X435">
        <v>-862991314</v>
      </c>
      <c r="Y435">
        <v>2.6</v>
      </c>
      <c r="AA435">
        <v>36.340000000000003</v>
      </c>
      <c r="AB435">
        <v>0</v>
      </c>
      <c r="AC435">
        <v>0</v>
      </c>
      <c r="AD435">
        <v>0</v>
      </c>
      <c r="AE435">
        <v>7.07</v>
      </c>
      <c r="AF435">
        <v>0</v>
      </c>
      <c r="AG435">
        <v>0</v>
      </c>
      <c r="AH435">
        <v>0</v>
      </c>
      <c r="AI435">
        <v>5.14</v>
      </c>
      <c r="AJ435">
        <v>1</v>
      </c>
      <c r="AK435">
        <v>1</v>
      </c>
      <c r="AL435">
        <v>1</v>
      </c>
      <c r="AN435">
        <v>0</v>
      </c>
      <c r="AO435">
        <v>1</v>
      </c>
      <c r="AP435">
        <v>0</v>
      </c>
      <c r="AQ435">
        <v>0</v>
      </c>
      <c r="AR435">
        <v>0</v>
      </c>
      <c r="AS435" t="s">
        <v>3</v>
      </c>
      <c r="AT435">
        <v>2.6</v>
      </c>
      <c r="AU435" t="s">
        <v>3</v>
      </c>
      <c r="AV435">
        <v>0</v>
      </c>
      <c r="AW435">
        <v>2</v>
      </c>
      <c r="AX435">
        <v>42939030</v>
      </c>
      <c r="AY435">
        <v>1</v>
      </c>
      <c r="AZ435">
        <v>0</v>
      </c>
      <c r="BA435">
        <v>429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CX435">
        <f>Y435*Source!I817</f>
        <v>12.740000000000002</v>
      </c>
      <c r="CY435">
        <f>AA435</f>
        <v>36.340000000000003</v>
      </c>
      <c r="CZ435">
        <f>AE435</f>
        <v>7.07</v>
      </c>
      <c r="DA435">
        <f>AI435</f>
        <v>5.14</v>
      </c>
      <c r="DB435">
        <f>ROUND(ROUND(AT435*CZ435,2),6)</f>
        <v>18.38</v>
      </c>
      <c r="DC435">
        <f>ROUND(ROUND(AT435*AG435,2),6)</f>
        <v>0</v>
      </c>
    </row>
    <row r="436" spans="1:107" x14ac:dyDescent="0.2">
      <c r="A436">
        <f>ROW(Source!A817)</f>
        <v>817</v>
      </c>
      <c r="B436">
        <v>42938047</v>
      </c>
      <c r="C436">
        <v>42938975</v>
      </c>
      <c r="D436">
        <v>35994366</v>
      </c>
      <c r="E436">
        <v>35973048</v>
      </c>
      <c r="F436">
        <v>1</v>
      </c>
      <c r="G436">
        <v>35973048</v>
      </c>
      <c r="H436">
        <v>3</v>
      </c>
      <c r="I436" t="s">
        <v>1294</v>
      </c>
      <c r="J436" t="s">
        <v>3</v>
      </c>
      <c r="K436" t="s">
        <v>1295</v>
      </c>
      <c r="L436">
        <v>1344</v>
      </c>
      <c r="N436">
        <v>1008</v>
      </c>
      <c r="O436" t="s">
        <v>1245</v>
      </c>
      <c r="P436" t="s">
        <v>1245</v>
      </c>
      <c r="Q436">
        <v>1</v>
      </c>
      <c r="W436">
        <v>0</v>
      </c>
      <c r="X436">
        <v>-94250534</v>
      </c>
      <c r="Y436">
        <v>21.7</v>
      </c>
      <c r="AA436">
        <v>5.92</v>
      </c>
      <c r="AB436">
        <v>0</v>
      </c>
      <c r="AC436">
        <v>0</v>
      </c>
      <c r="AD436">
        <v>0</v>
      </c>
      <c r="AE436">
        <v>1</v>
      </c>
      <c r="AF436">
        <v>0</v>
      </c>
      <c r="AG436">
        <v>0</v>
      </c>
      <c r="AH436">
        <v>0</v>
      </c>
      <c r="AI436">
        <v>5.92</v>
      </c>
      <c r="AJ436">
        <v>1</v>
      </c>
      <c r="AK436">
        <v>1</v>
      </c>
      <c r="AL436">
        <v>1</v>
      </c>
      <c r="AN436">
        <v>0</v>
      </c>
      <c r="AO436">
        <v>1</v>
      </c>
      <c r="AP436">
        <v>0</v>
      </c>
      <c r="AQ436">
        <v>0</v>
      </c>
      <c r="AR436">
        <v>0</v>
      </c>
      <c r="AS436" t="s">
        <v>3</v>
      </c>
      <c r="AT436">
        <v>21.7</v>
      </c>
      <c r="AU436" t="s">
        <v>3</v>
      </c>
      <c r="AV436">
        <v>0</v>
      </c>
      <c r="AW436">
        <v>2</v>
      </c>
      <c r="AX436">
        <v>42939032</v>
      </c>
      <c r="AY436">
        <v>1</v>
      </c>
      <c r="AZ436">
        <v>0</v>
      </c>
      <c r="BA436">
        <v>431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CX436">
        <f>Y436*Source!I817</f>
        <v>106.33</v>
      </c>
      <c r="CY436">
        <f>AA436</f>
        <v>5.92</v>
      </c>
      <c r="CZ436">
        <f>AE436</f>
        <v>1</v>
      </c>
      <c r="DA436">
        <f>AI436</f>
        <v>5.92</v>
      </c>
      <c r="DB436">
        <f>ROUND(ROUND(AT436*CZ436,2),6)</f>
        <v>21.7</v>
      </c>
      <c r="DC436">
        <f>ROUND(ROUND(AT436*AG436,2),6)</f>
        <v>0</v>
      </c>
    </row>
    <row r="437" spans="1:107" x14ac:dyDescent="0.2">
      <c r="A437">
        <f>ROW(Source!A818)</f>
        <v>818</v>
      </c>
      <c r="B437">
        <v>42938047</v>
      </c>
      <c r="C437">
        <v>43137716</v>
      </c>
      <c r="D437">
        <v>35973053</v>
      </c>
      <c r="E437">
        <v>35973048</v>
      </c>
      <c r="F437">
        <v>1</v>
      </c>
      <c r="G437">
        <v>35973048</v>
      </c>
      <c r="H437">
        <v>1</v>
      </c>
      <c r="I437" t="s">
        <v>1228</v>
      </c>
      <c r="J437" t="s">
        <v>3</v>
      </c>
      <c r="K437" t="s">
        <v>1229</v>
      </c>
      <c r="L437">
        <v>1191</v>
      </c>
      <c r="N437">
        <v>1013</v>
      </c>
      <c r="O437" t="s">
        <v>1230</v>
      </c>
      <c r="P437" t="s">
        <v>1230</v>
      </c>
      <c r="Q437">
        <v>1</v>
      </c>
      <c r="W437">
        <v>0</v>
      </c>
      <c r="X437">
        <v>476480486</v>
      </c>
      <c r="Y437">
        <v>14.420999999999998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1</v>
      </c>
      <c r="AJ437">
        <v>1</v>
      </c>
      <c r="AK437">
        <v>1</v>
      </c>
      <c r="AL437">
        <v>25.44</v>
      </c>
      <c r="AN437">
        <v>0</v>
      </c>
      <c r="AO437">
        <v>1</v>
      </c>
      <c r="AP437">
        <v>1</v>
      </c>
      <c r="AQ437">
        <v>0</v>
      </c>
      <c r="AR437">
        <v>0</v>
      </c>
      <c r="AS437" t="s">
        <v>3</v>
      </c>
      <c r="AT437">
        <v>12.54</v>
      </c>
      <c r="AU437" t="s">
        <v>21</v>
      </c>
      <c r="AV437">
        <v>1</v>
      </c>
      <c r="AW437">
        <v>2</v>
      </c>
      <c r="AX437">
        <v>43137717</v>
      </c>
      <c r="AY437">
        <v>1</v>
      </c>
      <c r="AZ437">
        <v>0</v>
      </c>
      <c r="BA437">
        <v>432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CX437">
        <f>Y437*Source!I818</f>
        <v>47.589299999999987</v>
      </c>
      <c r="CY437">
        <f>AD437</f>
        <v>0</v>
      </c>
      <c r="CZ437">
        <f>AH437</f>
        <v>0</v>
      </c>
      <c r="DA437">
        <f>AL437</f>
        <v>25.44</v>
      </c>
      <c r="DB437">
        <f>ROUND((ROUND(AT437*CZ437,2)*1.15),6)</f>
        <v>0</v>
      </c>
      <c r="DC437">
        <f>ROUND((ROUND(AT437*AG437,2)*1.15),6)</f>
        <v>0</v>
      </c>
    </row>
    <row r="438" spans="1:107" x14ac:dyDescent="0.2">
      <c r="A438">
        <f>ROW(Source!A818)</f>
        <v>818</v>
      </c>
      <c r="B438">
        <v>42938047</v>
      </c>
      <c r="C438">
        <v>43137716</v>
      </c>
      <c r="D438">
        <v>36044555</v>
      </c>
      <c r="E438">
        <v>1</v>
      </c>
      <c r="F438">
        <v>1</v>
      </c>
      <c r="G438">
        <v>35973048</v>
      </c>
      <c r="H438">
        <v>2</v>
      </c>
      <c r="I438" t="s">
        <v>1267</v>
      </c>
      <c r="J438" t="s">
        <v>1268</v>
      </c>
      <c r="K438" t="s">
        <v>1269</v>
      </c>
      <c r="L438">
        <v>1367</v>
      </c>
      <c r="N438">
        <v>1011</v>
      </c>
      <c r="O438" t="s">
        <v>738</v>
      </c>
      <c r="P438" t="s">
        <v>738</v>
      </c>
      <c r="Q438">
        <v>1</v>
      </c>
      <c r="W438">
        <v>0</v>
      </c>
      <c r="X438">
        <v>-266174272</v>
      </c>
      <c r="Y438">
        <v>1.4249999999999998</v>
      </c>
      <c r="AA438">
        <v>0</v>
      </c>
      <c r="AB438">
        <v>1636.27</v>
      </c>
      <c r="AC438">
        <v>461.74</v>
      </c>
      <c r="AD438">
        <v>0</v>
      </c>
      <c r="AE438">
        <v>0</v>
      </c>
      <c r="AF438">
        <v>190.93</v>
      </c>
      <c r="AG438">
        <v>18.149999999999999</v>
      </c>
      <c r="AH438">
        <v>0</v>
      </c>
      <c r="AI438">
        <v>1</v>
      </c>
      <c r="AJ438">
        <v>8.57</v>
      </c>
      <c r="AK438">
        <v>25.44</v>
      </c>
      <c r="AL438">
        <v>1</v>
      </c>
      <c r="AN438">
        <v>0</v>
      </c>
      <c r="AO438">
        <v>1</v>
      </c>
      <c r="AP438">
        <v>1</v>
      </c>
      <c r="AQ438">
        <v>0</v>
      </c>
      <c r="AR438">
        <v>0</v>
      </c>
      <c r="AS438" t="s">
        <v>3</v>
      </c>
      <c r="AT438">
        <v>1.1399999999999999</v>
      </c>
      <c r="AU438" t="s">
        <v>20</v>
      </c>
      <c r="AV438">
        <v>0</v>
      </c>
      <c r="AW438">
        <v>2</v>
      </c>
      <c r="AX438">
        <v>43137718</v>
      </c>
      <c r="AY438">
        <v>1</v>
      </c>
      <c r="AZ438">
        <v>0</v>
      </c>
      <c r="BA438">
        <v>433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CX438">
        <f>Y438*Source!I818</f>
        <v>4.7024999999999988</v>
      </c>
      <c r="CY438">
        <f>AB438</f>
        <v>1636.27</v>
      </c>
      <c r="CZ438">
        <f>AF438</f>
        <v>190.93</v>
      </c>
      <c r="DA438">
        <f>AJ438</f>
        <v>8.57</v>
      </c>
      <c r="DB438">
        <f>ROUND((ROUND(AT438*CZ438,2)*1.25),6)</f>
        <v>272.07499999999999</v>
      </c>
      <c r="DC438">
        <f>ROUND((ROUND(AT438*AG438,2)*1.25),6)</f>
        <v>25.862500000000001</v>
      </c>
    </row>
    <row r="439" spans="1:107" x14ac:dyDescent="0.2">
      <c r="A439">
        <f>ROW(Source!A818)</f>
        <v>818</v>
      </c>
      <c r="B439">
        <v>42938047</v>
      </c>
      <c r="C439">
        <v>43137716</v>
      </c>
      <c r="D439">
        <v>36044734</v>
      </c>
      <c r="E439">
        <v>1</v>
      </c>
      <c r="F439">
        <v>1</v>
      </c>
      <c r="G439">
        <v>35973048</v>
      </c>
      <c r="H439">
        <v>2</v>
      </c>
      <c r="I439" t="s">
        <v>745</v>
      </c>
      <c r="J439" t="s">
        <v>747</v>
      </c>
      <c r="K439" t="s">
        <v>746</v>
      </c>
      <c r="L439">
        <v>1367</v>
      </c>
      <c r="N439">
        <v>1011</v>
      </c>
      <c r="O439" t="s">
        <v>738</v>
      </c>
      <c r="P439" t="s">
        <v>738</v>
      </c>
      <c r="Q439">
        <v>1</v>
      </c>
      <c r="W439">
        <v>0</v>
      </c>
      <c r="X439">
        <v>366114799</v>
      </c>
      <c r="Y439">
        <v>0.66250000000000009</v>
      </c>
      <c r="AA439">
        <v>0</v>
      </c>
      <c r="AB439">
        <v>2035.11</v>
      </c>
      <c r="AC439">
        <v>340.13</v>
      </c>
      <c r="AD439">
        <v>0</v>
      </c>
      <c r="AE439">
        <v>0</v>
      </c>
      <c r="AF439">
        <v>246.68</v>
      </c>
      <c r="AG439">
        <v>13.37</v>
      </c>
      <c r="AH439">
        <v>0</v>
      </c>
      <c r="AI439">
        <v>1</v>
      </c>
      <c r="AJ439">
        <v>8.25</v>
      </c>
      <c r="AK439">
        <v>25.44</v>
      </c>
      <c r="AL439">
        <v>1</v>
      </c>
      <c r="AN439">
        <v>0</v>
      </c>
      <c r="AO439">
        <v>1</v>
      </c>
      <c r="AP439">
        <v>1</v>
      </c>
      <c r="AQ439">
        <v>0</v>
      </c>
      <c r="AR439">
        <v>0</v>
      </c>
      <c r="AS439" t="s">
        <v>3</v>
      </c>
      <c r="AT439">
        <v>0.53</v>
      </c>
      <c r="AU439" t="s">
        <v>20</v>
      </c>
      <c r="AV439">
        <v>0</v>
      </c>
      <c r="AW439">
        <v>2</v>
      </c>
      <c r="AX439">
        <v>43137719</v>
      </c>
      <c r="AY439">
        <v>1</v>
      </c>
      <c r="AZ439">
        <v>0</v>
      </c>
      <c r="BA439">
        <v>434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CX439">
        <f>Y439*Source!I818</f>
        <v>2.1862500000000002</v>
      </c>
      <c r="CY439">
        <f>AB439</f>
        <v>2035.11</v>
      </c>
      <c r="CZ439">
        <f>AF439</f>
        <v>246.68</v>
      </c>
      <c r="DA439">
        <f>AJ439</f>
        <v>8.25</v>
      </c>
      <c r="DB439">
        <f>ROUND((ROUND(AT439*CZ439,2)*1.25),6)</f>
        <v>163.42500000000001</v>
      </c>
      <c r="DC439">
        <f>ROUND((ROUND(AT439*AG439,2)*1.25),6)</f>
        <v>8.8625000000000007</v>
      </c>
    </row>
    <row r="440" spans="1:107" x14ac:dyDescent="0.2">
      <c r="A440">
        <f>ROW(Source!A818)</f>
        <v>818</v>
      </c>
      <c r="B440">
        <v>42938047</v>
      </c>
      <c r="C440">
        <v>43137716</v>
      </c>
      <c r="D440">
        <v>36020415</v>
      </c>
      <c r="E440">
        <v>1</v>
      </c>
      <c r="F440">
        <v>1</v>
      </c>
      <c r="G440">
        <v>35973048</v>
      </c>
      <c r="H440">
        <v>3</v>
      </c>
      <c r="I440" t="s">
        <v>469</v>
      </c>
      <c r="J440" t="s">
        <v>471</v>
      </c>
      <c r="K440" t="s">
        <v>470</v>
      </c>
      <c r="L440">
        <v>1339</v>
      </c>
      <c r="N440">
        <v>1007</v>
      </c>
      <c r="O440" t="s">
        <v>84</v>
      </c>
      <c r="P440" t="s">
        <v>84</v>
      </c>
      <c r="Q440">
        <v>1</v>
      </c>
      <c r="W440">
        <v>0</v>
      </c>
      <c r="X440">
        <v>-862991314</v>
      </c>
      <c r="Y440">
        <v>2.2000000000000002</v>
      </c>
      <c r="AA440">
        <v>36.340000000000003</v>
      </c>
      <c r="AB440">
        <v>0</v>
      </c>
      <c r="AC440">
        <v>0</v>
      </c>
      <c r="AD440">
        <v>0</v>
      </c>
      <c r="AE440">
        <v>7.07</v>
      </c>
      <c r="AF440">
        <v>0</v>
      </c>
      <c r="AG440">
        <v>0</v>
      </c>
      <c r="AH440">
        <v>0</v>
      </c>
      <c r="AI440">
        <v>5.14</v>
      </c>
      <c r="AJ440">
        <v>1</v>
      </c>
      <c r="AK440">
        <v>1</v>
      </c>
      <c r="AL440">
        <v>1</v>
      </c>
      <c r="AN440">
        <v>0</v>
      </c>
      <c r="AO440">
        <v>1</v>
      </c>
      <c r="AP440">
        <v>1</v>
      </c>
      <c r="AQ440">
        <v>0</v>
      </c>
      <c r="AR440">
        <v>0</v>
      </c>
      <c r="AS440" t="s">
        <v>3</v>
      </c>
      <c r="AT440">
        <v>2.2000000000000002</v>
      </c>
      <c r="AU440" t="s">
        <v>3</v>
      </c>
      <c r="AV440">
        <v>0</v>
      </c>
      <c r="AW440">
        <v>2</v>
      </c>
      <c r="AX440">
        <v>43137720</v>
      </c>
      <c r="AY440">
        <v>1</v>
      </c>
      <c r="AZ440">
        <v>0</v>
      </c>
      <c r="BA440">
        <v>435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CX440">
        <f>Y440*Source!I818</f>
        <v>7.26</v>
      </c>
      <c r="CY440">
        <f>AA440</f>
        <v>36.340000000000003</v>
      </c>
      <c r="CZ440">
        <f>AE440</f>
        <v>7.07</v>
      </c>
      <c r="DA440">
        <f>AI440</f>
        <v>5.14</v>
      </c>
      <c r="DB440">
        <f>ROUND(ROUND(AT440*CZ440,2),6)</f>
        <v>15.55</v>
      </c>
      <c r="DC440">
        <f>ROUND(ROUND(AT440*AG440,2),6)</f>
        <v>0</v>
      </c>
    </row>
    <row r="441" spans="1:107" x14ac:dyDescent="0.2">
      <c r="A441">
        <f>ROW(Source!A818)</f>
        <v>818</v>
      </c>
      <c r="B441">
        <v>42938047</v>
      </c>
      <c r="C441">
        <v>43137716</v>
      </c>
      <c r="D441">
        <v>35994366</v>
      </c>
      <c r="E441">
        <v>35973048</v>
      </c>
      <c r="F441">
        <v>1</v>
      </c>
      <c r="G441">
        <v>35973048</v>
      </c>
      <c r="H441">
        <v>3</v>
      </c>
      <c r="I441" t="s">
        <v>1294</v>
      </c>
      <c r="J441" t="s">
        <v>3</v>
      </c>
      <c r="K441" t="s">
        <v>1295</v>
      </c>
      <c r="L441">
        <v>1344</v>
      </c>
      <c r="N441">
        <v>1008</v>
      </c>
      <c r="O441" t="s">
        <v>1245</v>
      </c>
      <c r="P441" t="s">
        <v>1245</v>
      </c>
      <c r="Q441">
        <v>1</v>
      </c>
      <c r="W441">
        <v>0</v>
      </c>
      <c r="X441">
        <v>-94250534</v>
      </c>
      <c r="Y441">
        <v>21.7</v>
      </c>
      <c r="AA441">
        <v>5.98</v>
      </c>
      <c r="AB441">
        <v>0</v>
      </c>
      <c r="AC441">
        <v>0</v>
      </c>
      <c r="AD441">
        <v>0</v>
      </c>
      <c r="AE441">
        <v>1</v>
      </c>
      <c r="AF441">
        <v>0</v>
      </c>
      <c r="AG441">
        <v>0</v>
      </c>
      <c r="AH441">
        <v>0</v>
      </c>
      <c r="AI441">
        <v>5.98</v>
      </c>
      <c r="AJ441">
        <v>1</v>
      </c>
      <c r="AK441">
        <v>1</v>
      </c>
      <c r="AL441">
        <v>1</v>
      </c>
      <c r="AN441">
        <v>0</v>
      </c>
      <c r="AO441">
        <v>1</v>
      </c>
      <c r="AP441">
        <v>1</v>
      </c>
      <c r="AQ441">
        <v>0</v>
      </c>
      <c r="AR441">
        <v>0</v>
      </c>
      <c r="AS441" t="s">
        <v>3</v>
      </c>
      <c r="AT441">
        <v>21.7</v>
      </c>
      <c r="AU441" t="s">
        <v>3</v>
      </c>
      <c r="AV441">
        <v>0</v>
      </c>
      <c r="AW441">
        <v>2</v>
      </c>
      <c r="AX441">
        <v>43137722</v>
      </c>
      <c r="AY441">
        <v>1</v>
      </c>
      <c r="AZ441">
        <v>0</v>
      </c>
      <c r="BA441">
        <v>437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CX441">
        <f>Y441*Source!I818</f>
        <v>71.61</v>
      </c>
      <c r="CY441">
        <f>AA441</f>
        <v>5.98</v>
      </c>
      <c r="CZ441">
        <f>AE441</f>
        <v>1</v>
      </c>
      <c r="DA441">
        <f>AI441</f>
        <v>5.98</v>
      </c>
      <c r="DB441">
        <f>ROUND(ROUND(AT441*CZ441,2),6)</f>
        <v>21.7</v>
      </c>
      <c r="DC441">
        <f>ROUND(ROUND(AT441*AG441,2),6)</f>
        <v>0</v>
      </c>
    </row>
    <row r="442" spans="1:107" x14ac:dyDescent="0.2">
      <c r="A442">
        <f>ROW(Source!A819)</f>
        <v>819</v>
      </c>
      <c r="B442">
        <v>42938047</v>
      </c>
      <c r="C442">
        <v>42939131</v>
      </c>
      <c r="D442">
        <v>35973053</v>
      </c>
      <c r="E442">
        <v>35973048</v>
      </c>
      <c r="F442">
        <v>1</v>
      </c>
      <c r="G442">
        <v>35973048</v>
      </c>
      <c r="H442">
        <v>1</v>
      </c>
      <c r="I442" t="s">
        <v>1228</v>
      </c>
      <c r="J442" t="s">
        <v>3</v>
      </c>
      <c r="K442" t="s">
        <v>1229</v>
      </c>
      <c r="L442">
        <v>1191</v>
      </c>
      <c r="N442">
        <v>1013</v>
      </c>
      <c r="O442" t="s">
        <v>1230</v>
      </c>
      <c r="P442" t="s">
        <v>1230</v>
      </c>
      <c r="Q442">
        <v>1</v>
      </c>
      <c r="W442">
        <v>0</v>
      </c>
      <c r="X442">
        <v>476480486</v>
      </c>
      <c r="Y442">
        <v>21.228999999999999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1</v>
      </c>
      <c r="AJ442">
        <v>1</v>
      </c>
      <c r="AK442">
        <v>1</v>
      </c>
      <c r="AL442">
        <v>25.44</v>
      </c>
      <c r="AN442">
        <v>0</v>
      </c>
      <c r="AO442">
        <v>1</v>
      </c>
      <c r="AP442">
        <v>1</v>
      </c>
      <c r="AQ442">
        <v>0</v>
      </c>
      <c r="AR442">
        <v>0</v>
      </c>
      <c r="AS442" t="s">
        <v>3</v>
      </c>
      <c r="AT442">
        <v>18.46</v>
      </c>
      <c r="AU442" t="s">
        <v>21</v>
      </c>
      <c r="AV442">
        <v>1</v>
      </c>
      <c r="AW442">
        <v>2</v>
      </c>
      <c r="AX442">
        <v>42939213</v>
      </c>
      <c r="AY442">
        <v>1</v>
      </c>
      <c r="AZ442">
        <v>0</v>
      </c>
      <c r="BA442">
        <v>438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CX442">
        <f>Y442*Source!I819</f>
        <v>63.686999999999998</v>
      </c>
      <c r="CY442">
        <f>AD442</f>
        <v>0</v>
      </c>
      <c r="CZ442">
        <f>AH442</f>
        <v>0</v>
      </c>
      <c r="DA442">
        <f>AL442</f>
        <v>25.44</v>
      </c>
      <c r="DB442">
        <f>ROUND((ROUND(AT442*CZ442,2)*1.15),6)</f>
        <v>0</v>
      </c>
      <c r="DC442">
        <f>ROUND((ROUND(AT442*AG442,2)*1.15),6)</f>
        <v>0</v>
      </c>
    </row>
    <row r="443" spans="1:107" x14ac:dyDescent="0.2">
      <c r="A443">
        <f>ROW(Source!A819)</f>
        <v>819</v>
      </c>
      <c r="B443">
        <v>42938047</v>
      </c>
      <c r="C443">
        <v>42939131</v>
      </c>
      <c r="D443">
        <v>36039456</v>
      </c>
      <c r="E443">
        <v>1</v>
      </c>
      <c r="F443">
        <v>1</v>
      </c>
      <c r="G443">
        <v>35973048</v>
      </c>
      <c r="H443">
        <v>3</v>
      </c>
      <c r="I443" t="s">
        <v>917</v>
      </c>
      <c r="J443" t="s">
        <v>919</v>
      </c>
      <c r="K443" t="s">
        <v>918</v>
      </c>
      <c r="L443">
        <v>1346</v>
      </c>
      <c r="N443">
        <v>1009</v>
      </c>
      <c r="O443" t="s">
        <v>131</v>
      </c>
      <c r="P443" t="s">
        <v>131</v>
      </c>
      <c r="Q443">
        <v>1</v>
      </c>
      <c r="W443">
        <v>0</v>
      </c>
      <c r="X443">
        <v>2124978974</v>
      </c>
      <c r="Y443">
        <v>4.4800000000000004</v>
      </c>
      <c r="AA443">
        <v>7.81</v>
      </c>
      <c r="AB443">
        <v>0</v>
      </c>
      <c r="AC443">
        <v>0</v>
      </c>
      <c r="AD443">
        <v>0</v>
      </c>
      <c r="AE443">
        <v>1.6</v>
      </c>
      <c r="AF443">
        <v>0</v>
      </c>
      <c r="AG443">
        <v>0</v>
      </c>
      <c r="AH443">
        <v>0</v>
      </c>
      <c r="AI443">
        <v>4.88</v>
      </c>
      <c r="AJ443">
        <v>1</v>
      </c>
      <c r="AK443">
        <v>1</v>
      </c>
      <c r="AL443">
        <v>1</v>
      </c>
      <c r="AN443">
        <v>0</v>
      </c>
      <c r="AO443">
        <v>0</v>
      </c>
      <c r="AP443">
        <v>0</v>
      </c>
      <c r="AQ443">
        <v>0</v>
      </c>
      <c r="AR443">
        <v>0</v>
      </c>
      <c r="AS443" t="s">
        <v>3</v>
      </c>
      <c r="AT443">
        <v>4.4800000000000004</v>
      </c>
      <c r="AU443" t="s">
        <v>3</v>
      </c>
      <c r="AV443">
        <v>0</v>
      </c>
      <c r="AW443">
        <v>1</v>
      </c>
      <c r="AX443">
        <v>-1</v>
      </c>
      <c r="AY443">
        <v>0</v>
      </c>
      <c r="AZ443">
        <v>0</v>
      </c>
      <c r="BA443" t="s">
        <v>3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CX443">
        <f>Y443*Source!I819</f>
        <v>13.440000000000001</v>
      </c>
      <c r="CY443">
        <f>AA443</f>
        <v>7.81</v>
      </c>
      <c r="CZ443">
        <f>AE443</f>
        <v>1.6</v>
      </c>
      <c r="DA443">
        <f>AI443</f>
        <v>4.88</v>
      </c>
      <c r="DB443">
        <f t="shared" ref="DB443:DB449" si="85">ROUND(ROUND(AT443*CZ443,2),6)</f>
        <v>7.17</v>
      </c>
      <c r="DC443">
        <f t="shared" ref="DC443:DC449" si="86">ROUND(ROUND(AT443*AG443,2),6)</f>
        <v>0</v>
      </c>
    </row>
    <row r="444" spans="1:107" x14ac:dyDescent="0.2">
      <c r="A444">
        <f>ROW(Source!A819)</f>
        <v>819</v>
      </c>
      <c r="B444">
        <v>42938047</v>
      </c>
      <c r="C444">
        <v>42939131</v>
      </c>
      <c r="D444">
        <v>36039457</v>
      </c>
      <c r="E444">
        <v>1</v>
      </c>
      <c r="F444">
        <v>1</v>
      </c>
      <c r="G444">
        <v>35973048</v>
      </c>
      <c r="H444">
        <v>3</v>
      </c>
      <c r="I444" t="s">
        <v>887</v>
      </c>
      <c r="J444" t="s">
        <v>889</v>
      </c>
      <c r="K444" t="s">
        <v>888</v>
      </c>
      <c r="L444">
        <v>1346</v>
      </c>
      <c r="N444">
        <v>1009</v>
      </c>
      <c r="O444" t="s">
        <v>131</v>
      </c>
      <c r="P444" t="s">
        <v>131</v>
      </c>
      <c r="Q444">
        <v>1</v>
      </c>
      <c r="W444">
        <v>0</v>
      </c>
      <c r="X444">
        <v>-668919807</v>
      </c>
      <c r="Y444">
        <v>4.4800000000000004</v>
      </c>
      <c r="AA444">
        <v>25.69</v>
      </c>
      <c r="AB444">
        <v>0</v>
      </c>
      <c r="AC444">
        <v>0</v>
      </c>
      <c r="AD444">
        <v>0</v>
      </c>
      <c r="AE444">
        <v>17.72</v>
      </c>
      <c r="AF444">
        <v>0</v>
      </c>
      <c r="AG444">
        <v>0</v>
      </c>
      <c r="AH444">
        <v>0</v>
      </c>
      <c r="AI444">
        <v>1.45</v>
      </c>
      <c r="AJ444">
        <v>1</v>
      </c>
      <c r="AK444">
        <v>1</v>
      </c>
      <c r="AL444">
        <v>1</v>
      </c>
      <c r="AN444">
        <v>0</v>
      </c>
      <c r="AO444">
        <v>0</v>
      </c>
      <c r="AP444">
        <v>0</v>
      </c>
      <c r="AQ444">
        <v>0</v>
      </c>
      <c r="AR444">
        <v>0</v>
      </c>
      <c r="AS444" t="s">
        <v>3</v>
      </c>
      <c r="AT444">
        <v>4.4800000000000004</v>
      </c>
      <c r="AU444" t="s">
        <v>3</v>
      </c>
      <c r="AV444">
        <v>0</v>
      </c>
      <c r="AW444">
        <v>1</v>
      </c>
      <c r="AX444">
        <v>-1</v>
      </c>
      <c r="AY444">
        <v>0</v>
      </c>
      <c r="AZ444">
        <v>0</v>
      </c>
      <c r="BA444" t="s">
        <v>3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CX444">
        <f>Y444*Source!I819</f>
        <v>13.440000000000001</v>
      </c>
      <c r="CY444">
        <f>AA444</f>
        <v>25.69</v>
      </c>
      <c r="CZ444">
        <f>AE444</f>
        <v>17.72</v>
      </c>
      <c r="DA444">
        <f>AI444</f>
        <v>1.45</v>
      </c>
      <c r="DB444">
        <f t="shared" si="85"/>
        <v>79.39</v>
      </c>
      <c r="DC444">
        <f t="shared" si="86"/>
        <v>0</v>
      </c>
    </row>
    <row r="445" spans="1:107" x14ac:dyDescent="0.2">
      <c r="A445">
        <f>ROW(Source!A822)</f>
        <v>822</v>
      </c>
      <c r="B445">
        <v>42938047</v>
      </c>
      <c r="C445">
        <v>43135002</v>
      </c>
      <c r="D445">
        <v>35973053</v>
      </c>
      <c r="E445">
        <v>35973048</v>
      </c>
      <c r="F445">
        <v>1</v>
      </c>
      <c r="G445">
        <v>35973048</v>
      </c>
      <c r="H445">
        <v>1</v>
      </c>
      <c r="I445" t="s">
        <v>1228</v>
      </c>
      <c r="J445" t="s">
        <v>3</v>
      </c>
      <c r="K445" t="s">
        <v>1229</v>
      </c>
      <c r="L445">
        <v>1191</v>
      </c>
      <c r="N445">
        <v>1013</v>
      </c>
      <c r="O445" t="s">
        <v>1230</v>
      </c>
      <c r="P445" t="s">
        <v>1230</v>
      </c>
      <c r="Q445">
        <v>1</v>
      </c>
      <c r="W445">
        <v>0</v>
      </c>
      <c r="X445">
        <v>476480486</v>
      </c>
      <c r="Y445">
        <v>83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1</v>
      </c>
      <c r="AJ445">
        <v>1</v>
      </c>
      <c r="AK445">
        <v>1</v>
      </c>
      <c r="AL445">
        <v>25.44</v>
      </c>
      <c r="AN445">
        <v>0</v>
      </c>
      <c r="AO445">
        <v>1</v>
      </c>
      <c r="AP445">
        <v>0</v>
      </c>
      <c r="AQ445">
        <v>0</v>
      </c>
      <c r="AR445">
        <v>0</v>
      </c>
      <c r="AS445" t="s">
        <v>3</v>
      </c>
      <c r="AT445">
        <v>83</v>
      </c>
      <c r="AU445" t="s">
        <v>3</v>
      </c>
      <c r="AV445">
        <v>1</v>
      </c>
      <c r="AW445">
        <v>2</v>
      </c>
      <c r="AX445">
        <v>43135003</v>
      </c>
      <c r="AY445">
        <v>1</v>
      </c>
      <c r="AZ445">
        <v>0</v>
      </c>
      <c r="BA445">
        <v>441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CX445">
        <f>Y445*Source!I822</f>
        <v>24.9</v>
      </c>
      <c r="CY445">
        <f>AD445</f>
        <v>0</v>
      </c>
      <c r="CZ445">
        <f>AH445</f>
        <v>0</v>
      </c>
      <c r="DA445">
        <f>AL445</f>
        <v>25.44</v>
      </c>
      <c r="DB445">
        <f t="shared" si="85"/>
        <v>0</v>
      </c>
      <c r="DC445">
        <f t="shared" si="86"/>
        <v>0</v>
      </c>
    </row>
    <row r="446" spans="1:107" x14ac:dyDescent="0.2">
      <c r="A446">
        <f>ROW(Source!A823)</f>
        <v>823</v>
      </c>
      <c r="B446">
        <v>42938047</v>
      </c>
      <c r="C446">
        <v>43135069</v>
      </c>
      <c r="D446">
        <v>36759504</v>
      </c>
      <c r="E446">
        <v>1</v>
      </c>
      <c r="F446">
        <v>1</v>
      </c>
      <c r="G446">
        <v>35973048</v>
      </c>
      <c r="H446">
        <v>2</v>
      </c>
      <c r="I446" t="s">
        <v>1332</v>
      </c>
      <c r="J446" t="s">
        <v>1333</v>
      </c>
      <c r="K446" t="s">
        <v>1334</v>
      </c>
      <c r="L446">
        <v>1367</v>
      </c>
      <c r="N446">
        <v>1011</v>
      </c>
      <c r="O446" t="s">
        <v>738</v>
      </c>
      <c r="P446" t="s">
        <v>738</v>
      </c>
      <c r="Q446">
        <v>1</v>
      </c>
      <c r="W446">
        <v>0</v>
      </c>
      <c r="X446">
        <v>1815391720</v>
      </c>
      <c r="Y446">
        <v>1</v>
      </c>
      <c r="AA446">
        <v>0</v>
      </c>
      <c r="AB446">
        <v>100.09</v>
      </c>
      <c r="AC446">
        <v>13.81</v>
      </c>
      <c r="AD446">
        <v>0</v>
      </c>
      <c r="AE446">
        <v>0</v>
      </c>
      <c r="AF446">
        <v>100.09</v>
      </c>
      <c r="AG446">
        <v>13.81</v>
      </c>
      <c r="AH446">
        <v>0</v>
      </c>
      <c r="AI446">
        <v>1</v>
      </c>
      <c r="AJ446">
        <v>1</v>
      </c>
      <c r="AK446">
        <v>1</v>
      </c>
      <c r="AL446">
        <v>1</v>
      </c>
      <c r="AN446">
        <v>0</v>
      </c>
      <c r="AO446">
        <v>1</v>
      </c>
      <c r="AP446">
        <v>0</v>
      </c>
      <c r="AQ446">
        <v>0</v>
      </c>
      <c r="AR446">
        <v>0</v>
      </c>
      <c r="AS446" t="s">
        <v>3</v>
      </c>
      <c r="AT446">
        <v>1</v>
      </c>
      <c r="AU446" t="s">
        <v>3</v>
      </c>
      <c r="AV446">
        <v>0</v>
      </c>
      <c r="AW446">
        <v>2</v>
      </c>
      <c r="AX446">
        <v>43137068</v>
      </c>
      <c r="AY446">
        <v>1</v>
      </c>
      <c r="AZ446">
        <v>0</v>
      </c>
      <c r="BA446">
        <v>442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CX446">
        <f>Y446*Source!I823</f>
        <v>0.45</v>
      </c>
      <c r="CY446">
        <f>AB446</f>
        <v>100.09</v>
      </c>
      <c r="CZ446">
        <f>AF446</f>
        <v>100.09</v>
      </c>
      <c r="DA446">
        <f>AJ446</f>
        <v>1</v>
      </c>
      <c r="DB446">
        <f t="shared" si="85"/>
        <v>100.09</v>
      </c>
      <c r="DC446">
        <f t="shared" si="86"/>
        <v>13.81</v>
      </c>
    </row>
    <row r="447" spans="1:107" x14ac:dyDescent="0.2">
      <c r="A447">
        <f>ROW(Source!A824)</f>
        <v>824</v>
      </c>
      <c r="B447">
        <v>42938047</v>
      </c>
      <c r="C447">
        <v>43137069</v>
      </c>
      <c r="D447">
        <v>35973762</v>
      </c>
      <c r="E447">
        <v>35973048</v>
      </c>
      <c r="F447">
        <v>1</v>
      </c>
      <c r="G447">
        <v>35973048</v>
      </c>
      <c r="H447">
        <v>2</v>
      </c>
      <c r="I447" t="s">
        <v>1243</v>
      </c>
      <c r="J447" t="s">
        <v>3</v>
      </c>
      <c r="K447" t="s">
        <v>1244</v>
      </c>
      <c r="L447">
        <v>1344</v>
      </c>
      <c r="N447">
        <v>1008</v>
      </c>
      <c r="O447" t="s">
        <v>1245</v>
      </c>
      <c r="P447" t="s">
        <v>1245</v>
      </c>
      <c r="Q447">
        <v>1</v>
      </c>
      <c r="W447">
        <v>0</v>
      </c>
      <c r="X447">
        <v>-1180195794</v>
      </c>
      <c r="Y447">
        <v>12.61</v>
      </c>
      <c r="AA447">
        <v>0</v>
      </c>
      <c r="AB447">
        <v>1</v>
      </c>
      <c r="AC447">
        <v>0</v>
      </c>
      <c r="AD447">
        <v>0</v>
      </c>
      <c r="AE447">
        <v>0</v>
      </c>
      <c r="AF447">
        <v>1</v>
      </c>
      <c r="AG447">
        <v>0</v>
      </c>
      <c r="AH447">
        <v>0</v>
      </c>
      <c r="AI447">
        <v>1</v>
      </c>
      <c r="AJ447">
        <v>1</v>
      </c>
      <c r="AK447">
        <v>1</v>
      </c>
      <c r="AL447">
        <v>1</v>
      </c>
      <c r="AN447">
        <v>0</v>
      </c>
      <c r="AO447">
        <v>1</v>
      </c>
      <c r="AP447">
        <v>0</v>
      </c>
      <c r="AQ447">
        <v>0</v>
      </c>
      <c r="AR447">
        <v>0</v>
      </c>
      <c r="AS447" t="s">
        <v>3</v>
      </c>
      <c r="AT447">
        <v>12.61</v>
      </c>
      <c r="AU447" t="s">
        <v>3</v>
      </c>
      <c r="AV447">
        <v>0</v>
      </c>
      <c r="AW447">
        <v>2</v>
      </c>
      <c r="AX447">
        <v>43137070</v>
      </c>
      <c r="AY447">
        <v>1</v>
      </c>
      <c r="AZ447">
        <v>0</v>
      </c>
      <c r="BA447">
        <v>443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CX447">
        <f>Y447*Source!I824</f>
        <v>5.6745000000000001</v>
      </c>
      <c r="CY447">
        <f>AB447</f>
        <v>1</v>
      </c>
      <c r="CZ447">
        <f>AF447</f>
        <v>1</v>
      </c>
      <c r="DA447">
        <f>AJ447</f>
        <v>1</v>
      </c>
      <c r="DB447">
        <f t="shared" si="85"/>
        <v>12.61</v>
      </c>
      <c r="DC447">
        <f t="shared" si="86"/>
        <v>0</v>
      </c>
    </row>
    <row r="448" spans="1:107" x14ac:dyDescent="0.2">
      <c r="A448">
        <f>ROW(Source!A839)</f>
        <v>839</v>
      </c>
      <c r="B448">
        <v>42938047</v>
      </c>
      <c r="C448">
        <v>43135211</v>
      </c>
      <c r="D448">
        <v>36759504</v>
      </c>
      <c r="E448">
        <v>1</v>
      </c>
      <c r="F448">
        <v>1</v>
      </c>
      <c r="G448">
        <v>35973048</v>
      </c>
      <c r="H448">
        <v>2</v>
      </c>
      <c r="I448" t="s">
        <v>1332</v>
      </c>
      <c r="J448" t="s">
        <v>1333</v>
      </c>
      <c r="K448" t="s">
        <v>1334</v>
      </c>
      <c r="L448">
        <v>1367</v>
      </c>
      <c r="N448">
        <v>1011</v>
      </c>
      <c r="O448" t="s">
        <v>738</v>
      </c>
      <c r="P448" t="s">
        <v>738</v>
      </c>
      <c r="Q448">
        <v>1</v>
      </c>
      <c r="W448">
        <v>0</v>
      </c>
      <c r="X448">
        <v>1815391720</v>
      </c>
      <c r="Y448">
        <v>1</v>
      </c>
      <c r="AA448">
        <v>0</v>
      </c>
      <c r="AB448">
        <v>100.09</v>
      </c>
      <c r="AC448">
        <v>13.81</v>
      </c>
      <c r="AD448">
        <v>0</v>
      </c>
      <c r="AE448">
        <v>0</v>
      </c>
      <c r="AF448">
        <v>100.09</v>
      </c>
      <c r="AG448">
        <v>13.81</v>
      </c>
      <c r="AH448">
        <v>0</v>
      </c>
      <c r="AI448">
        <v>1</v>
      </c>
      <c r="AJ448">
        <v>1</v>
      </c>
      <c r="AK448">
        <v>1</v>
      </c>
      <c r="AL448">
        <v>1</v>
      </c>
      <c r="AN448">
        <v>0</v>
      </c>
      <c r="AO448">
        <v>1</v>
      </c>
      <c r="AP448">
        <v>0</v>
      </c>
      <c r="AQ448">
        <v>0</v>
      </c>
      <c r="AR448">
        <v>0</v>
      </c>
      <c r="AS448" t="s">
        <v>3</v>
      </c>
      <c r="AT448">
        <v>1</v>
      </c>
      <c r="AU448" t="s">
        <v>3</v>
      </c>
      <c r="AV448">
        <v>0</v>
      </c>
      <c r="AW448">
        <v>2</v>
      </c>
      <c r="AX448">
        <v>43137092</v>
      </c>
      <c r="AY448">
        <v>1</v>
      </c>
      <c r="AZ448">
        <v>0</v>
      </c>
      <c r="BA448">
        <v>444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CX448">
        <f>Y448*Source!I839</f>
        <v>45</v>
      </c>
      <c r="CY448">
        <f>AB448</f>
        <v>100.09</v>
      </c>
      <c r="CZ448">
        <f>AF448</f>
        <v>100.09</v>
      </c>
      <c r="DA448">
        <f>AJ448</f>
        <v>1</v>
      </c>
      <c r="DB448">
        <f t="shared" si="85"/>
        <v>100.09</v>
      </c>
      <c r="DC448">
        <f t="shared" si="86"/>
        <v>13.81</v>
      </c>
    </row>
    <row r="449" spans="1:107" x14ac:dyDescent="0.2">
      <c r="A449">
        <f>ROW(Source!A840)</f>
        <v>840</v>
      </c>
      <c r="B449">
        <v>42938047</v>
      </c>
      <c r="C449">
        <v>43137091</v>
      </c>
      <c r="D449">
        <v>35973762</v>
      </c>
      <c r="E449">
        <v>35973048</v>
      </c>
      <c r="F449">
        <v>1</v>
      </c>
      <c r="G449">
        <v>35973048</v>
      </c>
      <c r="H449">
        <v>2</v>
      </c>
      <c r="I449" t="s">
        <v>1243</v>
      </c>
      <c r="J449" t="s">
        <v>3</v>
      </c>
      <c r="K449" t="s">
        <v>1244</v>
      </c>
      <c r="L449">
        <v>1344</v>
      </c>
      <c r="N449">
        <v>1008</v>
      </c>
      <c r="O449" t="s">
        <v>1245</v>
      </c>
      <c r="P449" t="s">
        <v>1245</v>
      </c>
      <c r="Q449">
        <v>1</v>
      </c>
      <c r="W449">
        <v>0</v>
      </c>
      <c r="X449">
        <v>-1180195794</v>
      </c>
      <c r="Y449">
        <v>12.61</v>
      </c>
      <c r="AA449">
        <v>0</v>
      </c>
      <c r="AB449">
        <v>1</v>
      </c>
      <c r="AC449">
        <v>0</v>
      </c>
      <c r="AD449">
        <v>0</v>
      </c>
      <c r="AE449">
        <v>0</v>
      </c>
      <c r="AF449">
        <v>1</v>
      </c>
      <c r="AG449">
        <v>0</v>
      </c>
      <c r="AH449">
        <v>0</v>
      </c>
      <c r="AI449">
        <v>1</v>
      </c>
      <c r="AJ449">
        <v>1</v>
      </c>
      <c r="AK449">
        <v>1</v>
      </c>
      <c r="AL449">
        <v>1</v>
      </c>
      <c r="AN449">
        <v>0</v>
      </c>
      <c r="AO449">
        <v>1</v>
      </c>
      <c r="AP449">
        <v>0</v>
      </c>
      <c r="AQ449">
        <v>0</v>
      </c>
      <c r="AR449">
        <v>0</v>
      </c>
      <c r="AS449" t="s">
        <v>3</v>
      </c>
      <c r="AT449">
        <v>12.61</v>
      </c>
      <c r="AU449" t="s">
        <v>3</v>
      </c>
      <c r="AV449">
        <v>0</v>
      </c>
      <c r="AW449">
        <v>2</v>
      </c>
      <c r="AX449">
        <v>43137093</v>
      </c>
      <c r="AY449">
        <v>1</v>
      </c>
      <c r="AZ449">
        <v>0</v>
      </c>
      <c r="BA449">
        <v>445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CX449">
        <f>Y449*Source!I840</f>
        <v>567.44999999999993</v>
      </c>
      <c r="CY449">
        <f>AB449</f>
        <v>1</v>
      </c>
      <c r="CZ449">
        <f>AF449</f>
        <v>1</v>
      </c>
      <c r="DA449">
        <f>AJ449</f>
        <v>1</v>
      </c>
      <c r="DB449">
        <f t="shared" si="85"/>
        <v>12.61</v>
      </c>
      <c r="DC449">
        <f t="shared" si="86"/>
        <v>0</v>
      </c>
    </row>
    <row r="450" spans="1:107" x14ac:dyDescent="0.2">
      <c r="A450">
        <f>ROW(Source!A906)</f>
        <v>906</v>
      </c>
      <c r="B450">
        <v>42938047</v>
      </c>
      <c r="C450">
        <v>43135143</v>
      </c>
      <c r="D450">
        <v>35973053</v>
      </c>
      <c r="E450">
        <v>35973048</v>
      </c>
      <c r="F450">
        <v>1</v>
      </c>
      <c r="G450">
        <v>35973048</v>
      </c>
      <c r="H450">
        <v>1</v>
      </c>
      <c r="I450" t="s">
        <v>1228</v>
      </c>
      <c r="J450" t="s">
        <v>3</v>
      </c>
      <c r="K450" t="s">
        <v>1229</v>
      </c>
      <c r="L450">
        <v>1191</v>
      </c>
      <c r="N450">
        <v>1013</v>
      </c>
      <c r="O450" t="s">
        <v>1230</v>
      </c>
      <c r="P450" t="s">
        <v>1230</v>
      </c>
      <c r="Q450">
        <v>1</v>
      </c>
      <c r="W450">
        <v>0</v>
      </c>
      <c r="X450">
        <v>476480486</v>
      </c>
      <c r="Y450">
        <v>1.043625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1</v>
      </c>
      <c r="AJ450">
        <v>1</v>
      </c>
      <c r="AK450">
        <v>1</v>
      </c>
      <c r="AL450">
        <v>25.44</v>
      </c>
      <c r="AN450">
        <v>0</v>
      </c>
      <c r="AO450">
        <v>1</v>
      </c>
      <c r="AP450">
        <v>1</v>
      </c>
      <c r="AQ450">
        <v>0</v>
      </c>
      <c r="AR450">
        <v>0</v>
      </c>
      <c r="AS450" t="s">
        <v>3</v>
      </c>
      <c r="AT450">
        <v>1.21</v>
      </c>
      <c r="AU450" t="s">
        <v>56</v>
      </c>
      <c r="AV450">
        <v>1</v>
      </c>
      <c r="AW450">
        <v>2</v>
      </c>
      <c r="AX450">
        <v>43135162</v>
      </c>
      <c r="AY450">
        <v>1</v>
      </c>
      <c r="AZ450">
        <v>2048</v>
      </c>
      <c r="BA450">
        <v>446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CX450">
        <f>Y450*Source!I906</f>
        <v>0.59486624999999993</v>
      </c>
      <c r="CY450">
        <f>AD450</f>
        <v>0</v>
      </c>
      <c r="CZ450">
        <f>AH450</f>
        <v>0</v>
      </c>
      <c r="DA450">
        <f>AL450</f>
        <v>25.44</v>
      </c>
      <c r="DB450">
        <f>ROUND(((ROUND(AT450*CZ450,2)*0.75)*1.15),6)</f>
        <v>0</v>
      </c>
      <c r="DC450">
        <f>ROUND(((ROUND(AT450*AG450,2)*0.75)*1.15),6)</f>
        <v>0</v>
      </c>
    </row>
    <row r="451" spans="1:107" x14ac:dyDescent="0.2">
      <c r="A451">
        <f>ROW(Source!A906)</f>
        <v>906</v>
      </c>
      <c r="B451">
        <v>42938047</v>
      </c>
      <c r="C451">
        <v>43135143</v>
      </c>
      <c r="D451">
        <v>36044463</v>
      </c>
      <c r="E451">
        <v>1</v>
      </c>
      <c r="F451">
        <v>1</v>
      </c>
      <c r="G451">
        <v>35973048</v>
      </c>
      <c r="H451">
        <v>2</v>
      </c>
      <c r="I451" t="s">
        <v>1249</v>
      </c>
      <c r="J451" t="s">
        <v>1250</v>
      </c>
      <c r="K451" t="s">
        <v>1251</v>
      </c>
      <c r="L451">
        <v>1367</v>
      </c>
      <c r="N451">
        <v>1011</v>
      </c>
      <c r="O451" t="s">
        <v>738</v>
      </c>
      <c r="P451" t="s">
        <v>738</v>
      </c>
      <c r="Q451">
        <v>1</v>
      </c>
      <c r="W451">
        <v>0</v>
      </c>
      <c r="X451">
        <v>-1422010832</v>
      </c>
      <c r="Y451">
        <v>2.9493749999999999</v>
      </c>
      <c r="AA451">
        <v>0</v>
      </c>
      <c r="AB451">
        <v>1608.41</v>
      </c>
      <c r="AC451">
        <v>445.45</v>
      </c>
      <c r="AD451">
        <v>0</v>
      </c>
      <c r="AE451">
        <v>0</v>
      </c>
      <c r="AF451">
        <v>180.72</v>
      </c>
      <c r="AG451">
        <v>17.510000000000002</v>
      </c>
      <c r="AH451">
        <v>0</v>
      </c>
      <c r="AI451">
        <v>1</v>
      </c>
      <c r="AJ451">
        <v>8.9</v>
      </c>
      <c r="AK451">
        <v>25.44</v>
      </c>
      <c r="AL451">
        <v>1</v>
      </c>
      <c r="AN451">
        <v>0</v>
      </c>
      <c r="AO451">
        <v>1</v>
      </c>
      <c r="AP451">
        <v>1</v>
      </c>
      <c r="AQ451">
        <v>0</v>
      </c>
      <c r="AR451">
        <v>0</v>
      </c>
      <c r="AS451" t="s">
        <v>3</v>
      </c>
      <c r="AT451">
        <v>3.1459999999999999</v>
      </c>
      <c r="AU451" t="s">
        <v>55</v>
      </c>
      <c r="AV451">
        <v>0</v>
      </c>
      <c r="AW451">
        <v>2</v>
      </c>
      <c r="AX451">
        <v>43135163</v>
      </c>
      <c r="AY451">
        <v>1</v>
      </c>
      <c r="AZ451">
        <v>0</v>
      </c>
      <c r="BA451">
        <v>447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CX451">
        <f>Y451*Source!I906</f>
        <v>1.6811437499999997</v>
      </c>
      <c r="CY451">
        <f>AB451</f>
        <v>1608.41</v>
      </c>
      <c r="CZ451">
        <f>AF451</f>
        <v>180.72</v>
      </c>
      <c r="DA451">
        <f>AJ451</f>
        <v>8.9</v>
      </c>
      <c r="DB451">
        <f>ROUND(((ROUND(AT451*CZ451,2)*0.75)*1.25),6)</f>
        <v>533.015625</v>
      </c>
      <c r="DC451">
        <f>ROUND(((ROUND(AT451*AG451,2)*0.75)*1.25),6)</f>
        <v>51.646875000000001</v>
      </c>
    </row>
    <row r="452" spans="1:107" x14ac:dyDescent="0.2">
      <c r="A452">
        <f>ROW(Source!A907)</f>
        <v>907</v>
      </c>
      <c r="B452">
        <v>42938047</v>
      </c>
      <c r="C452">
        <v>42939228</v>
      </c>
      <c r="D452">
        <v>35973053</v>
      </c>
      <c r="E452">
        <v>35973048</v>
      </c>
      <c r="F452">
        <v>1</v>
      </c>
      <c r="G452">
        <v>35973048</v>
      </c>
      <c r="H452">
        <v>1</v>
      </c>
      <c r="I452" t="s">
        <v>1228</v>
      </c>
      <c r="J452" t="s">
        <v>3</v>
      </c>
      <c r="K452" t="s">
        <v>1229</v>
      </c>
      <c r="L452">
        <v>1191</v>
      </c>
      <c r="N452">
        <v>1013</v>
      </c>
      <c r="O452" t="s">
        <v>1230</v>
      </c>
      <c r="P452" t="s">
        <v>1230</v>
      </c>
      <c r="Q452">
        <v>1</v>
      </c>
      <c r="W452">
        <v>0</v>
      </c>
      <c r="X452">
        <v>476480486</v>
      </c>
      <c r="Y452">
        <v>55.401249999999997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1</v>
      </c>
      <c r="AJ452">
        <v>1</v>
      </c>
      <c r="AK452">
        <v>1</v>
      </c>
      <c r="AL452">
        <v>25.44</v>
      </c>
      <c r="AN452">
        <v>0</v>
      </c>
      <c r="AO452">
        <v>1</v>
      </c>
      <c r="AP452">
        <v>1</v>
      </c>
      <c r="AQ452">
        <v>0</v>
      </c>
      <c r="AR452">
        <v>0</v>
      </c>
      <c r="AS452" t="s">
        <v>3</v>
      </c>
      <c r="AT452">
        <v>192.7</v>
      </c>
      <c r="AU452" t="s">
        <v>65</v>
      </c>
      <c r="AV452">
        <v>1</v>
      </c>
      <c r="AW452">
        <v>2</v>
      </c>
      <c r="AX452">
        <v>42939232</v>
      </c>
      <c r="AY452">
        <v>1</v>
      </c>
      <c r="AZ452">
        <v>2048</v>
      </c>
      <c r="BA452">
        <v>448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CX452">
        <f>Y452*Source!I907</f>
        <v>31.578712499999995</v>
      </c>
      <c r="CY452">
        <f>AD452</f>
        <v>0</v>
      </c>
      <c r="CZ452">
        <f>AH452</f>
        <v>0</v>
      </c>
      <c r="DA452">
        <f>AL452</f>
        <v>25.44</v>
      </c>
      <c r="DB452">
        <f>ROUND(((ROUND(AT452*CZ452,2)*0.25)*1.15),6)</f>
        <v>0</v>
      </c>
      <c r="DC452">
        <f>ROUND(((ROUND(AT452*AG452,2)*0.25)*1.15),6)</f>
        <v>0</v>
      </c>
    </row>
    <row r="453" spans="1:107" x14ac:dyDescent="0.2">
      <c r="A453">
        <f>ROW(Source!A908)</f>
        <v>908</v>
      </c>
      <c r="B453">
        <v>42938047</v>
      </c>
      <c r="C453">
        <v>42939222</v>
      </c>
      <c r="D453">
        <v>35973053</v>
      </c>
      <c r="E453">
        <v>35973048</v>
      </c>
      <c r="F453">
        <v>1</v>
      </c>
      <c r="G453">
        <v>35973048</v>
      </c>
      <c r="H453">
        <v>1</v>
      </c>
      <c r="I453" t="s">
        <v>1228</v>
      </c>
      <c r="J453" t="s">
        <v>3</v>
      </c>
      <c r="K453" t="s">
        <v>1229</v>
      </c>
      <c r="L453">
        <v>1191</v>
      </c>
      <c r="N453">
        <v>1013</v>
      </c>
      <c r="O453" t="s">
        <v>1230</v>
      </c>
      <c r="P453" t="s">
        <v>1230</v>
      </c>
      <c r="Q453">
        <v>1</v>
      </c>
      <c r="W453">
        <v>0</v>
      </c>
      <c r="X453">
        <v>476480486</v>
      </c>
      <c r="Y453">
        <v>11.73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1</v>
      </c>
      <c r="AJ453">
        <v>1</v>
      </c>
      <c r="AK453">
        <v>1</v>
      </c>
      <c r="AL453">
        <v>25.44</v>
      </c>
      <c r="AN453">
        <v>0</v>
      </c>
      <c r="AO453">
        <v>1</v>
      </c>
      <c r="AP453">
        <v>1</v>
      </c>
      <c r="AQ453">
        <v>0</v>
      </c>
      <c r="AR453">
        <v>0</v>
      </c>
      <c r="AS453" t="s">
        <v>3</v>
      </c>
      <c r="AT453">
        <v>10.199999999999999</v>
      </c>
      <c r="AU453" t="s">
        <v>21</v>
      </c>
      <c r="AV453">
        <v>1</v>
      </c>
      <c r="AW453">
        <v>2</v>
      </c>
      <c r="AX453">
        <v>42939224</v>
      </c>
      <c r="AY453">
        <v>1</v>
      </c>
      <c r="AZ453">
        <v>2048</v>
      </c>
      <c r="BA453">
        <v>449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CX453">
        <f>Y453*Source!I908</f>
        <v>40.116599999999998</v>
      </c>
      <c r="CY453">
        <f>AD453</f>
        <v>0</v>
      </c>
      <c r="CZ453">
        <f>AH453</f>
        <v>0</v>
      </c>
      <c r="DA453">
        <f>AL453</f>
        <v>25.44</v>
      </c>
      <c r="DB453">
        <f>ROUND((ROUND(AT453*CZ453,2)*1.15),6)</f>
        <v>0</v>
      </c>
      <c r="DC453">
        <f>ROUND((ROUND(AT453*AG453,2)*1.15),6)</f>
        <v>0</v>
      </c>
    </row>
    <row r="454" spans="1:107" x14ac:dyDescent="0.2">
      <c r="A454">
        <f>ROW(Source!A908)</f>
        <v>908</v>
      </c>
      <c r="B454">
        <v>42938047</v>
      </c>
      <c r="C454">
        <v>42939222</v>
      </c>
      <c r="D454">
        <v>36044648</v>
      </c>
      <c r="E454">
        <v>1</v>
      </c>
      <c r="F454">
        <v>1</v>
      </c>
      <c r="G454">
        <v>35973048</v>
      </c>
      <c r="H454">
        <v>2</v>
      </c>
      <c r="I454" t="s">
        <v>1270</v>
      </c>
      <c r="J454" t="s">
        <v>1271</v>
      </c>
      <c r="K454" t="s">
        <v>1272</v>
      </c>
      <c r="L454">
        <v>1367</v>
      </c>
      <c r="N454">
        <v>1011</v>
      </c>
      <c r="O454" t="s">
        <v>738</v>
      </c>
      <c r="P454" t="s">
        <v>738</v>
      </c>
      <c r="Q454">
        <v>1</v>
      </c>
      <c r="W454">
        <v>0</v>
      </c>
      <c r="X454">
        <v>482200787</v>
      </c>
      <c r="Y454">
        <v>0.4</v>
      </c>
      <c r="AA454">
        <v>0</v>
      </c>
      <c r="AB454">
        <v>730</v>
      </c>
      <c r="AC454">
        <v>429.94</v>
      </c>
      <c r="AD454">
        <v>0</v>
      </c>
      <c r="AE454">
        <v>0</v>
      </c>
      <c r="AF454">
        <v>73</v>
      </c>
      <c r="AG454">
        <v>16.899999999999999</v>
      </c>
      <c r="AH454">
        <v>0</v>
      </c>
      <c r="AI454">
        <v>1</v>
      </c>
      <c r="AJ454">
        <v>10</v>
      </c>
      <c r="AK454">
        <v>25.44</v>
      </c>
      <c r="AL454">
        <v>1</v>
      </c>
      <c r="AN454">
        <v>0</v>
      </c>
      <c r="AO454">
        <v>1</v>
      </c>
      <c r="AP454">
        <v>1</v>
      </c>
      <c r="AQ454">
        <v>0</v>
      </c>
      <c r="AR454">
        <v>0</v>
      </c>
      <c r="AS454" t="s">
        <v>3</v>
      </c>
      <c r="AT454">
        <v>0.32</v>
      </c>
      <c r="AU454" t="s">
        <v>20</v>
      </c>
      <c r="AV454">
        <v>0</v>
      </c>
      <c r="AW454">
        <v>2</v>
      </c>
      <c r="AX454">
        <v>42939225</v>
      </c>
      <c r="AY454">
        <v>1</v>
      </c>
      <c r="AZ454">
        <v>0</v>
      </c>
      <c r="BA454">
        <v>450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CX454">
        <f>Y454*Source!I908</f>
        <v>1.3680000000000001</v>
      </c>
      <c r="CY454">
        <f>AB454</f>
        <v>730</v>
      </c>
      <c r="CZ454">
        <f>AF454</f>
        <v>73</v>
      </c>
      <c r="DA454">
        <f>AJ454</f>
        <v>10</v>
      </c>
      <c r="DB454">
        <f>ROUND((ROUND(AT454*CZ454,2)*1.25),6)</f>
        <v>29.2</v>
      </c>
      <c r="DC454">
        <f>ROUND((ROUND(AT454*AG454,2)*1.25),6)</f>
        <v>6.7625000000000002</v>
      </c>
    </row>
    <row r="455" spans="1:107" x14ac:dyDescent="0.2">
      <c r="A455">
        <f>ROW(Source!A908)</f>
        <v>908</v>
      </c>
      <c r="B455">
        <v>42938047</v>
      </c>
      <c r="C455">
        <v>42939222</v>
      </c>
      <c r="D455">
        <v>36020974</v>
      </c>
      <c r="E455">
        <v>1</v>
      </c>
      <c r="F455">
        <v>1</v>
      </c>
      <c r="G455">
        <v>35973048</v>
      </c>
      <c r="H455">
        <v>3</v>
      </c>
      <c r="I455" t="s">
        <v>91</v>
      </c>
      <c r="J455" t="s">
        <v>93</v>
      </c>
      <c r="K455" t="s">
        <v>92</v>
      </c>
      <c r="L455">
        <v>1339</v>
      </c>
      <c r="N455">
        <v>1007</v>
      </c>
      <c r="O455" t="s">
        <v>84</v>
      </c>
      <c r="P455" t="s">
        <v>84</v>
      </c>
      <c r="Q455">
        <v>1</v>
      </c>
      <c r="W455">
        <v>0</v>
      </c>
      <c r="X455">
        <v>2069056849</v>
      </c>
      <c r="Y455">
        <v>11</v>
      </c>
      <c r="AA455">
        <v>580.23</v>
      </c>
      <c r="AB455">
        <v>0</v>
      </c>
      <c r="AC455">
        <v>0</v>
      </c>
      <c r="AD455">
        <v>0</v>
      </c>
      <c r="AE455">
        <v>104.99</v>
      </c>
      <c r="AF455">
        <v>0</v>
      </c>
      <c r="AG455">
        <v>0</v>
      </c>
      <c r="AH455">
        <v>0</v>
      </c>
      <c r="AI455">
        <v>5.51</v>
      </c>
      <c r="AJ455">
        <v>1</v>
      </c>
      <c r="AK455">
        <v>1</v>
      </c>
      <c r="AL455">
        <v>1</v>
      </c>
      <c r="AN455">
        <v>0</v>
      </c>
      <c r="AO455">
        <v>0</v>
      </c>
      <c r="AP455">
        <v>0</v>
      </c>
      <c r="AQ455">
        <v>0</v>
      </c>
      <c r="AR455">
        <v>0</v>
      </c>
      <c r="AS455" t="s">
        <v>3</v>
      </c>
      <c r="AT455">
        <v>11</v>
      </c>
      <c r="AU455" t="s">
        <v>3</v>
      </c>
      <c r="AV455">
        <v>0</v>
      </c>
      <c r="AW455">
        <v>1</v>
      </c>
      <c r="AX455">
        <v>-1</v>
      </c>
      <c r="AY455">
        <v>0</v>
      </c>
      <c r="AZ455">
        <v>0</v>
      </c>
      <c r="BA455" t="s">
        <v>3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CX455">
        <f>Y455*Source!I908</f>
        <v>37.619999999999997</v>
      </c>
      <c r="CY455">
        <f>AA455</f>
        <v>580.23</v>
      </c>
      <c r="CZ455">
        <f>AE455</f>
        <v>104.99</v>
      </c>
      <c r="DA455">
        <f>AI455</f>
        <v>5.51</v>
      </c>
      <c r="DB455">
        <f>ROUND(ROUND(AT455*CZ455,2),6)</f>
        <v>1154.8900000000001</v>
      </c>
      <c r="DC455">
        <f>ROUND(ROUND(AT455*AG455,2),6)</f>
        <v>0</v>
      </c>
    </row>
    <row r="456" spans="1:107" x14ac:dyDescent="0.2">
      <c r="A456">
        <f>ROW(Source!A910)</f>
        <v>910</v>
      </c>
      <c r="B456">
        <v>42938047</v>
      </c>
      <c r="C456">
        <v>42939292</v>
      </c>
      <c r="D456">
        <v>35973053</v>
      </c>
      <c r="E456">
        <v>35973048</v>
      </c>
      <c r="F456">
        <v>1</v>
      </c>
      <c r="G456">
        <v>35973048</v>
      </c>
      <c r="H456">
        <v>1</v>
      </c>
      <c r="I456" t="s">
        <v>1228</v>
      </c>
      <c r="J456" t="s">
        <v>3</v>
      </c>
      <c r="K456" t="s">
        <v>1229</v>
      </c>
      <c r="L456">
        <v>1191</v>
      </c>
      <c r="N456">
        <v>1013</v>
      </c>
      <c r="O456" t="s">
        <v>1230</v>
      </c>
      <c r="P456" t="s">
        <v>1230</v>
      </c>
      <c r="Q456">
        <v>1</v>
      </c>
      <c r="W456">
        <v>0</v>
      </c>
      <c r="X456">
        <v>476480486</v>
      </c>
      <c r="Y456">
        <v>152.94999999999999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1</v>
      </c>
      <c r="AJ456">
        <v>1</v>
      </c>
      <c r="AK456">
        <v>1</v>
      </c>
      <c r="AL456">
        <v>25.44</v>
      </c>
      <c r="AN456">
        <v>0</v>
      </c>
      <c r="AO456">
        <v>1</v>
      </c>
      <c r="AP456">
        <v>1</v>
      </c>
      <c r="AQ456">
        <v>0</v>
      </c>
      <c r="AR456">
        <v>0</v>
      </c>
      <c r="AS456" t="s">
        <v>3</v>
      </c>
      <c r="AT456">
        <v>133</v>
      </c>
      <c r="AU456" t="s">
        <v>21</v>
      </c>
      <c r="AV456">
        <v>1</v>
      </c>
      <c r="AW456">
        <v>2</v>
      </c>
      <c r="AX456">
        <v>42939293</v>
      </c>
      <c r="AY456">
        <v>1</v>
      </c>
      <c r="AZ456">
        <v>0</v>
      </c>
      <c r="BA456">
        <v>452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CX456">
        <f>Y456*Source!I910</f>
        <v>58.120999999999995</v>
      </c>
      <c r="CY456">
        <f>AD456</f>
        <v>0</v>
      </c>
      <c r="CZ456">
        <f>AH456</f>
        <v>0</v>
      </c>
      <c r="DA456">
        <f>AL456</f>
        <v>25.44</v>
      </c>
      <c r="DB456">
        <f>ROUND((ROUND(AT456*CZ456,2)*1.15),6)</f>
        <v>0</v>
      </c>
      <c r="DC456">
        <f>ROUND((ROUND(AT456*AG456,2)*1.15),6)</f>
        <v>0</v>
      </c>
    </row>
    <row r="457" spans="1:107" x14ac:dyDescent="0.2">
      <c r="A457">
        <f>ROW(Source!A910)</f>
        <v>910</v>
      </c>
      <c r="B457">
        <v>42938047</v>
      </c>
      <c r="C457">
        <v>42939292</v>
      </c>
      <c r="D457">
        <v>37608115</v>
      </c>
      <c r="E457">
        <v>1</v>
      </c>
      <c r="F457">
        <v>1</v>
      </c>
      <c r="G457">
        <v>35973048</v>
      </c>
      <c r="H457">
        <v>3</v>
      </c>
      <c r="I457" t="s">
        <v>969</v>
      </c>
      <c r="J457" t="s">
        <v>970</v>
      </c>
      <c r="K457" t="s">
        <v>1594</v>
      </c>
      <c r="L457">
        <v>1301</v>
      </c>
      <c r="N457">
        <v>1003</v>
      </c>
      <c r="O457" t="s">
        <v>136</v>
      </c>
      <c r="P457" t="s">
        <v>136</v>
      </c>
      <c r="Q457">
        <v>1</v>
      </c>
      <c r="W457">
        <v>0</v>
      </c>
      <c r="X457">
        <v>1265767261</v>
      </c>
      <c r="Y457">
        <v>1000</v>
      </c>
      <c r="AA457">
        <v>241.94</v>
      </c>
      <c r="AB457">
        <v>0</v>
      </c>
      <c r="AC457">
        <v>0</v>
      </c>
      <c r="AD457">
        <v>0</v>
      </c>
      <c r="AE457">
        <v>32.25</v>
      </c>
      <c r="AF457">
        <v>0</v>
      </c>
      <c r="AG457">
        <v>0</v>
      </c>
      <c r="AH457">
        <v>0</v>
      </c>
      <c r="AI457">
        <v>6.94</v>
      </c>
      <c r="AJ457">
        <v>1</v>
      </c>
      <c r="AK457">
        <v>1</v>
      </c>
      <c r="AL457">
        <v>1</v>
      </c>
      <c r="AN457">
        <v>0</v>
      </c>
      <c r="AO457">
        <v>0</v>
      </c>
      <c r="AP457">
        <v>0</v>
      </c>
      <c r="AQ457">
        <v>0</v>
      </c>
      <c r="AR457">
        <v>0</v>
      </c>
      <c r="AS457" t="s">
        <v>3</v>
      </c>
      <c r="AT457">
        <v>1000</v>
      </c>
      <c r="AU457" t="s">
        <v>3</v>
      </c>
      <c r="AV457">
        <v>0</v>
      </c>
      <c r="AW457">
        <v>1</v>
      </c>
      <c r="AX457">
        <v>-1</v>
      </c>
      <c r="AY457">
        <v>0</v>
      </c>
      <c r="AZ457">
        <v>0</v>
      </c>
      <c r="BA457" t="s">
        <v>3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CX457">
        <f>Y457*Source!I910</f>
        <v>380</v>
      </c>
      <c r="CY457">
        <f>AA457</f>
        <v>241.94</v>
      </c>
      <c r="CZ457">
        <f>AE457</f>
        <v>32.25</v>
      </c>
      <c r="DA457">
        <f>AI457</f>
        <v>6.94</v>
      </c>
      <c r="DB457">
        <f t="shared" ref="DB457:DB463" si="87">ROUND(ROUND(AT457*CZ457,2),6)</f>
        <v>32250</v>
      </c>
      <c r="DC457">
        <f t="shared" ref="DC457:DC463" si="88">ROUND(ROUND(AT457*AG457,2),6)</f>
        <v>0</v>
      </c>
    </row>
    <row r="458" spans="1:107" x14ac:dyDescent="0.2">
      <c r="A458">
        <f>ROW(Source!A910)</f>
        <v>910</v>
      </c>
      <c r="B458">
        <v>42938047</v>
      </c>
      <c r="C458">
        <v>42939292</v>
      </c>
      <c r="D458">
        <v>35994366</v>
      </c>
      <c r="E458">
        <v>35973048</v>
      </c>
      <c r="F458">
        <v>1</v>
      </c>
      <c r="G458">
        <v>35973048</v>
      </c>
      <c r="H458">
        <v>3</v>
      </c>
      <c r="I458" t="s">
        <v>1294</v>
      </c>
      <c r="J458" t="s">
        <v>3</v>
      </c>
      <c r="K458" t="s">
        <v>1295</v>
      </c>
      <c r="L458">
        <v>1344</v>
      </c>
      <c r="N458">
        <v>1008</v>
      </c>
      <c r="O458" t="s">
        <v>1245</v>
      </c>
      <c r="P458" t="s">
        <v>1245</v>
      </c>
      <c r="Q458">
        <v>1</v>
      </c>
      <c r="W458">
        <v>0</v>
      </c>
      <c r="X458">
        <v>-94250534</v>
      </c>
      <c r="Y458">
        <v>44.38</v>
      </c>
      <c r="AA458">
        <v>7.11</v>
      </c>
      <c r="AB458">
        <v>0</v>
      </c>
      <c r="AC458">
        <v>0</v>
      </c>
      <c r="AD458">
        <v>0</v>
      </c>
      <c r="AE458">
        <v>1</v>
      </c>
      <c r="AF458">
        <v>0</v>
      </c>
      <c r="AG458">
        <v>0</v>
      </c>
      <c r="AH458">
        <v>0</v>
      </c>
      <c r="AI458">
        <v>6.58</v>
      </c>
      <c r="AJ458">
        <v>1</v>
      </c>
      <c r="AK458">
        <v>1</v>
      </c>
      <c r="AL458">
        <v>1</v>
      </c>
      <c r="AN458">
        <v>0</v>
      </c>
      <c r="AO458">
        <v>1</v>
      </c>
      <c r="AP458">
        <v>0</v>
      </c>
      <c r="AQ458">
        <v>0</v>
      </c>
      <c r="AR458">
        <v>0</v>
      </c>
      <c r="AS458" t="s">
        <v>3</v>
      </c>
      <c r="AT458">
        <v>44.38</v>
      </c>
      <c r="AU458" t="s">
        <v>3</v>
      </c>
      <c r="AV458">
        <v>0</v>
      </c>
      <c r="AW458">
        <v>2</v>
      </c>
      <c r="AX458">
        <v>42939295</v>
      </c>
      <c r="AY458">
        <v>1</v>
      </c>
      <c r="AZ458">
        <v>0</v>
      </c>
      <c r="BA458">
        <v>454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CX458">
        <f>Y458*Source!I910</f>
        <v>16.8644</v>
      </c>
      <c r="CY458">
        <f>AA458</f>
        <v>7.11</v>
      </c>
      <c r="CZ458">
        <f>AE458</f>
        <v>1</v>
      </c>
      <c r="DA458">
        <f>AI458</f>
        <v>6.58</v>
      </c>
      <c r="DB458">
        <f t="shared" si="87"/>
        <v>44.38</v>
      </c>
      <c r="DC458">
        <f t="shared" si="88"/>
        <v>0</v>
      </c>
    </row>
    <row r="459" spans="1:107" x14ac:dyDescent="0.2">
      <c r="A459">
        <f>ROW(Source!A910)</f>
        <v>910</v>
      </c>
      <c r="B459">
        <v>42938047</v>
      </c>
      <c r="C459">
        <v>42939292</v>
      </c>
      <c r="D459">
        <v>0</v>
      </c>
      <c r="E459">
        <v>0</v>
      </c>
      <c r="F459">
        <v>1</v>
      </c>
      <c r="G459">
        <v>35973048</v>
      </c>
      <c r="H459">
        <v>3</v>
      </c>
      <c r="I459" t="s">
        <v>118</v>
      </c>
      <c r="J459" t="s">
        <v>3</v>
      </c>
      <c r="K459" t="s">
        <v>972</v>
      </c>
      <c r="L459">
        <v>1301</v>
      </c>
      <c r="N459">
        <v>1003</v>
      </c>
      <c r="O459" t="s">
        <v>136</v>
      </c>
      <c r="P459" t="s">
        <v>136</v>
      </c>
      <c r="Q459">
        <v>1</v>
      </c>
      <c r="W459">
        <v>0</v>
      </c>
      <c r="X459">
        <v>583085282</v>
      </c>
      <c r="Y459">
        <v>1000</v>
      </c>
      <c r="AA459">
        <v>147.01</v>
      </c>
      <c r="AB459">
        <v>0</v>
      </c>
      <c r="AC459">
        <v>0</v>
      </c>
      <c r="AD459">
        <v>0</v>
      </c>
      <c r="AE459">
        <v>21.450000000000003</v>
      </c>
      <c r="AF459">
        <v>0</v>
      </c>
      <c r="AG459">
        <v>0</v>
      </c>
      <c r="AH459">
        <v>0</v>
      </c>
      <c r="AI459">
        <v>6.34</v>
      </c>
      <c r="AJ459">
        <v>1</v>
      </c>
      <c r="AK459">
        <v>1</v>
      </c>
      <c r="AL459">
        <v>1</v>
      </c>
      <c r="AN459">
        <v>0</v>
      </c>
      <c r="AO459">
        <v>0</v>
      </c>
      <c r="AP459">
        <v>0</v>
      </c>
      <c r="AQ459">
        <v>0</v>
      </c>
      <c r="AR459">
        <v>0</v>
      </c>
      <c r="AS459" t="s">
        <v>3</v>
      </c>
      <c r="AT459">
        <v>1000</v>
      </c>
      <c r="AU459" t="s">
        <v>3</v>
      </c>
      <c r="AV459">
        <v>0</v>
      </c>
      <c r="AW459">
        <v>1</v>
      </c>
      <c r="AX459">
        <v>-1</v>
      </c>
      <c r="AY459">
        <v>0</v>
      </c>
      <c r="AZ459">
        <v>0</v>
      </c>
      <c r="BA459" t="s">
        <v>3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CX459">
        <f>Y459*Source!I910</f>
        <v>380</v>
      </c>
      <c r="CY459">
        <f>AA459</f>
        <v>147.01</v>
      </c>
      <c r="CZ459">
        <f>AE459</f>
        <v>21.450000000000003</v>
      </c>
      <c r="DA459">
        <f>AI459</f>
        <v>6.34</v>
      </c>
      <c r="DB459">
        <f t="shared" si="87"/>
        <v>21450</v>
      </c>
      <c r="DC459">
        <f t="shared" si="88"/>
        <v>0</v>
      </c>
    </row>
    <row r="460" spans="1:107" x14ac:dyDescent="0.2">
      <c r="A460">
        <f>ROW(Source!A913)</f>
        <v>913</v>
      </c>
      <c r="B460">
        <v>42938047</v>
      </c>
      <c r="C460">
        <v>42939299</v>
      </c>
      <c r="D460">
        <v>35973053</v>
      </c>
      <c r="E460">
        <v>35973048</v>
      </c>
      <c r="F460">
        <v>1</v>
      </c>
      <c r="G460">
        <v>35973048</v>
      </c>
      <c r="H460">
        <v>1</v>
      </c>
      <c r="I460" t="s">
        <v>1228</v>
      </c>
      <c r="J460" t="s">
        <v>3</v>
      </c>
      <c r="K460" t="s">
        <v>1229</v>
      </c>
      <c r="L460">
        <v>1191</v>
      </c>
      <c r="N460">
        <v>1013</v>
      </c>
      <c r="O460" t="s">
        <v>1230</v>
      </c>
      <c r="P460" t="s">
        <v>1230</v>
      </c>
      <c r="Q460">
        <v>1</v>
      </c>
      <c r="W460">
        <v>0</v>
      </c>
      <c r="X460">
        <v>476480486</v>
      </c>
      <c r="Y460">
        <v>10.7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1</v>
      </c>
      <c r="AJ460">
        <v>1</v>
      </c>
      <c r="AK460">
        <v>1</v>
      </c>
      <c r="AL460">
        <v>25.44</v>
      </c>
      <c r="AN460">
        <v>0</v>
      </c>
      <c r="AO460">
        <v>1</v>
      </c>
      <c r="AP460">
        <v>0</v>
      </c>
      <c r="AQ460">
        <v>0</v>
      </c>
      <c r="AR460">
        <v>0</v>
      </c>
      <c r="AS460" t="s">
        <v>3</v>
      </c>
      <c r="AT460">
        <v>10.7</v>
      </c>
      <c r="AU460" t="s">
        <v>3</v>
      </c>
      <c r="AV460">
        <v>1</v>
      </c>
      <c r="AW460">
        <v>2</v>
      </c>
      <c r="AX460">
        <v>42939300</v>
      </c>
      <c r="AY460">
        <v>1</v>
      </c>
      <c r="AZ460">
        <v>0</v>
      </c>
      <c r="BA460">
        <v>455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W460">
        <v>0</v>
      </c>
      <c r="CX460">
        <f>Y460*Source!I913</f>
        <v>40.659999999999997</v>
      </c>
      <c r="CY460">
        <f>AD460</f>
        <v>0</v>
      </c>
      <c r="CZ460">
        <f>AH460</f>
        <v>0</v>
      </c>
      <c r="DA460">
        <f>AL460</f>
        <v>25.44</v>
      </c>
      <c r="DB460">
        <f t="shared" si="87"/>
        <v>0</v>
      </c>
      <c r="DC460">
        <f t="shared" si="88"/>
        <v>0</v>
      </c>
    </row>
    <row r="461" spans="1:107" x14ac:dyDescent="0.2">
      <c r="A461">
        <f>ROW(Source!A913)</f>
        <v>913</v>
      </c>
      <c r="B461">
        <v>42938047</v>
      </c>
      <c r="C461">
        <v>42939299</v>
      </c>
      <c r="D461">
        <v>41520375</v>
      </c>
      <c r="E461">
        <v>1</v>
      </c>
      <c r="F461">
        <v>1</v>
      </c>
      <c r="G461">
        <v>35973048</v>
      </c>
      <c r="H461">
        <v>3</v>
      </c>
      <c r="I461" t="s">
        <v>986</v>
      </c>
      <c r="J461" t="s">
        <v>988</v>
      </c>
      <c r="K461" t="s">
        <v>987</v>
      </c>
      <c r="L461">
        <v>1354</v>
      </c>
      <c r="N461">
        <v>1010</v>
      </c>
      <c r="O461" t="s">
        <v>169</v>
      </c>
      <c r="P461" t="s">
        <v>169</v>
      </c>
      <c r="Q461">
        <v>1</v>
      </c>
      <c r="W461">
        <v>0</v>
      </c>
      <c r="X461">
        <v>-906918116</v>
      </c>
      <c r="Y461">
        <v>7.8947370000000001</v>
      </c>
      <c r="AA461">
        <v>568.73</v>
      </c>
      <c r="AB461">
        <v>0</v>
      </c>
      <c r="AC461">
        <v>0</v>
      </c>
      <c r="AD461">
        <v>0</v>
      </c>
      <c r="AE461">
        <v>92.79</v>
      </c>
      <c r="AF461">
        <v>0</v>
      </c>
      <c r="AG461">
        <v>0</v>
      </c>
      <c r="AH461">
        <v>0</v>
      </c>
      <c r="AI461">
        <v>5.67</v>
      </c>
      <c r="AJ461">
        <v>1</v>
      </c>
      <c r="AK461">
        <v>1</v>
      </c>
      <c r="AL461">
        <v>1</v>
      </c>
      <c r="AN461">
        <v>0</v>
      </c>
      <c r="AO461">
        <v>0</v>
      </c>
      <c r="AP461">
        <v>0</v>
      </c>
      <c r="AQ461">
        <v>0</v>
      </c>
      <c r="AR461">
        <v>0</v>
      </c>
      <c r="AS461" t="s">
        <v>3</v>
      </c>
      <c r="AT461">
        <v>7.8947370000000001</v>
      </c>
      <c r="AU461" t="s">
        <v>3</v>
      </c>
      <c r="AV461">
        <v>0</v>
      </c>
      <c r="AW461">
        <v>1</v>
      </c>
      <c r="AX461">
        <v>-1</v>
      </c>
      <c r="AY461">
        <v>0</v>
      </c>
      <c r="AZ461">
        <v>0</v>
      </c>
      <c r="BA461" t="s">
        <v>3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CX461">
        <f>Y461*Source!I913</f>
        <v>30.0000006</v>
      </c>
      <c r="CY461">
        <f>AA461</f>
        <v>568.73</v>
      </c>
      <c r="CZ461">
        <f>AE461</f>
        <v>92.79</v>
      </c>
      <c r="DA461">
        <f>AI461</f>
        <v>5.67</v>
      </c>
      <c r="DB461">
        <f t="shared" si="87"/>
        <v>732.55</v>
      </c>
      <c r="DC461">
        <f t="shared" si="88"/>
        <v>0</v>
      </c>
    </row>
    <row r="462" spans="1:107" x14ac:dyDescent="0.2">
      <c r="A462">
        <f>ROW(Source!A913)</f>
        <v>913</v>
      </c>
      <c r="B462">
        <v>42938047</v>
      </c>
      <c r="C462">
        <v>42939299</v>
      </c>
      <c r="D462">
        <v>36037342</v>
      </c>
      <c r="E462">
        <v>1</v>
      </c>
      <c r="F462">
        <v>1</v>
      </c>
      <c r="G462">
        <v>35973048</v>
      </c>
      <c r="H462">
        <v>3</v>
      </c>
      <c r="I462" t="s">
        <v>982</v>
      </c>
      <c r="J462" t="s">
        <v>984</v>
      </c>
      <c r="K462" t="s">
        <v>983</v>
      </c>
      <c r="L462">
        <v>1303</v>
      </c>
      <c r="N462">
        <v>1003</v>
      </c>
      <c r="O462" t="s">
        <v>810</v>
      </c>
      <c r="P462" t="s">
        <v>810</v>
      </c>
      <c r="Q462">
        <v>1000</v>
      </c>
      <c r="W462">
        <v>0</v>
      </c>
      <c r="X462">
        <v>-1505588850</v>
      </c>
      <c r="Y462">
        <v>0.1</v>
      </c>
      <c r="AA462">
        <v>173832.77</v>
      </c>
      <c r="AB462">
        <v>0</v>
      </c>
      <c r="AC462">
        <v>0</v>
      </c>
      <c r="AD462">
        <v>0</v>
      </c>
      <c r="AE462">
        <v>22680.87</v>
      </c>
      <c r="AF462">
        <v>0</v>
      </c>
      <c r="AG462">
        <v>0</v>
      </c>
      <c r="AH462">
        <v>0</v>
      </c>
      <c r="AI462">
        <v>7.09</v>
      </c>
      <c r="AJ462">
        <v>1</v>
      </c>
      <c r="AK462">
        <v>1</v>
      </c>
      <c r="AL462">
        <v>1</v>
      </c>
      <c r="AN462">
        <v>0</v>
      </c>
      <c r="AO462">
        <v>0</v>
      </c>
      <c r="AP462">
        <v>0</v>
      </c>
      <c r="AQ462">
        <v>0</v>
      </c>
      <c r="AR462">
        <v>0</v>
      </c>
      <c r="AS462" t="s">
        <v>3</v>
      </c>
      <c r="AT462">
        <v>0.1</v>
      </c>
      <c r="AU462" t="s">
        <v>3</v>
      </c>
      <c r="AV462">
        <v>0</v>
      </c>
      <c r="AW462">
        <v>1</v>
      </c>
      <c r="AX462">
        <v>-1</v>
      </c>
      <c r="AY462">
        <v>0</v>
      </c>
      <c r="AZ462">
        <v>0</v>
      </c>
      <c r="BA462" t="s">
        <v>3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CX462">
        <f>Y462*Source!I913</f>
        <v>0.38</v>
      </c>
      <c r="CY462">
        <f>AA462</f>
        <v>173832.77</v>
      </c>
      <c r="CZ462">
        <f>AE462</f>
        <v>22680.87</v>
      </c>
      <c r="DA462">
        <f>AI462</f>
        <v>7.09</v>
      </c>
      <c r="DB462">
        <f t="shared" si="87"/>
        <v>2268.09</v>
      </c>
      <c r="DC462">
        <f t="shared" si="88"/>
        <v>0</v>
      </c>
    </row>
    <row r="463" spans="1:107" x14ac:dyDescent="0.2">
      <c r="A463">
        <f>ROW(Source!A916)</f>
        <v>916</v>
      </c>
      <c r="B463">
        <v>42938047</v>
      </c>
      <c r="C463">
        <v>43135213</v>
      </c>
      <c r="D463">
        <v>35973053</v>
      </c>
      <c r="E463">
        <v>35973048</v>
      </c>
      <c r="F463">
        <v>1</v>
      </c>
      <c r="G463">
        <v>35973048</v>
      </c>
      <c r="H463">
        <v>1</v>
      </c>
      <c r="I463" t="s">
        <v>1228</v>
      </c>
      <c r="J463" t="s">
        <v>3</v>
      </c>
      <c r="K463" t="s">
        <v>1229</v>
      </c>
      <c r="L463">
        <v>1191</v>
      </c>
      <c r="N463">
        <v>1013</v>
      </c>
      <c r="O463" t="s">
        <v>1230</v>
      </c>
      <c r="P463" t="s">
        <v>1230</v>
      </c>
      <c r="Q463">
        <v>1</v>
      </c>
      <c r="W463">
        <v>0</v>
      </c>
      <c r="X463">
        <v>476480486</v>
      </c>
      <c r="Y463">
        <v>19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1</v>
      </c>
      <c r="AJ463">
        <v>1</v>
      </c>
      <c r="AK463">
        <v>1</v>
      </c>
      <c r="AL463">
        <v>25.44</v>
      </c>
      <c r="AN463">
        <v>0</v>
      </c>
      <c r="AO463">
        <v>1</v>
      </c>
      <c r="AP463">
        <v>0</v>
      </c>
      <c r="AQ463">
        <v>0</v>
      </c>
      <c r="AR463">
        <v>0</v>
      </c>
      <c r="AS463" t="s">
        <v>3</v>
      </c>
      <c r="AT463">
        <v>19</v>
      </c>
      <c r="AU463" t="s">
        <v>3</v>
      </c>
      <c r="AV463">
        <v>1</v>
      </c>
      <c r="AW463">
        <v>2</v>
      </c>
      <c r="AX463">
        <v>43135214</v>
      </c>
      <c r="AY463">
        <v>1</v>
      </c>
      <c r="AZ463">
        <v>0</v>
      </c>
      <c r="BA463">
        <v>456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CX463">
        <f>Y463*Source!I916</f>
        <v>7.22</v>
      </c>
      <c r="CY463">
        <f>AD463</f>
        <v>0</v>
      </c>
      <c r="CZ463">
        <f>AH463</f>
        <v>0</v>
      </c>
      <c r="DA463">
        <f>AL463</f>
        <v>25.44</v>
      </c>
      <c r="DB463">
        <f t="shared" si="87"/>
        <v>0</v>
      </c>
      <c r="DC463">
        <f t="shared" si="88"/>
        <v>0</v>
      </c>
    </row>
    <row r="464" spans="1:107" x14ac:dyDescent="0.2">
      <c r="A464">
        <f>ROW(Source!A918)</f>
        <v>918</v>
      </c>
      <c r="B464">
        <v>42938047</v>
      </c>
      <c r="C464">
        <v>43135167</v>
      </c>
      <c r="D464">
        <v>36044487</v>
      </c>
      <c r="E464">
        <v>1</v>
      </c>
      <c r="F464">
        <v>1</v>
      </c>
      <c r="G464">
        <v>35973048</v>
      </c>
      <c r="H464">
        <v>2</v>
      </c>
      <c r="I464" t="s">
        <v>769</v>
      </c>
      <c r="J464" t="s">
        <v>771</v>
      </c>
      <c r="K464" t="s">
        <v>770</v>
      </c>
      <c r="L464">
        <v>1367</v>
      </c>
      <c r="N464">
        <v>1011</v>
      </c>
      <c r="O464" t="s">
        <v>738</v>
      </c>
      <c r="P464" t="s">
        <v>738</v>
      </c>
      <c r="Q464">
        <v>1</v>
      </c>
      <c r="W464">
        <v>0</v>
      </c>
      <c r="X464">
        <v>-1500897512</v>
      </c>
      <c r="Y464">
        <v>0.83718749999999997</v>
      </c>
      <c r="AA464">
        <v>0</v>
      </c>
      <c r="AB464">
        <v>1397.75</v>
      </c>
      <c r="AC464">
        <v>393.56</v>
      </c>
      <c r="AD464">
        <v>0</v>
      </c>
      <c r="AE464">
        <v>0</v>
      </c>
      <c r="AF464">
        <v>163.47999999999999</v>
      </c>
      <c r="AG464">
        <v>15.47</v>
      </c>
      <c r="AH464">
        <v>0</v>
      </c>
      <c r="AI464">
        <v>1</v>
      </c>
      <c r="AJ464">
        <v>8.5500000000000007</v>
      </c>
      <c r="AK464">
        <v>25.44</v>
      </c>
      <c r="AL464">
        <v>1</v>
      </c>
      <c r="AN464">
        <v>0</v>
      </c>
      <c r="AO464">
        <v>1</v>
      </c>
      <c r="AP464">
        <v>1</v>
      </c>
      <c r="AQ464">
        <v>0</v>
      </c>
      <c r="AR464">
        <v>0</v>
      </c>
      <c r="AS464" t="s">
        <v>3</v>
      </c>
      <c r="AT464">
        <v>0.89300000000000002</v>
      </c>
      <c r="AU464" t="s">
        <v>55</v>
      </c>
      <c r="AV464">
        <v>0</v>
      </c>
      <c r="AW464">
        <v>2</v>
      </c>
      <c r="AX464">
        <v>43135168</v>
      </c>
      <c r="AY464">
        <v>1</v>
      </c>
      <c r="AZ464">
        <v>2048</v>
      </c>
      <c r="BA464">
        <v>457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0</v>
      </c>
      <c r="BW464">
        <v>0</v>
      </c>
      <c r="CX464">
        <f>Y464*Source!I918</f>
        <v>0.19087875000000001</v>
      </c>
      <c r="CY464">
        <f>AB464</f>
        <v>1397.75</v>
      </c>
      <c r="CZ464">
        <f>AF464</f>
        <v>163.47999999999999</v>
      </c>
      <c r="DA464">
        <f>AJ464</f>
        <v>8.5500000000000007</v>
      </c>
      <c r="DB464">
        <f>ROUND(((ROUND(AT464*CZ464,2)*0.75)*1.25),6)</f>
        <v>136.86562499999999</v>
      </c>
      <c r="DC464">
        <f>ROUND(((ROUND(AT464*AG464,2)*0.75)*1.25),6)</f>
        <v>12.946875</v>
      </c>
    </row>
    <row r="465" spans="1:107" x14ac:dyDescent="0.2">
      <c r="A465">
        <f>ROW(Source!A919)</f>
        <v>919</v>
      </c>
      <c r="B465">
        <v>42938047</v>
      </c>
      <c r="C465">
        <v>42939223</v>
      </c>
      <c r="D465">
        <v>35973053</v>
      </c>
      <c r="E465">
        <v>35973048</v>
      </c>
      <c r="F465">
        <v>1</v>
      </c>
      <c r="G465">
        <v>35973048</v>
      </c>
      <c r="H465">
        <v>1</v>
      </c>
      <c r="I465" t="s">
        <v>1228</v>
      </c>
      <c r="J465" t="s">
        <v>3</v>
      </c>
      <c r="K465" t="s">
        <v>1229</v>
      </c>
      <c r="L465">
        <v>1191</v>
      </c>
      <c r="N465">
        <v>1013</v>
      </c>
      <c r="O465" t="s">
        <v>1230</v>
      </c>
      <c r="P465" t="s">
        <v>1230</v>
      </c>
      <c r="Q465">
        <v>1</v>
      </c>
      <c r="W465">
        <v>0</v>
      </c>
      <c r="X465">
        <v>476480486</v>
      </c>
      <c r="Y465">
        <v>39.674999999999997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1</v>
      </c>
      <c r="AJ465">
        <v>1</v>
      </c>
      <c r="AK465">
        <v>1</v>
      </c>
      <c r="AL465">
        <v>25.44</v>
      </c>
      <c r="AN465">
        <v>0</v>
      </c>
      <c r="AO465">
        <v>1</v>
      </c>
      <c r="AP465">
        <v>1</v>
      </c>
      <c r="AQ465">
        <v>0</v>
      </c>
      <c r="AR465">
        <v>0</v>
      </c>
      <c r="AS465" t="s">
        <v>3</v>
      </c>
      <c r="AT465">
        <v>138</v>
      </c>
      <c r="AU465" t="s">
        <v>65</v>
      </c>
      <c r="AV465">
        <v>1</v>
      </c>
      <c r="AW465">
        <v>2</v>
      </c>
      <c r="AX465">
        <v>42939291</v>
      </c>
      <c r="AY465">
        <v>1</v>
      </c>
      <c r="AZ465">
        <v>0</v>
      </c>
      <c r="BA465">
        <v>458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CX465">
        <f>Y465*Source!I919</f>
        <v>9.0458999999999996</v>
      </c>
      <c r="CY465">
        <f>AD465</f>
        <v>0</v>
      </c>
      <c r="CZ465">
        <f>AH465</f>
        <v>0</v>
      </c>
      <c r="DA465">
        <f>AL465</f>
        <v>25.44</v>
      </c>
      <c r="DB465">
        <f>ROUND(((ROUND(AT465*CZ465,2)*0.25)*1.15),6)</f>
        <v>0</v>
      </c>
      <c r="DC465">
        <f>ROUND(((ROUND(AT465*AG465,2)*0.25)*1.15),6)</f>
        <v>0</v>
      </c>
    </row>
    <row r="466" spans="1:107" x14ac:dyDescent="0.2">
      <c r="A466">
        <f>ROW(Source!A920)</f>
        <v>920</v>
      </c>
      <c r="B466">
        <v>42938047</v>
      </c>
      <c r="C466">
        <v>43135217</v>
      </c>
      <c r="D466">
        <v>35973053</v>
      </c>
      <c r="E466">
        <v>35973048</v>
      </c>
      <c r="F466">
        <v>1</v>
      </c>
      <c r="G466">
        <v>35973048</v>
      </c>
      <c r="H466">
        <v>1</v>
      </c>
      <c r="I466" t="s">
        <v>1228</v>
      </c>
      <c r="J466" t="s">
        <v>3</v>
      </c>
      <c r="K466" t="s">
        <v>1229</v>
      </c>
      <c r="L466">
        <v>1191</v>
      </c>
      <c r="N466">
        <v>1013</v>
      </c>
      <c r="O466" t="s">
        <v>1230</v>
      </c>
      <c r="P466" t="s">
        <v>1230</v>
      </c>
      <c r="Q466">
        <v>1</v>
      </c>
      <c r="W466">
        <v>0</v>
      </c>
      <c r="X466">
        <v>476480486</v>
      </c>
      <c r="Y466">
        <v>12.42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1</v>
      </c>
      <c r="AJ466">
        <v>1</v>
      </c>
      <c r="AK466">
        <v>1</v>
      </c>
      <c r="AL466">
        <v>25.44</v>
      </c>
      <c r="AN466">
        <v>0</v>
      </c>
      <c r="AO466">
        <v>1</v>
      </c>
      <c r="AP466">
        <v>1</v>
      </c>
      <c r="AQ466">
        <v>0</v>
      </c>
      <c r="AR466">
        <v>0</v>
      </c>
      <c r="AS466" t="s">
        <v>3</v>
      </c>
      <c r="AT466">
        <v>10.8</v>
      </c>
      <c r="AU466" t="s">
        <v>21</v>
      </c>
      <c r="AV466">
        <v>1</v>
      </c>
      <c r="AW466">
        <v>2</v>
      </c>
      <c r="AX466">
        <v>43135218</v>
      </c>
      <c r="AY466">
        <v>1</v>
      </c>
      <c r="AZ466">
        <v>0</v>
      </c>
      <c r="BA466">
        <v>459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>
        <v>0</v>
      </c>
      <c r="BW466">
        <v>0</v>
      </c>
      <c r="CX466">
        <f>Y466*Source!I920</f>
        <v>1.41588</v>
      </c>
      <c r="CY466">
        <f>AD466</f>
        <v>0</v>
      </c>
      <c r="CZ466">
        <f>AH466</f>
        <v>0</v>
      </c>
      <c r="DA466">
        <f>AL466</f>
        <v>25.44</v>
      </c>
      <c r="DB466">
        <f>ROUND((ROUND(AT466*CZ466,2)*1.15),6)</f>
        <v>0</v>
      </c>
      <c r="DC466">
        <f>ROUND((ROUND(AT466*AG466,2)*1.15),6)</f>
        <v>0</v>
      </c>
    </row>
    <row r="467" spans="1:107" x14ac:dyDescent="0.2">
      <c r="A467">
        <f>ROW(Source!A920)</f>
        <v>920</v>
      </c>
      <c r="B467">
        <v>42938047</v>
      </c>
      <c r="C467">
        <v>43135217</v>
      </c>
      <c r="D467">
        <v>36044927</v>
      </c>
      <c r="E467">
        <v>1</v>
      </c>
      <c r="F467">
        <v>1</v>
      </c>
      <c r="G467">
        <v>35973048</v>
      </c>
      <c r="H467">
        <v>2</v>
      </c>
      <c r="I467" t="s">
        <v>1335</v>
      </c>
      <c r="J467" t="s">
        <v>1336</v>
      </c>
      <c r="K467" t="s">
        <v>1337</v>
      </c>
      <c r="L467">
        <v>1367</v>
      </c>
      <c r="N467">
        <v>1011</v>
      </c>
      <c r="O467" t="s">
        <v>738</v>
      </c>
      <c r="P467" t="s">
        <v>738</v>
      </c>
      <c r="Q467">
        <v>1</v>
      </c>
      <c r="W467">
        <v>0</v>
      </c>
      <c r="X467">
        <v>-1426791</v>
      </c>
      <c r="Y467">
        <v>13.125</v>
      </c>
      <c r="AA467">
        <v>0</v>
      </c>
      <c r="AB467">
        <v>762.06</v>
      </c>
      <c r="AC467">
        <v>470.13</v>
      </c>
      <c r="AD467">
        <v>0</v>
      </c>
      <c r="AE467">
        <v>0</v>
      </c>
      <c r="AF467">
        <v>60.77</v>
      </c>
      <c r="AG467">
        <v>18.48</v>
      </c>
      <c r="AH467">
        <v>0</v>
      </c>
      <c r="AI467">
        <v>1</v>
      </c>
      <c r="AJ467">
        <v>12.54</v>
      </c>
      <c r="AK467">
        <v>25.44</v>
      </c>
      <c r="AL467">
        <v>1</v>
      </c>
      <c r="AN467">
        <v>0</v>
      </c>
      <c r="AO467">
        <v>1</v>
      </c>
      <c r="AP467">
        <v>1</v>
      </c>
      <c r="AQ467">
        <v>0</v>
      </c>
      <c r="AR467">
        <v>0</v>
      </c>
      <c r="AS467" t="s">
        <v>3</v>
      </c>
      <c r="AT467">
        <v>10.5</v>
      </c>
      <c r="AU467" t="s">
        <v>20</v>
      </c>
      <c r="AV467">
        <v>0</v>
      </c>
      <c r="AW467">
        <v>2</v>
      </c>
      <c r="AX467">
        <v>43135219</v>
      </c>
      <c r="AY467">
        <v>1</v>
      </c>
      <c r="AZ467">
        <v>0</v>
      </c>
      <c r="BA467">
        <v>460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</v>
      </c>
      <c r="BW467">
        <v>0</v>
      </c>
      <c r="CX467">
        <f>Y467*Source!I920</f>
        <v>1.4962500000000001</v>
      </c>
      <c r="CY467">
        <f>AB467</f>
        <v>762.06</v>
      </c>
      <c r="CZ467">
        <f>AF467</f>
        <v>60.77</v>
      </c>
      <c r="DA467">
        <f>AJ467</f>
        <v>12.54</v>
      </c>
      <c r="DB467">
        <f>ROUND((ROUND(AT467*CZ467,2)*1.25),6)</f>
        <v>797.61249999999995</v>
      </c>
      <c r="DC467">
        <f>ROUND((ROUND(AT467*AG467,2)*1.25),6)</f>
        <v>242.55</v>
      </c>
    </row>
    <row r="468" spans="1:107" x14ac:dyDescent="0.2">
      <c r="A468">
        <f>ROW(Source!A920)</f>
        <v>920</v>
      </c>
      <c r="B468">
        <v>42938047</v>
      </c>
      <c r="C468">
        <v>43135217</v>
      </c>
      <c r="D468">
        <v>36045337</v>
      </c>
      <c r="E468">
        <v>1</v>
      </c>
      <c r="F468">
        <v>1</v>
      </c>
      <c r="G468">
        <v>35973048</v>
      </c>
      <c r="H468">
        <v>2</v>
      </c>
      <c r="I468" t="s">
        <v>1299</v>
      </c>
      <c r="J468" t="s">
        <v>1300</v>
      </c>
      <c r="K468" t="s">
        <v>1301</v>
      </c>
      <c r="L468">
        <v>1367</v>
      </c>
      <c r="N468">
        <v>1011</v>
      </c>
      <c r="O468" t="s">
        <v>738</v>
      </c>
      <c r="P468" t="s">
        <v>738</v>
      </c>
      <c r="Q468">
        <v>1</v>
      </c>
      <c r="W468">
        <v>0</v>
      </c>
      <c r="X468">
        <v>1280158331</v>
      </c>
      <c r="Y468">
        <v>13.125</v>
      </c>
      <c r="AA468">
        <v>0</v>
      </c>
      <c r="AB468">
        <v>3.85</v>
      </c>
      <c r="AC468">
        <v>2.29</v>
      </c>
      <c r="AD468">
        <v>0</v>
      </c>
      <c r="AE468">
        <v>0</v>
      </c>
      <c r="AF468">
        <v>0.56000000000000005</v>
      </c>
      <c r="AG468">
        <v>0.09</v>
      </c>
      <c r="AH468">
        <v>0</v>
      </c>
      <c r="AI468">
        <v>1</v>
      </c>
      <c r="AJ468">
        <v>6.88</v>
      </c>
      <c r="AK468">
        <v>25.44</v>
      </c>
      <c r="AL468">
        <v>1</v>
      </c>
      <c r="AN468">
        <v>0</v>
      </c>
      <c r="AO468">
        <v>1</v>
      </c>
      <c r="AP468">
        <v>1</v>
      </c>
      <c r="AQ468">
        <v>0</v>
      </c>
      <c r="AR468">
        <v>0</v>
      </c>
      <c r="AS468" t="s">
        <v>3</v>
      </c>
      <c r="AT468">
        <v>10.5</v>
      </c>
      <c r="AU468" t="s">
        <v>20</v>
      </c>
      <c r="AV468">
        <v>0</v>
      </c>
      <c r="AW468">
        <v>2</v>
      </c>
      <c r="AX468">
        <v>43135220</v>
      </c>
      <c r="AY468">
        <v>1</v>
      </c>
      <c r="AZ468">
        <v>0</v>
      </c>
      <c r="BA468">
        <v>461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0</v>
      </c>
      <c r="CX468">
        <f>Y468*Source!I920</f>
        <v>1.4962500000000001</v>
      </c>
      <c r="CY468">
        <f>AB468</f>
        <v>3.85</v>
      </c>
      <c r="CZ468">
        <f>AF468</f>
        <v>0.56000000000000005</v>
      </c>
      <c r="DA468">
        <f>AJ468</f>
        <v>6.88</v>
      </c>
      <c r="DB468">
        <f>ROUND((ROUND(AT468*CZ468,2)*1.25),6)</f>
        <v>7.35</v>
      </c>
      <c r="DC468">
        <f>ROUND((ROUND(AT468*AG468,2)*1.25),6)</f>
        <v>1.1875</v>
      </c>
    </row>
    <row r="469" spans="1:107" x14ac:dyDescent="0.2">
      <c r="A469">
        <f>ROW(Source!A921)</f>
        <v>921</v>
      </c>
      <c r="B469">
        <v>42938047</v>
      </c>
      <c r="C469">
        <v>43135169</v>
      </c>
      <c r="D469">
        <v>35973053</v>
      </c>
      <c r="E469">
        <v>35973048</v>
      </c>
      <c r="F469">
        <v>1</v>
      </c>
      <c r="G469">
        <v>35973048</v>
      </c>
      <c r="H469">
        <v>1</v>
      </c>
      <c r="I469" t="s">
        <v>1228</v>
      </c>
      <c r="J469" t="s">
        <v>3</v>
      </c>
      <c r="K469" t="s">
        <v>1229</v>
      </c>
      <c r="L469">
        <v>1191</v>
      </c>
      <c r="N469">
        <v>1013</v>
      </c>
      <c r="O469" t="s">
        <v>1230</v>
      </c>
      <c r="P469" t="s">
        <v>1230</v>
      </c>
      <c r="Q469">
        <v>1</v>
      </c>
      <c r="W469">
        <v>0</v>
      </c>
      <c r="X469">
        <v>476480486</v>
      </c>
      <c r="Y469">
        <v>0.97750000000000004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1</v>
      </c>
      <c r="AJ469">
        <v>1</v>
      </c>
      <c r="AK469">
        <v>1</v>
      </c>
      <c r="AL469">
        <v>25.44</v>
      </c>
      <c r="AN469">
        <v>0</v>
      </c>
      <c r="AO469">
        <v>1</v>
      </c>
      <c r="AP469">
        <v>1</v>
      </c>
      <c r="AQ469">
        <v>0</v>
      </c>
      <c r="AR469">
        <v>0</v>
      </c>
      <c r="AS469" t="s">
        <v>3</v>
      </c>
      <c r="AT469">
        <v>0.85</v>
      </c>
      <c r="AU469" t="s">
        <v>21</v>
      </c>
      <c r="AV469">
        <v>1</v>
      </c>
      <c r="AW469">
        <v>2</v>
      </c>
      <c r="AX469">
        <v>43135171</v>
      </c>
      <c r="AY469">
        <v>1</v>
      </c>
      <c r="AZ469">
        <v>2048</v>
      </c>
      <c r="BA469">
        <v>462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  <c r="CX469">
        <f>Y469*Source!I921</f>
        <v>2.9325000000000001</v>
      </c>
      <c r="CY469">
        <f>AD469</f>
        <v>0</v>
      </c>
      <c r="CZ469">
        <f>AH469</f>
        <v>0</v>
      </c>
      <c r="DA469">
        <f>AL469</f>
        <v>25.44</v>
      </c>
      <c r="DB469">
        <f>ROUND((ROUND(AT469*CZ469,2)*1.15),6)</f>
        <v>0</v>
      </c>
      <c r="DC469">
        <f>ROUND((ROUND(AT469*AG469,2)*1.15),6)</f>
        <v>0</v>
      </c>
    </row>
    <row r="470" spans="1:107" x14ac:dyDescent="0.2">
      <c r="A470">
        <f>ROW(Source!A921)</f>
        <v>921</v>
      </c>
      <c r="B470">
        <v>42938047</v>
      </c>
      <c r="C470">
        <v>43135169</v>
      </c>
      <c r="D470">
        <v>36044926</v>
      </c>
      <c r="E470">
        <v>1</v>
      </c>
      <c r="F470">
        <v>1</v>
      </c>
      <c r="G470">
        <v>35973048</v>
      </c>
      <c r="H470">
        <v>2</v>
      </c>
      <c r="I470" t="s">
        <v>1352</v>
      </c>
      <c r="J470" t="s">
        <v>1353</v>
      </c>
      <c r="K470" t="s">
        <v>1354</v>
      </c>
      <c r="L470">
        <v>1367</v>
      </c>
      <c r="N470">
        <v>1011</v>
      </c>
      <c r="O470" t="s">
        <v>738</v>
      </c>
      <c r="P470" t="s">
        <v>738</v>
      </c>
      <c r="Q470">
        <v>1</v>
      </c>
      <c r="W470">
        <v>0</v>
      </c>
      <c r="X470">
        <v>-668768829</v>
      </c>
      <c r="Y470">
        <v>0.25</v>
      </c>
      <c r="AA470">
        <v>0</v>
      </c>
      <c r="AB470">
        <v>489.04</v>
      </c>
      <c r="AC470">
        <v>339.12</v>
      </c>
      <c r="AD470">
        <v>0</v>
      </c>
      <c r="AE470">
        <v>0</v>
      </c>
      <c r="AF470">
        <v>41.62</v>
      </c>
      <c r="AG470">
        <v>13.33</v>
      </c>
      <c r="AH470">
        <v>0</v>
      </c>
      <c r="AI470">
        <v>1</v>
      </c>
      <c r="AJ470">
        <v>11.75</v>
      </c>
      <c r="AK470">
        <v>25.44</v>
      </c>
      <c r="AL470">
        <v>1</v>
      </c>
      <c r="AN470">
        <v>0</v>
      </c>
      <c r="AO470">
        <v>1</v>
      </c>
      <c r="AP470">
        <v>1</v>
      </c>
      <c r="AQ470">
        <v>0</v>
      </c>
      <c r="AR470">
        <v>0</v>
      </c>
      <c r="AS470" t="s">
        <v>3</v>
      </c>
      <c r="AT470">
        <v>0.2</v>
      </c>
      <c r="AU470" t="s">
        <v>20</v>
      </c>
      <c r="AV470">
        <v>0</v>
      </c>
      <c r="AW470">
        <v>2</v>
      </c>
      <c r="AX470">
        <v>43135172</v>
      </c>
      <c r="AY470">
        <v>1</v>
      </c>
      <c r="AZ470">
        <v>0</v>
      </c>
      <c r="BA470">
        <v>463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0</v>
      </c>
      <c r="CX470">
        <f>Y470*Source!I921</f>
        <v>0.75</v>
      </c>
      <c r="CY470">
        <f>AB470</f>
        <v>489.04</v>
      </c>
      <c r="CZ470">
        <f>AF470</f>
        <v>41.62</v>
      </c>
      <c r="DA470">
        <f>AJ470</f>
        <v>11.75</v>
      </c>
      <c r="DB470">
        <f>ROUND((ROUND(AT470*CZ470,2)*1.25),6)</f>
        <v>10.4</v>
      </c>
      <c r="DC470">
        <f>ROUND((ROUND(AT470*AG470,2)*1.25),6)</f>
        <v>3.3374999999999999</v>
      </c>
    </row>
    <row r="471" spans="1:107" x14ac:dyDescent="0.2">
      <c r="A471">
        <f>ROW(Source!A921)</f>
        <v>921</v>
      </c>
      <c r="B471">
        <v>42938047</v>
      </c>
      <c r="C471">
        <v>43135169</v>
      </c>
      <c r="D471">
        <v>36045337</v>
      </c>
      <c r="E471">
        <v>1</v>
      </c>
      <c r="F471">
        <v>1</v>
      </c>
      <c r="G471">
        <v>35973048</v>
      </c>
      <c r="H471">
        <v>2</v>
      </c>
      <c r="I471" t="s">
        <v>1299</v>
      </c>
      <c r="J471" t="s">
        <v>1300</v>
      </c>
      <c r="K471" t="s">
        <v>1301</v>
      </c>
      <c r="L471">
        <v>1367</v>
      </c>
      <c r="N471">
        <v>1011</v>
      </c>
      <c r="O471" t="s">
        <v>738</v>
      </c>
      <c r="P471" t="s">
        <v>738</v>
      </c>
      <c r="Q471">
        <v>1</v>
      </c>
      <c r="W471">
        <v>0</v>
      </c>
      <c r="X471">
        <v>1280158331</v>
      </c>
      <c r="Y471">
        <v>0.5</v>
      </c>
      <c r="AA471">
        <v>0</v>
      </c>
      <c r="AB471">
        <v>3.85</v>
      </c>
      <c r="AC471">
        <v>2.29</v>
      </c>
      <c r="AD471">
        <v>0</v>
      </c>
      <c r="AE471">
        <v>0</v>
      </c>
      <c r="AF471">
        <v>0.56000000000000005</v>
      </c>
      <c r="AG471">
        <v>0.09</v>
      </c>
      <c r="AH471">
        <v>0</v>
      </c>
      <c r="AI471">
        <v>1</v>
      </c>
      <c r="AJ471">
        <v>6.88</v>
      </c>
      <c r="AK471">
        <v>25.44</v>
      </c>
      <c r="AL471">
        <v>1</v>
      </c>
      <c r="AN471">
        <v>0</v>
      </c>
      <c r="AO471">
        <v>1</v>
      </c>
      <c r="AP471">
        <v>1</v>
      </c>
      <c r="AQ471">
        <v>0</v>
      </c>
      <c r="AR471">
        <v>0</v>
      </c>
      <c r="AS471" t="s">
        <v>3</v>
      </c>
      <c r="AT471">
        <v>0.4</v>
      </c>
      <c r="AU471" t="s">
        <v>20</v>
      </c>
      <c r="AV471">
        <v>0</v>
      </c>
      <c r="AW471">
        <v>2</v>
      </c>
      <c r="AX471">
        <v>43135173</v>
      </c>
      <c r="AY471">
        <v>1</v>
      </c>
      <c r="AZ471">
        <v>0</v>
      </c>
      <c r="BA471">
        <v>464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0</v>
      </c>
      <c r="CX471">
        <f>Y471*Source!I921</f>
        <v>1.5</v>
      </c>
      <c r="CY471">
        <f>AB471</f>
        <v>3.85</v>
      </c>
      <c r="CZ471">
        <f>AF471</f>
        <v>0.56000000000000005</v>
      </c>
      <c r="DA471">
        <f>AJ471</f>
        <v>6.88</v>
      </c>
      <c r="DB471">
        <f>ROUND((ROUND(AT471*CZ471,2)*1.25),6)</f>
        <v>0.27500000000000002</v>
      </c>
      <c r="DC471">
        <f>ROUND((ROUND(AT471*AG471,2)*1.25),6)</f>
        <v>0.05</v>
      </c>
    </row>
    <row r="472" spans="1:107" x14ac:dyDescent="0.2">
      <c r="A472">
        <f>ROW(Source!A921)</f>
        <v>921</v>
      </c>
      <c r="B472">
        <v>42938047</v>
      </c>
      <c r="C472">
        <v>43135169</v>
      </c>
      <c r="D472">
        <v>36044644</v>
      </c>
      <c r="E472">
        <v>1</v>
      </c>
      <c r="F472">
        <v>1</v>
      </c>
      <c r="G472">
        <v>35973048</v>
      </c>
      <c r="H472">
        <v>2</v>
      </c>
      <c r="I472" t="s">
        <v>1418</v>
      </c>
      <c r="J472" t="s">
        <v>1419</v>
      </c>
      <c r="K472" t="s">
        <v>1420</v>
      </c>
      <c r="L472">
        <v>1367</v>
      </c>
      <c r="N472">
        <v>1011</v>
      </c>
      <c r="O472" t="s">
        <v>738</v>
      </c>
      <c r="P472" t="s">
        <v>738</v>
      </c>
      <c r="Q472">
        <v>1</v>
      </c>
      <c r="W472">
        <v>0</v>
      </c>
      <c r="X472">
        <v>1022351366</v>
      </c>
      <c r="Y472">
        <v>8.7499999999999994E-2</v>
      </c>
      <c r="AA472">
        <v>0</v>
      </c>
      <c r="AB472">
        <v>1220.04</v>
      </c>
      <c r="AC472">
        <v>488.45</v>
      </c>
      <c r="AD472">
        <v>0</v>
      </c>
      <c r="AE472">
        <v>0</v>
      </c>
      <c r="AF472">
        <v>106.74</v>
      </c>
      <c r="AG472">
        <v>19.2</v>
      </c>
      <c r="AH472">
        <v>0</v>
      </c>
      <c r="AI472">
        <v>1</v>
      </c>
      <c r="AJ472">
        <v>11.43</v>
      </c>
      <c r="AK472">
        <v>25.44</v>
      </c>
      <c r="AL472">
        <v>1</v>
      </c>
      <c r="AN472">
        <v>0</v>
      </c>
      <c r="AO472">
        <v>1</v>
      </c>
      <c r="AP472">
        <v>1</v>
      </c>
      <c r="AQ472">
        <v>0</v>
      </c>
      <c r="AR472">
        <v>0</v>
      </c>
      <c r="AS472" t="s">
        <v>3</v>
      </c>
      <c r="AT472">
        <v>7.0000000000000007E-2</v>
      </c>
      <c r="AU472" t="s">
        <v>20</v>
      </c>
      <c r="AV472">
        <v>0</v>
      </c>
      <c r="AW472">
        <v>2</v>
      </c>
      <c r="AX472">
        <v>43135174</v>
      </c>
      <c r="AY472">
        <v>1</v>
      </c>
      <c r="AZ472">
        <v>2048</v>
      </c>
      <c r="BA472">
        <v>465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0</v>
      </c>
      <c r="BW472">
        <v>0</v>
      </c>
      <c r="CX472">
        <f>Y472*Source!I921</f>
        <v>0.26249999999999996</v>
      </c>
      <c r="CY472">
        <f>AB472</f>
        <v>1220.04</v>
      </c>
      <c r="CZ472">
        <f>AF472</f>
        <v>106.74</v>
      </c>
      <c r="DA472">
        <f>AJ472</f>
        <v>11.43</v>
      </c>
      <c r="DB472">
        <f>ROUND((ROUND(AT472*CZ472,2)*1.25),6)</f>
        <v>9.3375000000000004</v>
      </c>
      <c r="DC472">
        <f>ROUND((ROUND(AT472*AG472,2)*1.25),6)</f>
        <v>1.675</v>
      </c>
    </row>
    <row r="473" spans="1:107" x14ac:dyDescent="0.2">
      <c r="A473">
        <f>ROW(Source!A921)</f>
        <v>921</v>
      </c>
      <c r="B473">
        <v>42938047</v>
      </c>
      <c r="C473">
        <v>43135169</v>
      </c>
      <c r="D473">
        <v>36020415</v>
      </c>
      <c r="E473">
        <v>1</v>
      </c>
      <c r="F473">
        <v>1</v>
      </c>
      <c r="G473">
        <v>35973048</v>
      </c>
      <c r="H473">
        <v>3</v>
      </c>
      <c r="I473" t="s">
        <v>469</v>
      </c>
      <c r="J473" t="s">
        <v>471</v>
      </c>
      <c r="K473" t="s">
        <v>470</v>
      </c>
      <c r="L473">
        <v>1339</v>
      </c>
      <c r="N473">
        <v>1007</v>
      </c>
      <c r="O473" t="s">
        <v>84</v>
      </c>
      <c r="P473" t="s">
        <v>84</v>
      </c>
      <c r="Q473">
        <v>1</v>
      </c>
      <c r="W473">
        <v>0</v>
      </c>
      <c r="X473">
        <v>-862991314</v>
      </c>
      <c r="Y473">
        <v>0.15</v>
      </c>
      <c r="AA473">
        <v>36.340000000000003</v>
      </c>
      <c r="AB473">
        <v>0</v>
      </c>
      <c r="AC473">
        <v>0</v>
      </c>
      <c r="AD473">
        <v>0</v>
      </c>
      <c r="AE473">
        <v>7.07</v>
      </c>
      <c r="AF473">
        <v>0</v>
      </c>
      <c r="AG473">
        <v>0</v>
      </c>
      <c r="AH473">
        <v>0</v>
      </c>
      <c r="AI473">
        <v>5.14</v>
      </c>
      <c r="AJ473">
        <v>1</v>
      </c>
      <c r="AK473">
        <v>1</v>
      </c>
      <c r="AL473">
        <v>1</v>
      </c>
      <c r="AN473">
        <v>0</v>
      </c>
      <c r="AO473">
        <v>1</v>
      </c>
      <c r="AP473">
        <v>0</v>
      </c>
      <c r="AQ473">
        <v>0</v>
      </c>
      <c r="AR473">
        <v>0</v>
      </c>
      <c r="AS473" t="s">
        <v>3</v>
      </c>
      <c r="AT473">
        <v>0.15</v>
      </c>
      <c r="AU473" t="s">
        <v>3</v>
      </c>
      <c r="AV473">
        <v>0</v>
      </c>
      <c r="AW473">
        <v>2</v>
      </c>
      <c r="AX473">
        <v>43135175</v>
      </c>
      <c r="AY473">
        <v>1</v>
      </c>
      <c r="AZ473">
        <v>0</v>
      </c>
      <c r="BA473">
        <v>466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0</v>
      </c>
      <c r="BW473">
        <v>0</v>
      </c>
      <c r="CX473">
        <f>Y473*Source!I921</f>
        <v>0.44999999999999996</v>
      </c>
      <c r="CY473">
        <f>AA473</f>
        <v>36.340000000000003</v>
      </c>
      <c r="CZ473">
        <f>AE473</f>
        <v>7.07</v>
      </c>
      <c r="DA473">
        <f>AI473</f>
        <v>5.14</v>
      </c>
      <c r="DB473">
        <f>ROUND(ROUND(AT473*CZ473,2),6)</f>
        <v>1.06</v>
      </c>
      <c r="DC473">
        <f>ROUND(ROUND(AT473*AG473,2),6)</f>
        <v>0</v>
      </c>
    </row>
    <row r="474" spans="1:107" x14ac:dyDescent="0.2">
      <c r="A474">
        <f>ROW(Source!A921)</f>
        <v>921</v>
      </c>
      <c r="B474">
        <v>42938047</v>
      </c>
      <c r="C474">
        <v>43135169</v>
      </c>
      <c r="D474">
        <v>36021685</v>
      </c>
      <c r="E474">
        <v>1</v>
      </c>
      <c r="F474">
        <v>1</v>
      </c>
      <c r="G474">
        <v>35973048</v>
      </c>
      <c r="H474">
        <v>3</v>
      </c>
      <c r="I474" t="s">
        <v>1022</v>
      </c>
      <c r="J474" t="s">
        <v>1024</v>
      </c>
      <c r="K474" t="s">
        <v>1023</v>
      </c>
      <c r="L474">
        <v>1339</v>
      </c>
      <c r="N474">
        <v>1007</v>
      </c>
      <c r="O474" t="s">
        <v>84</v>
      </c>
      <c r="P474" t="s">
        <v>84</v>
      </c>
      <c r="Q474">
        <v>1</v>
      </c>
      <c r="W474">
        <v>0</v>
      </c>
      <c r="X474">
        <v>103091715</v>
      </c>
      <c r="Y474">
        <v>1.1499999999999999</v>
      </c>
      <c r="AA474">
        <v>1948.74</v>
      </c>
      <c r="AB474">
        <v>0</v>
      </c>
      <c r="AC474">
        <v>0</v>
      </c>
      <c r="AD474">
        <v>0</v>
      </c>
      <c r="AE474">
        <v>196.85</v>
      </c>
      <c r="AF474">
        <v>0</v>
      </c>
      <c r="AG474">
        <v>0</v>
      </c>
      <c r="AH474">
        <v>0</v>
      </c>
      <c r="AI474">
        <v>9.8699999999999992</v>
      </c>
      <c r="AJ474">
        <v>1</v>
      </c>
      <c r="AK474">
        <v>1</v>
      </c>
      <c r="AL474">
        <v>1</v>
      </c>
      <c r="AN474">
        <v>0</v>
      </c>
      <c r="AO474">
        <v>0</v>
      </c>
      <c r="AP474">
        <v>0</v>
      </c>
      <c r="AQ474">
        <v>0</v>
      </c>
      <c r="AR474">
        <v>0</v>
      </c>
      <c r="AS474" t="s">
        <v>3</v>
      </c>
      <c r="AT474">
        <v>1.1499999999999999</v>
      </c>
      <c r="AU474" t="s">
        <v>3</v>
      </c>
      <c r="AV474">
        <v>0</v>
      </c>
      <c r="AW474">
        <v>1</v>
      </c>
      <c r="AX474">
        <v>-1</v>
      </c>
      <c r="AY474">
        <v>0</v>
      </c>
      <c r="AZ474">
        <v>0</v>
      </c>
      <c r="BA474" t="s">
        <v>3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  <c r="CX474">
        <f>Y474*Source!I921</f>
        <v>3.4499999999999997</v>
      </c>
      <c r="CY474">
        <f>AA474</f>
        <v>1948.74</v>
      </c>
      <c r="CZ474">
        <f>AE474</f>
        <v>196.85</v>
      </c>
      <c r="DA474">
        <f>AI474</f>
        <v>9.8699999999999992</v>
      </c>
      <c r="DB474">
        <f>ROUND(ROUND(AT474*CZ474,2),6)</f>
        <v>226.38</v>
      </c>
      <c r="DC474">
        <f>ROUND(ROUND(AT474*AG474,2),6)</f>
        <v>0</v>
      </c>
    </row>
    <row r="475" spans="1:107" x14ac:dyDescent="0.2">
      <c r="A475">
        <f>ROW(Source!A923)</f>
        <v>923</v>
      </c>
      <c r="B475">
        <v>42938047</v>
      </c>
      <c r="C475">
        <v>43143300</v>
      </c>
      <c r="D475">
        <v>35973053</v>
      </c>
      <c r="E475">
        <v>35973048</v>
      </c>
      <c r="F475">
        <v>1</v>
      </c>
      <c r="G475">
        <v>35973048</v>
      </c>
      <c r="H475">
        <v>1</v>
      </c>
      <c r="I475" t="s">
        <v>1228</v>
      </c>
      <c r="J475" t="s">
        <v>3</v>
      </c>
      <c r="K475" t="s">
        <v>1229</v>
      </c>
      <c r="L475">
        <v>1191</v>
      </c>
      <c r="N475">
        <v>1013</v>
      </c>
      <c r="O475" t="s">
        <v>1230</v>
      </c>
      <c r="P475" t="s">
        <v>1230</v>
      </c>
      <c r="Q475">
        <v>1</v>
      </c>
      <c r="W475">
        <v>0</v>
      </c>
      <c r="X475">
        <v>476480486</v>
      </c>
      <c r="Y475">
        <v>1.748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1</v>
      </c>
      <c r="AJ475">
        <v>1</v>
      </c>
      <c r="AK475">
        <v>1</v>
      </c>
      <c r="AL475">
        <v>25.44</v>
      </c>
      <c r="AN475">
        <v>0</v>
      </c>
      <c r="AO475">
        <v>1</v>
      </c>
      <c r="AP475">
        <v>1</v>
      </c>
      <c r="AQ475">
        <v>0</v>
      </c>
      <c r="AR475">
        <v>0</v>
      </c>
      <c r="AS475" t="s">
        <v>3</v>
      </c>
      <c r="AT475">
        <v>1.52</v>
      </c>
      <c r="AU475" t="s">
        <v>21</v>
      </c>
      <c r="AV475">
        <v>1</v>
      </c>
      <c r="AW475">
        <v>2</v>
      </c>
      <c r="AX475">
        <v>43143301</v>
      </c>
      <c r="AY475">
        <v>1</v>
      </c>
      <c r="AZ475">
        <v>2048</v>
      </c>
      <c r="BA475">
        <v>468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0</v>
      </c>
      <c r="CX475">
        <f>Y475*Source!I923</f>
        <v>52.44</v>
      </c>
      <c r="CY475">
        <f>AD475</f>
        <v>0</v>
      </c>
      <c r="CZ475">
        <f>AH475</f>
        <v>0</v>
      </c>
      <c r="DA475">
        <f>AL475</f>
        <v>25.44</v>
      </c>
      <c r="DB475">
        <f>ROUND((ROUND(AT475*CZ475,2)*1.15),6)</f>
        <v>0</v>
      </c>
      <c r="DC475">
        <f>ROUND((ROUND(AT475*AG475,2)*1.15),6)</f>
        <v>0</v>
      </c>
    </row>
    <row r="476" spans="1:107" x14ac:dyDescent="0.2">
      <c r="A476">
        <f>ROW(Source!A923)</f>
        <v>923</v>
      </c>
      <c r="B476">
        <v>42938047</v>
      </c>
      <c r="C476">
        <v>43143300</v>
      </c>
      <c r="D476">
        <v>36044894</v>
      </c>
      <c r="E476">
        <v>1</v>
      </c>
      <c r="F476">
        <v>1</v>
      </c>
      <c r="G476">
        <v>35973048</v>
      </c>
      <c r="H476">
        <v>2</v>
      </c>
      <c r="I476" t="s">
        <v>1421</v>
      </c>
      <c r="J476" t="s">
        <v>1422</v>
      </c>
      <c r="K476" t="s">
        <v>1423</v>
      </c>
      <c r="L476">
        <v>1367</v>
      </c>
      <c r="N476">
        <v>1011</v>
      </c>
      <c r="O476" t="s">
        <v>738</v>
      </c>
      <c r="P476" t="s">
        <v>738</v>
      </c>
      <c r="Q476">
        <v>1</v>
      </c>
      <c r="W476">
        <v>0</v>
      </c>
      <c r="X476">
        <v>776244494</v>
      </c>
      <c r="Y476">
        <v>0.75</v>
      </c>
      <c r="AA476">
        <v>0</v>
      </c>
      <c r="AB476">
        <v>1305.6300000000001</v>
      </c>
      <c r="AC476">
        <v>612.6</v>
      </c>
      <c r="AD476">
        <v>0</v>
      </c>
      <c r="AE476">
        <v>0</v>
      </c>
      <c r="AF476">
        <v>117.73</v>
      </c>
      <c r="AG476">
        <v>24.08</v>
      </c>
      <c r="AH476">
        <v>0</v>
      </c>
      <c r="AI476">
        <v>1</v>
      </c>
      <c r="AJ476">
        <v>11.09</v>
      </c>
      <c r="AK476">
        <v>25.44</v>
      </c>
      <c r="AL476">
        <v>1</v>
      </c>
      <c r="AN476">
        <v>0</v>
      </c>
      <c r="AO476">
        <v>1</v>
      </c>
      <c r="AP476">
        <v>1</v>
      </c>
      <c r="AQ476">
        <v>0</v>
      </c>
      <c r="AR476">
        <v>0</v>
      </c>
      <c r="AS476" t="s">
        <v>3</v>
      </c>
      <c r="AT476">
        <v>0.6</v>
      </c>
      <c r="AU476" t="s">
        <v>20</v>
      </c>
      <c r="AV476">
        <v>0</v>
      </c>
      <c r="AW476">
        <v>2</v>
      </c>
      <c r="AX476">
        <v>43143302</v>
      </c>
      <c r="AY476">
        <v>1</v>
      </c>
      <c r="AZ476">
        <v>0</v>
      </c>
      <c r="BA476">
        <v>469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0</v>
      </c>
      <c r="CX476">
        <f>Y476*Source!I923</f>
        <v>22.5</v>
      </c>
      <c r="CY476">
        <f>AB476</f>
        <v>1305.6300000000001</v>
      </c>
      <c r="CZ476">
        <f>AF476</f>
        <v>117.73</v>
      </c>
      <c r="DA476">
        <f>AJ476</f>
        <v>11.09</v>
      </c>
      <c r="DB476">
        <f>ROUND((ROUND(AT476*CZ476,2)*1.25),6)</f>
        <v>88.3</v>
      </c>
      <c r="DC476">
        <f>ROUND((ROUND(AT476*AG476,2)*1.25),6)</f>
        <v>18.0625</v>
      </c>
    </row>
    <row r="477" spans="1:107" x14ac:dyDescent="0.2">
      <c r="A477">
        <f>ROW(Source!A923)</f>
        <v>923</v>
      </c>
      <c r="B477">
        <v>42938047</v>
      </c>
      <c r="C477">
        <v>43143300</v>
      </c>
      <c r="D477">
        <v>36038608</v>
      </c>
      <c r="E477">
        <v>1</v>
      </c>
      <c r="F477">
        <v>1</v>
      </c>
      <c r="G477">
        <v>35973048</v>
      </c>
      <c r="H477">
        <v>3</v>
      </c>
      <c r="I477" t="s">
        <v>1031</v>
      </c>
      <c r="J477" t="s">
        <v>1033</v>
      </c>
      <c r="K477" t="s">
        <v>1032</v>
      </c>
      <c r="L477">
        <v>1354</v>
      </c>
      <c r="N477">
        <v>1010</v>
      </c>
      <c r="O477" t="s">
        <v>169</v>
      </c>
      <c r="P477" t="s">
        <v>169</v>
      </c>
      <c r="Q477">
        <v>1</v>
      </c>
      <c r="W477">
        <v>0</v>
      </c>
      <c r="X477">
        <v>1143516239</v>
      </c>
      <c r="Y477">
        <v>1</v>
      </c>
      <c r="AA477">
        <v>2210.35</v>
      </c>
      <c r="AB477">
        <v>0</v>
      </c>
      <c r="AC477">
        <v>0</v>
      </c>
      <c r="AD477">
        <v>0</v>
      </c>
      <c r="AE477">
        <v>571.15</v>
      </c>
      <c r="AF477">
        <v>0</v>
      </c>
      <c r="AG477">
        <v>0</v>
      </c>
      <c r="AH477">
        <v>0</v>
      </c>
      <c r="AI477">
        <v>3.87</v>
      </c>
      <c r="AJ477">
        <v>1</v>
      </c>
      <c r="AK477">
        <v>1</v>
      </c>
      <c r="AL477">
        <v>1</v>
      </c>
      <c r="AN477">
        <v>0</v>
      </c>
      <c r="AO477">
        <v>0</v>
      </c>
      <c r="AP477">
        <v>0</v>
      </c>
      <c r="AQ477">
        <v>0</v>
      </c>
      <c r="AR477">
        <v>0</v>
      </c>
      <c r="AS477" t="s">
        <v>3</v>
      </c>
      <c r="AT477">
        <v>1</v>
      </c>
      <c r="AU477" t="s">
        <v>3</v>
      </c>
      <c r="AV477">
        <v>0</v>
      </c>
      <c r="AW477">
        <v>1</v>
      </c>
      <c r="AX477">
        <v>-1</v>
      </c>
      <c r="AY477">
        <v>0</v>
      </c>
      <c r="AZ477">
        <v>0</v>
      </c>
      <c r="BA477" t="s">
        <v>3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0</v>
      </c>
      <c r="CX477">
        <f>Y477*Source!I923</f>
        <v>30</v>
      </c>
      <c r="CY477">
        <f>AA477</f>
        <v>2210.35</v>
      </c>
      <c r="CZ477">
        <f>AE477</f>
        <v>571.15</v>
      </c>
      <c r="DA477">
        <f>AI477</f>
        <v>3.87</v>
      </c>
      <c r="DB477">
        <f t="shared" ref="DB477:DB486" si="89">ROUND(ROUND(AT477*CZ477,2),6)</f>
        <v>571.15</v>
      </c>
      <c r="DC477">
        <f t="shared" ref="DC477:DC486" si="90">ROUND(ROUND(AT477*AG477,2),6)</f>
        <v>0</v>
      </c>
    </row>
    <row r="478" spans="1:107" x14ac:dyDescent="0.2">
      <c r="A478">
        <f>ROW(Source!A923)</f>
        <v>923</v>
      </c>
      <c r="B478">
        <v>42938047</v>
      </c>
      <c r="C478">
        <v>43143300</v>
      </c>
      <c r="D478">
        <v>0</v>
      </c>
      <c r="E478">
        <v>35973048</v>
      </c>
      <c r="F478">
        <v>1</v>
      </c>
      <c r="G478">
        <v>35973048</v>
      </c>
      <c r="H478">
        <v>3</v>
      </c>
      <c r="I478" t="s">
        <v>118</v>
      </c>
      <c r="J478" t="s">
        <v>3</v>
      </c>
      <c r="K478" t="s">
        <v>1035</v>
      </c>
      <c r="L478">
        <v>1354</v>
      </c>
      <c r="N478">
        <v>1010</v>
      </c>
      <c r="O478" t="s">
        <v>169</v>
      </c>
      <c r="P478" t="s">
        <v>169</v>
      </c>
      <c r="Q478">
        <v>1</v>
      </c>
      <c r="W478">
        <v>0</v>
      </c>
      <c r="X478">
        <v>1595376428</v>
      </c>
      <c r="Y478">
        <v>1</v>
      </c>
      <c r="AA478">
        <v>9476.65</v>
      </c>
      <c r="AB478">
        <v>0</v>
      </c>
      <c r="AC478">
        <v>0</v>
      </c>
      <c r="AD478">
        <v>0</v>
      </c>
      <c r="AE478">
        <v>1494.74</v>
      </c>
      <c r="AF478">
        <v>0</v>
      </c>
      <c r="AG478">
        <v>0</v>
      </c>
      <c r="AH478">
        <v>0</v>
      </c>
      <c r="AI478">
        <v>6.34</v>
      </c>
      <c r="AJ478">
        <v>1</v>
      </c>
      <c r="AK478">
        <v>1</v>
      </c>
      <c r="AL478">
        <v>1</v>
      </c>
      <c r="AN478">
        <v>0</v>
      </c>
      <c r="AO478">
        <v>0</v>
      </c>
      <c r="AP478">
        <v>0</v>
      </c>
      <c r="AQ478">
        <v>0</v>
      </c>
      <c r="AR478">
        <v>0</v>
      </c>
      <c r="AS478" t="s">
        <v>3</v>
      </c>
      <c r="AT478">
        <v>30</v>
      </c>
      <c r="AU478" t="s">
        <v>3</v>
      </c>
      <c r="AV478">
        <v>0</v>
      </c>
      <c r="AW478">
        <v>1</v>
      </c>
      <c r="AX478">
        <v>-1</v>
      </c>
      <c r="AY478">
        <v>0</v>
      </c>
      <c r="AZ478">
        <v>0</v>
      </c>
      <c r="BA478" t="s">
        <v>3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CX478">
        <f>Y478*Source!I923</f>
        <v>30</v>
      </c>
      <c r="CY478">
        <f>AA478</f>
        <v>9476.65</v>
      </c>
      <c r="CZ478">
        <f>AE478</f>
        <v>1494.74</v>
      </c>
      <c r="DA478">
        <f>AI478</f>
        <v>6.34</v>
      </c>
      <c r="DB478">
        <f t="shared" si="89"/>
        <v>44842.2</v>
      </c>
      <c r="DC478">
        <f t="shared" si="90"/>
        <v>0</v>
      </c>
    </row>
    <row r="479" spans="1:107" x14ac:dyDescent="0.2">
      <c r="A479">
        <f>ROW(Source!A926)</f>
        <v>926</v>
      </c>
      <c r="B479">
        <v>42938047</v>
      </c>
      <c r="C479">
        <v>43143329</v>
      </c>
      <c r="D479">
        <v>35973053</v>
      </c>
      <c r="E479">
        <v>35973048</v>
      </c>
      <c r="F479">
        <v>1</v>
      </c>
      <c r="G479">
        <v>35973048</v>
      </c>
      <c r="H479">
        <v>1</v>
      </c>
      <c r="I479" t="s">
        <v>1228</v>
      </c>
      <c r="J479" t="s">
        <v>3</v>
      </c>
      <c r="K479" t="s">
        <v>1229</v>
      </c>
      <c r="L479">
        <v>1191</v>
      </c>
      <c r="N479">
        <v>1013</v>
      </c>
      <c r="O479" t="s">
        <v>1230</v>
      </c>
      <c r="P479" t="s">
        <v>1230</v>
      </c>
      <c r="Q479">
        <v>1</v>
      </c>
      <c r="W479">
        <v>0</v>
      </c>
      <c r="X479">
        <v>476480486</v>
      </c>
      <c r="Y479">
        <v>6.22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1</v>
      </c>
      <c r="AJ479">
        <v>1</v>
      </c>
      <c r="AK479">
        <v>1</v>
      </c>
      <c r="AL479">
        <v>25.44</v>
      </c>
      <c r="AN479">
        <v>0</v>
      </c>
      <c r="AO479">
        <v>1</v>
      </c>
      <c r="AP479">
        <v>0</v>
      </c>
      <c r="AQ479">
        <v>0</v>
      </c>
      <c r="AR479">
        <v>0</v>
      </c>
      <c r="AS479" t="s">
        <v>3</v>
      </c>
      <c r="AT479">
        <v>6.22</v>
      </c>
      <c r="AU479" t="s">
        <v>3</v>
      </c>
      <c r="AV479">
        <v>1</v>
      </c>
      <c r="AW479">
        <v>2</v>
      </c>
      <c r="AX479">
        <v>43143330</v>
      </c>
      <c r="AY479">
        <v>1</v>
      </c>
      <c r="AZ479">
        <v>0</v>
      </c>
      <c r="BA479">
        <v>473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  <c r="CX479">
        <f>Y479*Source!I926</f>
        <v>9.33</v>
      </c>
      <c r="CY479">
        <f>AD479</f>
        <v>0</v>
      </c>
      <c r="CZ479">
        <f>AH479</f>
        <v>0</v>
      </c>
      <c r="DA479">
        <f>AL479</f>
        <v>25.44</v>
      </c>
      <c r="DB479">
        <f t="shared" si="89"/>
        <v>0</v>
      </c>
      <c r="DC479">
        <f t="shared" si="90"/>
        <v>0</v>
      </c>
    </row>
    <row r="480" spans="1:107" x14ac:dyDescent="0.2">
      <c r="A480">
        <f>ROW(Source!A926)</f>
        <v>926</v>
      </c>
      <c r="B480">
        <v>42938047</v>
      </c>
      <c r="C480">
        <v>43143329</v>
      </c>
      <c r="D480">
        <v>36045308</v>
      </c>
      <c r="E480">
        <v>1</v>
      </c>
      <c r="F480">
        <v>1</v>
      </c>
      <c r="G480">
        <v>35973048</v>
      </c>
      <c r="H480">
        <v>2</v>
      </c>
      <c r="I480" t="s">
        <v>1231</v>
      </c>
      <c r="J480" t="s">
        <v>1232</v>
      </c>
      <c r="K480" t="s">
        <v>1233</v>
      </c>
      <c r="L480">
        <v>1367</v>
      </c>
      <c r="N480">
        <v>1011</v>
      </c>
      <c r="O480" t="s">
        <v>738</v>
      </c>
      <c r="P480" t="s">
        <v>738</v>
      </c>
      <c r="Q480">
        <v>1</v>
      </c>
      <c r="W480">
        <v>0</v>
      </c>
      <c r="X480">
        <v>-628430174</v>
      </c>
      <c r="Y480">
        <v>0.02</v>
      </c>
      <c r="AA480">
        <v>0</v>
      </c>
      <c r="AB480">
        <v>748.13</v>
      </c>
      <c r="AC480">
        <v>365.32</v>
      </c>
      <c r="AD480">
        <v>0</v>
      </c>
      <c r="AE480">
        <v>0</v>
      </c>
      <c r="AF480">
        <v>76.81</v>
      </c>
      <c r="AG480">
        <v>14.36</v>
      </c>
      <c r="AH480">
        <v>0</v>
      </c>
      <c r="AI480">
        <v>1</v>
      </c>
      <c r="AJ480">
        <v>9.74</v>
      </c>
      <c r="AK480">
        <v>25.44</v>
      </c>
      <c r="AL480">
        <v>1</v>
      </c>
      <c r="AN480">
        <v>0</v>
      </c>
      <c r="AO480">
        <v>1</v>
      </c>
      <c r="AP480">
        <v>0</v>
      </c>
      <c r="AQ480">
        <v>0</v>
      </c>
      <c r="AR480">
        <v>0</v>
      </c>
      <c r="AS480" t="s">
        <v>3</v>
      </c>
      <c r="AT480">
        <v>0.02</v>
      </c>
      <c r="AU480" t="s">
        <v>3</v>
      </c>
      <c r="AV480">
        <v>0</v>
      </c>
      <c r="AW480">
        <v>2</v>
      </c>
      <c r="AX480">
        <v>43143331</v>
      </c>
      <c r="AY480">
        <v>1</v>
      </c>
      <c r="AZ480">
        <v>0</v>
      </c>
      <c r="BA480">
        <v>474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0</v>
      </c>
      <c r="CX480">
        <f>Y480*Source!I926</f>
        <v>0.03</v>
      </c>
      <c r="CY480">
        <f>AB480</f>
        <v>748.13</v>
      </c>
      <c r="CZ480">
        <f>AF480</f>
        <v>76.81</v>
      </c>
      <c r="DA480">
        <f>AJ480</f>
        <v>9.74</v>
      </c>
      <c r="DB480">
        <f t="shared" si="89"/>
        <v>1.54</v>
      </c>
      <c r="DC480">
        <f t="shared" si="90"/>
        <v>0.28999999999999998</v>
      </c>
    </row>
    <row r="481" spans="1:107" x14ac:dyDescent="0.2">
      <c r="A481">
        <f>ROW(Source!A926)</f>
        <v>926</v>
      </c>
      <c r="B481">
        <v>42938047</v>
      </c>
      <c r="C481">
        <v>43143329</v>
      </c>
      <c r="D481">
        <v>36020415</v>
      </c>
      <c r="E481">
        <v>1</v>
      </c>
      <c r="F481">
        <v>1</v>
      </c>
      <c r="G481">
        <v>35973048</v>
      </c>
      <c r="H481">
        <v>3</v>
      </c>
      <c r="I481" t="s">
        <v>469</v>
      </c>
      <c r="J481" t="s">
        <v>471</v>
      </c>
      <c r="K481" t="s">
        <v>470</v>
      </c>
      <c r="L481">
        <v>1339</v>
      </c>
      <c r="N481">
        <v>1007</v>
      </c>
      <c r="O481" t="s">
        <v>84</v>
      </c>
      <c r="P481" t="s">
        <v>84</v>
      </c>
      <c r="Q481">
        <v>1</v>
      </c>
      <c r="W481">
        <v>0</v>
      </c>
      <c r="X481">
        <v>-862991314</v>
      </c>
      <c r="Y481">
        <v>7.6999999999999999E-2</v>
      </c>
      <c r="AA481">
        <v>36.340000000000003</v>
      </c>
      <c r="AB481">
        <v>0</v>
      </c>
      <c r="AC481">
        <v>0</v>
      </c>
      <c r="AD481">
        <v>0</v>
      </c>
      <c r="AE481">
        <v>7.07</v>
      </c>
      <c r="AF481">
        <v>0</v>
      </c>
      <c r="AG481">
        <v>0</v>
      </c>
      <c r="AH481">
        <v>0</v>
      </c>
      <c r="AI481">
        <v>5.14</v>
      </c>
      <c r="AJ481">
        <v>1</v>
      </c>
      <c r="AK481">
        <v>1</v>
      </c>
      <c r="AL481">
        <v>1</v>
      </c>
      <c r="AN481">
        <v>0</v>
      </c>
      <c r="AO481">
        <v>1</v>
      </c>
      <c r="AP481">
        <v>0</v>
      </c>
      <c r="AQ481">
        <v>0</v>
      </c>
      <c r="AR481">
        <v>0</v>
      </c>
      <c r="AS481" t="s">
        <v>3</v>
      </c>
      <c r="AT481">
        <v>7.6999999999999999E-2</v>
      </c>
      <c r="AU481" t="s">
        <v>3</v>
      </c>
      <c r="AV481">
        <v>0</v>
      </c>
      <c r="AW481">
        <v>2</v>
      </c>
      <c r="AX481">
        <v>43143332</v>
      </c>
      <c r="AY481">
        <v>1</v>
      </c>
      <c r="AZ481">
        <v>0</v>
      </c>
      <c r="BA481">
        <v>475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0</v>
      </c>
      <c r="CX481">
        <f>Y481*Source!I926</f>
        <v>0.11549999999999999</v>
      </c>
      <c r="CY481">
        <f>AA481</f>
        <v>36.340000000000003</v>
      </c>
      <c r="CZ481">
        <f>AE481</f>
        <v>7.07</v>
      </c>
      <c r="DA481">
        <f>AI481</f>
        <v>5.14</v>
      </c>
      <c r="DB481">
        <f t="shared" si="89"/>
        <v>0.54</v>
      </c>
      <c r="DC481">
        <f t="shared" si="90"/>
        <v>0</v>
      </c>
    </row>
    <row r="482" spans="1:107" x14ac:dyDescent="0.2">
      <c r="A482">
        <f>ROW(Source!A926)</f>
        <v>926</v>
      </c>
      <c r="B482">
        <v>42938047</v>
      </c>
      <c r="C482">
        <v>43143329</v>
      </c>
      <c r="D482">
        <v>36021495</v>
      </c>
      <c r="E482">
        <v>1</v>
      </c>
      <c r="F482">
        <v>1</v>
      </c>
      <c r="G482">
        <v>35973048</v>
      </c>
      <c r="H482">
        <v>3</v>
      </c>
      <c r="I482" t="s">
        <v>1424</v>
      </c>
      <c r="J482" t="s">
        <v>1425</v>
      </c>
      <c r="K482" t="s">
        <v>1426</v>
      </c>
      <c r="L482">
        <v>1348</v>
      </c>
      <c r="N482">
        <v>1009</v>
      </c>
      <c r="O482" t="s">
        <v>104</v>
      </c>
      <c r="P482" t="s">
        <v>104</v>
      </c>
      <c r="Q482">
        <v>1000</v>
      </c>
      <c r="W482">
        <v>0</v>
      </c>
      <c r="X482">
        <v>-318432533</v>
      </c>
      <c r="Y482">
        <v>0.107</v>
      </c>
      <c r="AA482">
        <v>4328.95</v>
      </c>
      <c r="AB482">
        <v>0</v>
      </c>
      <c r="AC482">
        <v>0</v>
      </c>
      <c r="AD482">
        <v>0</v>
      </c>
      <c r="AE482">
        <v>332.74</v>
      </c>
      <c r="AF482">
        <v>0</v>
      </c>
      <c r="AG482">
        <v>0</v>
      </c>
      <c r="AH482">
        <v>0</v>
      </c>
      <c r="AI482">
        <v>13.01</v>
      </c>
      <c r="AJ482">
        <v>1</v>
      </c>
      <c r="AK482">
        <v>1</v>
      </c>
      <c r="AL482">
        <v>1</v>
      </c>
      <c r="AN482">
        <v>0</v>
      </c>
      <c r="AO482">
        <v>1</v>
      </c>
      <c r="AP482">
        <v>0</v>
      </c>
      <c r="AQ482">
        <v>0</v>
      </c>
      <c r="AR482">
        <v>0</v>
      </c>
      <c r="AS482" t="s">
        <v>3</v>
      </c>
      <c r="AT482">
        <v>0.107</v>
      </c>
      <c r="AU482" t="s">
        <v>3</v>
      </c>
      <c r="AV482">
        <v>0</v>
      </c>
      <c r="AW482">
        <v>2</v>
      </c>
      <c r="AX482">
        <v>43143333</v>
      </c>
      <c r="AY482">
        <v>1</v>
      </c>
      <c r="AZ482">
        <v>0</v>
      </c>
      <c r="BA482">
        <v>476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0</v>
      </c>
      <c r="BW482">
        <v>0</v>
      </c>
      <c r="CX482">
        <f>Y482*Source!I926</f>
        <v>0.1605</v>
      </c>
      <c r="CY482">
        <f>AA482</f>
        <v>4328.95</v>
      </c>
      <c r="CZ482">
        <f>AE482</f>
        <v>332.74</v>
      </c>
      <c r="DA482">
        <f>AI482</f>
        <v>13.01</v>
      </c>
      <c r="DB482">
        <f t="shared" si="89"/>
        <v>35.6</v>
      </c>
      <c r="DC482">
        <f t="shared" si="90"/>
        <v>0</v>
      </c>
    </row>
    <row r="483" spans="1:107" x14ac:dyDescent="0.2">
      <c r="A483">
        <f>ROW(Source!A926)</f>
        <v>926</v>
      </c>
      <c r="B483">
        <v>42938047</v>
      </c>
      <c r="C483">
        <v>43143329</v>
      </c>
      <c r="D483">
        <v>36020974</v>
      </c>
      <c r="E483">
        <v>1</v>
      </c>
      <c r="F483">
        <v>1</v>
      </c>
      <c r="G483">
        <v>35973048</v>
      </c>
      <c r="H483">
        <v>3</v>
      </c>
      <c r="I483" t="s">
        <v>91</v>
      </c>
      <c r="J483" t="s">
        <v>93</v>
      </c>
      <c r="K483" t="s">
        <v>92</v>
      </c>
      <c r="L483">
        <v>1339</v>
      </c>
      <c r="N483">
        <v>1007</v>
      </c>
      <c r="O483" t="s">
        <v>84</v>
      </c>
      <c r="P483" t="s">
        <v>84</v>
      </c>
      <c r="Q483">
        <v>1</v>
      </c>
      <c r="W483">
        <v>0</v>
      </c>
      <c r="X483">
        <v>2069056849</v>
      </c>
      <c r="Y483">
        <v>0.29899999999999999</v>
      </c>
      <c r="AA483">
        <v>578.49</v>
      </c>
      <c r="AB483">
        <v>0</v>
      </c>
      <c r="AC483">
        <v>0</v>
      </c>
      <c r="AD483">
        <v>0</v>
      </c>
      <c r="AE483">
        <v>104.99</v>
      </c>
      <c r="AF483">
        <v>0</v>
      </c>
      <c r="AG483">
        <v>0</v>
      </c>
      <c r="AH483">
        <v>0</v>
      </c>
      <c r="AI483">
        <v>5.51</v>
      </c>
      <c r="AJ483">
        <v>1</v>
      </c>
      <c r="AK483">
        <v>1</v>
      </c>
      <c r="AL483">
        <v>1</v>
      </c>
      <c r="AN483">
        <v>0</v>
      </c>
      <c r="AO483">
        <v>1</v>
      </c>
      <c r="AP483">
        <v>0</v>
      </c>
      <c r="AQ483">
        <v>0</v>
      </c>
      <c r="AR483">
        <v>0</v>
      </c>
      <c r="AS483" t="s">
        <v>3</v>
      </c>
      <c r="AT483">
        <v>0.29899999999999999</v>
      </c>
      <c r="AU483" t="s">
        <v>3</v>
      </c>
      <c r="AV483">
        <v>0</v>
      </c>
      <c r="AW483">
        <v>2</v>
      </c>
      <c r="AX483">
        <v>43143334</v>
      </c>
      <c r="AY483">
        <v>1</v>
      </c>
      <c r="AZ483">
        <v>0</v>
      </c>
      <c r="BA483">
        <v>477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  <c r="CX483">
        <f>Y483*Source!I926</f>
        <v>0.44850000000000001</v>
      </c>
      <c r="CY483">
        <f>AA483</f>
        <v>578.49</v>
      </c>
      <c r="CZ483">
        <f>AE483</f>
        <v>104.99</v>
      </c>
      <c r="DA483">
        <f>AI483</f>
        <v>5.51</v>
      </c>
      <c r="DB483">
        <f t="shared" si="89"/>
        <v>31.39</v>
      </c>
      <c r="DC483">
        <f t="shared" si="90"/>
        <v>0</v>
      </c>
    </row>
    <row r="484" spans="1:107" x14ac:dyDescent="0.2">
      <c r="A484">
        <f>ROW(Source!A926)</f>
        <v>926</v>
      </c>
      <c r="B484">
        <v>42938047</v>
      </c>
      <c r="C484">
        <v>43143329</v>
      </c>
      <c r="D484">
        <v>0</v>
      </c>
      <c r="E484">
        <v>0</v>
      </c>
      <c r="F484">
        <v>1</v>
      </c>
      <c r="G484">
        <v>35973048</v>
      </c>
      <c r="H484">
        <v>3</v>
      </c>
      <c r="I484" t="s">
        <v>118</v>
      </c>
      <c r="J484" t="s">
        <v>3</v>
      </c>
      <c r="K484" t="s">
        <v>1045</v>
      </c>
      <c r="L484">
        <v>1354</v>
      </c>
      <c r="N484">
        <v>1010</v>
      </c>
      <c r="O484" t="s">
        <v>169</v>
      </c>
      <c r="P484" t="s">
        <v>169</v>
      </c>
      <c r="Q484">
        <v>1</v>
      </c>
      <c r="W484">
        <v>0</v>
      </c>
      <c r="X484">
        <v>-2112882143</v>
      </c>
      <c r="Y484">
        <v>10</v>
      </c>
      <c r="AA484">
        <v>6898.76</v>
      </c>
      <c r="AB484">
        <v>0</v>
      </c>
      <c r="AC484">
        <v>0</v>
      </c>
      <c r="AD484">
        <v>0</v>
      </c>
      <c r="AE484">
        <v>1085.96</v>
      </c>
      <c r="AF484">
        <v>0</v>
      </c>
      <c r="AG484">
        <v>0</v>
      </c>
      <c r="AH484">
        <v>0</v>
      </c>
      <c r="AI484">
        <v>6.34</v>
      </c>
      <c r="AJ484">
        <v>1</v>
      </c>
      <c r="AK484">
        <v>1</v>
      </c>
      <c r="AL484">
        <v>1</v>
      </c>
      <c r="AN484">
        <v>0</v>
      </c>
      <c r="AO484">
        <v>0</v>
      </c>
      <c r="AP484">
        <v>0</v>
      </c>
      <c r="AQ484">
        <v>0</v>
      </c>
      <c r="AR484">
        <v>0</v>
      </c>
      <c r="AS484" t="s">
        <v>3</v>
      </c>
      <c r="AT484">
        <v>10</v>
      </c>
      <c r="AU484" t="s">
        <v>3</v>
      </c>
      <c r="AV484">
        <v>0</v>
      </c>
      <c r="AW484">
        <v>1</v>
      </c>
      <c r="AX484">
        <v>-1</v>
      </c>
      <c r="AY484">
        <v>0</v>
      </c>
      <c r="AZ484">
        <v>0</v>
      </c>
      <c r="BA484" t="s">
        <v>3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CX484">
        <f>Y484*Source!I926</f>
        <v>15</v>
      </c>
      <c r="CY484">
        <f>AA484</f>
        <v>6898.76</v>
      </c>
      <c r="CZ484">
        <f>AE484</f>
        <v>1085.96</v>
      </c>
      <c r="DA484">
        <f>AI484</f>
        <v>6.34</v>
      </c>
      <c r="DB484">
        <f t="shared" si="89"/>
        <v>10859.6</v>
      </c>
      <c r="DC484">
        <f t="shared" si="90"/>
        <v>0</v>
      </c>
    </row>
    <row r="485" spans="1:107" x14ac:dyDescent="0.2">
      <c r="A485">
        <f>ROW(Source!A928)</f>
        <v>928</v>
      </c>
      <c r="B485">
        <v>42938047</v>
      </c>
      <c r="C485">
        <v>43135191</v>
      </c>
      <c r="D485">
        <v>35973053</v>
      </c>
      <c r="E485">
        <v>35973048</v>
      </c>
      <c r="F485">
        <v>1</v>
      </c>
      <c r="G485">
        <v>35973048</v>
      </c>
      <c r="H485">
        <v>1</v>
      </c>
      <c r="I485" t="s">
        <v>1228</v>
      </c>
      <c r="J485" t="s">
        <v>3</v>
      </c>
      <c r="K485" t="s">
        <v>1229</v>
      </c>
      <c r="L485">
        <v>1191</v>
      </c>
      <c r="N485">
        <v>1013</v>
      </c>
      <c r="O485" t="s">
        <v>1230</v>
      </c>
      <c r="P485" t="s">
        <v>1230</v>
      </c>
      <c r="Q485">
        <v>1</v>
      </c>
      <c r="W485">
        <v>0</v>
      </c>
      <c r="X485">
        <v>476480486</v>
      </c>
      <c r="Y485">
        <v>11.9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1</v>
      </c>
      <c r="AJ485">
        <v>1</v>
      </c>
      <c r="AK485">
        <v>1</v>
      </c>
      <c r="AL485">
        <v>25.44</v>
      </c>
      <c r="AN485">
        <v>0</v>
      </c>
      <c r="AO485">
        <v>1</v>
      </c>
      <c r="AP485">
        <v>0</v>
      </c>
      <c r="AQ485">
        <v>0</v>
      </c>
      <c r="AR485">
        <v>0</v>
      </c>
      <c r="AS485" t="s">
        <v>3</v>
      </c>
      <c r="AT485">
        <v>11.9</v>
      </c>
      <c r="AU485" t="s">
        <v>3</v>
      </c>
      <c r="AV485">
        <v>1</v>
      </c>
      <c r="AW485">
        <v>2</v>
      </c>
      <c r="AX485">
        <v>43135256</v>
      </c>
      <c r="AY485">
        <v>1</v>
      </c>
      <c r="AZ485">
        <v>0</v>
      </c>
      <c r="BA485">
        <v>479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  <c r="CX485">
        <f>Y485*Source!I928</f>
        <v>3.57</v>
      </c>
      <c r="CY485">
        <f>AD485</f>
        <v>0</v>
      </c>
      <c r="CZ485">
        <f>AH485</f>
        <v>0</v>
      </c>
      <c r="DA485">
        <f>AL485</f>
        <v>25.44</v>
      </c>
      <c r="DB485">
        <f t="shared" si="89"/>
        <v>0</v>
      </c>
      <c r="DC485">
        <f t="shared" si="90"/>
        <v>0</v>
      </c>
    </row>
    <row r="486" spans="1:107" x14ac:dyDescent="0.2">
      <c r="A486">
        <f>ROW(Source!A930)</f>
        <v>930</v>
      </c>
      <c r="B486">
        <v>42938047</v>
      </c>
      <c r="C486">
        <v>43135193</v>
      </c>
      <c r="D486">
        <v>35973053</v>
      </c>
      <c r="E486">
        <v>35973048</v>
      </c>
      <c r="F486">
        <v>1</v>
      </c>
      <c r="G486">
        <v>35973048</v>
      </c>
      <c r="H486">
        <v>1</v>
      </c>
      <c r="I486" t="s">
        <v>1228</v>
      </c>
      <c r="J486" t="s">
        <v>3</v>
      </c>
      <c r="K486" t="s">
        <v>1229</v>
      </c>
      <c r="L486">
        <v>1191</v>
      </c>
      <c r="N486">
        <v>1013</v>
      </c>
      <c r="O486" t="s">
        <v>1230</v>
      </c>
      <c r="P486" t="s">
        <v>1230</v>
      </c>
      <c r="Q486">
        <v>1</v>
      </c>
      <c r="W486">
        <v>0</v>
      </c>
      <c r="X486">
        <v>476480486</v>
      </c>
      <c r="Y486">
        <v>2.06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1</v>
      </c>
      <c r="AJ486">
        <v>1</v>
      </c>
      <c r="AK486">
        <v>1</v>
      </c>
      <c r="AL486">
        <v>25.44</v>
      </c>
      <c r="AN486">
        <v>0</v>
      </c>
      <c r="AO486">
        <v>1</v>
      </c>
      <c r="AP486">
        <v>0</v>
      </c>
      <c r="AQ486">
        <v>0</v>
      </c>
      <c r="AR486">
        <v>0</v>
      </c>
      <c r="AS486" t="s">
        <v>3</v>
      </c>
      <c r="AT486">
        <v>2.06</v>
      </c>
      <c r="AU486" t="s">
        <v>3</v>
      </c>
      <c r="AV486">
        <v>1</v>
      </c>
      <c r="AW486">
        <v>2</v>
      </c>
      <c r="AX486">
        <v>43135261</v>
      </c>
      <c r="AY486">
        <v>1</v>
      </c>
      <c r="AZ486">
        <v>0</v>
      </c>
      <c r="BA486">
        <v>480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0</v>
      </c>
      <c r="BW486">
        <v>0</v>
      </c>
      <c r="CX486">
        <f>Y486*Source!I930</f>
        <v>2.06</v>
      </c>
      <c r="CY486">
        <f>AD486</f>
        <v>0</v>
      </c>
      <c r="CZ486">
        <f>AH486</f>
        <v>0</v>
      </c>
      <c r="DA486">
        <f>AL486</f>
        <v>25.44</v>
      </c>
      <c r="DB486">
        <f t="shared" si="89"/>
        <v>0</v>
      </c>
      <c r="DC486">
        <f t="shared" si="90"/>
        <v>0</v>
      </c>
    </row>
    <row r="487" spans="1:107" x14ac:dyDescent="0.2">
      <c r="A487">
        <f>ROW(Source!A932)</f>
        <v>932</v>
      </c>
      <c r="B487">
        <v>42938047</v>
      </c>
      <c r="C487">
        <v>43135265</v>
      </c>
      <c r="D487">
        <v>35973053</v>
      </c>
      <c r="E487">
        <v>35973048</v>
      </c>
      <c r="F487">
        <v>1</v>
      </c>
      <c r="G487">
        <v>35973048</v>
      </c>
      <c r="H487">
        <v>1</v>
      </c>
      <c r="I487" t="s">
        <v>1228</v>
      </c>
      <c r="J487" t="s">
        <v>3</v>
      </c>
      <c r="K487" t="s">
        <v>1229</v>
      </c>
      <c r="L487">
        <v>1191</v>
      </c>
      <c r="N487">
        <v>1013</v>
      </c>
      <c r="O487" t="s">
        <v>1230</v>
      </c>
      <c r="P487" t="s">
        <v>1230</v>
      </c>
      <c r="Q487">
        <v>1</v>
      </c>
      <c r="W487">
        <v>0</v>
      </c>
      <c r="X487">
        <v>476480486</v>
      </c>
      <c r="Y487">
        <v>44.800000000000004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1</v>
      </c>
      <c r="AJ487">
        <v>1</v>
      </c>
      <c r="AK487">
        <v>1</v>
      </c>
      <c r="AL487">
        <v>1</v>
      </c>
      <c r="AN487">
        <v>0</v>
      </c>
      <c r="AO487">
        <v>1</v>
      </c>
      <c r="AP487">
        <v>1</v>
      </c>
      <c r="AQ487">
        <v>0</v>
      </c>
      <c r="AR487">
        <v>0</v>
      </c>
      <c r="AS487" t="s">
        <v>3</v>
      </c>
      <c r="AT487">
        <v>56</v>
      </c>
      <c r="AU487" t="s">
        <v>31</v>
      </c>
      <c r="AV487">
        <v>1</v>
      </c>
      <c r="AW487">
        <v>2</v>
      </c>
      <c r="AX487">
        <v>43135266</v>
      </c>
      <c r="AY487">
        <v>1</v>
      </c>
      <c r="AZ487">
        <v>0</v>
      </c>
      <c r="BA487">
        <v>481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0</v>
      </c>
      <c r="CX487">
        <f>Y487*Source!I932</f>
        <v>44.800000000000004</v>
      </c>
      <c r="CY487">
        <f>AD487</f>
        <v>0</v>
      </c>
      <c r="CZ487">
        <f>AH487</f>
        <v>0</v>
      </c>
      <c r="DA487">
        <f>AL487</f>
        <v>1</v>
      </c>
      <c r="DB487">
        <f>ROUND((ROUND(AT487*CZ487,2)*0.8),6)</f>
        <v>0</v>
      </c>
      <c r="DC487">
        <f>ROUND((ROUND(AT487*AG487,2)*0.8),6)</f>
        <v>0</v>
      </c>
    </row>
    <row r="488" spans="1:107" x14ac:dyDescent="0.2">
      <c r="A488">
        <f>ROW(Source!A933)</f>
        <v>933</v>
      </c>
      <c r="B488">
        <v>42938047</v>
      </c>
      <c r="C488">
        <v>43137087</v>
      </c>
      <c r="D488">
        <v>36759504</v>
      </c>
      <c r="E488">
        <v>1</v>
      </c>
      <c r="F488">
        <v>1</v>
      </c>
      <c r="G488">
        <v>35973048</v>
      </c>
      <c r="H488">
        <v>2</v>
      </c>
      <c r="I488" t="s">
        <v>1332</v>
      </c>
      <c r="J488" t="s">
        <v>1333</v>
      </c>
      <c r="K488" t="s">
        <v>1334</v>
      </c>
      <c r="L488">
        <v>1367</v>
      </c>
      <c r="N488">
        <v>1011</v>
      </c>
      <c r="O488" t="s">
        <v>738</v>
      </c>
      <c r="P488" t="s">
        <v>738</v>
      </c>
      <c r="Q488">
        <v>1</v>
      </c>
      <c r="W488">
        <v>0</v>
      </c>
      <c r="X488">
        <v>1815391720</v>
      </c>
      <c r="Y488">
        <v>1</v>
      </c>
      <c r="AA488">
        <v>0</v>
      </c>
      <c r="AB488">
        <v>100.09</v>
      </c>
      <c r="AC488">
        <v>13.81</v>
      </c>
      <c r="AD488">
        <v>0</v>
      </c>
      <c r="AE488">
        <v>0</v>
      </c>
      <c r="AF488">
        <v>100.09</v>
      </c>
      <c r="AG488">
        <v>13.81</v>
      </c>
      <c r="AH488">
        <v>0</v>
      </c>
      <c r="AI488">
        <v>1</v>
      </c>
      <c r="AJ488">
        <v>1</v>
      </c>
      <c r="AK488">
        <v>1</v>
      </c>
      <c r="AL488">
        <v>1</v>
      </c>
      <c r="AN488">
        <v>0</v>
      </c>
      <c r="AO488">
        <v>1</v>
      </c>
      <c r="AP488">
        <v>0</v>
      </c>
      <c r="AQ488">
        <v>0</v>
      </c>
      <c r="AR488">
        <v>0</v>
      </c>
      <c r="AS488" t="s">
        <v>3</v>
      </c>
      <c r="AT488">
        <v>1</v>
      </c>
      <c r="AU488" t="s">
        <v>3</v>
      </c>
      <c r="AV488">
        <v>0</v>
      </c>
      <c r="AW488">
        <v>2</v>
      </c>
      <c r="AX488">
        <v>43137089</v>
      </c>
      <c r="AY488">
        <v>1</v>
      </c>
      <c r="AZ488">
        <v>0</v>
      </c>
      <c r="BA488">
        <v>482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0</v>
      </c>
      <c r="CX488">
        <f>Y488*Source!I933</f>
        <v>51.3</v>
      </c>
      <c r="CY488">
        <f>AB488</f>
        <v>100.09</v>
      </c>
      <c r="CZ488">
        <f>AF488</f>
        <v>100.09</v>
      </c>
      <c r="DA488">
        <f>AJ488</f>
        <v>1</v>
      </c>
      <c r="DB488">
        <f>ROUND(ROUND(AT488*CZ488,2),6)</f>
        <v>100.09</v>
      </c>
      <c r="DC488">
        <f>ROUND(ROUND(AT488*AG488,2),6)</f>
        <v>13.81</v>
      </c>
    </row>
    <row r="489" spans="1:107" x14ac:dyDescent="0.2">
      <c r="A489">
        <f>ROW(Source!A934)</f>
        <v>934</v>
      </c>
      <c r="B489">
        <v>42938047</v>
      </c>
      <c r="C489">
        <v>43137088</v>
      </c>
      <c r="D489">
        <v>35973762</v>
      </c>
      <c r="E489">
        <v>35973048</v>
      </c>
      <c r="F489">
        <v>1</v>
      </c>
      <c r="G489">
        <v>35973048</v>
      </c>
      <c r="H489">
        <v>2</v>
      </c>
      <c r="I489" t="s">
        <v>1243</v>
      </c>
      <c r="J489" t="s">
        <v>3</v>
      </c>
      <c r="K489" t="s">
        <v>1244</v>
      </c>
      <c r="L489">
        <v>1344</v>
      </c>
      <c r="N489">
        <v>1008</v>
      </c>
      <c r="O489" t="s">
        <v>1245</v>
      </c>
      <c r="P489" t="s">
        <v>1245</v>
      </c>
      <c r="Q489">
        <v>1</v>
      </c>
      <c r="W489">
        <v>0</v>
      </c>
      <c r="X489">
        <v>-1180195794</v>
      </c>
      <c r="Y489">
        <v>12.61</v>
      </c>
      <c r="AA489">
        <v>0</v>
      </c>
      <c r="AB489">
        <v>1</v>
      </c>
      <c r="AC489">
        <v>0</v>
      </c>
      <c r="AD489">
        <v>0</v>
      </c>
      <c r="AE489">
        <v>0</v>
      </c>
      <c r="AF489">
        <v>1</v>
      </c>
      <c r="AG489">
        <v>0</v>
      </c>
      <c r="AH489">
        <v>0</v>
      </c>
      <c r="AI489">
        <v>1</v>
      </c>
      <c r="AJ489">
        <v>1</v>
      </c>
      <c r="AK489">
        <v>1</v>
      </c>
      <c r="AL489">
        <v>1</v>
      </c>
      <c r="AN489">
        <v>0</v>
      </c>
      <c r="AO489">
        <v>1</v>
      </c>
      <c r="AP489">
        <v>0</v>
      </c>
      <c r="AQ489">
        <v>0</v>
      </c>
      <c r="AR489">
        <v>0</v>
      </c>
      <c r="AS489" t="s">
        <v>3</v>
      </c>
      <c r="AT489">
        <v>12.61</v>
      </c>
      <c r="AU489" t="s">
        <v>3</v>
      </c>
      <c r="AV489">
        <v>0</v>
      </c>
      <c r="AW489">
        <v>2</v>
      </c>
      <c r="AX489">
        <v>43137090</v>
      </c>
      <c r="AY489">
        <v>1</v>
      </c>
      <c r="AZ489">
        <v>0</v>
      </c>
      <c r="BA489">
        <v>483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0</v>
      </c>
      <c r="BW489">
        <v>0</v>
      </c>
      <c r="CX489">
        <f>Y489*Source!I934</f>
        <v>646.89299999999992</v>
      </c>
      <c r="CY489">
        <f>AB489</f>
        <v>1</v>
      </c>
      <c r="CZ489">
        <f>AF489</f>
        <v>1</v>
      </c>
      <c r="DA489">
        <f>AJ489</f>
        <v>1</v>
      </c>
      <c r="DB489">
        <f>ROUND(ROUND(AT489*CZ489,2),6)</f>
        <v>12.61</v>
      </c>
      <c r="DC489">
        <f>ROUND(ROUND(AT489*AG489,2),6)</f>
        <v>0</v>
      </c>
    </row>
    <row r="490" spans="1:107" x14ac:dyDescent="0.2">
      <c r="A490">
        <f>ROW(Source!A970)</f>
        <v>970</v>
      </c>
      <c r="B490">
        <v>42938047</v>
      </c>
      <c r="C490">
        <v>43137961</v>
      </c>
      <c r="D490">
        <v>35973053</v>
      </c>
      <c r="E490">
        <v>35973048</v>
      </c>
      <c r="F490">
        <v>1</v>
      </c>
      <c r="G490">
        <v>35973048</v>
      </c>
      <c r="H490">
        <v>1</v>
      </c>
      <c r="I490" t="s">
        <v>1228</v>
      </c>
      <c r="J490" t="s">
        <v>3</v>
      </c>
      <c r="K490" t="s">
        <v>1229</v>
      </c>
      <c r="L490">
        <v>1191</v>
      </c>
      <c r="N490">
        <v>1013</v>
      </c>
      <c r="O490" t="s">
        <v>1230</v>
      </c>
      <c r="P490" t="s">
        <v>1230</v>
      </c>
      <c r="Q490">
        <v>1</v>
      </c>
      <c r="W490">
        <v>0</v>
      </c>
      <c r="X490">
        <v>476480486</v>
      </c>
      <c r="Y490">
        <v>227.7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1</v>
      </c>
      <c r="AJ490">
        <v>1</v>
      </c>
      <c r="AK490">
        <v>1</v>
      </c>
      <c r="AL490">
        <v>25.44</v>
      </c>
      <c r="AN490">
        <v>0</v>
      </c>
      <c r="AO490">
        <v>1</v>
      </c>
      <c r="AP490">
        <v>1</v>
      </c>
      <c r="AQ490">
        <v>0</v>
      </c>
      <c r="AR490">
        <v>0</v>
      </c>
      <c r="AS490" t="s">
        <v>3</v>
      </c>
      <c r="AT490">
        <v>198</v>
      </c>
      <c r="AU490" t="s">
        <v>21</v>
      </c>
      <c r="AV490">
        <v>1</v>
      </c>
      <c r="AW490">
        <v>2</v>
      </c>
      <c r="AX490">
        <v>43137962</v>
      </c>
      <c r="AY490">
        <v>1</v>
      </c>
      <c r="AZ490">
        <v>0</v>
      </c>
      <c r="BA490">
        <v>484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CX490">
        <f>Y490*Source!I970</f>
        <v>22.77</v>
      </c>
      <c r="CY490">
        <f>AD490</f>
        <v>0</v>
      </c>
      <c r="CZ490">
        <f>AH490</f>
        <v>0</v>
      </c>
      <c r="DA490">
        <f>AL490</f>
        <v>25.44</v>
      </c>
      <c r="DB490">
        <f>ROUND((ROUND(AT490*CZ490,2)*1.15),6)</f>
        <v>0</v>
      </c>
      <c r="DC490">
        <f>ROUND((ROUND(AT490*AG490,2)*1.15),6)</f>
        <v>0</v>
      </c>
    </row>
    <row r="491" spans="1:107" x14ac:dyDescent="0.2">
      <c r="A491">
        <f>ROW(Source!A970)</f>
        <v>970</v>
      </c>
      <c r="B491">
        <v>42938047</v>
      </c>
      <c r="C491">
        <v>43137961</v>
      </c>
      <c r="D491">
        <v>36045308</v>
      </c>
      <c r="E491">
        <v>1</v>
      </c>
      <c r="F491">
        <v>1</v>
      </c>
      <c r="G491">
        <v>35973048</v>
      </c>
      <c r="H491">
        <v>2</v>
      </c>
      <c r="I491" t="s">
        <v>1231</v>
      </c>
      <c r="J491" t="s">
        <v>1232</v>
      </c>
      <c r="K491" t="s">
        <v>1233</v>
      </c>
      <c r="L491">
        <v>1367</v>
      </c>
      <c r="N491">
        <v>1011</v>
      </c>
      <c r="O491" t="s">
        <v>738</v>
      </c>
      <c r="P491" t="s">
        <v>738</v>
      </c>
      <c r="Q491">
        <v>1</v>
      </c>
      <c r="W491">
        <v>0</v>
      </c>
      <c r="X491">
        <v>-628430174</v>
      </c>
      <c r="Y491">
        <v>0.23749999999999999</v>
      </c>
      <c r="AA491">
        <v>0</v>
      </c>
      <c r="AB491">
        <v>748.13</v>
      </c>
      <c r="AC491">
        <v>365.32</v>
      </c>
      <c r="AD491">
        <v>0</v>
      </c>
      <c r="AE491">
        <v>0</v>
      </c>
      <c r="AF491">
        <v>76.81</v>
      </c>
      <c r="AG491">
        <v>14.36</v>
      </c>
      <c r="AH491">
        <v>0</v>
      </c>
      <c r="AI491">
        <v>1</v>
      </c>
      <c r="AJ491">
        <v>9.74</v>
      </c>
      <c r="AK491">
        <v>25.44</v>
      </c>
      <c r="AL491">
        <v>1</v>
      </c>
      <c r="AN491">
        <v>0</v>
      </c>
      <c r="AO491">
        <v>1</v>
      </c>
      <c r="AP491">
        <v>1</v>
      </c>
      <c r="AQ491">
        <v>0</v>
      </c>
      <c r="AR491">
        <v>0</v>
      </c>
      <c r="AS491" t="s">
        <v>3</v>
      </c>
      <c r="AT491">
        <v>0.19</v>
      </c>
      <c r="AU491" t="s">
        <v>20</v>
      </c>
      <c r="AV491">
        <v>0</v>
      </c>
      <c r="AW491">
        <v>2</v>
      </c>
      <c r="AX491">
        <v>43137963</v>
      </c>
      <c r="AY491">
        <v>1</v>
      </c>
      <c r="AZ491">
        <v>0</v>
      </c>
      <c r="BA491">
        <v>485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CX491">
        <f>Y491*Source!I970</f>
        <v>2.375E-2</v>
      </c>
      <c r="CY491">
        <f>AB491</f>
        <v>748.13</v>
      </c>
      <c r="CZ491">
        <f>AF491</f>
        <v>76.81</v>
      </c>
      <c r="DA491">
        <f>AJ491</f>
        <v>9.74</v>
      </c>
      <c r="DB491">
        <f>ROUND((ROUND(AT491*CZ491,2)*1.25),6)</f>
        <v>18.237500000000001</v>
      </c>
      <c r="DC491">
        <f>ROUND((ROUND(AT491*AG491,2)*1.25),6)</f>
        <v>3.4125000000000001</v>
      </c>
    </row>
    <row r="492" spans="1:107" x14ac:dyDescent="0.2">
      <c r="A492">
        <f>ROW(Source!A970)</f>
        <v>970</v>
      </c>
      <c r="B492">
        <v>42938047</v>
      </c>
      <c r="C492">
        <v>43137961</v>
      </c>
      <c r="D492">
        <v>36044555</v>
      </c>
      <c r="E492">
        <v>1</v>
      </c>
      <c r="F492">
        <v>1</v>
      </c>
      <c r="G492">
        <v>35973048</v>
      </c>
      <c r="H492">
        <v>2</v>
      </c>
      <c r="I492" t="s">
        <v>1267</v>
      </c>
      <c r="J492" t="s">
        <v>1268</v>
      </c>
      <c r="K492" t="s">
        <v>1269</v>
      </c>
      <c r="L492">
        <v>1367</v>
      </c>
      <c r="N492">
        <v>1011</v>
      </c>
      <c r="O492" t="s">
        <v>738</v>
      </c>
      <c r="P492" t="s">
        <v>738</v>
      </c>
      <c r="Q492">
        <v>1</v>
      </c>
      <c r="W492">
        <v>0</v>
      </c>
      <c r="X492">
        <v>-266174272</v>
      </c>
      <c r="Y492">
        <v>0.17499999999999999</v>
      </c>
      <c r="AA492">
        <v>0</v>
      </c>
      <c r="AB492">
        <v>1636.27</v>
      </c>
      <c r="AC492">
        <v>461.74</v>
      </c>
      <c r="AD492">
        <v>0</v>
      </c>
      <c r="AE492">
        <v>0</v>
      </c>
      <c r="AF492">
        <v>190.93</v>
      </c>
      <c r="AG492">
        <v>18.149999999999999</v>
      </c>
      <c r="AH492">
        <v>0</v>
      </c>
      <c r="AI492">
        <v>1</v>
      </c>
      <c r="AJ492">
        <v>8.57</v>
      </c>
      <c r="AK492">
        <v>25.44</v>
      </c>
      <c r="AL492">
        <v>1</v>
      </c>
      <c r="AN492">
        <v>0</v>
      </c>
      <c r="AO492">
        <v>1</v>
      </c>
      <c r="AP492">
        <v>1</v>
      </c>
      <c r="AQ492">
        <v>0</v>
      </c>
      <c r="AR492">
        <v>0</v>
      </c>
      <c r="AS492" t="s">
        <v>3</v>
      </c>
      <c r="AT492">
        <v>0.14000000000000001</v>
      </c>
      <c r="AU492" t="s">
        <v>20</v>
      </c>
      <c r="AV492">
        <v>0</v>
      </c>
      <c r="AW492">
        <v>2</v>
      </c>
      <c r="AX492">
        <v>43137964</v>
      </c>
      <c r="AY492">
        <v>1</v>
      </c>
      <c r="AZ492">
        <v>2048</v>
      </c>
      <c r="BA492">
        <v>486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0</v>
      </c>
      <c r="CX492">
        <f>Y492*Source!I970</f>
        <v>1.7499999999999998E-2</v>
      </c>
      <c r="CY492">
        <f>AB492</f>
        <v>1636.27</v>
      </c>
      <c r="CZ492">
        <f>AF492</f>
        <v>190.93</v>
      </c>
      <c r="DA492">
        <f>AJ492</f>
        <v>8.57</v>
      </c>
      <c r="DB492">
        <f>ROUND((ROUND(AT492*CZ492,2)*1.25),6)</f>
        <v>33.412500000000001</v>
      </c>
      <c r="DC492">
        <f>ROUND((ROUND(AT492*AG492,2)*1.25),6)</f>
        <v>3.1749999999999998</v>
      </c>
    </row>
    <row r="493" spans="1:107" x14ac:dyDescent="0.2">
      <c r="A493">
        <f>ROW(Source!A970)</f>
        <v>970</v>
      </c>
      <c r="B493">
        <v>42938047</v>
      </c>
      <c r="C493">
        <v>43137961</v>
      </c>
      <c r="D493">
        <v>36039168</v>
      </c>
      <c r="E493">
        <v>1</v>
      </c>
      <c r="F493">
        <v>1</v>
      </c>
      <c r="G493">
        <v>35973048</v>
      </c>
      <c r="H493">
        <v>3</v>
      </c>
      <c r="I493" t="s">
        <v>1084</v>
      </c>
      <c r="J493" t="s">
        <v>1086</v>
      </c>
      <c r="K493" t="s">
        <v>1085</v>
      </c>
      <c r="L493">
        <v>1348</v>
      </c>
      <c r="N493">
        <v>1009</v>
      </c>
      <c r="O493" t="s">
        <v>104</v>
      </c>
      <c r="P493" t="s">
        <v>104</v>
      </c>
      <c r="Q493">
        <v>1000</v>
      </c>
      <c r="W493">
        <v>0</v>
      </c>
      <c r="X493">
        <v>-1659206081</v>
      </c>
      <c r="Y493">
        <v>1</v>
      </c>
      <c r="AA493">
        <v>39783.74</v>
      </c>
      <c r="AB493">
        <v>0</v>
      </c>
      <c r="AC493">
        <v>0</v>
      </c>
      <c r="AD493">
        <v>0</v>
      </c>
      <c r="AE493">
        <v>4673.1499999999996</v>
      </c>
      <c r="AF493">
        <v>0</v>
      </c>
      <c r="AG493">
        <v>0</v>
      </c>
      <c r="AH493">
        <v>0</v>
      </c>
      <c r="AI493">
        <v>8.33</v>
      </c>
      <c r="AJ493">
        <v>1</v>
      </c>
      <c r="AK493">
        <v>1</v>
      </c>
      <c r="AL493">
        <v>1</v>
      </c>
      <c r="AN493">
        <v>0</v>
      </c>
      <c r="AO493">
        <v>0</v>
      </c>
      <c r="AP493">
        <v>0</v>
      </c>
      <c r="AQ493">
        <v>0</v>
      </c>
      <c r="AR493">
        <v>0</v>
      </c>
      <c r="AS493" t="s">
        <v>3</v>
      </c>
      <c r="AT493">
        <v>1</v>
      </c>
      <c r="AU493" t="s">
        <v>3</v>
      </c>
      <c r="AV493">
        <v>0</v>
      </c>
      <c r="AW493">
        <v>1</v>
      </c>
      <c r="AX493">
        <v>-1</v>
      </c>
      <c r="AY493">
        <v>0</v>
      </c>
      <c r="AZ493">
        <v>0</v>
      </c>
      <c r="BA493" t="s">
        <v>3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</v>
      </c>
      <c r="CX493">
        <f>Y493*Source!I970</f>
        <v>0.1</v>
      </c>
      <c r="CY493">
        <f>AA493</f>
        <v>39783.74</v>
      </c>
      <c r="CZ493">
        <f>AE493</f>
        <v>4673.1499999999996</v>
      </c>
      <c r="DA493">
        <f>AI493</f>
        <v>8.33</v>
      </c>
      <c r="DB493">
        <f>ROUND(ROUND(AT493*CZ493,2),6)</f>
        <v>4673.1499999999996</v>
      </c>
      <c r="DC493">
        <f>ROUND(ROUND(AT493*AG493,2),6)</f>
        <v>0</v>
      </c>
    </row>
    <row r="494" spans="1:107" x14ac:dyDescent="0.2">
      <c r="A494">
        <f>ROW(Source!A972)</f>
        <v>972</v>
      </c>
      <c r="B494">
        <v>42938047</v>
      </c>
      <c r="C494">
        <v>43137928</v>
      </c>
      <c r="D494">
        <v>35973053</v>
      </c>
      <c r="E494">
        <v>35973048</v>
      </c>
      <c r="F494">
        <v>1</v>
      </c>
      <c r="G494">
        <v>35973048</v>
      </c>
      <c r="H494">
        <v>1</v>
      </c>
      <c r="I494" t="s">
        <v>1228</v>
      </c>
      <c r="J494" t="s">
        <v>3</v>
      </c>
      <c r="K494" t="s">
        <v>1229</v>
      </c>
      <c r="L494">
        <v>1191</v>
      </c>
      <c r="N494">
        <v>1013</v>
      </c>
      <c r="O494" t="s">
        <v>1230</v>
      </c>
      <c r="P494" t="s">
        <v>1230</v>
      </c>
      <c r="Q494">
        <v>1</v>
      </c>
      <c r="W494">
        <v>0</v>
      </c>
      <c r="X494">
        <v>476480486</v>
      </c>
      <c r="Y494">
        <v>36.374499999999998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1</v>
      </c>
      <c r="AJ494">
        <v>1</v>
      </c>
      <c r="AK494">
        <v>1</v>
      </c>
      <c r="AL494">
        <v>25.44</v>
      </c>
      <c r="AN494">
        <v>0</v>
      </c>
      <c r="AO494">
        <v>1</v>
      </c>
      <c r="AP494">
        <v>1</v>
      </c>
      <c r="AQ494">
        <v>0</v>
      </c>
      <c r="AR494">
        <v>0</v>
      </c>
      <c r="AS494" t="s">
        <v>3</v>
      </c>
      <c r="AT494">
        <v>31.63</v>
      </c>
      <c r="AU494" t="s">
        <v>21</v>
      </c>
      <c r="AV494">
        <v>1</v>
      </c>
      <c r="AW494">
        <v>2</v>
      </c>
      <c r="AX494">
        <v>43137929</v>
      </c>
      <c r="AY494">
        <v>1</v>
      </c>
      <c r="AZ494">
        <v>0</v>
      </c>
      <c r="BA494">
        <v>488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0</v>
      </c>
      <c r="BW494">
        <v>0</v>
      </c>
      <c r="CX494">
        <f>Y494*Source!I972</f>
        <v>72.748999999999995</v>
      </c>
      <c r="CY494">
        <f>AD494</f>
        <v>0</v>
      </c>
      <c r="CZ494">
        <f>AH494</f>
        <v>0</v>
      </c>
      <c r="DA494">
        <f>AL494</f>
        <v>25.44</v>
      </c>
      <c r="DB494">
        <f>ROUND((ROUND(AT494*CZ494,2)*1.15),6)</f>
        <v>0</v>
      </c>
      <c r="DC494">
        <f>ROUND((ROUND(AT494*AG494,2)*1.15),6)</f>
        <v>0</v>
      </c>
    </row>
    <row r="495" spans="1:107" x14ac:dyDescent="0.2">
      <c r="A495">
        <f>ROW(Source!A972)</f>
        <v>972</v>
      </c>
      <c r="B495">
        <v>42938047</v>
      </c>
      <c r="C495">
        <v>43137928</v>
      </c>
      <c r="D495">
        <v>36045026</v>
      </c>
      <c r="E495">
        <v>1</v>
      </c>
      <c r="F495">
        <v>1</v>
      </c>
      <c r="G495">
        <v>35973048</v>
      </c>
      <c r="H495">
        <v>2</v>
      </c>
      <c r="I495" t="s">
        <v>1427</v>
      </c>
      <c r="J495" t="s">
        <v>1428</v>
      </c>
      <c r="K495" t="s">
        <v>1429</v>
      </c>
      <c r="L495">
        <v>1367</v>
      </c>
      <c r="N495">
        <v>1011</v>
      </c>
      <c r="O495" t="s">
        <v>738</v>
      </c>
      <c r="P495" t="s">
        <v>738</v>
      </c>
      <c r="Q495">
        <v>1</v>
      </c>
      <c r="W495">
        <v>0</v>
      </c>
      <c r="X495">
        <v>-869219575</v>
      </c>
      <c r="Y495">
        <v>1.125</v>
      </c>
      <c r="AA495">
        <v>0</v>
      </c>
      <c r="AB495">
        <v>341.12</v>
      </c>
      <c r="AC495">
        <v>68.180000000000007</v>
      </c>
      <c r="AD495">
        <v>0</v>
      </c>
      <c r="AE495">
        <v>0</v>
      </c>
      <c r="AF495">
        <v>43.4</v>
      </c>
      <c r="AG495">
        <v>2.68</v>
      </c>
      <c r="AH495">
        <v>0</v>
      </c>
      <c r="AI495">
        <v>1</v>
      </c>
      <c r="AJ495">
        <v>7.86</v>
      </c>
      <c r="AK495">
        <v>25.44</v>
      </c>
      <c r="AL495">
        <v>1</v>
      </c>
      <c r="AN495">
        <v>0</v>
      </c>
      <c r="AO495">
        <v>1</v>
      </c>
      <c r="AP495">
        <v>1</v>
      </c>
      <c r="AQ495">
        <v>0</v>
      </c>
      <c r="AR495">
        <v>0</v>
      </c>
      <c r="AS495" t="s">
        <v>3</v>
      </c>
      <c r="AT495">
        <v>0.9</v>
      </c>
      <c r="AU495" t="s">
        <v>20</v>
      </c>
      <c r="AV495">
        <v>0</v>
      </c>
      <c r="AW495">
        <v>2</v>
      </c>
      <c r="AX495">
        <v>43137930</v>
      </c>
      <c r="AY495">
        <v>1</v>
      </c>
      <c r="AZ495">
        <v>0</v>
      </c>
      <c r="BA495">
        <v>489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</v>
      </c>
      <c r="BW495">
        <v>0</v>
      </c>
      <c r="CX495">
        <f>Y495*Source!I972</f>
        <v>2.25</v>
      </c>
      <c r="CY495">
        <f>AB495</f>
        <v>341.12</v>
      </c>
      <c r="CZ495">
        <f>AF495</f>
        <v>43.4</v>
      </c>
      <c r="DA495">
        <f>AJ495</f>
        <v>7.86</v>
      </c>
      <c r="DB495">
        <f>ROUND((ROUND(AT495*CZ495,2)*1.25),6)</f>
        <v>48.825000000000003</v>
      </c>
      <c r="DC495">
        <f>ROUND((ROUND(AT495*AG495,2)*1.25),6)</f>
        <v>3.0125000000000002</v>
      </c>
    </row>
    <row r="496" spans="1:107" x14ac:dyDescent="0.2">
      <c r="A496">
        <f>ROW(Source!A972)</f>
        <v>972</v>
      </c>
      <c r="B496">
        <v>42938047</v>
      </c>
      <c r="C496">
        <v>43137928</v>
      </c>
      <c r="D496">
        <v>36044555</v>
      </c>
      <c r="E496">
        <v>1</v>
      </c>
      <c r="F496">
        <v>1</v>
      </c>
      <c r="G496">
        <v>35973048</v>
      </c>
      <c r="H496">
        <v>2</v>
      </c>
      <c r="I496" t="s">
        <v>1267</v>
      </c>
      <c r="J496" t="s">
        <v>1268</v>
      </c>
      <c r="K496" t="s">
        <v>1269</v>
      </c>
      <c r="L496">
        <v>1367</v>
      </c>
      <c r="N496">
        <v>1011</v>
      </c>
      <c r="O496" t="s">
        <v>738</v>
      </c>
      <c r="P496" t="s">
        <v>738</v>
      </c>
      <c r="Q496">
        <v>1</v>
      </c>
      <c r="W496">
        <v>0</v>
      </c>
      <c r="X496">
        <v>-266174272</v>
      </c>
      <c r="Y496">
        <v>5.8312499999999998</v>
      </c>
      <c r="AA496">
        <v>0</v>
      </c>
      <c r="AB496">
        <v>1636.27</v>
      </c>
      <c r="AC496">
        <v>461.74</v>
      </c>
      <c r="AD496">
        <v>0</v>
      </c>
      <c r="AE496">
        <v>0</v>
      </c>
      <c r="AF496">
        <v>190.93</v>
      </c>
      <c r="AG496">
        <v>18.149999999999999</v>
      </c>
      <c r="AH496">
        <v>0</v>
      </c>
      <c r="AI496">
        <v>1</v>
      </c>
      <c r="AJ496">
        <v>8.57</v>
      </c>
      <c r="AK496">
        <v>25.44</v>
      </c>
      <c r="AL496">
        <v>1</v>
      </c>
      <c r="AN496">
        <v>0</v>
      </c>
      <c r="AO496">
        <v>1</v>
      </c>
      <c r="AP496">
        <v>1</v>
      </c>
      <c r="AQ496">
        <v>0</v>
      </c>
      <c r="AR496">
        <v>0</v>
      </c>
      <c r="AS496" t="s">
        <v>3</v>
      </c>
      <c r="AT496">
        <v>4.665</v>
      </c>
      <c r="AU496" t="s">
        <v>20</v>
      </c>
      <c r="AV496">
        <v>0</v>
      </c>
      <c r="AW496">
        <v>2</v>
      </c>
      <c r="AX496">
        <v>43137931</v>
      </c>
      <c r="AY496">
        <v>1</v>
      </c>
      <c r="AZ496">
        <v>0</v>
      </c>
      <c r="BA496">
        <v>490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0</v>
      </c>
      <c r="BW496">
        <v>0</v>
      </c>
      <c r="CX496">
        <f>Y496*Source!I972</f>
        <v>11.6625</v>
      </c>
      <c r="CY496">
        <f>AB496</f>
        <v>1636.27</v>
      </c>
      <c r="CZ496">
        <f>AF496</f>
        <v>190.93</v>
      </c>
      <c r="DA496">
        <f>AJ496</f>
        <v>8.57</v>
      </c>
      <c r="DB496">
        <f>ROUND((ROUND(AT496*CZ496,2)*1.25),6)</f>
        <v>1113.3625</v>
      </c>
      <c r="DC496">
        <f>ROUND((ROUND(AT496*AG496,2)*1.25),6)</f>
        <v>105.83750000000001</v>
      </c>
    </row>
    <row r="497" spans="1:107" x14ac:dyDescent="0.2">
      <c r="A497">
        <f>ROW(Source!A972)</f>
        <v>972</v>
      </c>
      <c r="B497">
        <v>42938047</v>
      </c>
      <c r="C497">
        <v>43137928</v>
      </c>
      <c r="D497">
        <v>36021727</v>
      </c>
      <c r="E497">
        <v>1</v>
      </c>
      <c r="F497">
        <v>1</v>
      </c>
      <c r="G497">
        <v>35973048</v>
      </c>
      <c r="H497">
        <v>3</v>
      </c>
      <c r="I497" t="s">
        <v>1276</v>
      </c>
      <c r="J497" t="s">
        <v>1277</v>
      </c>
      <c r="K497" t="s">
        <v>1278</v>
      </c>
      <c r="L497">
        <v>1348</v>
      </c>
      <c r="N497">
        <v>1009</v>
      </c>
      <c r="O497" t="s">
        <v>104</v>
      </c>
      <c r="P497" t="s">
        <v>104</v>
      </c>
      <c r="Q497">
        <v>1000</v>
      </c>
      <c r="W497">
        <v>0</v>
      </c>
      <c r="X497">
        <v>1310716689</v>
      </c>
      <c r="Y497">
        <v>1.25E-3</v>
      </c>
      <c r="AA497">
        <v>117442.26</v>
      </c>
      <c r="AB497">
        <v>0</v>
      </c>
      <c r="AC497">
        <v>0</v>
      </c>
      <c r="AD497">
        <v>0</v>
      </c>
      <c r="AE497">
        <v>7191.81</v>
      </c>
      <c r="AF497">
        <v>0</v>
      </c>
      <c r="AG497">
        <v>0</v>
      </c>
      <c r="AH497">
        <v>0</v>
      </c>
      <c r="AI497">
        <v>16.329999999999998</v>
      </c>
      <c r="AJ497">
        <v>1</v>
      </c>
      <c r="AK497">
        <v>1</v>
      </c>
      <c r="AL497">
        <v>1</v>
      </c>
      <c r="AN497">
        <v>0</v>
      </c>
      <c r="AO497">
        <v>1</v>
      </c>
      <c r="AP497">
        <v>0</v>
      </c>
      <c r="AQ497">
        <v>0</v>
      </c>
      <c r="AR497">
        <v>0</v>
      </c>
      <c r="AS497" t="s">
        <v>3</v>
      </c>
      <c r="AT497">
        <v>1.25E-3</v>
      </c>
      <c r="AU497" t="s">
        <v>3</v>
      </c>
      <c r="AV497">
        <v>0</v>
      </c>
      <c r="AW497">
        <v>2</v>
      </c>
      <c r="AX497">
        <v>43137932</v>
      </c>
      <c r="AY497">
        <v>1</v>
      </c>
      <c r="AZ497">
        <v>0</v>
      </c>
      <c r="BA497">
        <v>491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0</v>
      </c>
      <c r="BW497">
        <v>0</v>
      </c>
      <c r="CX497">
        <f>Y497*Source!I972</f>
        <v>2.5000000000000001E-3</v>
      </c>
      <c r="CY497">
        <f>AA497</f>
        <v>117442.26</v>
      </c>
      <c r="CZ497">
        <f>AE497</f>
        <v>7191.81</v>
      </c>
      <c r="DA497">
        <f>AI497</f>
        <v>16.329999999999998</v>
      </c>
      <c r="DB497">
        <f>ROUND(ROUND(AT497*CZ497,2),6)</f>
        <v>8.99</v>
      </c>
      <c r="DC497">
        <f>ROUND(ROUND(AT497*AG497,2),6)</f>
        <v>0</v>
      </c>
    </row>
    <row r="498" spans="1:107" x14ac:dyDescent="0.2">
      <c r="A498">
        <f>ROW(Source!A972)</f>
        <v>972</v>
      </c>
      <c r="B498">
        <v>42938047</v>
      </c>
      <c r="C498">
        <v>43137928</v>
      </c>
      <c r="D498">
        <v>36020361</v>
      </c>
      <c r="E498">
        <v>1</v>
      </c>
      <c r="F498">
        <v>1</v>
      </c>
      <c r="G498">
        <v>35973048</v>
      </c>
      <c r="H498">
        <v>3</v>
      </c>
      <c r="I498" t="s">
        <v>1430</v>
      </c>
      <c r="J498" t="s">
        <v>1431</v>
      </c>
      <c r="K498" t="s">
        <v>1432</v>
      </c>
      <c r="L498">
        <v>1348</v>
      </c>
      <c r="N498">
        <v>1009</v>
      </c>
      <c r="O498" t="s">
        <v>104</v>
      </c>
      <c r="P498" t="s">
        <v>104</v>
      </c>
      <c r="Q498">
        <v>1000</v>
      </c>
      <c r="W498">
        <v>0</v>
      </c>
      <c r="X498">
        <v>-1798553121</v>
      </c>
      <c r="Y498">
        <v>2.5000000000000001E-3</v>
      </c>
      <c r="AA498">
        <v>86345.48</v>
      </c>
      <c r="AB498">
        <v>0</v>
      </c>
      <c r="AC498">
        <v>0</v>
      </c>
      <c r="AD498">
        <v>0</v>
      </c>
      <c r="AE498">
        <v>17876.91</v>
      </c>
      <c r="AF498">
        <v>0</v>
      </c>
      <c r="AG498">
        <v>0</v>
      </c>
      <c r="AH498">
        <v>0</v>
      </c>
      <c r="AI498">
        <v>4.83</v>
      </c>
      <c r="AJ498">
        <v>1</v>
      </c>
      <c r="AK498">
        <v>1</v>
      </c>
      <c r="AL498">
        <v>1</v>
      </c>
      <c r="AN498">
        <v>0</v>
      </c>
      <c r="AO498">
        <v>1</v>
      </c>
      <c r="AP498">
        <v>0</v>
      </c>
      <c r="AQ498">
        <v>0</v>
      </c>
      <c r="AR498">
        <v>0</v>
      </c>
      <c r="AS498" t="s">
        <v>3</v>
      </c>
      <c r="AT498">
        <v>2.5000000000000001E-3</v>
      </c>
      <c r="AU498" t="s">
        <v>3</v>
      </c>
      <c r="AV498">
        <v>0</v>
      </c>
      <c r="AW498">
        <v>2</v>
      </c>
      <c r="AX498">
        <v>43137933</v>
      </c>
      <c r="AY498">
        <v>1</v>
      </c>
      <c r="AZ498">
        <v>0</v>
      </c>
      <c r="BA498">
        <v>492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0</v>
      </c>
      <c r="CX498">
        <f>Y498*Source!I972</f>
        <v>5.0000000000000001E-3</v>
      </c>
      <c r="CY498">
        <f>AA498</f>
        <v>86345.48</v>
      </c>
      <c r="CZ498">
        <f>AE498</f>
        <v>17876.91</v>
      </c>
      <c r="DA498">
        <f>AI498</f>
        <v>4.83</v>
      </c>
      <c r="DB498">
        <f>ROUND(ROUND(AT498*CZ498,2),6)</f>
        <v>44.69</v>
      </c>
      <c r="DC498">
        <f>ROUND(ROUND(AT498*AG498,2),6)</f>
        <v>0</v>
      </c>
    </row>
    <row r="499" spans="1:107" x14ac:dyDescent="0.2">
      <c r="A499">
        <f>ROW(Source!A972)</f>
        <v>972</v>
      </c>
      <c r="B499">
        <v>42938047</v>
      </c>
      <c r="C499">
        <v>43137928</v>
      </c>
      <c r="D499">
        <v>36041912</v>
      </c>
      <c r="E499">
        <v>1</v>
      </c>
      <c r="F499">
        <v>1</v>
      </c>
      <c r="G499">
        <v>35973048</v>
      </c>
      <c r="H499">
        <v>3</v>
      </c>
      <c r="I499" t="s">
        <v>1433</v>
      </c>
      <c r="J499" t="s">
        <v>1434</v>
      </c>
      <c r="K499" t="s">
        <v>1435</v>
      </c>
      <c r="L499">
        <v>1348</v>
      </c>
      <c r="N499">
        <v>1009</v>
      </c>
      <c r="O499" t="s">
        <v>104</v>
      </c>
      <c r="P499" t="s">
        <v>104</v>
      </c>
      <c r="Q499">
        <v>1000</v>
      </c>
      <c r="W499">
        <v>0</v>
      </c>
      <c r="X499">
        <v>-2026157207</v>
      </c>
      <c r="Y499">
        <v>1.2500000000000001E-2</v>
      </c>
      <c r="AA499">
        <v>109204.62</v>
      </c>
      <c r="AB499">
        <v>0</v>
      </c>
      <c r="AC499">
        <v>0</v>
      </c>
      <c r="AD499">
        <v>0</v>
      </c>
      <c r="AE499">
        <v>12654.07</v>
      </c>
      <c r="AF499">
        <v>0</v>
      </c>
      <c r="AG499">
        <v>0</v>
      </c>
      <c r="AH499">
        <v>0</v>
      </c>
      <c r="AI499">
        <v>8.6300000000000008</v>
      </c>
      <c r="AJ499">
        <v>1</v>
      </c>
      <c r="AK499">
        <v>1</v>
      </c>
      <c r="AL499">
        <v>1</v>
      </c>
      <c r="AN499">
        <v>0</v>
      </c>
      <c r="AO499">
        <v>1</v>
      </c>
      <c r="AP499">
        <v>0</v>
      </c>
      <c r="AQ499">
        <v>0</v>
      </c>
      <c r="AR499">
        <v>0</v>
      </c>
      <c r="AS499" t="s">
        <v>3</v>
      </c>
      <c r="AT499">
        <v>1.2500000000000001E-2</v>
      </c>
      <c r="AU499" t="s">
        <v>3</v>
      </c>
      <c r="AV499">
        <v>0</v>
      </c>
      <c r="AW499">
        <v>2</v>
      </c>
      <c r="AX499">
        <v>43137934</v>
      </c>
      <c r="AY499">
        <v>1</v>
      </c>
      <c r="AZ499">
        <v>0</v>
      </c>
      <c r="BA499">
        <v>493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0</v>
      </c>
      <c r="CX499">
        <f>Y499*Source!I972</f>
        <v>2.5000000000000001E-2</v>
      </c>
      <c r="CY499">
        <f>AA499</f>
        <v>109204.62</v>
      </c>
      <c r="CZ499">
        <f>AE499</f>
        <v>12654.07</v>
      </c>
      <c r="DA499">
        <f>AI499</f>
        <v>8.6300000000000008</v>
      </c>
      <c r="DB499">
        <f>ROUND(ROUND(AT499*CZ499,2),6)</f>
        <v>158.18</v>
      </c>
      <c r="DC499">
        <f>ROUND(ROUND(AT499*AG499,2),6)</f>
        <v>0</v>
      </c>
    </row>
    <row r="500" spans="1:107" x14ac:dyDescent="0.2">
      <c r="A500">
        <f>ROW(Source!A972)</f>
        <v>972</v>
      </c>
      <c r="B500">
        <v>42938047</v>
      </c>
      <c r="C500">
        <v>43137928</v>
      </c>
      <c r="D500">
        <v>35994366</v>
      </c>
      <c r="E500">
        <v>35973048</v>
      </c>
      <c r="F500">
        <v>1</v>
      </c>
      <c r="G500">
        <v>35973048</v>
      </c>
      <c r="H500">
        <v>3</v>
      </c>
      <c r="I500" t="s">
        <v>1294</v>
      </c>
      <c r="J500" t="s">
        <v>3</v>
      </c>
      <c r="K500" t="s">
        <v>1295</v>
      </c>
      <c r="L500">
        <v>1344</v>
      </c>
      <c r="N500">
        <v>1008</v>
      </c>
      <c r="O500" t="s">
        <v>1245</v>
      </c>
      <c r="P500" t="s">
        <v>1245</v>
      </c>
      <c r="Q500">
        <v>1</v>
      </c>
      <c r="W500">
        <v>0</v>
      </c>
      <c r="X500">
        <v>-94250534</v>
      </c>
      <c r="Y500">
        <v>34.799999999999997</v>
      </c>
      <c r="AA500">
        <v>7.93</v>
      </c>
      <c r="AB500">
        <v>0</v>
      </c>
      <c r="AC500">
        <v>0</v>
      </c>
      <c r="AD500">
        <v>0</v>
      </c>
      <c r="AE500">
        <v>1</v>
      </c>
      <c r="AF500">
        <v>0</v>
      </c>
      <c r="AG500">
        <v>0</v>
      </c>
      <c r="AH500">
        <v>0</v>
      </c>
      <c r="AI500">
        <v>7.93</v>
      </c>
      <c r="AJ500">
        <v>1</v>
      </c>
      <c r="AK500">
        <v>1</v>
      </c>
      <c r="AL500">
        <v>1</v>
      </c>
      <c r="AN500">
        <v>0</v>
      </c>
      <c r="AO500">
        <v>1</v>
      </c>
      <c r="AP500">
        <v>0</v>
      </c>
      <c r="AQ500">
        <v>0</v>
      </c>
      <c r="AR500">
        <v>0</v>
      </c>
      <c r="AS500" t="s">
        <v>3</v>
      </c>
      <c r="AT500">
        <v>34.799999999999997</v>
      </c>
      <c r="AU500" t="s">
        <v>3</v>
      </c>
      <c r="AV500">
        <v>0</v>
      </c>
      <c r="AW500">
        <v>2</v>
      </c>
      <c r="AX500">
        <v>43137936</v>
      </c>
      <c r="AY500">
        <v>1</v>
      </c>
      <c r="AZ500">
        <v>0</v>
      </c>
      <c r="BA500">
        <v>495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0</v>
      </c>
      <c r="BW500">
        <v>0</v>
      </c>
      <c r="CX500">
        <f>Y500*Source!I972</f>
        <v>69.599999999999994</v>
      </c>
      <c r="CY500">
        <f>AA500</f>
        <v>7.93</v>
      </c>
      <c r="CZ500">
        <f>AE500</f>
        <v>1</v>
      </c>
      <c r="DA500">
        <f>AI500</f>
        <v>7.93</v>
      </c>
      <c r="DB500">
        <f>ROUND(ROUND(AT500*CZ500,2),6)</f>
        <v>34.799999999999997</v>
      </c>
      <c r="DC500">
        <f>ROUND(ROUND(AT500*AG500,2),6)</f>
        <v>0</v>
      </c>
    </row>
    <row r="501" spans="1:107" x14ac:dyDescent="0.2">
      <c r="A501">
        <f>ROW(Source!A972)</f>
        <v>972</v>
      </c>
      <c r="B501">
        <v>42938047</v>
      </c>
      <c r="C501">
        <v>43137928</v>
      </c>
      <c r="D501">
        <v>0</v>
      </c>
      <c r="E501">
        <v>0</v>
      </c>
      <c r="F501">
        <v>1</v>
      </c>
      <c r="G501">
        <v>35973048</v>
      </c>
      <c r="H501">
        <v>3</v>
      </c>
      <c r="I501" t="s">
        <v>118</v>
      </c>
      <c r="J501" t="s">
        <v>3</v>
      </c>
      <c r="K501" t="s">
        <v>1094</v>
      </c>
      <c r="L501">
        <v>1354</v>
      </c>
      <c r="N501">
        <v>1010</v>
      </c>
      <c r="O501" t="s">
        <v>169</v>
      </c>
      <c r="P501" t="s">
        <v>169</v>
      </c>
      <c r="Q501">
        <v>1</v>
      </c>
      <c r="W501">
        <v>0</v>
      </c>
      <c r="X501">
        <v>1040618238</v>
      </c>
      <c r="Y501">
        <v>1</v>
      </c>
      <c r="AA501">
        <v>276082.27</v>
      </c>
      <c r="AB501">
        <v>0</v>
      </c>
      <c r="AC501">
        <v>0</v>
      </c>
      <c r="AD501">
        <v>0</v>
      </c>
      <c r="AE501">
        <v>43546.1</v>
      </c>
      <c r="AF501">
        <v>0</v>
      </c>
      <c r="AG501">
        <v>0</v>
      </c>
      <c r="AH501">
        <v>0</v>
      </c>
      <c r="AI501">
        <v>6.34</v>
      </c>
      <c r="AJ501">
        <v>1</v>
      </c>
      <c r="AK501">
        <v>1</v>
      </c>
      <c r="AL501">
        <v>1</v>
      </c>
      <c r="AN501">
        <v>0</v>
      </c>
      <c r="AO501">
        <v>0</v>
      </c>
      <c r="AP501">
        <v>0</v>
      </c>
      <c r="AQ501">
        <v>0</v>
      </c>
      <c r="AR501">
        <v>0</v>
      </c>
      <c r="AS501" t="s">
        <v>3</v>
      </c>
      <c r="AT501">
        <v>1</v>
      </c>
      <c r="AU501" t="s">
        <v>3</v>
      </c>
      <c r="AV501">
        <v>0</v>
      </c>
      <c r="AW501">
        <v>1</v>
      </c>
      <c r="AX501">
        <v>-1</v>
      </c>
      <c r="AY501">
        <v>0</v>
      </c>
      <c r="AZ501">
        <v>0</v>
      </c>
      <c r="BA501" t="s">
        <v>3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V501">
        <v>0</v>
      </c>
      <c r="BW501">
        <v>0</v>
      </c>
      <c r="CX501">
        <f>Y501*Source!I972</f>
        <v>2</v>
      </c>
      <c r="CY501">
        <f>AA501</f>
        <v>276082.27</v>
      </c>
      <c r="CZ501">
        <f>AE501</f>
        <v>43546.1</v>
      </c>
      <c r="DA501">
        <f>AI501</f>
        <v>6.34</v>
      </c>
      <c r="DB501">
        <f>ROUND(ROUND(AT501*CZ501,2),6)</f>
        <v>43546.1</v>
      </c>
      <c r="DC501">
        <f>ROUND(ROUND(AT501*AG501,2),6)</f>
        <v>0</v>
      </c>
    </row>
    <row r="502" spans="1:107" x14ac:dyDescent="0.2">
      <c r="A502">
        <f>ROW(Source!A1013)</f>
        <v>1013</v>
      </c>
      <c r="B502">
        <v>42938047</v>
      </c>
      <c r="C502">
        <v>43137652</v>
      </c>
      <c r="D502">
        <v>35973053</v>
      </c>
      <c r="E502">
        <v>35973048</v>
      </c>
      <c r="F502">
        <v>1</v>
      </c>
      <c r="G502">
        <v>35973048</v>
      </c>
      <c r="H502">
        <v>1</v>
      </c>
      <c r="I502" t="s">
        <v>1228</v>
      </c>
      <c r="J502" t="s">
        <v>3</v>
      </c>
      <c r="K502" t="s">
        <v>1229</v>
      </c>
      <c r="L502">
        <v>1191</v>
      </c>
      <c r="N502">
        <v>1013</v>
      </c>
      <c r="O502" t="s">
        <v>1230</v>
      </c>
      <c r="P502" t="s">
        <v>1230</v>
      </c>
      <c r="Q502">
        <v>1</v>
      </c>
      <c r="W502">
        <v>0</v>
      </c>
      <c r="X502">
        <v>476480486</v>
      </c>
      <c r="Y502">
        <v>1.3915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1</v>
      </c>
      <c r="AJ502">
        <v>1</v>
      </c>
      <c r="AK502">
        <v>1</v>
      </c>
      <c r="AL502">
        <v>25.44</v>
      </c>
      <c r="AN502">
        <v>0</v>
      </c>
      <c r="AO502">
        <v>1</v>
      </c>
      <c r="AP502">
        <v>1</v>
      </c>
      <c r="AQ502">
        <v>0</v>
      </c>
      <c r="AR502">
        <v>0</v>
      </c>
      <c r="AS502" t="s">
        <v>3</v>
      </c>
      <c r="AT502">
        <v>1.21</v>
      </c>
      <c r="AU502" t="s">
        <v>21</v>
      </c>
      <c r="AV502">
        <v>1</v>
      </c>
      <c r="AW502">
        <v>2</v>
      </c>
      <c r="AX502">
        <v>43137713</v>
      </c>
      <c r="AY502">
        <v>1</v>
      </c>
      <c r="AZ502">
        <v>0</v>
      </c>
      <c r="BA502">
        <v>496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  <c r="BV502">
        <v>0</v>
      </c>
      <c r="BW502">
        <v>0</v>
      </c>
      <c r="CX502">
        <f>Y502*Source!I1013</f>
        <v>0.97404999999999986</v>
      </c>
      <c r="CY502">
        <f>AD502</f>
        <v>0</v>
      </c>
      <c r="CZ502">
        <f>AH502</f>
        <v>0</v>
      </c>
      <c r="DA502">
        <f>AL502</f>
        <v>25.44</v>
      </c>
      <c r="DB502">
        <f>ROUND((ROUND(AT502*CZ502,2)*1.15),6)</f>
        <v>0</v>
      </c>
      <c r="DC502">
        <f>ROUND((ROUND(AT502*AG502,2)*1.15),6)</f>
        <v>0</v>
      </c>
    </row>
    <row r="503" spans="1:107" x14ac:dyDescent="0.2">
      <c r="A503">
        <f>ROW(Source!A1013)</f>
        <v>1013</v>
      </c>
      <c r="B503">
        <v>42938047</v>
      </c>
      <c r="C503">
        <v>43137652</v>
      </c>
      <c r="D503">
        <v>36044463</v>
      </c>
      <c r="E503">
        <v>1</v>
      </c>
      <c r="F503">
        <v>1</v>
      </c>
      <c r="G503">
        <v>35973048</v>
      </c>
      <c r="H503">
        <v>2</v>
      </c>
      <c r="I503" t="s">
        <v>1249</v>
      </c>
      <c r="J503" t="s">
        <v>1250</v>
      </c>
      <c r="K503" t="s">
        <v>1251</v>
      </c>
      <c r="L503">
        <v>1367</v>
      </c>
      <c r="N503">
        <v>1011</v>
      </c>
      <c r="O503" t="s">
        <v>738</v>
      </c>
      <c r="P503" t="s">
        <v>738</v>
      </c>
      <c r="Q503">
        <v>1</v>
      </c>
      <c r="W503">
        <v>0</v>
      </c>
      <c r="X503">
        <v>-1422010832</v>
      </c>
      <c r="Y503">
        <v>3.9325000000000001</v>
      </c>
      <c r="AA503">
        <v>0</v>
      </c>
      <c r="AB503">
        <v>1608.41</v>
      </c>
      <c r="AC503">
        <v>445.45</v>
      </c>
      <c r="AD503">
        <v>0</v>
      </c>
      <c r="AE503">
        <v>0</v>
      </c>
      <c r="AF503">
        <v>180.72</v>
      </c>
      <c r="AG503">
        <v>17.510000000000002</v>
      </c>
      <c r="AH503">
        <v>0</v>
      </c>
      <c r="AI503">
        <v>1</v>
      </c>
      <c r="AJ503">
        <v>8.9</v>
      </c>
      <c r="AK503">
        <v>25.44</v>
      </c>
      <c r="AL503">
        <v>1</v>
      </c>
      <c r="AN503">
        <v>0</v>
      </c>
      <c r="AO503">
        <v>1</v>
      </c>
      <c r="AP503">
        <v>1</v>
      </c>
      <c r="AQ503">
        <v>0</v>
      </c>
      <c r="AR503">
        <v>0</v>
      </c>
      <c r="AS503" t="s">
        <v>3</v>
      </c>
      <c r="AT503">
        <v>3.1459999999999999</v>
      </c>
      <c r="AU503" t="s">
        <v>20</v>
      </c>
      <c r="AV503">
        <v>0</v>
      </c>
      <c r="AW503">
        <v>2</v>
      </c>
      <c r="AX503">
        <v>43137714</v>
      </c>
      <c r="AY503">
        <v>1</v>
      </c>
      <c r="AZ503">
        <v>0</v>
      </c>
      <c r="BA503">
        <v>497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0</v>
      </c>
      <c r="CX503">
        <f>Y503*Source!I1013</f>
        <v>2.7527499999999998</v>
      </c>
      <c r="CY503">
        <f>AB503</f>
        <v>1608.41</v>
      </c>
      <c r="CZ503">
        <f>AF503</f>
        <v>180.72</v>
      </c>
      <c r="DA503">
        <f>AJ503</f>
        <v>8.9</v>
      </c>
      <c r="DB503">
        <f>ROUND((ROUND(AT503*CZ503,2)*1.25),6)</f>
        <v>710.6875</v>
      </c>
      <c r="DC503">
        <f>ROUND((ROUND(AT503*AG503,2)*1.25),6)</f>
        <v>68.862499999999997</v>
      </c>
    </row>
    <row r="504" spans="1:107" x14ac:dyDescent="0.2">
      <c r="A504">
        <f>ROW(Source!A1014)</f>
        <v>1014</v>
      </c>
      <c r="B504">
        <v>42938047</v>
      </c>
      <c r="C504">
        <v>43137845</v>
      </c>
      <c r="D504">
        <v>36759505</v>
      </c>
      <c r="E504">
        <v>1</v>
      </c>
      <c r="F504">
        <v>1</v>
      </c>
      <c r="G504">
        <v>35973048</v>
      </c>
      <c r="H504">
        <v>2</v>
      </c>
      <c r="I504" t="s">
        <v>1436</v>
      </c>
      <c r="J504" t="s">
        <v>1437</v>
      </c>
      <c r="K504" t="s">
        <v>1438</v>
      </c>
      <c r="L504">
        <v>1367</v>
      </c>
      <c r="N504">
        <v>1011</v>
      </c>
      <c r="O504" t="s">
        <v>738</v>
      </c>
      <c r="P504" t="s">
        <v>738</v>
      </c>
      <c r="Q504">
        <v>1</v>
      </c>
      <c r="W504">
        <v>0</v>
      </c>
      <c r="X504">
        <v>-1897129346</v>
      </c>
      <c r="Y504">
        <v>1</v>
      </c>
      <c r="AA504">
        <v>0</v>
      </c>
      <c r="AB504">
        <v>162.03</v>
      </c>
      <c r="AC504">
        <v>16.920000000000002</v>
      </c>
      <c r="AD504">
        <v>0</v>
      </c>
      <c r="AE504">
        <v>0</v>
      </c>
      <c r="AF504">
        <v>162.03</v>
      </c>
      <c r="AG504">
        <v>16.920000000000002</v>
      </c>
      <c r="AH504">
        <v>0</v>
      </c>
      <c r="AI504">
        <v>1</v>
      </c>
      <c r="AJ504">
        <v>1</v>
      </c>
      <c r="AK504">
        <v>1</v>
      </c>
      <c r="AL504">
        <v>1</v>
      </c>
      <c r="AN504">
        <v>0</v>
      </c>
      <c r="AO504">
        <v>1</v>
      </c>
      <c r="AP504">
        <v>0</v>
      </c>
      <c r="AQ504">
        <v>0</v>
      </c>
      <c r="AR504">
        <v>0</v>
      </c>
      <c r="AS504" t="s">
        <v>3</v>
      </c>
      <c r="AT504">
        <v>1</v>
      </c>
      <c r="AU504" t="s">
        <v>3</v>
      </c>
      <c r="AV504">
        <v>0</v>
      </c>
      <c r="AW504">
        <v>2</v>
      </c>
      <c r="AX504">
        <v>43137847</v>
      </c>
      <c r="AY504">
        <v>1</v>
      </c>
      <c r="AZ504">
        <v>0</v>
      </c>
      <c r="BA504">
        <v>498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0</v>
      </c>
      <c r="BW504">
        <v>0</v>
      </c>
      <c r="CX504">
        <f>Y504*Source!I1014</f>
        <v>105</v>
      </c>
      <c r="CY504">
        <f>AB504</f>
        <v>162.03</v>
      </c>
      <c r="CZ504">
        <f>AF504</f>
        <v>162.03</v>
      </c>
      <c r="DA504">
        <f>AJ504</f>
        <v>1</v>
      </c>
      <c r="DB504">
        <f>ROUND(ROUND(AT504*CZ504,2),6)</f>
        <v>162.03</v>
      </c>
      <c r="DC504">
        <f>ROUND(ROUND(AT504*AG504,2),6)</f>
        <v>16.920000000000002</v>
      </c>
    </row>
    <row r="505" spans="1:107" x14ac:dyDescent="0.2">
      <c r="A505">
        <f>ROW(Source!A1015)</f>
        <v>1015</v>
      </c>
      <c r="B505">
        <v>42938047</v>
      </c>
      <c r="C505">
        <v>43137848</v>
      </c>
      <c r="D505">
        <v>35973762</v>
      </c>
      <c r="E505">
        <v>35973048</v>
      </c>
      <c r="F505">
        <v>1</v>
      </c>
      <c r="G505">
        <v>35973048</v>
      </c>
      <c r="H505">
        <v>2</v>
      </c>
      <c r="I505" t="s">
        <v>1243</v>
      </c>
      <c r="J505" t="s">
        <v>3</v>
      </c>
      <c r="K505" t="s">
        <v>1244</v>
      </c>
      <c r="L505">
        <v>1344</v>
      </c>
      <c r="N505">
        <v>1008</v>
      </c>
      <c r="O505" t="s">
        <v>1245</v>
      </c>
      <c r="P505" t="s">
        <v>1245</v>
      </c>
      <c r="Q505">
        <v>1</v>
      </c>
      <c r="W505">
        <v>0</v>
      </c>
      <c r="X505">
        <v>-1180195794</v>
      </c>
      <c r="Y505">
        <v>12.61</v>
      </c>
      <c r="AA505">
        <v>0</v>
      </c>
      <c r="AB505">
        <v>1</v>
      </c>
      <c r="AC505">
        <v>0</v>
      </c>
      <c r="AD505">
        <v>0</v>
      </c>
      <c r="AE505">
        <v>0</v>
      </c>
      <c r="AF505">
        <v>1</v>
      </c>
      <c r="AG505">
        <v>0</v>
      </c>
      <c r="AH505">
        <v>0</v>
      </c>
      <c r="AI505">
        <v>1</v>
      </c>
      <c r="AJ505">
        <v>1</v>
      </c>
      <c r="AK505">
        <v>1</v>
      </c>
      <c r="AL505">
        <v>1</v>
      </c>
      <c r="AN505">
        <v>0</v>
      </c>
      <c r="AO505">
        <v>1</v>
      </c>
      <c r="AP505">
        <v>0</v>
      </c>
      <c r="AQ505">
        <v>0</v>
      </c>
      <c r="AR505">
        <v>0</v>
      </c>
      <c r="AS505" t="s">
        <v>3</v>
      </c>
      <c r="AT505">
        <v>12.61</v>
      </c>
      <c r="AU505" t="s">
        <v>3</v>
      </c>
      <c r="AV505">
        <v>0</v>
      </c>
      <c r="AW505">
        <v>2</v>
      </c>
      <c r="AX505">
        <v>43137849</v>
      </c>
      <c r="AY505">
        <v>1</v>
      </c>
      <c r="AZ505">
        <v>0</v>
      </c>
      <c r="BA505">
        <v>499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V505">
        <v>0</v>
      </c>
      <c r="BW505">
        <v>0</v>
      </c>
      <c r="CX505">
        <f>Y505*Source!I1015</f>
        <v>1324.05</v>
      </c>
      <c r="CY505">
        <f>AB505</f>
        <v>1</v>
      </c>
      <c r="CZ505">
        <f>AF505</f>
        <v>1</v>
      </c>
      <c r="DA505">
        <f>AJ505</f>
        <v>1</v>
      </c>
      <c r="DB505">
        <f>ROUND(ROUND(AT505*CZ505,2),6)</f>
        <v>12.61</v>
      </c>
      <c r="DC505">
        <f>ROUND(ROUND(AT505*AG505,2),6)</f>
        <v>0</v>
      </c>
    </row>
    <row r="506" spans="1:107" x14ac:dyDescent="0.2">
      <c r="A506">
        <f>ROW(Source!A1016)</f>
        <v>1016</v>
      </c>
      <c r="B506">
        <v>42938047</v>
      </c>
      <c r="C506">
        <v>43137833</v>
      </c>
      <c r="D506">
        <v>35973053</v>
      </c>
      <c r="E506">
        <v>35973048</v>
      </c>
      <c r="F506">
        <v>1</v>
      </c>
      <c r="G506">
        <v>35973048</v>
      </c>
      <c r="H506">
        <v>1</v>
      </c>
      <c r="I506" t="s">
        <v>1228</v>
      </c>
      <c r="J506" t="s">
        <v>3</v>
      </c>
      <c r="K506" t="s">
        <v>1229</v>
      </c>
      <c r="L506">
        <v>1191</v>
      </c>
      <c r="N506">
        <v>1013</v>
      </c>
      <c r="O506" t="s">
        <v>1230</v>
      </c>
      <c r="P506" t="s">
        <v>1230</v>
      </c>
      <c r="Q506">
        <v>1</v>
      </c>
      <c r="W506">
        <v>0</v>
      </c>
      <c r="X506">
        <v>476480486</v>
      </c>
      <c r="Y506">
        <v>16.559999999999999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1</v>
      </c>
      <c r="AJ506">
        <v>1</v>
      </c>
      <c r="AK506">
        <v>1</v>
      </c>
      <c r="AL506">
        <v>25.44</v>
      </c>
      <c r="AN506">
        <v>0</v>
      </c>
      <c r="AO506">
        <v>1</v>
      </c>
      <c r="AP506">
        <v>1</v>
      </c>
      <c r="AQ506">
        <v>0</v>
      </c>
      <c r="AR506">
        <v>0</v>
      </c>
      <c r="AS506" t="s">
        <v>3</v>
      </c>
      <c r="AT506">
        <v>14.4</v>
      </c>
      <c r="AU506" t="s">
        <v>21</v>
      </c>
      <c r="AV506">
        <v>1</v>
      </c>
      <c r="AW506">
        <v>2</v>
      </c>
      <c r="AX506">
        <v>43137834</v>
      </c>
      <c r="AY506">
        <v>1</v>
      </c>
      <c r="AZ506">
        <v>0</v>
      </c>
      <c r="BA506">
        <v>500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  <c r="BV506">
        <v>0</v>
      </c>
      <c r="BW506">
        <v>0</v>
      </c>
      <c r="CX506">
        <f>Y506*Source!I1016</f>
        <v>3.3119999999999998</v>
      </c>
      <c r="CY506">
        <f>AD506</f>
        <v>0</v>
      </c>
      <c r="CZ506">
        <f>AH506</f>
        <v>0</v>
      </c>
      <c r="DA506">
        <f>AL506</f>
        <v>25.44</v>
      </c>
      <c r="DB506">
        <f>ROUND((ROUND(AT506*CZ506,2)*1.15),6)</f>
        <v>0</v>
      </c>
      <c r="DC506">
        <f>ROUND((ROUND(AT506*AG506,2)*1.15),6)</f>
        <v>0</v>
      </c>
    </row>
    <row r="507" spans="1:107" x14ac:dyDescent="0.2">
      <c r="A507">
        <f>ROW(Source!A1016)</f>
        <v>1016</v>
      </c>
      <c r="B507">
        <v>42938047</v>
      </c>
      <c r="C507">
        <v>43137833</v>
      </c>
      <c r="D507">
        <v>36044508</v>
      </c>
      <c r="E507">
        <v>1</v>
      </c>
      <c r="F507">
        <v>1</v>
      </c>
      <c r="G507">
        <v>35973048</v>
      </c>
      <c r="H507">
        <v>2</v>
      </c>
      <c r="I507" t="s">
        <v>1258</v>
      </c>
      <c r="J507" t="s">
        <v>1259</v>
      </c>
      <c r="K507" t="s">
        <v>1260</v>
      </c>
      <c r="L507">
        <v>1367</v>
      </c>
      <c r="N507">
        <v>1011</v>
      </c>
      <c r="O507" t="s">
        <v>738</v>
      </c>
      <c r="P507" t="s">
        <v>738</v>
      </c>
      <c r="Q507">
        <v>1</v>
      </c>
      <c r="W507">
        <v>0</v>
      </c>
      <c r="X507">
        <v>1928543733</v>
      </c>
      <c r="Y507">
        <v>2.0749999999999997</v>
      </c>
      <c r="AA507">
        <v>0</v>
      </c>
      <c r="AB507">
        <v>1242.54</v>
      </c>
      <c r="AC507">
        <v>595.54999999999995</v>
      </c>
      <c r="AD507">
        <v>0</v>
      </c>
      <c r="AE507">
        <v>0</v>
      </c>
      <c r="AF507">
        <v>116.89</v>
      </c>
      <c r="AG507">
        <v>23.41</v>
      </c>
      <c r="AH507">
        <v>0</v>
      </c>
      <c r="AI507">
        <v>1</v>
      </c>
      <c r="AJ507">
        <v>10.63</v>
      </c>
      <c r="AK507">
        <v>25.44</v>
      </c>
      <c r="AL507">
        <v>1</v>
      </c>
      <c r="AN507">
        <v>0</v>
      </c>
      <c r="AO507">
        <v>1</v>
      </c>
      <c r="AP507">
        <v>1</v>
      </c>
      <c r="AQ507">
        <v>0</v>
      </c>
      <c r="AR507">
        <v>0</v>
      </c>
      <c r="AS507" t="s">
        <v>3</v>
      </c>
      <c r="AT507">
        <v>1.66</v>
      </c>
      <c r="AU507" t="s">
        <v>20</v>
      </c>
      <c r="AV507">
        <v>0</v>
      </c>
      <c r="AW507">
        <v>2</v>
      </c>
      <c r="AX507">
        <v>43137835</v>
      </c>
      <c r="AY507">
        <v>1</v>
      </c>
      <c r="AZ507">
        <v>0</v>
      </c>
      <c r="BA507">
        <v>501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</v>
      </c>
      <c r="CX507">
        <f>Y507*Source!I1016</f>
        <v>0.41499999999999998</v>
      </c>
      <c r="CY507">
        <f>AB507</f>
        <v>1242.54</v>
      </c>
      <c r="CZ507">
        <f>AF507</f>
        <v>116.89</v>
      </c>
      <c r="DA507">
        <f>AJ507</f>
        <v>10.63</v>
      </c>
      <c r="DB507">
        <f>ROUND((ROUND(AT507*CZ507,2)*1.25),6)</f>
        <v>242.55</v>
      </c>
      <c r="DC507">
        <f>ROUND((ROUND(AT507*AG507,2)*1.25),6)</f>
        <v>48.575000000000003</v>
      </c>
    </row>
    <row r="508" spans="1:107" x14ac:dyDescent="0.2">
      <c r="A508">
        <f>ROW(Source!A1016)</f>
        <v>1016</v>
      </c>
      <c r="B508">
        <v>42938047</v>
      </c>
      <c r="C508">
        <v>43137833</v>
      </c>
      <c r="D508">
        <v>36044731</v>
      </c>
      <c r="E508">
        <v>1</v>
      </c>
      <c r="F508">
        <v>1</v>
      </c>
      <c r="G508">
        <v>35973048</v>
      </c>
      <c r="H508">
        <v>2</v>
      </c>
      <c r="I508" t="s">
        <v>749</v>
      </c>
      <c r="J508" t="s">
        <v>751</v>
      </c>
      <c r="K508" t="s">
        <v>750</v>
      </c>
      <c r="L508">
        <v>1367</v>
      </c>
      <c r="N508">
        <v>1011</v>
      </c>
      <c r="O508" t="s">
        <v>738</v>
      </c>
      <c r="P508" t="s">
        <v>738</v>
      </c>
      <c r="Q508">
        <v>1</v>
      </c>
      <c r="W508">
        <v>0</v>
      </c>
      <c r="X508">
        <v>142191915</v>
      </c>
      <c r="Y508">
        <v>2.0749999999999997</v>
      </c>
      <c r="AA508">
        <v>0</v>
      </c>
      <c r="AB508">
        <v>433.23</v>
      </c>
      <c r="AC508">
        <v>168.92</v>
      </c>
      <c r="AD508">
        <v>0</v>
      </c>
      <c r="AE508">
        <v>0</v>
      </c>
      <c r="AF508">
        <v>62.97</v>
      </c>
      <c r="AG508">
        <v>6.64</v>
      </c>
      <c r="AH508">
        <v>0</v>
      </c>
      <c r="AI508">
        <v>1</v>
      </c>
      <c r="AJ508">
        <v>6.88</v>
      </c>
      <c r="AK508">
        <v>25.44</v>
      </c>
      <c r="AL508">
        <v>1</v>
      </c>
      <c r="AN508">
        <v>0</v>
      </c>
      <c r="AO508">
        <v>1</v>
      </c>
      <c r="AP508">
        <v>1</v>
      </c>
      <c r="AQ508">
        <v>0</v>
      </c>
      <c r="AR508">
        <v>0</v>
      </c>
      <c r="AS508" t="s">
        <v>3</v>
      </c>
      <c r="AT508">
        <v>1.66</v>
      </c>
      <c r="AU508" t="s">
        <v>20</v>
      </c>
      <c r="AV508">
        <v>0</v>
      </c>
      <c r="AW508">
        <v>2</v>
      </c>
      <c r="AX508">
        <v>43137836</v>
      </c>
      <c r="AY508">
        <v>1</v>
      </c>
      <c r="AZ508">
        <v>0</v>
      </c>
      <c r="BA508">
        <v>502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0</v>
      </c>
      <c r="BV508">
        <v>0</v>
      </c>
      <c r="BW508">
        <v>0</v>
      </c>
      <c r="CX508">
        <f>Y508*Source!I1016</f>
        <v>0.41499999999999998</v>
      </c>
      <c r="CY508">
        <f>AB508</f>
        <v>433.23</v>
      </c>
      <c r="CZ508">
        <f>AF508</f>
        <v>62.97</v>
      </c>
      <c r="DA508">
        <f>AJ508</f>
        <v>6.88</v>
      </c>
      <c r="DB508">
        <f>ROUND((ROUND(AT508*CZ508,2)*1.25),6)</f>
        <v>130.66249999999999</v>
      </c>
      <c r="DC508">
        <f>ROUND((ROUND(AT508*AG508,2)*1.25),6)</f>
        <v>13.775</v>
      </c>
    </row>
    <row r="509" spans="1:107" x14ac:dyDescent="0.2">
      <c r="A509">
        <f>ROW(Source!A1016)</f>
        <v>1016</v>
      </c>
      <c r="B509">
        <v>42938047</v>
      </c>
      <c r="C509">
        <v>43137833</v>
      </c>
      <c r="D509">
        <v>36044734</v>
      </c>
      <c r="E509">
        <v>1</v>
      </c>
      <c r="F509">
        <v>1</v>
      </c>
      <c r="G509">
        <v>35973048</v>
      </c>
      <c r="H509">
        <v>2</v>
      </c>
      <c r="I509" t="s">
        <v>745</v>
      </c>
      <c r="J509" t="s">
        <v>747</v>
      </c>
      <c r="K509" t="s">
        <v>746</v>
      </c>
      <c r="L509">
        <v>1367</v>
      </c>
      <c r="N509">
        <v>1011</v>
      </c>
      <c r="O509" t="s">
        <v>738</v>
      </c>
      <c r="P509" t="s">
        <v>738</v>
      </c>
      <c r="Q509">
        <v>1</v>
      </c>
      <c r="W509">
        <v>0</v>
      </c>
      <c r="X509">
        <v>366114799</v>
      </c>
      <c r="Y509">
        <v>0.8125</v>
      </c>
      <c r="AA509">
        <v>0</v>
      </c>
      <c r="AB509">
        <v>2035.11</v>
      </c>
      <c r="AC509">
        <v>340.13</v>
      </c>
      <c r="AD509">
        <v>0</v>
      </c>
      <c r="AE509">
        <v>0</v>
      </c>
      <c r="AF509">
        <v>246.68</v>
      </c>
      <c r="AG509">
        <v>13.37</v>
      </c>
      <c r="AH509">
        <v>0</v>
      </c>
      <c r="AI509">
        <v>1</v>
      </c>
      <c r="AJ509">
        <v>8.25</v>
      </c>
      <c r="AK509">
        <v>25.44</v>
      </c>
      <c r="AL509">
        <v>1</v>
      </c>
      <c r="AN509">
        <v>0</v>
      </c>
      <c r="AO509">
        <v>1</v>
      </c>
      <c r="AP509">
        <v>1</v>
      </c>
      <c r="AQ509">
        <v>0</v>
      </c>
      <c r="AR509">
        <v>0</v>
      </c>
      <c r="AS509" t="s">
        <v>3</v>
      </c>
      <c r="AT509">
        <v>0.65</v>
      </c>
      <c r="AU509" t="s">
        <v>20</v>
      </c>
      <c r="AV509">
        <v>0</v>
      </c>
      <c r="AW509">
        <v>2</v>
      </c>
      <c r="AX509">
        <v>43137837</v>
      </c>
      <c r="AY509">
        <v>1</v>
      </c>
      <c r="AZ509">
        <v>0</v>
      </c>
      <c r="BA509">
        <v>503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</v>
      </c>
      <c r="BW509">
        <v>0</v>
      </c>
      <c r="CX509">
        <f>Y509*Source!I1016</f>
        <v>0.16250000000000001</v>
      </c>
      <c r="CY509">
        <f>AB509</f>
        <v>2035.11</v>
      </c>
      <c r="CZ509">
        <f>AF509</f>
        <v>246.68</v>
      </c>
      <c r="DA509">
        <f>AJ509</f>
        <v>8.25</v>
      </c>
      <c r="DB509">
        <f>ROUND((ROUND(AT509*CZ509,2)*1.25),6)</f>
        <v>200.42500000000001</v>
      </c>
      <c r="DC509">
        <f>ROUND((ROUND(AT509*AG509,2)*1.25),6)</f>
        <v>10.862500000000001</v>
      </c>
    </row>
    <row r="510" spans="1:107" x14ac:dyDescent="0.2">
      <c r="A510">
        <f>ROW(Source!A1016)</f>
        <v>1016</v>
      </c>
      <c r="B510">
        <v>42938047</v>
      </c>
      <c r="C510">
        <v>43137833</v>
      </c>
      <c r="D510">
        <v>36044762</v>
      </c>
      <c r="E510">
        <v>1</v>
      </c>
      <c r="F510">
        <v>1</v>
      </c>
      <c r="G510">
        <v>35973048</v>
      </c>
      <c r="H510">
        <v>2</v>
      </c>
      <c r="I510" t="s">
        <v>736</v>
      </c>
      <c r="J510" t="s">
        <v>739</v>
      </c>
      <c r="K510" t="s">
        <v>737</v>
      </c>
      <c r="L510">
        <v>1367</v>
      </c>
      <c r="N510">
        <v>1011</v>
      </c>
      <c r="O510" t="s">
        <v>738</v>
      </c>
      <c r="P510" t="s">
        <v>738</v>
      </c>
      <c r="Q510">
        <v>1</v>
      </c>
      <c r="W510">
        <v>0</v>
      </c>
      <c r="X510">
        <v>856318566</v>
      </c>
      <c r="Y510">
        <v>1.9375</v>
      </c>
      <c r="AA510">
        <v>0</v>
      </c>
      <c r="AB510">
        <v>1520.33</v>
      </c>
      <c r="AC510">
        <v>629.39</v>
      </c>
      <c r="AD510">
        <v>0</v>
      </c>
      <c r="AE510">
        <v>0</v>
      </c>
      <c r="AF510">
        <v>125.13</v>
      </c>
      <c r="AG510">
        <v>24.74</v>
      </c>
      <c r="AH510">
        <v>0</v>
      </c>
      <c r="AI510">
        <v>1</v>
      </c>
      <c r="AJ510">
        <v>12.15</v>
      </c>
      <c r="AK510">
        <v>25.44</v>
      </c>
      <c r="AL510">
        <v>1</v>
      </c>
      <c r="AN510">
        <v>0</v>
      </c>
      <c r="AO510">
        <v>1</v>
      </c>
      <c r="AP510">
        <v>1</v>
      </c>
      <c r="AQ510">
        <v>0</v>
      </c>
      <c r="AR510">
        <v>0</v>
      </c>
      <c r="AS510" t="s">
        <v>3</v>
      </c>
      <c r="AT510">
        <v>1.55</v>
      </c>
      <c r="AU510" t="s">
        <v>20</v>
      </c>
      <c r="AV510">
        <v>0</v>
      </c>
      <c r="AW510">
        <v>2</v>
      </c>
      <c r="AX510">
        <v>43137838</v>
      </c>
      <c r="AY510">
        <v>1</v>
      </c>
      <c r="AZ510">
        <v>0</v>
      </c>
      <c r="BA510">
        <v>504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v>0</v>
      </c>
      <c r="BV510">
        <v>0</v>
      </c>
      <c r="BW510">
        <v>0</v>
      </c>
      <c r="CX510">
        <f>Y510*Source!I1016</f>
        <v>0.38750000000000001</v>
      </c>
      <c r="CY510">
        <f>AB510</f>
        <v>1520.33</v>
      </c>
      <c r="CZ510">
        <f>AF510</f>
        <v>125.13</v>
      </c>
      <c r="DA510">
        <f>AJ510</f>
        <v>12.15</v>
      </c>
      <c r="DB510">
        <f>ROUND((ROUND(AT510*CZ510,2)*1.25),6)</f>
        <v>242.4375</v>
      </c>
      <c r="DC510">
        <f>ROUND((ROUND(AT510*AG510,2)*1.25),6)</f>
        <v>47.9375</v>
      </c>
    </row>
    <row r="511" spans="1:107" x14ac:dyDescent="0.2">
      <c r="A511">
        <f>ROW(Source!A1016)</f>
        <v>1016</v>
      </c>
      <c r="B511">
        <v>42938047</v>
      </c>
      <c r="C511">
        <v>43137833</v>
      </c>
      <c r="D511">
        <v>36044724</v>
      </c>
      <c r="E511">
        <v>1</v>
      </c>
      <c r="F511">
        <v>1</v>
      </c>
      <c r="G511">
        <v>35973048</v>
      </c>
      <c r="H511">
        <v>2</v>
      </c>
      <c r="I511" t="s">
        <v>741</v>
      </c>
      <c r="J511" t="s">
        <v>743</v>
      </c>
      <c r="K511" t="s">
        <v>742</v>
      </c>
      <c r="L511">
        <v>1367</v>
      </c>
      <c r="N511">
        <v>1011</v>
      </c>
      <c r="O511" t="s">
        <v>738</v>
      </c>
      <c r="P511" t="s">
        <v>738</v>
      </c>
      <c r="Q511">
        <v>1</v>
      </c>
      <c r="W511">
        <v>0</v>
      </c>
      <c r="X511">
        <v>-646811103</v>
      </c>
      <c r="Y511">
        <v>0.65</v>
      </c>
      <c r="AA511">
        <v>0</v>
      </c>
      <c r="AB511">
        <v>1576.56</v>
      </c>
      <c r="AC511">
        <v>443.16</v>
      </c>
      <c r="AD511">
        <v>0</v>
      </c>
      <c r="AE511">
        <v>0</v>
      </c>
      <c r="AF511">
        <v>177.54</v>
      </c>
      <c r="AG511">
        <v>17.420000000000002</v>
      </c>
      <c r="AH511">
        <v>0</v>
      </c>
      <c r="AI511">
        <v>1</v>
      </c>
      <c r="AJ511">
        <v>8.8800000000000008</v>
      </c>
      <c r="AK511">
        <v>25.44</v>
      </c>
      <c r="AL511">
        <v>1</v>
      </c>
      <c r="AN511">
        <v>0</v>
      </c>
      <c r="AO511">
        <v>1</v>
      </c>
      <c r="AP511">
        <v>1</v>
      </c>
      <c r="AQ511">
        <v>0</v>
      </c>
      <c r="AR511">
        <v>0</v>
      </c>
      <c r="AS511" t="s">
        <v>3</v>
      </c>
      <c r="AT511">
        <v>0.52</v>
      </c>
      <c r="AU511" t="s">
        <v>20</v>
      </c>
      <c r="AV511">
        <v>0</v>
      </c>
      <c r="AW511">
        <v>2</v>
      </c>
      <c r="AX511">
        <v>43137839</v>
      </c>
      <c r="AY511">
        <v>1</v>
      </c>
      <c r="AZ511">
        <v>0</v>
      </c>
      <c r="BA511">
        <v>505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0</v>
      </c>
      <c r="BW511">
        <v>0</v>
      </c>
      <c r="CX511">
        <f>Y511*Source!I1016</f>
        <v>0.13</v>
      </c>
      <c r="CY511">
        <f>AB511</f>
        <v>1576.56</v>
      </c>
      <c r="CZ511">
        <f>AF511</f>
        <v>177.54</v>
      </c>
      <c r="DA511">
        <f>AJ511</f>
        <v>8.8800000000000008</v>
      </c>
      <c r="DB511">
        <f>ROUND((ROUND(AT511*CZ511,2)*1.25),6)</f>
        <v>115.4</v>
      </c>
      <c r="DC511">
        <f>ROUND((ROUND(AT511*AG511,2)*1.25),6)</f>
        <v>11.324999999999999</v>
      </c>
    </row>
    <row r="512" spans="1:107" x14ac:dyDescent="0.2">
      <c r="A512">
        <f>ROW(Source!A1016)</f>
        <v>1016</v>
      </c>
      <c r="B512">
        <v>42938047</v>
      </c>
      <c r="C512">
        <v>43137833</v>
      </c>
      <c r="D512">
        <v>36020415</v>
      </c>
      <c r="E512">
        <v>1</v>
      </c>
      <c r="F512">
        <v>1</v>
      </c>
      <c r="G512">
        <v>35973048</v>
      </c>
      <c r="H512">
        <v>3</v>
      </c>
      <c r="I512" t="s">
        <v>469</v>
      </c>
      <c r="J512" t="s">
        <v>471</v>
      </c>
      <c r="K512" t="s">
        <v>470</v>
      </c>
      <c r="L512">
        <v>1339</v>
      </c>
      <c r="N512">
        <v>1007</v>
      </c>
      <c r="O512" t="s">
        <v>84</v>
      </c>
      <c r="P512" t="s">
        <v>84</v>
      </c>
      <c r="Q512">
        <v>1</v>
      </c>
      <c r="W512">
        <v>0</v>
      </c>
      <c r="X512">
        <v>-862991314</v>
      </c>
      <c r="Y512">
        <v>5</v>
      </c>
      <c r="AA512">
        <v>36.340000000000003</v>
      </c>
      <c r="AB512">
        <v>0</v>
      </c>
      <c r="AC512">
        <v>0</v>
      </c>
      <c r="AD512">
        <v>0</v>
      </c>
      <c r="AE512">
        <v>7.07</v>
      </c>
      <c r="AF512">
        <v>0</v>
      </c>
      <c r="AG512">
        <v>0</v>
      </c>
      <c r="AH512">
        <v>0</v>
      </c>
      <c r="AI512">
        <v>5.14</v>
      </c>
      <c r="AJ512">
        <v>1</v>
      </c>
      <c r="AK512">
        <v>1</v>
      </c>
      <c r="AL512">
        <v>1</v>
      </c>
      <c r="AN512">
        <v>0</v>
      </c>
      <c r="AO512">
        <v>1</v>
      </c>
      <c r="AP512">
        <v>1</v>
      </c>
      <c r="AQ512">
        <v>0</v>
      </c>
      <c r="AR512">
        <v>0</v>
      </c>
      <c r="AS512" t="s">
        <v>3</v>
      </c>
      <c r="AT512">
        <v>5</v>
      </c>
      <c r="AU512" t="s">
        <v>3</v>
      </c>
      <c r="AV512">
        <v>0</v>
      </c>
      <c r="AW512">
        <v>2</v>
      </c>
      <c r="AX512">
        <v>43137840</v>
      </c>
      <c r="AY512">
        <v>1</v>
      </c>
      <c r="AZ512">
        <v>0</v>
      </c>
      <c r="BA512">
        <v>506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0</v>
      </c>
      <c r="BV512">
        <v>0</v>
      </c>
      <c r="BW512">
        <v>0</v>
      </c>
      <c r="CX512">
        <f>Y512*Source!I1016</f>
        <v>1</v>
      </c>
      <c r="CY512">
        <f>AA512</f>
        <v>36.340000000000003</v>
      </c>
      <c r="CZ512">
        <f>AE512</f>
        <v>7.07</v>
      </c>
      <c r="DA512">
        <f>AI512</f>
        <v>5.14</v>
      </c>
      <c r="DB512">
        <f>ROUND(ROUND(AT512*CZ512,2),6)</f>
        <v>35.35</v>
      </c>
      <c r="DC512">
        <f>ROUND(ROUND(AT512*AG512,2),6)</f>
        <v>0</v>
      </c>
    </row>
    <row r="513" spans="1:107" x14ac:dyDescent="0.2">
      <c r="A513">
        <f>ROW(Source!A1016)</f>
        <v>1016</v>
      </c>
      <c r="B513">
        <v>42938047</v>
      </c>
      <c r="C513">
        <v>43137833</v>
      </c>
      <c r="D513">
        <v>36020974</v>
      </c>
      <c r="E513">
        <v>1</v>
      </c>
      <c r="F513">
        <v>1</v>
      </c>
      <c r="G513">
        <v>35973048</v>
      </c>
      <c r="H513">
        <v>3</v>
      </c>
      <c r="I513" t="s">
        <v>91</v>
      </c>
      <c r="J513" t="s">
        <v>93</v>
      </c>
      <c r="K513" t="s">
        <v>92</v>
      </c>
      <c r="L513">
        <v>1339</v>
      </c>
      <c r="N513">
        <v>1007</v>
      </c>
      <c r="O513" t="s">
        <v>84</v>
      </c>
      <c r="P513" t="s">
        <v>84</v>
      </c>
      <c r="Q513">
        <v>1</v>
      </c>
      <c r="W513">
        <v>0</v>
      </c>
      <c r="X513">
        <v>2069056849</v>
      </c>
      <c r="Y513">
        <v>10</v>
      </c>
      <c r="AA513">
        <v>579.65</v>
      </c>
      <c r="AB513">
        <v>0</v>
      </c>
      <c r="AC513">
        <v>0</v>
      </c>
      <c r="AD513">
        <v>0</v>
      </c>
      <c r="AE513">
        <v>104.99</v>
      </c>
      <c r="AF513">
        <v>0</v>
      </c>
      <c r="AG513">
        <v>0</v>
      </c>
      <c r="AH513">
        <v>0</v>
      </c>
      <c r="AI513">
        <v>5.51</v>
      </c>
      <c r="AJ513">
        <v>1</v>
      </c>
      <c r="AK513">
        <v>1</v>
      </c>
      <c r="AL513">
        <v>1</v>
      </c>
      <c r="AN513">
        <v>0</v>
      </c>
      <c r="AO513">
        <v>0</v>
      </c>
      <c r="AP513">
        <v>0</v>
      </c>
      <c r="AQ513">
        <v>0</v>
      </c>
      <c r="AR513">
        <v>0</v>
      </c>
      <c r="AS513" t="s">
        <v>3</v>
      </c>
      <c r="AT513">
        <v>10</v>
      </c>
      <c r="AU513" t="s">
        <v>3</v>
      </c>
      <c r="AV513">
        <v>0</v>
      </c>
      <c r="AW513">
        <v>1</v>
      </c>
      <c r="AX513">
        <v>-1</v>
      </c>
      <c r="AY513">
        <v>0</v>
      </c>
      <c r="AZ513">
        <v>0</v>
      </c>
      <c r="BA513" t="s">
        <v>3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0</v>
      </c>
      <c r="BW513">
        <v>0</v>
      </c>
      <c r="CX513">
        <f>Y513*Source!I1016</f>
        <v>2</v>
      </c>
      <c r="CY513">
        <f>AA513</f>
        <v>579.65</v>
      </c>
      <c r="CZ513">
        <f>AE513</f>
        <v>104.99</v>
      </c>
      <c r="DA513">
        <f>AI513</f>
        <v>5.51</v>
      </c>
      <c r="DB513">
        <f>ROUND(ROUND(AT513*CZ513,2),6)</f>
        <v>1049.9000000000001</v>
      </c>
      <c r="DC513">
        <f>ROUND(ROUND(AT513*AG513,2),6)</f>
        <v>0</v>
      </c>
    </row>
    <row r="514" spans="1:107" x14ac:dyDescent="0.2">
      <c r="A514">
        <f>ROW(Source!A1018)</f>
        <v>1018</v>
      </c>
      <c r="B514">
        <v>42938047</v>
      </c>
      <c r="C514">
        <v>43137733</v>
      </c>
      <c r="D514">
        <v>35973053</v>
      </c>
      <c r="E514">
        <v>35973048</v>
      </c>
      <c r="F514">
        <v>1</v>
      </c>
      <c r="G514">
        <v>35973048</v>
      </c>
      <c r="H514">
        <v>1</v>
      </c>
      <c r="I514" t="s">
        <v>1228</v>
      </c>
      <c r="J514" t="s">
        <v>3</v>
      </c>
      <c r="K514" t="s">
        <v>1229</v>
      </c>
      <c r="L514">
        <v>1191</v>
      </c>
      <c r="N514">
        <v>1013</v>
      </c>
      <c r="O514" t="s">
        <v>1230</v>
      </c>
      <c r="P514" t="s">
        <v>1230</v>
      </c>
      <c r="Q514">
        <v>1</v>
      </c>
      <c r="W514">
        <v>0</v>
      </c>
      <c r="X514">
        <v>476480486</v>
      </c>
      <c r="Y514">
        <v>152.94999999999999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1</v>
      </c>
      <c r="AJ514">
        <v>1</v>
      </c>
      <c r="AK514">
        <v>1</v>
      </c>
      <c r="AL514">
        <v>25.44</v>
      </c>
      <c r="AN514">
        <v>0</v>
      </c>
      <c r="AO514">
        <v>1</v>
      </c>
      <c r="AP514">
        <v>1</v>
      </c>
      <c r="AQ514">
        <v>0</v>
      </c>
      <c r="AR514">
        <v>0</v>
      </c>
      <c r="AS514" t="s">
        <v>3</v>
      </c>
      <c r="AT514">
        <v>133</v>
      </c>
      <c r="AU514" t="s">
        <v>21</v>
      </c>
      <c r="AV514">
        <v>1</v>
      </c>
      <c r="AW514">
        <v>2</v>
      </c>
      <c r="AX514">
        <v>43137734</v>
      </c>
      <c r="AY514">
        <v>1</v>
      </c>
      <c r="AZ514">
        <v>0</v>
      </c>
      <c r="BA514">
        <v>508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0</v>
      </c>
      <c r="BV514">
        <v>0</v>
      </c>
      <c r="BW514">
        <v>0</v>
      </c>
      <c r="CX514">
        <f>Y514*Source!I1018</f>
        <v>8.8711000000000002</v>
      </c>
      <c r="CY514">
        <f>AD514</f>
        <v>0</v>
      </c>
      <c r="CZ514">
        <f>AH514</f>
        <v>0</v>
      </c>
      <c r="DA514">
        <f>AL514</f>
        <v>25.44</v>
      </c>
      <c r="DB514">
        <f>ROUND((ROUND(AT514*CZ514,2)*1.15),6)</f>
        <v>0</v>
      </c>
      <c r="DC514">
        <f>ROUND((ROUND(AT514*AG514,2)*1.15),6)</f>
        <v>0</v>
      </c>
    </row>
    <row r="515" spans="1:107" x14ac:dyDescent="0.2">
      <c r="A515">
        <f>ROW(Source!A1018)</f>
        <v>1018</v>
      </c>
      <c r="B515">
        <v>42938047</v>
      </c>
      <c r="C515">
        <v>43137733</v>
      </c>
      <c r="D515">
        <v>36023479</v>
      </c>
      <c r="E515">
        <v>1</v>
      </c>
      <c r="F515">
        <v>1</v>
      </c>
      <c r="G515">
        <v>35973048</v>
      </c>
      <c r="H515">
        <v>3</v>
      </c>
      <c r="I515" t="s">
        <v>997</v>
      </c>
      <c r="J515" t="s">
        <v>999</v>
      </c>
      <c r="K515" t="s">
        <v>998</v>
      </c>
      <c r="L515">
        <v>1301</v>
      </c>
      <c r="N515">
        <v>1003</v>
      </c>
      <c r="O515" t="s">
        <v>136</v>
      </c>
      <c r="P515" t="s">
        <v>136</v>
      </c>
      <c r="Q515">
        <v>1</v>
      </c>
      <c r="W515">
        <v>0</v>
      </c>
      <c r="X515">
        <v>1047663974</v>
      </c>
      <c r="Y515">
        <v>1000</v>
      </c>
      <c r="AA515">
        <v>1.3</v>
      </c>
      <c r="AB515">
        <v>0</v>
      </c>
      <c r="AC515">
        <v>0</v>
      </c>
      <c r="AD515">
        <v>0</v>
      </c>
      <c r="AE515">
        <v>0.49</v>
      </c>
      <c r="AF515">
        <v>0</v>
      </c>
      <c r="AG515">
        <v>0</v>
      </c>
      <c r="AH515">
        <v>0</v>
      </c>
      <c r="AI515">
        <v>2.4500000000000002</v>
      </c>
      <c r="AJ515">
        <v>1</v>
      </c>
      <c r="AK515">
        <v>1</v>
      </c>
      <c r="AL515">
        <v>1</v>
      </c>
      <c r="AN515">
        <v>0</v>
      </c>
      <c r="AO515">
        <v>0</v>
      </c>
      <c r="AP515">
        <v>0</v>
      </c>
      <c r="AQ515">
        <v>0</v>
      </c>
      <c r="AR515">
        <v>0</v>
      </c>
      <c r="AS515" t="s">
        <v>3</v>
      </c>
      <c r="AT515">
        <v>1000</v>
      </c>
      <c r="AU515" t="s">
        <v>3</v>
      </c>
      <c r="AV515">
        <v>0</v>
      </c>
      <c r="AW515">
        <v>1</v>
      </c>
      <c r="AX515">
        <v>-1</v>
      </c>
      <c r="AY515">
        <v>0</v>
      </c>
      <c r="AZ515">
        <v>0</v>
      </c>
      <c r="BA515" t="s">
        <v>3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0</v>
      </c>
      <c r="BV515">
        <v>0</v>
      </c>
      <c r="BW515">
        <v>0</v>
      </c>
      <c r="CX515">
        <f>Y515*Source!I1018</f>
        <v>58</v>
      </c>
      <c r="CY515">
        <f>AA515</f>
        <v>1.3</v>
      </c>
      <c r="CZ515">
        <f>AE515</f>
        <v>0.49</v>
      </c>
      <c r="DA515">
        <f>AI515</f>
        <v>2.4500000000000002</v>
      </c>
      <c r="DB515">
        <f>ROUND(ROUND(AT515*CZ515,2),6)</f>
        <v>490</v>
      </c>
      <c r="DC515">
        <f>ROUND(ROUND(AT515*AG515,2),6)</f>
        <v>0</v>
      </c>
    </row>
    <row r="516" spans="1:107" x14ac:dyDescent="0.2">
      <c r="A516">
        <f>ROW(Source!A1018)</f>
        <v>1018</v>
      </c>
      <c r="B516">
        <v>42938047</v>
      </c>
      <c r="C516">
        <v>43137733</v>
      </c>
      <c r="D516">
        <v>38563203</v>
      </c>
      <c r="E516">
        <v>1</v>
      </c>
      <c r="F516">
        <v>1</v>
      </c>
      <c r="G516">
        <v>35973048</v>
      </c>
      <c r="H516">
        <v>3</v>
      </c>
      <c r="I516" t="s">
        <v>1110</v>
      </c>
      <c r="J516" t="s">
        <v>1111</v>
      </c>
      <c r="K516" t="s">
        <v>1597</v>
      </c>
      <c r="L516">
        <v>1301</v>
      </c>
      <c r="N516">
        <v>1003</v>
      </c>
      <c r="O516" t="s">
        <v>136</v>
      </c>
      <c r="P516" t="s">
        <v>136</v>
      </c>
      <c r="Q516">
        <v>1</v>
      </c>
      <c r="W516">
        <v>0</v>
      </c>
      <c r="X516">
        <v>-455874827</v>
      </c>
      <c r="Y516">
        <v>1000</v>
      </c>
      <c r="AA516">
        <v>623.42999999999995</v>
      </c>
      <c r="AB516">
        <v>0</v>
      </c>
      <c r="AC516">
        <v>0</v>
      </c>
      <c r="AD516">
        <v>0</v>
      </c>
      <c r="AE516">
        <v>99.95</v>
      </c>
      <c r="AF516">
        <v>0</v>
      </c>
      <c r="AG516">
        <v>0</v>
      </c>
      <c r="AH516">
        <v>0</v>
      </c>
      <c r="AI516">
        <v>5.77</v>
      </c>
      <c r="AJ516">
        <v>1</v>
      </c>
      <c r="AK516">
        <v>1</v>
      </c>
      <c r="AL516">
        <v>1</v>
      </c>
      <c r="AN516">
        <v>0</v>
      </c>
      <c r="AO516">
        <v>0</v>
      </c>
      <c r="AP516">
        <v>1</v>
      </c>
      <c r="AQ516">
        <v>0</v>
      </c>
      <c r="AR516">
        <v>0</v>
      </c>
      <c r="AS516" t="s">
        <v>3</v>
      </c>
      <c r="AT516">
        <v>1000</v>
      </c>
      <c r="AU516" t="s">
        <v>3</v>
      </c>
      <c r="AV516">
        <v>0</v>
      </c>
      <c r="AW516">
        <v>1</v>
      </c>
      <c r="AX516">
        <v>-1</v>
      </c>
      <c r="AY516">
        <v>0</v>
      </c>
      <c r="AZ516">
        <v>0</v>
      </c>
      <c r="BA516" t="s">
        <v>3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0</v>
      </c>
      <c r="BV516">
        <v>0</v>
      </c>
      <c r="BW516">
        <v>0</v>
      </c>
      <c r="CX516">
        <f>Y516*Source!I1018</f>
        <v>58</v>
      </c>
      <c r="CY516">
        <f>AA516</f>
        <v>623.42999999999995</v>
      </c>
      <c r="CZ516">
        <f>AE516</f>
        <v>99.95</v>
      </c>
      <c r="DA516">
        <f>AI516</f>
        <v>5.77</v>
      </c>
      <c r="DB516">
        <f>ROUND(ROUND(AT516*CZ516,2),6)</f>
        <v>99950</v>
      </c>
      <c r="DC516">
        <f>ROUND(ROUND(AT516*AG516,2),6)</f>
        <v>0</v>
      </c>
    </row>
    <row r="517" spans="1:107" x14ac:dyDescent="0.2">
      <c r="A517">
        <f>ROW(Source!A1018)</f>
        <v>1018</v>
      </c>
      <c r="B517">
        <v>42938047</v>
      </c>
      <c r="C517">
        <v>43137733</v>
      </c>
      <c r="D517">
        <v>35994366</v>
      </c>
      <c r="E517">
        <v>35973048</v>
      </c>
      <c r="F517">
        <v>1</v>
      </c>
      <c r="G517">
        <v>35973048</v>
      </c>
      <c r="H517">
        <v>3</v>
      </c>
      <c r="I517" t="s">
        <v>1294</v>
      </c>
      <c r="J517" t="s">
        <v>3</v>
      </c>
      <c r="K517" t="s">
        <v>1295</v>
      </c>
      <c r="L517">
        <v>1344</v>
      </c>
      <c r="N517">
        <v>1008</v>
      </c>
      <c r="O517" t="s">
        <v>1245</v>
      </c>
      <c r="P517" t="s">
        <v>1245</v>
      </c>
      <c r="Q517">
        <v>1</v>
      </c>
      <c r="W517">
        <v>0</v>
      </c>
      <c r="X517">
        <v>-94250534</v>
      </c>
      <c r="Y517">
        <v>44.38</v>
      </c>
      <c r="AA517">
        <v>7.11</v>
      </c>
      <c r="AB517">
        <v>0</v>
      </c>
      <c r="AC517">
        <v>0</v>
      </c>
      <c r="AD517">
        <v>0</v>
      </c>
      <c r="AE517">
        <v>1</v>
      </c>
      <c r="AF517">
        <v>0</v>
      </c>
      <c r="AG517">
        <v>0</v>
      </c>
      <c r="AH517">
        <v>0</v>
      </c>
      <c r="AI517">
        <v>6.58</v>
      </c>
      <c r="AJ517">
        <v>1</v>
      </c>
      <c r="AK517">
        <v>1</v>
      </c>
      <c r="AL517">
        <v>1</v>
      </c>
      <c r="AN517">
        <v>0</v>
      </c>
      <c r="AO517">
        <v>1</v>
      </c>
      <c r="AP517">
        <v>1</v>
      </c>
      <c r="AQ517">
        <v>0</v>
      </c>
      <c r="AR517">
        <v>0</v>
      </c>
      <c r="AS517" t="s">
        <v>3</v>
      </c>
      <c r="AT517">
        <v>44.38</v>
      </c>
      <c r="AU517" t="s">
        <v>3</v>
      </c>
      <c r="AV517">
        <v>0</v>
      </c>
      <c r="AW517">
        <v>2</v>
      </c>
      <c r="AX517">
        <v>43137736</v>
      </c>
      <c r="AY517">
        <v>1</v>
      </c>
      <c r="AZ517">
        <v>0</v>
      </c>
      <c r="BA517">
        <v>510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0</v>
      </c>
      <c r="BV517">
        <v>0</v>
      </c>
      <c r="BW517">
        <v>0</v>
      </c>
      <c r="CX517">
        <f>Y517*Source!I1018</f>
        <v>2.5740400000000001</v>
      </c>
      <c r="CY517">
        <f>AA517</f>
        <v>7.11</v>
      </c>
      <c r="CZ517">
        <f>AE517</f>
        <v>1</v>
      </c>
      <c r="DA517">
        <f>AI517</f>
        <v>6.58</v>
      </c>
      <c r="DB517">
        <f>ROUND(ROUND(AT517*CZ517,2),6)</f>
        <v>44.38</v>
      </c>
      <c r="DC517">
        <f>ROUND(ROUND(AT517*AG517,2),6)</f>
        <v>0</v>
      </c>
    </row>
    <row r="518" spans="1:107" x14ac:dyDescent="0.2">
      <c r="A518">
        <f>ROW(Source!A1021)</f>
        <v>1021</v>
      </c>
      <c r="B518">
        <v>42938047</v>
      </c>
      <c r="C518">
        <v>43137738</v>
      </c>
      <c r="D518">
        <v>35973053</v>
      </c>
      <c r="E518">
        <v>35973048</v>
      </c>
      <c r="F518">
        <v>1</v>
      </c>
      <c r="G518">
        <v>35973048</v>
      </c>
      <c r="H518">
        <v>1</v>
      </c>
      <c r="I518" t="s">
        <v>1228</v>
      </c>
      <c r="J518" t="s">
        <v>3</v>
      </c>
      <c r="K518" t="s">
        <v>1229</v>
      </c>
      <c r="L518">
        <v>1191</v>
      </c>
      <c r="N518">
        <v>1013</v>
      </c>
      <c r="O518" t="s">
        <v>1230</v>
      </c>
      <c r="P518" t="s">
        <v>1230</v>
      </c>
      <c r="Q518">
        <v>1</v>
      </c>
      <c r="W518">
        <v>0</v>
      </c>
      <c r="X518">
        <v>476480486</v>
      </c>
      <c r="Y518">
        <v>179.27349999999998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1</v>
      </c>
      <c r="AJ518">
        <v>1</v>
      </c>
      <c r="AK518">
        <v>1</v>
      </c>
      <c r="AL518">
        <v>25.44</v>
      </c>
      <c r="AN518">
        <v>0</v>
      </c>
      <c r="AO518">
        <v>1</v>
      </c>
      <c r="AP518">
        <v>1</v>
      </c>
      <c r="AQ518">
        <v>0</v>
      </c>
      <c r="AR518">
        <v>0</v>
      </c>
      <c r="AS518" t="s">
        <v>3</v>
      </c>
      <c r="AT518">
        <v>155.88999999999999</v>
      </c>
      <c r="AU518" t="s">
        <v>21</v>
      </c>
      <c r="AV518">
        <v>1</v>
      </c>
      <c r="AW518">
        <v>2</v>
      </c>
      <c r="AX518">
        <v>43137742</v>
      </c>
      <c r="AY518">
        <v>1</v>
      </c>
      <c r="AZ518">
        <v>0</v>
      </c>
      <c r="BA518">
        <v>511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0</v>
      </c>
      <c r="BV518">
        <v>0</v>
      </c>
      <c r="BW518">
        <v>0</v>
      </c>
      <c r="CX518">
        <f>Y518*Source!I1021</f>
        <v>7.1709399999999999</v>
      </c>
      <c r="CY518">
        <f>AD518</f>
        <v>0</v>
      </c>
      <c r="CZ518">
        <f>AH518</f>
        <v>0</v>
      </c>
      <c r="DA518">
        <f>AL518</f>
        <v>25.44</v>
      </c>
      <c r="DB518">
        <f>ROUND((ROUND(AT518*CZ518,2)*1.15),6)</f>
        <v>0</v>
      </c>
      <c r="DC518">
        <f>ROUND((ROUND(AT518*AG518,2)*1.15),6)</f>
        <v>0</v>
      </c>
    </row>
    <row r="519" spans="1:107" x14ac:dyDescent="0.2">
      <c r="A519">
        <f>ROW(Source!A1021)</f>
        <v>1021</v>
      </c>
      <c r="B519">
        <v>42938047</v>
      </c>
      <c r="C519">
        <v>43137738</v>
      </c>
      <c r="D519">
        <v>36033999</v>
      </c>
      <c r="E519">
        <v>1</v>
      </c>
      <c r="F519">
        <v>1</v>
      </c>
      <c r="G519">
        <v>35973048</v>
      </c>
      <c r="H519">
        <v>3</v>
      </c>
      <c r="I519" t="s">
        <v>1123</v>
      </c>
      <c r="J519" t="s">
        <v>1125</v>
      </c>
      <c r="K519" t="s">
        <v>1124</v>
      </c>
      <c r="L519">
        <v>1391</v>
      </c>
      <c r="N519">
        <v>1013</v>
      </c>
      <c r="O519" t="s">
        <v>1062</v>
      </c>
      <c r="P519" t="s">
        <v>1062</v>
      </c>
      <c r="Q519">
        <v>1</v>
      </c>
      <c r="W519">
        <v>0</v>
      </c>
      <c r="X519">
        <v>-2023689584</v>
      </c>
      <c r="Y519">
        <v>100</v>
      </c>
      <c r="AA519">
        <v>310.33</v>
      </c>
      <c r="AB519">
        <v>0</v>
      </c>
      <c r="AC519">
        <v>0</v>
      </c>
      <c r="AD519">
        <v>0</v>
      </c>
      <c r="AE519">
        <v>153.63</v>
      </c>
      <c r="AF519">
        <v>0</v>
      </c>
      <c r="AG519">
        <v>0</v>
      </c>
      <c r="AH519">
        <v>0</v>
      </c>
      <c r="AI519">
        <v>2.02</v>
      </c>
      <c r="AJ519">
        <v>1</v>
      </c>
      <c r="AK519">
        <v>1</v>
      </c>
      <c r="AL519">
        <v>1</v>
      </c>
      <c r="AN519">
        <v>0</v>
      </c>
      <c r="AO519">
        <v>0</v>
      </c>
      <c r="AP519">
        <v>0</v>
      </c>
      <c r="AQ519">
        <v>0</v>
      </c>
      <c r="AR519">
        <v>0</v>
      </c>
      <c r="AS519" t="s">
        <v>3</v>
      </c>
      <c r="AT519">
        <v>100</v>
      </c>
      <c r="AU519" t="s">
        <v>3</v>
      </c>
      <c r="AV519">
        <v>0</v>
      </c>
      <c r="AW519">
        <v>1</v>
      </c>
      <c r="AX519">
        <v>-1</v>
      </c>
      <c r="AY519">
        <v>0</v>
      </c>
      <c r="AZ519">
        <v>0</v>
      </c>
      <c r="BA519" t="s">
        <v>3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0</v>
      </c>
      <c r="BV519">
        <v>0</v>
      </c>
      <c r="BW519">
        <v>0</v>
      </c>
      <c r="CX519">
        <f>Y519*Source!I1021</f>
        <v>4</v>
      </c>
      <c r="CY519">
        <f>AA519</f>
        <v>310.33</v>
      </c>
      <c r="CZ519">
        <f>AE519</f>
        <v>153.63</v>
      </c>
      <c r="DA519">
        <f>AI519</f>
        <v>2.02</v>
      </c>
      <c r="DB519">
        <f>ROUND(ROUND(AT519*CZ519,2),6)</f>
        <v>15363</v>
      </c>
      <c r="DC519">
        <f>ROUND(ROUND(AT519*AG519,2),6)</f>
        <v>0</v>
      </c>
    </row>
    <row r="520" spans="1:107" x14ac:dyDescent="0.2">
      <c r="A520">
        <f>ROW(Source!A1023)</f>
        <v>1023</v>
      </c>
      <c r="B520">
        <v>42938047</v>
      </c>
      <c r="C520">
        <v>43137739</v>
      </c>
      <c r="D520">
        <v>35973053</v>
      </c>
      <c r="E520">
        <v>35973048</v>
      </c>
      <c r="F520">
        <v>1</v>
      </c>
      <c r="G520">
        <v>35973048</v>
      </c>
      <c r="H520">
        <v>1</v>
      </c>
      <c r="I520" t="s">
        <v>1228</v>
      </c>
      <c r="J520" t="s">
        <v>3</v>
      </c>
      <c r="K520" t="s">
        <v>1229</v>
      </c>
      <c r="L520">
        <v>1191</v>
      </c>
      <c r="N520">
        <v>1013</v>
      </c>
      <c r="O520" t="s">
        <v>1230</v>
      </c>
      <c r="P520" t="s">
        <v>1230</v>
      </c>
      <c r="Q520">
        <v>1</v>
      </c>
      <c r="W520">
        <v>0</v>
      </c>
      <c r="X520">
        <v>476480486</v>
      </c>
      <c r="Y520">
        <v>18.169999999999998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1</v>
      </c>
      <c r="AJ520">
        <v>1</v>
      </c>
      <c r="AK520">
        <v>1</v>
      </c>
      <c r="AL520">
        <v>25.44</v>
      </c>
      <c r="AN520">
        <v>0</v>
      </c>
      <c r="AO520">
        <v>1</v>
      </c>
      <c r="AP520">
        <v>1</v>
      </c>
      <c r="AQ520">
        <v>0</v>
      </c>
      <c r="AR520">
        <v>0</v>
      </c>
      <c r="AS520" t="s">
        <v>3</v>
      </c>
      <c r="AT520">
        <v>15.8</v>
      </c>
      <c r="AU520" t="s">
        <v>21</v>
      </c>
      <c r="AV520">
        <v>1</v>
      </c>
      <c r="AW520">
        <v>2</v>
      </c>
      <c r="AX520">
        <v>43137748</v>
      </c>
      <c r="AY520">
        <v>1</v>
      </c>
      <c r="AZ520">
        <v>0</v>
      </c>
      <c r="BA520">
        <v>513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  <c r="BV520">
        <v>0</v>
      </c>
      <c r="BW520">
        <v>0</v>
      </c>
      <c r="CX520">
        <f>Y520*Source!I1023</f>
        <v>36.339999999999996</v>
      </c>
      <c r="CY520">
        <f>AD520</f>
        <v>0</v>
      </c>
      <c r="CZ520">
        <f>AH520</f>
        <v>0</v>
      </c>
      <c r="DA520">
        <f>AL520</f>
        <v>25.44</v>
      </c>
      <c r="DB520">
        <f>ROUND((ROUND(AT520*CZ520,2)*1.15),6)</f>
        <v>0</v>
      </c>
      <c r="DC520">
        <f>ROUND((ROUND(AT520*AG520,2)*1.15),6)</f>
        <v>0</v>
      </c>
    </row>
    <row r="521" spans="1:107" x14ac:dyDescent="0.2">
      <c r="A521">
        <f>ROW(Source!A1023)</f>
        <v>1023</v>
      </c>
      <c r="B521">
        <v>42938047</v>
      </c>
      <c r="C521">
        <v>43137739</v>
      </c>
      <c r="D521">
        <v>36037003</v>
      </c>
      <c r="E521">
        <v>1</v>
      </c>
      <c r="F521">
        <v>1</v>
      </c>
      <c r="G521">
        <v>35973048</v>
      </c>
      <c r="H521">
        <v>3</v>
      </c>
      <c r="I521" t="s">
        <v>1131</v>
      </c>
      <c r="J521" t="s">
        <v>1133</v>
      </c>
      <c r="K521" t="s">
        <v>1132</v>
      </c>
      <c r="L521">
        <v>1303</v>
      </c>
      <c r="N521">
        <v>1003</v>
      </c>
      <c r="O521" t="s">
        <v>810</v>
      </c>
      <c r="P521" t="s">
        <v>810</v>
      </c>
      <c r="Q521">
        <v>1000</v>
      </c>
      <c r="W521">
        <v>0</v>
      </c>
      <c r="X521">
        <v>2107958880</v>
      </c>
      <c r="Y521">
        <v>0.125</v>
      </c>
      <c r="AA521">
        <v>935414.89</v>
      </c>
      <c r="AB521">
        <v>0</v>
      </c>
      <c r="AC521">
        <v>0</v>
      </c>
      <c r="AD521">
        <v>0</v>
      </c>
      <c r="AE521">
        <v>85337.64</v>
      </c>
      <c r="AF521">
        <v>0</v>
      </c>
      <c r="AG521">
        <v>0</v>
      </c>
      <c r="AH521">
        <v>0</v>
      </c>
      <c r="AI521">
        <v>10.14</v>
      </c>
      <c r="AJ521">
        <v>1</v>
      </c>
      <c r="AK521">
        <v>1</v>
      </c>
      <c r="AL521">
        <v>1</v>
      </c>
      <c r="AN521">
        <v>0</v>
      </c>
      <c r="AO521">
        <v>0</v>
      </c>
      <c r="AP521">
        <v>0</v>
      </c>
      <c r="AQ521">
        <v>0</v>
      </c>
      <c r="AR521">
        <v>0</v>
      </c>
      <c r="AS521" t="s">
        <v>3</v>
      </c>
      <c r="AT521">
        <v>0.125</v>
      </c>
      <c r="AU521" t="s">
        <v>3</v>
      </c>
      <c r="AV521">
        <v>0</v>
      </c>
      <c r="AW521">
        <v>1</v>
      </c>
      <c r="AX521">
        <v>-1</v>
      </c>
      <c r="AY521">
        <v>0</v>
      </c>
      <c r="AZ521">
        <v>0</v>
      </c>
      <c r="BA521" t="s">
        <v>3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0</v>
      </c>
      <c r="BV521">
        <v>0</v>
      </c>
      <c r="BW521">
        <v>0</v>
      </c>
      <c r="CX521">
        <f>Y521*Source!I1023</f>
        <v>0.25</v>
      </c>
      <c r="CY521">
        <f>AA521</f>
        <v>935414.89</v>
      </c>
      <c r="CZ521">
        <f>AE521</f>
        <v>85337.64</v>
      </c>
      <c r="DA521">
        <f>AI521</f>
        <v>10.14</v>
      </c>
      <c r="DB521">
        <f>ROUND(ROUND(AT521*CZ521,2),6)</f>
        <v>10667.21</v>
      </c>
      <c r="DC521">
        <f>ROUND(ROUND(AT521*AG521,2),6)</f>
        <v>0</v>
      </c>
    </row>
    <row r="522" spans="1:107" x14ac:dyDescent="0.2">
      <c r="A522">
        <f>ROW(Source!A1025)</f>
        <v>1025</v>
      </c>
      <c r="B522">
        <v>42938047</v>
      </c>
      <c r="C522">
        <v>43137749</v>
      </c>
      <c r="D522">
        <v>35973053</v>
      </c>
      <c r="E522">
        <v>35973048</v>
      </c>
      <c r="F522">
        <v>1</v>
      </c>
      <c r="G522">
        <v>35973048</v>
      </c>
      <c r="H522">
        <v>1</v>
      </c>
      <c r="I522" t="s">
        <v>1228</v>
      </c>
      <c r="J522" t="s">
        <v>3</v>
      </c>
      <c r="K522" t="s">
        <v>1229</v>
      </c>
      <c r="L522">
        <v>1191</v>
      </c>
      <c r="N522">
        <v>1013</v>
      </c>
      <c r="O522" t="s">
        <v>1230</v>
      </c>
      <c r="P522" t="s">
        <v>1230</v>
      </c>
      <c r="Q522">
        <v>1</v>
      </c>
      <c r="W522">
        <v>0</v>
      </c>
      <c r="X522">
        <v>476480486</v>
      </c>
      <c r="Y522">
        <v>19.549999999999997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1</v>
      </c>
      <c r="AJ522">
        <v>1</v>
      </c>
      <c r="AK522">
        <v>1</v>
      </c>
      <c r="AL522">
        <v>25.44</v>
      </c>
      <c r="AN522">
        <v>0</v>
      </c>
      <c r="AO522">
        <v>1</v>
      </c>
      <c r="AP522">
        <v>1</v>
      </c>
      <c r="AQ522">
        <v>0</v>
      </c>
      <c r="AR522">
        <v>0</v>
      </c>
      <c r="AS522" t="s">
        <v>3</v>
      </c>
      <c r="AT522">
        <v>17</v>
      </c>
      <c r="AU522" t="s">
        <v>21</v>
      </c>
      <c r="AV522">
        <v>1</v>
      </c>
      <c r="AW522">
        <v>2</v>
      </c>
      <c r="AX522">
        <v>43137752</v>
      </c>
      <c r="AY522">
        <v>1</v>
      </c>
      <c r="AZ522">
        <v>0</v>
      </c>
      <c r="BA522">
        <v>514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0</v>
      </c>
      <c r="BV522">
        <v>0</v>
      </c>
      <c r="BW522">
        <v>0</v>
      </c>
      <c r="CX522">
        <f>Y522*Source!I1025</f>
        <v>0.78199999999999992</v>
      </c>
      <c r="CY522">
        <f>AD522</f>
        <v>0</v>
      </c>
      <c r="CZ522">
        <f>AH522</f>
        <v>0</v>
      </c>
      <c r="DA522">
        <f>AL522</f>
        <v>25.44</v>
      </c>
      <c r="DB522">
        <f>ROUND((ROUND(AT522*CZ522,2)*1.15),6)</f>
        <v>0</v>
      </c>
      <c r="DC522">
        <f>ROUND((ROUND(AT522*AG522,2)*1.15),6)</f>
        <v>0</v>
      </c>
    </row>
    <row r="523" spans="1:107" x14ac:dyDescent="0.2">
      <c r="A523">
        <f>ROW(Source!A1025)</f>
        <v>1025</v>
      </c>
      <c r="B523">
        <v>42938047</v>
      </c>
      <c r="C523">
        <v>43137749</v>
      </c>
      <c r="D523">
        <v>36044893</v>
      </c>
      <c r="E523">
        <v>1</v>
      </c>
      <c r="F523">
        <v>1</v>
      </c>
      <c r="G523">
        <v>35973048</v>
      </c>
      <c r="H523">
        <v>2</v>
      </c>
      <c r="I523" t="s">
        <v>1439</v>
      </c>
      <c r="J523" t="s">
        <v>1440</v>
      </c>
      <c r="K523" t="s">
        <v>1441</v>
      </c>
      <c r="L523">
        <v>1367</v>
      </c>
      <c r="N523">
        <v>1011</v>
      </c>
      <c r="O523" t="s">
        <v>738</v>
      </c>
      <c r="P523" t="s">
        <v>738</v>
      </c>
      <c r="Q523">
        <v>1</v>
      </c>
      <c r="W523">
        <v>0</v>
      </c>
      <c r="X523">
        <v>-1376231497</v>
      </c>
      <c r="Y523">
        <v>23.125</v>
      </c>
      <c r="AA523">
        <v>0</v>
      </c>
      <c r="AB523">
        <v>1316.04</v>
      </c>
      <c r="AC523">
        <v>573.41999999999996</v>
      </c>
      <c r="AD523">
        <v>0</v>
      </c>
      <c r="AE523">
        <v>0</v>
      </c>
      <c r="AF523">
        <v>101.39</v>
      </c>
      <c r="AG523">
        <v>22.54</v>
      </c>
      <c r="AH523">
        <v>0</v>
      </c>
      <c r="AI523">
        <v>1</v>
      </c>
      <c r="AJ523">
        <v>12.98</v>
      </c>
      <c r="AK523">
        <v>25.44</v>
      </c>
      <c r="AL523">
        <v>1</v>
      </c>
      <c r="AN523">
        <v>0</v>
      </c>
      <c r="AO523">
        <v>1</v>
      </c>
      <c r="AP523">
        <v>1</v>
      </c>
      <c r="AQ523">
        <v>0</v>
      </c>
      <c r="AR523">
        <v>0</v>
      </c>
      <c r="AS523" t="s">
        <v>3</v>
      </c>
      <c r="AT523">
        <v>18.5</v>
      </c>
      <c r="AU523" t="s">
        <v>20</v>
      </c>
      <c r="AV523">
        <v>0</v>
      </c>
      <c r="AW523">
        <v>2</v>
      </c>
      <c r="AX523">
        <v>43137753</v>
      </c>
      <c r="AY523">
        <v>1</v>
      </c>
      <c r="AZ523">
        <v>0</v>
      </c>
      <c r="BA523">
        <v>515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0</v>
      </c>
      <c r="BV523">
        <v>0</v>
      </c>
      <c r="BW523">
        <v>0</v>
      </c>
      <c r="CX523">
        <f>Y523*Source!I1025</f>
        <v>0.92500000000000004</v>
      </c>
      <c r="CY523">
        <f>AB523</f>
        <v>1316.04</v>
      </c>
      <c r="CZ523">
        <f>AF523</f>
        <v>101.39</v>
      </c>
      <c r="DA523">
        <f>AJ523</f>
        <v>12.98</v>
      </c>
      <c r="DB523">
        <f>ROUND((ROUND(AT523*CZ523,2)*1.25),6)</f>
        <v>2344.65</v>
      </c>
      <c r="DC523">
        <f>ROUND((ROUND(AT523*AG523,2)*1.25),6)</f>
        <v>521.23749999999995</v>
      </c>
    </row>
    <row r="524" spans="1:107" x14ac:dyDescent="0.2">
      <c r="A524">
        <f>ROW(Source!A1026)</f>
        <v>1026</v>
      </c>
      <c r="B524">
        <v>42938047</v>
      </c>
      <c r="C524">
        <v>43137754</v>
      </c>
      <c r="D524">
        <v>35973053</v>
      </c>
      <c r="E524">
        <v>35973048</v>
      </c>
      <c r="F524">
        <v>1</v>
      </c>
      <c r="G524">
        <v>35973048</v>
      </c>
      <c r="H524">
        <v>1</v>
      </c>
      <c r="I524" t="s">
        <v>1228</v>
      </c>
      <c r="J524" t="s">
        <v>3</v>
      </c>
      <c r="K524" t="s">
        <v>1229</v>
      </c>
      <c r="L524">
        <v>1191</v>
      </c>
      <c r="N524">
        <v>1013</v>
      </c>
      <c r="O524" t="s">
        <v>1230</v>
      </c>
      <c r="P524" t="s">
        <v>1230</v>
      </c>
      <c r="Q524">
        <v>1</v>
      </c>
      <c r="W524">
        <v>0</v>
      </c>
      <c r="X524">
        <v>476480486</v>
      </c>
      <c r="Y524">
        <v>0.97749999999999992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1</v>
      </c>
      <c r="AJ524">
        <v>1</v>
      </c>
      <c r="AK524">
        <v>1</v>
      </c>
      <c r="AL524">
        <v>25.44</v>
      </c>
      <c r="AN524">
        <v>0</v>
      </c>
      <c r="AO524">
        <v>1</v>
      </c>
      <c r="AP524">
        <v>1</v>
      </c>
      <c r="AQ524">
        <v>0</v>
      </c>
      <c r="AR524">
        <v>0</v>
      </c>
      <c r="AS524" t="s">
        <v>3</v>
      </c>
      <c r="AT524">
        <v>0.85</v>
      </c>
      <c r="AU524" t="s">
        <v>21</v>
      </c>
      <c r="AV524">
        <v>1</v>
      </c>
      <c r="AW524">
        <v>2</v>
      </c>
      <c r="AX524">
        <v>43137756</v>
      </c>
      <c r="AY524">
        <v>1</v>
      </c>
      <c r="AZ524">
        <v>0</v>
      </c>
      <c r="BA524">
        <v>516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0</v>
      </c>
      <c r="BV524">
        <v>0</v>
      </c>
      <c r="BW524">
        <v>0</v>
      </c>
      <c r="CX524">
        <f>Y524*Source!I1026</f>
        <v>0.15639999999999998</v>
      </c>
      <c r="CY524">
        <f>AD524</f>
        <v>0</v>
      </c>
      <c r="CZ524">
        <f>AH524</f>
        <v>0</v>
      </c>
      <c r="DA524">
        <f>AL524</f>
        <v>25.44</v>
      </c>
      <c r="DB524">
        <f>ROUND((ROUND(AT524*CZ524,2)*1.15),6)</f>
        <v>0</v>
      </c>
      <c r="DC524">
        <f>ROUND((ROUND(AT524*AG524,2)*1.15),6)</f>
        <v>0</v>
      </c>
    </row>
    <row r="525" spans="1:107" x14ac:dyDescent="0.2">
      <c r="A525">
        <f>ROW(Source!A1026)</f>
        <v>1026</v>
      </c>
      <c r="B525">
        <v>42938047</v>
      </c>
      <c r="C525">
        <v>43137754</v>
      </c>
      <c r="D525">
        <v>36044926</v>
      </c>
      <c r="E525">
        <v>1</v>
      </c>
      <c r="F525">
        <v>1</v>
      </c>
      <c r="G525">
        <v>35973048</v>
      </c>
      <c r="H525">
        <v>2</v>
      </c>
      <c r="I525" t="s">
        <v>1352</v>
      </c>
      <c r="J525" t="s">
        <v>1353</v>
      </c>
      <c r="K525" t="s">
        <v>1354</v>
      </c>
      <c r="L525">
        <v>1367</v>
      </c>
      <c r="N525">
        <v>1011</v>
      </c>
      <c r="O525" t="s">
        <v>738</v>
      </c>
      <c r="P525" t="s">
        <v>738</v>
      </c>
      <c r="Q525">
        <v>1</v>
      </c>
      <c r="W525">
        <v>0</v>
      </c>
      <c r="X525">
        <v>-668768829</v>
      </c>
      <c r="Y525">
        <v>0.25</v>
      </c>
      <c r="AA525">
        <v>0</v>
      </c>
      <c r="AB525">
        <v>489.04</v>
      </c>
      <c r="AC525">
        <v>339.12</v>
      </c>
      <c r="AD525">
        <v>0</v>
      </c>
      <c r="AE525">
        <v>0</v>
      </c>
      <c r="AF525">
        <v>41.62</v>
      </c>
      <c r="AG525">
        <v>13.33</v>
      </c>
      <c r="AH525">
        <v>0</v>
      </c>
      <c r="AI525">
        <v>1</v>
      </c>
      <c r="AJ525">
        <v>11.75</v>
      </c>
      <c r="AK525">
        <v>25.44</v>
      </c>
      <c r="AL525">
        <v>1</v>
      </c>
      <c r="AN525">
        <v>0</v>
      </c>
      <c r="AO525">
        <v>1</v>
      </c>
      <c r="AP525">
        <v>1</v>
      </c>
      <c r="AQ525">
        <v>0</v>
      </c>
      <c r="AR525">
        <v>0</v>
      </c>
      <c r="AS525" t="s">
        <v>3</v>
      </c>
      <c r="AT525">
        <v>0.2</v>
      </c>
      <c r="AU525" t="s">
        <v>20</v>
      </c>
      <c r="AV525">
        <v>0</v>
      </c>
      <c r="AW525">
        <v>2</v>
      </c>
      <c r="AX525">
        <v>43137757</v>
      </c>
      <c r="AY525">
        <v>1</v>
      </c>
      <c r="AZ525">
        <v>0</v>
      </c>
      <c r="BA525">
        <v>517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0</v>
      </c>
      <c r="BW525">
        <v>0</v>
      </c>
      <c r="CX525">
        <f>Y525*Source!I1026</f>
        <v>0.04</v>
      </c>
      <c r="CY525">
        <f>AB525</f>
        <v>489.04</v>
      </c>
      <c r="CZ525">
        <f>AF525</f>
        <v>41.62</v>
      </c>
      <c r="DA525">
        <f>AJ525</f>
        <v>11.75</v>
      </c>
      <c r="DB525">
        <f>ROUND((ROUND(AT525*CZ525,2)*1.25),6)</f>
        <v>10.4</v>
      </c>
      <c r="DC525">
        <f>ROUND((ROUND(AT525*AG525,2)*1.25),6)</f>
        <v>3.3374999999999999</v>
      </c>
    </row>
    <row r="526" spans="1:107" x14ac:dyDescent="0.2">
      <c r="A526">
        <f>ROW(Source!A1026)</f>
        <v>1026</v>
      </c>
      <c r="B526">
        <v>42938047</v>
      </c>
      <c r="C526">
        <v>43137754</v>
      </c>
      <c r="D526">
        <v>36045337</v>
      </c>
      <c r="E526">
        <v>1</v>
      </c>
      <c r="F526">
        <v>1</v>
      </c>
      <c r="G526">
        <v>35973048</v>
      </c>
      <c r="H526">
        <v>2</v>
      </c>
      <c r="I526" t="s">
        <v>1299</v>
      </c>
      <c r="J526" t="s">
        <v>1300</v>
      </c>
      <c r="K526" t="s">
        <v>1301</v>
      </c>
      <c r="L526">
        <v>1367</v>
      </c>
      <c r="N526">
        <v>1011</v>
      </c>
      <c r="O526" t="s">
        <v>738</v>
      </c>
      <c r="P526" t="s">
        <v>738</v>
      </c>
      <c r="Q526">
        <v>1</v>
      </c>
      <c r="W526">
        <v>0</v>
      </c>
      <c r="X526">
        <v>1280158331</v>
      </c>
      <c r="Y526">
        <v>0.5</v>
      </c>
      <c r="AA526">
        <v>0</v>
      </c>
      <c r="AB526">
        <v>3.85</v>
      </c>
      <c r="AC526">
        <v>2.29</v>
      </c>
      <c r="AD526">
        <v>0</v>
      </c>
      <c r="AE526">
        <v>0</v>
      </c>
      <c r="AF526">
        <v>0.56000000000000005</v>
      </c>
      <c r="AG526">
        <v>0.09</v>
      </c>
      <c r="AH526">
        <v>0</v>
      </c>
      <c r="AI526">
        <v>1</v>
      </c>
      <c r="AJ526">
        <v>6.88</v>
      </c>
      <c r="AK526">
        <v>25.44</v>
      </c>
      <c r="AL526">
        <v>1</v>
      </c>
      <c r="AN526">
        <v>0</v>
      </c>
      <c r="AO526">
        <v>1</v>
      </c>
      <c r="AP526">
        <v>1</v>
      </c>
      <c r="AQ526">
        <v>0</v>
      </c>
      <c r="AR526">
        <v>0</v>
      </c>
      <c r="AS526" t="s">
        <v>3</v>
      </c>
      <c r="AT526">
        <v>0.4</v>
      </c>
      <c r="AU526" t="s">
        <v>20</v>
      </c>
      <c r="AV526">
        <v>0</v>
      </c>
      <c r="AW526">
        <v>2</v>
      </c>
      <c r="AX526">
        <v>43137758</v>
      </c>
      <c r="AY526">
        <v>1</v>
      </c>
      <c r="AZ526">
        <v>0</v>
      </c>
      <c r="BA526">
        <v>518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v>0</v>
      </c>
      <c r="BV526">
        <v>0</v>
      </c>
      <c r="BW526">
        <v>0</v>
      </c>
      <c r="CX526">
        <f>Y526*Source!I1026</f>
        <v>0.08</v>
      </c>
      <c r="CY526">
        <f>AB526</f>
        <v>3.85</v>
      </c>
      <c r="CZ526">
        <f>AF526</f>
        <v>0.56000000000000005</v>
      </c>
      <c r="DA526">
        <f>AJ526</f>
        <v>6.88</v>
      </c>
      <c r="DB526">
        <f>ROUND((ROUND(AT526*CZ526,2)*1.25),6)</f>
        <v>0.27500000000000002</v>
      </c>
      <c r="DC526">
        <f>ROUND((ROUND(AT526*AG526,2)*1.25),6)</f>
        <v>0.05</v>
      </c>
    </row>
    <row r="527" spans="1:107" x14ac:dyDescent="0.2">
      <c r="A527">
        <f>ROW(Source!A1026)</f>
        <v>1026</v>
      </c>
      <c r="B527">
        <v>42938047</v>
      </c>
      <c r="C527">
        <v>43137754</v>
      </c>
      <c r="D527">
        <v>36044644</v>
      </c>
      <c r="E527">
        <v>1</v>
      </c>
      <c r="F527">
        <v>1</v>
      </c>
      <c r="G527">
        <v>35973048</v>
      </c>
      <c r="H527">
        <v>2</v>
      </c>
      <c r="I527" t="s">
        <v>1418</v>
      </c>
      <c r="J527" t="s">
        <v>1419</v>
      </c>
      <c r="K527" t="s">
        <v>1420</v>
      </c>
      <c r="L527">
        <v>1367</v>
      </c>
      <c r="N527">
        <v>1011</v>
      </c>
      <c r="O527" t="s">
        <v>738</v>
      </c>
      <c r="P527" t="s">
        <v>738</v>
      </c>
      <c r="Q527">
        <v>1</v>
      </c>
      <c r="W527">
        <v>0</v>
      </c>
      <c r="X527">
        <v>1022351366</v>
      </c>
      <c r="Y527">
        <v>8.7500000000000008E-2</v>
      </c>
      <c r="AA527">
        <v>0</v>
      </c>
      <c r="AB527">
        <v>1220.04</v>
      </c>
      <c r="AC527">
        <v>488.45</v>
      </c>
      <c r="AD527">
        <v>0</v>
      </c>
      <c r="AE527">
        <v>0</v>
      </c>
      <c r="AF527">
        <v>106.74</v>
      </c>
      <c r="AG527">
        <v>19.2</v>
      </c>
      <c r="AH527">
        <v>0</v>
      </c>
      <c r="AI527">
        <v>1</v>
      </c>
      <c r="AJ527">
        <v>11.43</v>
      </c>
      <c r="AK527">
        <v>25.44</v>
      </c>
      <c r="AL527">
        <v>1</v>
      </c>
      <c r="AN527">
        <v>0</v>
      </c>
      <c r="AO527">
        <v>1</v>
      </c>
      <c r="AP527">
        <v>1</v>
      </c>
      <c r="AQ527">
        <v>0</v>
      </c>
      <c r="AR527">
        <v>0</v>
      </c>
      <c r="AS527" t="s">
        <v>3</v>
      </c>
      <c r="AT527">
        <v>7.0000000000000007E-2</v>
      </c>
      <c r="AU527" t="s">
        <v>20</v>
      </c>
      <c r="AV527">
        <v>0</v>
      </c>
      <c r="AW527">
        <v>2</v>
      </c>
      <c r="AX527">
        <v>43137759</v>
      </c>
      <c r="AY527">
        <v>1</v>
      </c>
      <c r="AZ527">
        <v>0</v>
      </c>
      <c r="BA527">
        <v>519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0</v>
      </c>
      <c r="BV527">
        <v>0</v>
      </c>
      <c r="BW527">
        <v>0</v>
      </c>
      <c r="CX527">
        <f>Y527*Source!I1026</f>
        <v>1.4000000000000002E-2</v>
      </c>
      <c r="CY527">
        <f>AB527</f>
        <v>1220.04</v>
      </c>
      <c r="CZ527">
        <f>AF527</f>
        <v>106.74</v>
      </c>
      <c r="DA527">
        <f>AJ527</f>
        <v>11.43</v>
      </c>
      <c r="DB527">
        <f>ROUND((ROUND(AT527*CZ527,2)*1.25),6)</f>
        <v>9.3375000000000004</v>
      </c>
      <c r="DC527">
        <f>ROUND((ROUND(AT527*AG527,2)*1.25),6)</f>
        <v>1.675</v>
      </c>
    </row>
    <row r="528" spans="1:107" x14ac:dyDescent="0.2">
      <c r="A528">
        <f>ROW(Source!A1026)</f>
        <v>1026</v>
      </c>
      <c r="B528">
        <v>42938047</v>
      </c>
      <c r="C528">
        <v>43137754</v>
      </c>
      <c r="D528">
        <v>36020415</v>
      </c>
      <c r="E528">
        <v>1</v>
      </c>
      <c r="F528">
        <v>1</v>
      </c>
      <c r="G528">
        <v>35973048</v>
      </c>
      <c r="H528">
        <v>3</v>
      </c>
      <c r="I528" t="s">
        <v>469</v>
      </c>
      <c r="J528" t="s">
        <v>471</v>
      </c>
      <c r="K528" t="s">
        <v>470</v>
      </c>
      <c r="L528">
        <v>1339</v>
      </c>
      <c r="N528">
        <v>1007</v>
      </c>
      <c r="O528" t="s">
        <v>84</v>
      </c>
      <c r="P528" t="s">
        <v>84</v>
      </c>
      <c r="Q528">
        <v>1</v>
      </c>
      <c r="W528">
        <v>0</v>
      </c>
      <c r="X528">
        <v>-862991314</v>
      </c>
      <c r="Y528">
        <v>0.15</v>
      </c>
      <c r="AA528">
        <v>36.340000000000003</v>
      </c>
      <c r="AB528">
        <v>0</v>
      </c>
      <c r="AC528">
        <v>0</v>
      </c>
      <c r="AD528">
        <v>0</v>
      </c>
      <c r="AE528">
        <v>7.07</v>
      </c>
      <c r="AF528">
        <v>0</v>
      </c>
      <c r="AG528">
        <v>0</v>
      </c>
      <c r="AH528">
        <v>0</v>
      </c>
      <c r="AI528">
        <v>5.14</v>
      </c>
      <c r="AJ528">
        <v>1</v>
      </c>
      <c r="AK528">
        <v>1</v>
      </c>
      <c r="AL528">
        <v>1</v>
      </c>
      <c r="AN528">
        <v>0</v>
      </c>
      <c r="AO528">
        <v>1</v>
      </c>
      <c r="AP528">
        <v>1</v>
      </c>
      <c r="AQ528">
        <v>0</v>
      </c>
      <c r="AR528">
        <v>0</v>
      </c>
      <c r="AS528" t="s">
        <v>3</v>
      </c>
      <c r="AT528">
        <v>0.15</v>
      </c>
      <c r="AU528" t="s">
        <v>3</v>
      </c>
      <c r="AV528">
        <v>0</v>
      </c>
      <c r="AW528">
        <v>2</v>
      </c>
      <c r="AX528">
        <v>43137760</v>
      </c>
      <c r="AY528">
        <v>1</v>
      </c>
      <c r="AZ528">
        <v>0</v>
      </c>
      <c r="BA528">
        <v>520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0</v>
      </c>
      <c r="BU528">
        <v>0</v>
      </c>
      <c r="BV528">
        <v>0</v>
      </c>
      <c r="BW528">
        <v>0</v>
      </c>
      <c r="CX528">
        <f>Y528*Source!I1026</f>
        <v>2.4E-2</v>
      </c>
      <c r="CY528">
        <f>AA528</f>
        <v>36.340000000000003</v>
      </c>
      <c r="CZ528">
        <f>AE528</f>
        <v>7.07</v>
      </c>
      <c r="DA528">
        <f>AI528</f>
        <v>5.14</v>
      </c>
      <c r="DB528">
        <f>ROUND(ROUND(AT528*CZ528,2),6)</f>
        <v>1.06</v>
      </c>
      <c r="DC528">
        <f>ROUND(ROUND(AT528*AG528,2),6)</f>
        <v>0</v>
      </c>
    </row>
    <row r="529" spans="1:107" x14ac:dyDescent="0.2">
      <c r="A529">
        <f>ROW(Source!A1026)</f>
        <v>1026</v>
      </c>
      <c r="B529">
        <v>42938047</v>
      </c>
      <c r="C529">
        <v>43137754</v>
      </c>
      <c r="D529">
        <v>36021685</v>
      </c>
      <c r="E529">
        <v>1</v>
      </c>
      <c r="F529">
        <v>1</v>
      </c>
      <c r="G529">
        <v>35973048</v>
      </c>
      <c r="H529">
        <v>3</v>
      </c>
      <c r="I529" t="s">
        <v>1022</v>
      </c>
      <c r="J529" t="s">
        <v>1024</v>
      </c>
      <c r="K529" t="s">
        <v>1023</v>
      </c>
      <c r="L529">
        <v>1339</v>
      </c>
      <c r="N529">
        <v>1007</v>
      </c>
      <c r="O529" t="s">
        <v>84</v>
      </c>
      <c r="P529" t="s">
        <v>84</v>
      </c>
      <c r="Q529">
        <v>1</v>
      </c>
      <c r="W529">
        <v>0</v>
      </c>
      <c r="X529">
        <v>103091715</v>
      </c>
      <c r="Y529">
        <v>1.1499999999999999</v>
      </c>
      <c r="AA529">
        <v>1948.74</v>
      </c>
      <c r="AB529">
        <v>0</v>
      </c>
      <c r="AC529">
        <v>0</v>
      </c>
      <c r="AD529">
        <v>0</v>
      </c>
      <c r="AE529">
        <v>196.85</v>
      </c>
      <c r="AF529">
        <v>0</v>
      </c>
      <c r="AG529">
        <v>0</v>
      </c>
      <c r="AH529">
        <v>0</v>
      </c>
      <c r="AI529">
        <v>9.8699999999999992</v>
      </c>
      <c r="AJ529">
        <v>1</v>
      </c>
      <c r="AK529">
        <v>1</v>
      </c>
      <c r="AL529">
        <v>1</v>
      </c>
      <c r="AN529">
        <v>0</v>
      </c>
      <c r="AO529">
        <v>0</v>
      </c>
      <c r="AP529">
        <v>0</v>
      </c>
      <c r="AQ529">
        <v>0</v>
      </c>
      <c r="AR529">
        <v>0</v>
      </c>
      <c r="AS529" t="s">
        <v>3</v>
      </c>
      <c r="AT529">
        <v>1.1499999999999999</v>
      </c>
      <c r="AU529" t="s">
        <v>3</v>
      </c>
      <c r="AV529">
        <v>0</v>
      </c>
      <c r="AW529">
        <v>1</v>
      </c>
      <c r="AX529">
        <v>-1</v>
      </c>
      <c r="AY529">
        <v>0</v>
      </c>
      <c r="AZ529">
        <v>0</v>
      </c>
      <c r="BA529" t="s">
        <v>3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v>0</v>
      </c>
      <c r="BV529">
        <v>0</v>
      </c>
      <c r="BW529">
        <v>0</v>
      </c>
      <c r="CX529">
        <f>Y529*Source!I1026</f>
        <v>0.184</v>
      </c>
      <c r="CY529">
        <f>AA529</f>
        <v>1948.74</v>
      </c>
      <c r="CZ529">
        <f>AE529</f>
        <v>196.85</v>
      </c>
      <c r="DA529">
        <f>AI529</f>
        <v>9.8699999999999992</v>
      </c>
      <c r="DB529">
        <f>ROUND(ROUND(AT529*CZ529,2),6)</f>
        <v>226.38</v>
      </c>
      <c r="DC529">
        <f>ROUND(ROUND(AT529*AG529,2),6)</f>
        <v>0</v>
      </c>
    </row>
    <row r="530" spans="1:107" x14ac:dyDescent="0.2">
      <c r="A530">
        <f>ROW(Source!A1028)</f>
        <v>1028</v>
      </c>
      <c r="B530">
        <v>42938047</v>
      </c>
      <c r="C530">
        <v>43137755</v>
      </c>
      <c r="D530">
        <v>35973053</v>
      </c>
      <c r="E530">
        <v>35973048</v>
      </c>
      <c r="F530">
        <v>1</v>
      </c>
      <c r="G530">
        <v>35973048</v>
      </c>
      <c r="H530">
        <v>1</v>
      </c>
      <c r="I530" t="s">
        <v>1228</v>
      </c>
      <c r="J530" t="s">
        <v>3</v>
      </c>
      <c r="K530" t="s">
        <v>1229</v>
      </c>
      <c r="L530">
        <v>1191</v>
      </c>
      <c r="N530">
        <v>1013</v>
      </c>
      <c r="O530" t="s">
        <v>1230</v>
      </c>
      <c r="P530" t="s">
        <v>1230</v>
      </c>
      <c r="Q530">
        <v>1</v>
      </c>
      <c r="W530">
        <v>0</v>
      </c>
      <c r="X530">
        <v>476480486</v>
      </c>
      <c r="Y530">
        <v>23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1</v>
      </c>
      <c r="AJ530">
        <v>1</v>
      </c>
      <c r="AK530">
        <v>1</v>
      </c>
      <c r="AL530">
        <v>25.44</v>
      </c>
      <c r="AN530">
        <v>0</v>
      </c>
      <c r="AO530">
        <v>1</v>
      </c>
      <c r="AP530">
        <v>1</v>
      </c>
      <c r="AQ530">
        <v>0</v>
      </c>
      <c r="AR530">
        <v>0</v>
      </c>
      <c r="AS530" t="s">
        <v>3</v>
      </c>
      <c r="AT530">
        <v>20</v>
      </c>
      <c r="AU530" t="s">
        <v>21</v>
      </c>
      <c r="AV530">
        <v>1</v>
      </c>
      <c r="AW530">
        <v>2</v>
      </c>
      <c r="AX530">
        <v>43137765</v>
      </c>
      <c r="AY530">
        <v>1</v>
      </c>
      <c r="AZ530">
        <v>0</v>
      </c>
      <c r="BA530">
        <v>522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0</v>
      </c>
      <c r="BV530">
        <v>0</v>
      </c>
      <c r="BW530">
        <v>0</v>
      </c>
      <c r="CX530">
        <f>Y530*Source!I1028</f>
        <v>7.7280000000000006</v>
      </c>
      <c r="CY530">
        <f>AD530</f>
        <v>0</v>
      </c>
      <c r="CZ530">
        <f>AH530</f>
        <v>0</v>
      </c>
      <c r="DA530">
        <f>AL530</f>
        <v>25.44</v>
      </c>
      <c r="DB530">
        <f>ROUND((ROUND(AT530*CZ530,2)*1.15),6)</f>
        <v>0</v>
      </c>
      <c r="DC530">
        <f>ROUND((ROUND(AT530*AG530,2)*1.15),6)</f>
        <v>0</v>
      </c>
    </row>
    <row r="531" spans="1:107" x14ac:dyDescent="0.2">
      <c r="A531">
        <f>ROW(Source!A1028)</f>
        <v>1028</v>
      </c>
      <c r="B531">
        <v>42938047</v>
      </c>
      <c r="C531">
        <v>43137755</v>
      </c>
      <c r="D531">
        <v>36045308</v>
      </c>
      <c r="E531">
        <v>1</v>
      </c>
      <c r="F531">
        <v>1</v>
      </c>
      <c r="G531">
        <v>35973048</v>
      </c>
      <c r="H531">
        <v>2</v>
      </c>
      <c r="I531" t="s">
        <v>1231</v>
      </c>
      <c r="J531" t="s">
        <v>1232</v>
      </c>
      <c r="K531" t="s">
        <v>1233</v>
      </c>
      <c r="L531">
        <v>1367</v>
      </c>
      <c r="N531">
        <v>1011</v>
      </c>
      <c r="O531" t="s">
        <v>738</v>
      </c>
      <c r="P531" t="s">
        <v>738</v>
      </c>
      <c r="Q531">
        <v>1</v>
      </c>
      <c r="W531">
        <v>0</v>
      </c>
      <c r="X531">
        <v>-628430174</v>
      </c>
      <c r="Y531">
        <v>0.23749999999999999</v>
      </c>
      <c r="AA531">
        <v>0</v>
      </c>
      <c r="AB531">
        <v>748.13</v>
      </c>
      <c r="AC531">
        <v>365.32</v>
      </c>
      <c r="AD531">
        <v>0</v>
      </c>
      <c r="AE531">
        <v>0</v>
      </c>
      <c r="AF531">
        <v>76.81</v>
      </c>
      <c r="AG531">
        <v>14.36</v>
      </c>
      <c r="AH531">
        <v>0</v>
      </c>
      <c r="AI531">
        <v>1</v>
      </c>
      <c r="AJ531">
        <v>9.74</v>
      </c>
      <c r="AK531">
        <v>25.44</v>
      </c>
      <c r="AL531">
        <v>1</v>
      </c>
      <c r="AN531">
        <v>0</v>
      </c>
      <c r="AO531">
        <v>1</v>
      </c>
      <c r="AP531">
        <v>1</v>
      </c>
      <c r="AQ531">
        <v>0</v>
      </c>
      <c r="AR531">
        <v>0</v>
      </c>
      <c r="AS531" t="s">
        <v>3</v>
      </c>
      <c r="AT531">
        <v>0.19</v>
      </c>
      <c r="AU531" t="s">
        <v>20</v>
      </c>
      <c r="AV531">
        <v>0</v>
      </c>
      <c r="AW531">
        <v>2</v>
      </c>
      <c r="AX531">
        <v>43137766</v>
      </c>
      <c r="AY531">
        <v>1</v>
      </c>
      <c r="AZ531">
        <v>0</v>
      </c>
      <c r="BA531">
        <v>523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0</v>
      </c>
      <c r="CX531">
        <f>Y531*Source!I1028</f>
        <v>7.9799999999999996E-2</v>
      </c>
      <c r="CY531">
        <f>AB531</f>
        <v>748.13</v>
      </c>
      <c r="CZ531">
        <f>AF531</f>
        <v>76.81</v>
      </c>
      <c r="DA531">
        <f>AJ531</f>
        <v>9.74</v>
      </c>
      <c r="DB531">
        <f>ROUND((ROUND(AT531*CZ531,2)*1.25),6)</f>
        <v>18.237500000000001</v>
      </c>
      <c r="DC531">
        <f>ROUND((ROUND(AT531*AG531,2)*1.25),6)</f>
        <v>3.4125000000000001</v>
      </c>
    </row>
    <row r="532" spans="1:107" x14ac:dyDescent="0.2">
      <c r="A532">
        <f>ROW(Source!A1028)</f>
        <v>1028</v>
      </c>
      <c r="B532">
        <v>42938047</v>
      </c>
      <c r="C532">
        <v>43137755</v>
      </c>
      <c r="D532">
        <v>36044555</v>
      </c>
      <c r="E532">
        <v>1</v>
      </c>
      <c r="F532">
        <v>1</v>
      </c>
      <c r="G532">
        <v>35973048</v>
      </c>
      <c r="H532">
        <v>2</v>
      </c>
      <c r="I532" t="s">
        <v>1267</v>
      </c>
      <c r="J532" t="s">
        <v>1268</v>
      </c>
      <c r="K532" t="s">
        <v>1269</v>
      </c>
      <c r="L532">
        <v>1367</v>
      </c>
      <c r="N532">
        <v>1011</v>
      </c>
      <c r="O532" t="s">
        <v>738</v>
      </c>
      <c r="P532" t="s">
        <v>738</v>
      </c>
      <c r="Q532">
        <v>1</v>
      </c>
      <c r="W532">
        <v>0</v>
      </c>
      <c r="X532">
        <v>-266174272</v>
      </c>
      <c r="Y532">
        <v>0.17500000000000002</v>
      </c>
      <c r="AA532">
        <v>0</v>
      </c>
      <c r="AB532">
        <v>1636.27</v>
      </c>
      <c r="AC532">
        <v>461.74</v>
      </c>
      <c r="AD532">
        <v>0</v>
      </c>
      <c r="AE532">
        <v>0</v>
      </c>
      <c r="AF532">
        <v>190.93</v>
      </c>
      <c r="AG532">
        <v>18.149999999999999</v>
      </c>
      <c r="AH532">
        <v>0</v>
      </c>
      <c r="AI532">
        <v>1</v>
      </c>
      <c r="AJ532">
        <v>8.57</v>
      </c>
      <c r="AK532">
        <v>25.44</v>
      </c>
      <c r="AL532">
        <v>1</v>
      </c>
      <c r="AN532">
        <v>0</v>
      </c>
      <c r="AO532">
        <v>1</v>
      </c>
      <c r="AP532">
        <v>1</v>
      </c>
      <c r="AQ532">
        <v>0</v>
      </c>
      <c r="AR532">
        <v>0</v>
      </c>
      <c r="AS532" t="s">
        <v>3</v>
      </c>
      <c r="AT532">
        <v>0.14000000000000001</v>
      </c>
      <c r="AU532" t="s">
        <v>20</v>
      </c>
      <c r="AV532">
        <v>0</v>
      </c>
      <c r="AW532">
        <v>2</v>
      </c>
      <c r="AX532">
        <v>43137767</v>
      </c>
      <c r="AY532">
        <v>1</v>
      </c>
      <c r="AZ532">
        <v>0</v>
      </c>
      <c r="BA532">
        <v>524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v>0</v>
      </c>
      <c r="BV532">
        <v>0</v>
      </c>
      <c r="BW532">
        <v>0</v>
      </c>
      <c r="CX532">
        <f>Y532*Source!I1028</f>
        <v>5.8800000000000012E-2</v>
      </c>
      <c r="CY532">
        <f>AB532</f>
        <v>1636.27</v>
      </c>
      <c r="CZ532">
        <f>AF532</f>
        <v>190.93</v>
      </c>
      <c r="DA532">
        <f>AJ532</f>
        <v>8.57</v>
      </c>
      <c r="DB532">
        <f>ROUND((ROUND(AT532*CZ532,2)*1.25),6)</f>
        <v>33.412500000000001</v>
      </c>
      <c r="DC532">
        <f>ROUND((ROUND(AT532*AG532,2)*1.25),6)</f>
        <v>3.1749999999999998</v>
      </c>
    </row>
    <row r="533" spans="1:107" x14ac:dyDescent="0.2">
      <c r="A533">
        <f>ROW(Source!A1028)</f>
        <v>1028</v>
      </c>
      <c r="B533">
        <v>42938047</v>
      </c>
      <c r="C533">
        <v>43137755</v>
      </c>
      <c r="D533">
        <v>0</v>
      </c>
      <c r="E533">
        <v>0</v>
      </c>
      <c r="F533">
        <v>1</v>
      </c>
      <c r="G533">
        <v>35973048</v>
      </c>
      <c r="H533">
        <v>3</v>
      </c>
      <c r="I533" t="s">
        <v>118</v>
      </c>
      <c r="J533" t="s">
        <v>3</v>
      </c>
      <c r="K533" t="s">
        <v>1147</v>
      </c>
      <c r="L533">
        <v>1354</v>
      </c>
      <c r="N533">
        <v>1010</v>
      </c>
      <c r="O533" t="s">
        <v>169</v>
      </c>
      <c r="P533" t="s">
        <v>169</v>
      </c>
      <c r="Q533">
        <v>1</v>
      </c>
      <c r="W533">
        <v>0</v>
      </c>
      <c r="X533">
        <v>130142395</v>
      </c>
      <c r="Y533">
        <v>11.904762</v>
      </c>
      <c r="AA533">
        <v>7735.79</v>
      </c>
      <c r="AB533">
        <v>0</v>
      </c>
      <c r="AC533">
        <v>0</v>
      </c>
      <c r="AD533">
        <v>0</v>
      </c>
      <c r="AE533">
        <v>1193.8900000000001</v>
      </c>
      <c r="AF533">
        <v>0</v>
      </c>
      <c r="AG533">
        <v>0</v>
      </c>
      <c r="AH533">
        <v>0</v>
      </c>
      <c r="AI533">
        <v>6.34</v>
      </c>
      <c r="AJ533">
        <v>1</v>
      </c>
      <c r="AK533">
        <v>1</v>
      </c>
      <c r="AL533">
        <v>1</v>
      </c>
      <c r="AN533">
        <v>0</v>
      </c>
      <c r="AO533">
        <v>0</v>
      </c>
      <c r="AP533">
        <v>0</v>
      </c>
      <c r="AQ533">
        <v>0</v>
      </c>
      <c r="AR533">
        <v>0</v>
      </c>
      <c r="AS533" t="s">
        <v>3</v>
      </c>
      <c r="AT533">
        <v>11.904762</v>
      </c>
      <c r="AU533" t="s">
        <v>3</v>
      </c>
      <c r="AV533">
        <v>0</v>
      </c>
      <c r="AW533">
        <v>1</v>
      </c>
      <c r="AX533">
        <v>-1</v>
      </c>
      <c r="AY533">
        <v>0</v>
      </c>
      <c r="AZ533">
        <v>0</v>
      </c>
      <c r="BA533" t="s">
        <v>3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0</v>
      </c>
      <c r="BW533">
        <v>0</v>
      </c>
      <c r="CX533">
        <f>Y533*Source!I1028</f>
        <v>4.000000032</v>
      </c>
      <c r="CY533">
        <f>AA533</f>
        <v>7735.79</v>
      </c>
      <c r="CZ533">
        <f>AE533</f>
        <v>1193.8900000000001</v>
      </c>
      <c r="DA533">
        <f>AI533</f>
        <v>6.34</v>
      </c>
      <c r="DB533">
        <f>ROUND(ROUND(AT533*CZ533,2),6)</f>
        <v>14212.98</v>
      </c>
      <c r="DC533">
        <f>ROUND(ROUND(AT533*AG533,2),6)</f>
        <v>0</v>
      </c>
    </row>
    <row r="534" spans="1:107" x14ac:dyDescent="0.2">
      <c r="A534">
        <f>ROW(Source!A1030)</f>
        <v>1030</v>
      </c>
      <c r="B534">
        <v>42938047</v>
      </c>
      <c r="C534">
        <v>43137773</v>
      </c>
      <c r="D534">
        <v>35973053</v>
      </c>
      <c r="E534">
        <v>35973048</v>
      </c>
      <c r="F534">
        <v>1</v>
      </c>
      <c r="G534">
        <v>35973048</v>
      </c>
      <c r="H534">
        <v>1</v>
      </c>
      <c r="I534" t="s">
        <v>1228</v>
      </c>
      <c r="J534" t="s">
        <v>3</v>
      </c>
      <c r="K534" t="s">
        <v>1229</v>
      </c>
      <c r="L534">
        <v>1191</v>
      </c>
      <c r="N534">
        <v>1013</v>
      </c>
      <c r="O534" t="s">
        <v>1230</v>
      </c>
      <c r="P534" t="s">
        <v>1230</v>
      </c>
      <c r="Q534">
        <v>1</v>
      </c>
      <c r="W534">
        <v>0</v>
      </c>
      <c r="X534">
        <v>476480486</v>
      </c>
      <c r="Y534">
        <v>1.702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1</v>
      </c>
      <c r="AJ534">
        <v>1</v>
      </c>
      <c r="AK534">
        <v>1</v>
      </c>
      <c r="AL534">
        <v>25.44</v>
      </c>
      <c r="AN534">
        <v>0</v>
      </c>
      <c r="AO534">
        <v>1</v>
      </c>
      <c r="AP534">
        <v>1</v>
      </c>
      <c r="AQ534">
        <v>0</v>
      </c>
      <c r="AR534">
        <v>0</v>
      </c>
      <c r="AS534" t="s">
        <v>3</v>
      </c>
      <c r="AT534">
        <v>1.48</v>
      </c>
      <c r="AU534" t="s">
        <v>21</v>
      </c>
      <c r="AV534">
        <v>1</v>
      </c>
      <c r="AW534">
        <v>2</v>
      </c>
      <c r="AX534">
        <v>43137775</v>
      </c>
      <c r="AY534">
        <v>1</v>
      </c>
      <c r="AZ534">
        <v>0</v>
      </c>
      <c r="BA534">
        <v>526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v>0</v>
      </c>
      <c r="BV534">
        <v>0</v>
      </c>
      <c r="BW534">
        <v>0</v>
      </c>
      <c r="CX534">
        <f>Y534*Source!I1030</f>
        <v>1.6339199999999998</v>
      </c>
      <c r="CY534">
        <f>AD534</f>
        <v>0</v>
      </c>
      <c r="CZ534">
        <f>AH534</f>
        <v>0</v>
      </c>
      <c r="DA534">
        <f>AL534</f>
        <v>25.44</v>
      </c>
      <c r="DB534">
        <f>ROUND((ROUND(AT534*CZ534,2)*1.15),6)</f>
        <v>0</v>
      </c>
      <c r="DC534">
        <f>ROUND((ROUND(AT534*AG534,2)*1.15),6)</f>
        <v>0</v>
      </c>
    </row>
    <row r="535" spans="1:107" x14ac:dyDescent="0.2">
      <c r="A535">
        <f>ROW(Source!A1030)</f>
        <v>1030</v>
      </c>
      <c r="B535">
        <v>42938047</v>
      </c>
      <c r="C535">
        <v>43137773</v>
      </c>
      <c r="D535">
        <v>36045313</v>
      </c>
      <c r="E535">
        <v>1</v>
      </c>
      <c r="F535">
        <v>1</v>
      </c>
      <c r="G535">
        <v>35973048</v>
      </c>
      <c r="H535">
        <v>2</v>
      </c>
      <c r="I535" t="s">
        <v>1442</v>
      </c>
      <c r="J535" t="s">
        <v>1443</v>
      </c>
      <c r="K535" t="s">
        <v>1444</v>
      </c>
      <c r="L535">
        <v>1367</v>
      </c>
      <c r="N535">
        <v>1011</v>
      </c>
      <c r="O535" t="s">
        <v>738</v>
      </c>
      <c r="P535" t="s">
        <v>738</v>
      </c>
      <c r="Q535">
        <v>1</v>
      </c>
      <c r="W535">
        <v>0</v>
      </c>
      <c r="X535">
        <v>-1464643382</v>
      </c>
      <c r="Y535">
        <v>0.28750000000000003</v>
      </c>
      <c r="AA535">
        <v>0</v>
      </c>
      <c r="AB535">
        <v>1033.81</v>
      </c>
      <c r="AC535">
        <v>387.45</v>
      </c>
      <c r="AD535">
        <v>0</v>
      </c>
      <c r="AE535">
        <v>0</v>
      </c>
      <c r="AF535">
        <v>113.73</v>
      </c>
      <c r="AG535">
        <v>15.23</v>
      </c>
      <c r="AH535">
        <v>0</v>
      </c>
      <c r="AI535">
        <v>1</v>
      </c>
      <c r="AJ535">
        <v>9.09</v>
      </c>
      <c r="AK535">
        <v>25.44</v>
      </c>
      <c r="AL535">
        <v>1</v>
      </c>
      <c r="AN535">
        <v>0</v>
      </c>
      <c r="AO535">
        <v>1</v>
      </c>
      <c r="AP535">
        <v>1</v>
      </c>
      <c r="AQ535">
        <v>0</v>
      </c>
      <c r="AR535">
        <v>0</v>
      </c>
      <c r="AS535" t="s">
        <v>3</v>
      </c>
      <c r="AT535">
        <v>0.23</v>
      </c>
      <c r="AU535" t="s">
        <v>20</v>
      </c>
      <c r="AV535">
        <v>0</v>
      </c>
      <c r="AW535">
        <v>2</v>
      </c>
      <c r="AX535">
        <v>43137776</v>
      </c>
      <c r="AY535">
        <v>1</v>
      </c>
      <c r="AZ535">
        <v>0</v>
      </c>
      <c r="BA535">
        <v>527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  <c r="BV535">
        <v>0</v>
      </c>
      <c r="BW535">
        <v>0</v>
      </c>
      <c r="CX535">
        <f>Y535*Source!I1030</f>
        <v>0.27600000000000002</v>
      </c>
      <c r="CY535">
        <f>AB535</f>
        <v>1033.81</v>
      </c>
      <c r="CZ535">
        <f>AF535</f>
        <v>113.73</v>
      </c>
      <c r="DA535">
        <f>AJ535</f>
        <v>9.09</v>
      </c>
      <c r="DB535">
        <f>ROUND((ROUND(AT535*CZ535,2)*1.25),6)</f>
        <v>32.700000000000003</v>
      </c>
      <c r="DC535">
        <f>ROUND((ROUND(AT535*AG535,2)*1.25),6)</f>
        <v>4.375</v>
      </c>
    </row>
    <row r="536" spans="1:107" x14ac:dyDescent="0.2">
      <c r="A536">
        <f>ROW(Source!A1030)</f>
        <v>1030</v>
      </c>
      <c r="B536">
        <v>42938047</v>
      </c>
      <c r="C536">
        <v>43137773</v>
      </c>
      <c r="D536">
        <v>36044839</v>
      </c>
      <c r="E536">
        <v>1</v>
      </c>
      <c r="F536">
        <v>1</v>
      </c>
      <c r="G536">
        <v>35973048</v>
      </c>
      <c r="H536">
        <v>2</v>
      </c>
      <c r="I536" t="s">
        <v>1273</v>
      </c>
      <c r="J536" t="s">
        <v>1274</v>
      </c>
      <c r="K536" t="s">
        <v>1275</v>
      </c>
      <c r="L536">
        <v>1367</v>
      </c>
      <c r="N536">
        <v>1011</v>
      </c>
      <c r="O536" t="s">
        <v>738</v>
      </c>
      <c r="P536" t="s">
        <v>738</v>
      </c>
      <c r="Q536">
        <v>1</v>
      </c>
      <c r="W536">
        <v>0</v>
      </c>
      <c r="X536">
        <v>1059521099</v>
      </c>
      <c r="Y536">
        <v>0.26250000000000001</v>
      </c>
      <c r="AA536">
        <v>0</v>
      </c>
      <c r="AB536">
        <v>10.53</v>
      </c>
      <c r="AC536">
        <v>2.29</v>
      </c>
      <c r="AD536">
        <v>0</v>
      </c>
      <c r="AE536">
        <v>0</v>
      </c>
      <c r="AF536">
        <v>2.06</v>
      </c>
      <c r="AG536">
        <v>0.09</v>
      </c>
      <c r="AH536">
        <v>0</v>
      </c>
      <c r="AI536">
        <v>1</v>
      </c>
      <c r="AJ536">
        <v>5.1100000000000003</v>
      </c>
      <c r="AK536">
        <v>25.44</v>
      </c>
      <c r="AL536">
        <v>1</v>
      </c>
      <c r="AN536">
        <v>0</v>
      </c>
      <c r="AO536">
        <v>1</v>
      </c>
      <c r="AP536">
        <v>1</v>
      </c>
      <c r="AQ536">
        <v>0</v>
      </c>
      <c r="AR536">
        <v>0</v>
      </c>
      <c r="AS536" t="s">
        <v>3</v>
      </c>
      <c r="AT536">
        <v>0.21</v>
      </c>
      <c r="AU536" t="s">
        <v>20</v>
      </c>
      <c r="AV536">
        <v>0</v>
      </c>
      <c r="AW536">
        <v>2</v>
      </c>
      <c r="AX536">
        <v>43137777</v>
      </c>
      <c r="AY536">
        <v>1</v>
      </c>
      <c r="AZ536">
        <v>0</v>
      </c>
      <c r="BA536">
        <v>528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0</v>
      </c>
      <c r="BV536">
        <v>0</v>
      </c>
      <c r="BW536">
        <v>0</v>
      </c>
      <c r="CX536">
        <f>Y536*Source!I1030</f>
        <v>0.252</v>
      </c>
      <c r="CY536">
        <f>AB536</f>
        <v>10.53</v>
      </c>
      <c r="CZ536">
        <f>AF536</f>
        <v>2.06</v>
      </c>
      <c r="DA536">
        <f>AJ536</f>
        <v>5.1100000000000003</v>
      </c>
      <c r="DB536">
        <f>ROUND((ROUND(AT536*CZ536,2)*1.25),6)</f>
        <v>0.53749999999999998</v>
      </c>
      <c r="DC536">
        <f>ROUND((ROUND(AT536*AG536,2)*1.25),6)</f>
        <v>2.5000000000000001E-2</v>
      </c>
    </row>
    <row r="537" spans="1:107" x14ac:dyDescent="0.2">
      <c r="A537">
        <f>ROW(Source!A1030)</f>
        <v>1030</v>
      </c>
      <c r="B537">
        <v>42938047</v>
      </c>
      <c r="C537">
        <v>43137773</v>
      </c>
      <c r="D537">
        <v>36038810</v>
      </c>
      <c r="E537">
        <v>1</v>
      </c>
      <c r="F537">
        <v>1</v>
      </c>
      <c r="G537">
        <v>35973048</v>
      </c>
      <c r="H537">
        <v>3</v>
      </c>
      <c r="I537" t="s">
        <v>1156</v>
      </c>
      <c r="J537" t="s">
        <v>1158</v>
      </c>
      <c r="K537" t="s">
        <v>1157</v>
      </c>
      <c r="L537">
        <v>1339</v>
      </c>
      <c r="N537">
        <v>1007</v>
      </c>
      <c r="O537" t="s">
        <v>84</v>
      </c>
      <c r="P537" t="s">
        <v>84</v>
      </c>
      <c r="Q537">
        <v>1</v>
      </c>
      <c r="W537">
        <v>0</v>
      </c>
      <c r="X537">
        <v>-815776288</v>
      </c>
      <c r="Y537">
        <v>1.02</v>
      </c>
      <c r="AA537">
        <v>4055.5</v>
      </c>
      <c r="AB537">
        <v>0</v>
      </c>
      <c r="AC537">
        <v>0</v>
      </c>
      <c r="AD537">
        <v>0</v>
      </c>
      <c r="AE537">
        <v>565.62</v>
      </c>
      <c r="AF537">
        <v>0</v>
      </c>
      <c r="AG537">
        <v>0</v>
      </c>
      <c r="AH537">
        <v>0</v>
      </c>
      <c r="AI537">
        <v>7.17</v>
      </c>
      <c r="AJ537">
        <v>1</v>
      </c>
      <c r="AK537">
        <v>1</v>
      </c>
      <c r="AL537">
        <v>1</v>
      </c>
      <c r="AN537">
        <v>0</v>
      </c>
      <c r="AO537">
        <v>0</v>
      </c>
      <c r="AP537">
        <v>0</v>
      </c>
      <c r="AQ537">
        <v>0</v>
      </c>
      <c r="AR537">
        <v>0</v>
      </c>
      <c r="AS537" t="s">
        <v>3</v>
      </c>
      <c r="AT537">
        <v>1.02</v>
      </c>
      <c r="AU537" t="s">
        <v>3</v>
      </c>
      <c r="AV537">
        <v>0</v>
      </c>
      <c r="AW537">
        <v>1</v>
      </c>
      <c r="AX537">
        <v>-1</v>
      </c>
      <c r="AY537">
        <v>0</v>
      </c>
      <c r="AZ537">
        <v>0</v>
      </c>
      <c r="BA537" t="s">
        <v>3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  <c r="BV537">
        <v>0</v>
      </c>
      <c r="BW537">
        <v>0</v>
      </c>
      <c r="CX537">
        <f>Y537*Source!I1030</f>
        <v>0.97919999999999996</v>
      </c>
      <c r="CY537">
        <f>AA537</f>
        <v>4055.5</v>
      </c>
      <c r="CZ537">
        <f>AE537</f>
        <v>565.62</v>
      </c>
      <c r="DA537">
        <f>AI537</f>
        <v>7.17</v>
      </c>
      <c r="DB537">
        <f>ROUND(ROUND(AT537*CZ537,2),6)</f>
        <v>576.92999999999995</v>
      </c>
      <c r="DC537">
        <f>ROUND(ROUND(AT537*AG537,2),6)</f>
        <v>0</v>
      </c>
    </row>
    <row r="538" spans="1:107" x14ac:dyDescent="0.2">
      <c r="A538">
        <f>ROW(Source!A1032)</f>
        <v>1032</v>
      </c>
      <c r="B538">
        <v>42938047</v>
      </c>
      <c r="C538">
        <v>43137774</v>
      </c>
      <c r="D538">
        <v>35973053</v>
      </c>
      <c r="E538">
        <v>35973048</v>
      </c>
      <c r="F538">
        <v>1</v>
      </c>
      <c r="G538">
        <v>35973048</v>
      </c>
      <c r="H538">
        <v>1</v>
      </c>
      <c r="I538" t="s">
        <v>1228</v>
      </c>
      <c r="J538" t="s">
        <v>3</v>
      </c>
      <c r="K538" t="s">
        <v>1229</v>
      </c>
      <c r="L538">
        <v>1191</v>
      </c>
      <c r="N538">
        <v>1013</v>
      </c>
      <c r="O538" t="s">
        <v>1230</v>
      </c>
      <c r="P538" t="s">
        <v>1230</v>
      </c>
      <c r="Q538">
        <v>1</v>
      </c>
      <c r="W538">
        <v>0</v>
      </c>
      <c r="X538">
        <v>476480486</v>
      </c>
      <c r="Y538">
        <v>4.0019999999999998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1</v>
      </c>
      <c r="AJ538">
        <v>1</v>
      </c>
      <c r="AK538">
        <v>1</v>
      </c>
      <c r="AL538">
        <v>25.44</v>
      </c>
      <c r="AN538">
        <v>0</v>
      </c>
      <c r="AO538">
        <v>1</v>
      </c>
      <c r="AP538">
        <v>1</v>
      </c>
      <c r="AQ538">
        <v>0</v>
      </c>
      <c r="AR538">
        <v>0</v>
      </c>
      <c r="AS538" t="s">
        <v>3</v>
      </c>
      <c r="AT538">
        <v>6.67</v>
      </c>
      <c r="AU538" t="s">
        <v>1164</v>
      </c>
      <c r="AV538">
        <v>1</v>
      </c>
      <c r="AW538">
        <v>2</v>
      </c>
      <c r="AX538">
        <v>43137782</v>
      </c>
      <c r="AY538">
        <v>1</v>
      </c>
      <c r="AZ538">
        <v>0</v>
      </c>
      <c r="BA538">
        <v>530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0</v>
      </c>
      <c r="BV538">
        <v>0</v>
      </c>
      <c r="BW538">
        <v>0</v>
      </c>
      <c r="CX538">
        <f>Y538*Source!I1032</f>
        <v>16.007999999999999</v>
      </c>
      <c r="CY538">
        <f>AD538</f>
        <v>0</v>
      </c>
      <c r="CZ538">
        <f>AH538</f>
        <v>0</v>
      </c>
      <c r="DA538">
        <f>AL538</f>
        <v>25.44</v>
      </c>
      <c r="DB538">
        <f>ROUND((ROUND(AT538*CZ538,2)*0.6),6)</f>
        <v>0</v>
      </c>
      <c r="DC538">
        <f>ROUND((ROUND(AT538*AG538,2)*0.6),6)</f>
        <v>0</v>
      </c>
    </row>
    <row r="539" spans="1:107" x14ac:dyDescent="0.2">
      <c r="A539">
        <f>ROW(Source!A1032)</f>
        <v>1032</v>
      </c>
      <c r="B539">
        <v>42938047</v>
      </c>
      <c r="C539">
        <v>43137774</v>
      </c>
      <c r="D539">
        <v>36045318</v>
      </c>
      <c r="E539">
        <v>1</v>
      </c>
      <c r="F539">
        <v>1</v>
      </c>
      <c r="G539">
        <v>35973048</v>
      </c>
      <c r="H539">
        <v>2</v>
      </c>
      <c r="I539" t="s">
        <v>1445</v>
      </c>
      <c r="J539" t="s">
        <v>1446</v>
      </c>
      <c r="K539" t="s">
        <v>1447</v>
      </c>
      <c r="L539">
        <v>1367</v>
      </c>
      <c r="N539">
        <v>1011</v>
      </c>
      <c r="O539" t="s">
        <v>738</v>
      </c>
      <c r="P539" t="s">
        <v>738</v>
      </c>
      <c r="Q539">
        <v>1</v>
      </c>
      <c r="W539">
        <v>0</v>
      </c>
      <c r="X539">
        <v>-1546953749</v>
      </c>
      <c r="Y539">
        <v>2.4E-2</v>
      </c>
      <c r="AA539">
        <v>0</v>
      </c>
      <c r="AB539">
        <v>897.84</v>
      </c>
      <c r="AC539">
        <v>446.47</v>
      </c>
      <c r="AD539">
        <v>0</v>
      </c>
      <c r="AE539">
        <v>0</v>
      </c>
      <c r="AF539">
        <v>93.04</v>
      </c>
      <c r="AG539">
        <v>17.55</v>
      </c>
      <c r="AH539">
        <v>0</v>
      </c>
      <c r="AI539">
        <v>1</v>
      </c>
      <c r="AJ539">
        <v>9.65</v>
      </c>
      <c r="AK539">
        <v>25.44</v>
      </c>
      <c r="AL539">
        <v>1</v>
      </c>
      <c r="AN539">
        <v>0</v>
      </c>
      <c r="AO539">
        <v>1</v>
      </c>
      <c r="AP539">
        <v>1</v>
      </c>
      <c r="AQ539">
        <v>0</v>
      </c>
      <c r="AR539">
        <v>0</v>
      </c>
      <c r="AS539" t="s">
        <v>3</v>
      </c>
      <c r="AT539">
        <v>0.04</v>
      </c>
      <c r="AU539" t="s">
        <v>1164</v>
      </c>
      <c r="AV539">
        <v>0</v>
      </c>
      <c r="AW539">
        <v>2</v>
      </c>
      <c r="AX539">
        <v>43137783</v>
      </c>
      <c r="AY539">
        <v>1</v>
      </c>
      <c r="AZ539">
        <v>0</v>
      </c>
      <c r="BA539">
        <v>531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0</v>
      </c>
      <c r="BU539">
        <v>0</v>
      </c>
      <c r="BV539">
        <v>0</v>
      </c>
      <c r="BW539">
        <v>0</v>
      </c>
      <c r="CX539">
        <f>Y539*Source!I1032</f>
        <v>9.6000000000000002E-2</v>
      </c>
      <c r="CY539">
        <f>AB539</f>
        <v>897.84</v>
      </c>
      <c r="CZ539">
        <f>AF539</f>
        <v>93.04</v>
      </c>
      <c r="DA539">
        <f>AJ539</f>
        <v>9.65</v>
      </c>
      <c r="DB539">
        <f>ROUND((ROUND(AT539*CZ539,2)*0.6),6)</f>
        <v>2.2320000000000002</v>
      </c>
      <c r="DC539">
        <f>ROUND((ROUND(AT539*AG539,2)*0.6),6)</f>
        <v>0.42</v>
      </c>
    </row>
    <row r="540" spans="1:107" x14ac:dyDescent="0.2">
      <c r="A540">
        <f>ROW(Source!A1032)</f>
        <v>1032</v>
      </c>
      <c r="B540">
        <v>42938047</v>
      </c>
      <c r="C540">
        <v>43137774</v>
      </c>
      <c r="D540">
        <v>36045304</v>
      </c>
      <c r="E540">
        <v>1</v>
      </c>
      <c r="F540">
        <v>1</v>
      </c>
      <c r="G540">
        <v>35973048</v>
      </c>
      <c r="H540">
        <v>2</v>
      </c>
      <c r="I540" t="s">
        <v>1448</v>
      </c>
      <c r="J540" t="s">
        <v>1449</v>
      </c>
      <c r="K540" t="s">
        <v>1450</v>
      </c>
      <c r="L540">
        <v>1367</v>
      </c>
      <c r="N540">
        <v>1011</v>
      </c>
      <c r="O540" t="s">
        <v>738</v>
      </c>
      <c r="P540" t="s">
        <v>738</v>
      </c>
      <c r="Q540">
        <v>1</v>
      </c>
      <c r="W540">
        <v>0</v>
      </c>
      <c r="X540">
        <v>1702445989</v>
      </c>
      <c r="Y540">
        <v>0.03</v>
      </c>
      <c r="AA540">
        <v>0</v>
      </c>
      <c r="AB540">
        <v>77.36</v>
      </c>
      <c r="AC540">
        <v>21.37</v>
      </c>
      <c r="AD540">
        <v>0</v>
      </c>
      <c r="AE540">
        <v>0</v>
      </c>
      <c r="AF540">
        <v>10.76</v>
      </c>
      <c r="AG540">
        <v>0.84</v>
      </c>
      <c r="AH540">
        <v>0</v>
      </c>
      <c r="AI540">
        <v>1</v>
      </c>
      <c r="AJ540">
        <v>7.19</v>
      </c>
      <c r="AK540">
        <v>25.44</v>
      </c>
      <c r="AL540">
        <v>1</v>
      </c>
      <c r="AN540">
        <v>0</v>
      </c>
      <c r="AO540">
        <v>1</v>
      </c>
      <c r="AP540">
        <v>1</v>
      </c>
      <c r="AQ540">
        <v>0</v>
      </c>
      <c r="AR540">
        <v>0</v>
      </c>
      <c r="AS540" t="s">
        <v>3</v>
      </c>
      <c r="AT540">
        <v>0.05</v>
      </c>
      <c r="AU540" t="s">
        <v>1164</v>
      </c>
      <c r="AV540">
        <v>0</v>
      </c>
      <c r="AW540">
        <v>2</v>
      </c>
      <c r="AX540">
        <v>43137784</v>
      </c>
      <c r="AY540">
        <v>1</v>
      </c>
      <c r="AZ540">
        <v>0</v>
      </c>
      <c r="BA540">
        <v>532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0</v>
      </c>
      <c r="BV540">
        <v>0</v>
      </c>
      <c r="BW540">
        <v>0</v>
      </c>
      <c r="CX540">
        <f>Y540*Source!I1032</f>
        <v>0.12</v>
      </c>
      <c r="CY540">
        <f>AB540</f>
        <v>77.36</v>
      </c>
      <c r="CZ540">
        <f>AF540</f>
        <v>10.76</v>
      </c>
      <c r="DA540">
        <f>AJ540</f>
        <v>7.19</v>
      </c>
      <c r="DB540">
        <f>ROUND((ROUND(AT540*CZ540,2)*0.6),6)</f>
        <v>0.32400000000000001</v>
      </c>
      <c r="DC540">
        <f>ROUND((ROUND(AT540*AG540,2)*0.6),6)</f>
        <v>2.4E-2</v>
      </c>
    </row>
    <row r="541" spans="1:107" x14ac:dyDescent="0.2">
      <c r="A541">
        <f>ROW(Source!A1032)</f>
        <v>1032</v>
      </c>
      <c r="B541">
        <v>42938047</v>
      </c>
      <c r="C541">
        <v>43137774</v>
      </c>
      <c r="D541">
        <v>36044555</v>
      </c>
      <c r="E541">
        <v>1</v>
      </c>
      <c r="F541">
        <v>1</v>
      </c>
      <c r="G541">
        <v>35973048</v>
      </c>
      <c r="H541">
        <v>2</v>
      </c>
      <c r="I541" t="s">
        <v>1267</v>
      </c>
      <c r="J541" t="s">
        <v>1268</v>
      </c>
      <c r="K541" t="s">
        <v>1269</v>
      </c>
      <c r="L541">
        <v>1367</v>
      </c>
      <c r="N541">
        <v>1011</v>
      </c>
      <c r="O541" t="s">
        <v>738</v>
      </c>
      <c r="P541" t="s">
        <v>738</v>
      </c>
      <c r="Q541">
        <v>1</v>
      </c>
      <c r="W541">
        <v>0</v>
      </c>
      <c r="X541">
        <v>-266174272</v>
      </c>
      <c r="Y541">
        <v>8.4000000000000005E-2</v>
      </c>
      <c r="AA541">
        <v>0</v>
      </c>
      <c r="AB541">
        <v>1636.27</v>
      </c>
      <c r="AC541">
        <v>461.74</v>
      </c>
      <c r="AD541">
        <v>0</v>
      </c>
      <c r="AE541">
        <v>0</v>
      </c>
      <c r="AF541">
        <v>190.93</v>
      </c>
      <c r="AG541">
        <v>18.149999999999999</v>
      </c>
      <c r="AH541">
        <v>0</v>
      </c>
      <c r="AI541">
        <v>1</v>
      </c>
      <c r="AJ541">
        <v>8.57</v>
      </c>
      <c r="AK541">
        <v>25.44</v>
      </c>
      <c r="AL541">
        <v>1</v>
      </c>
      <c r="AN541">
        <v>0</v>
      </c>
      <c r="AO541">
        <v>1</v>
      </c>
      <c r="AP541">
        <v>1</v>
      </c>
      <c r="AQ541">
        <v>0</v>
      </c>
      <c r="AR541">
        <v>0</v>
      </c>
      <c r="AS541" t="s">
        <v>3</v>
      </c>
      <c r="AT541">
        <v>0.14000000000000001</v>
      </c>
      <c r="AU541" t="s">
        <v>1164</v>
      </c>
      <c r="AV541">
        <v>0</v>
      </c>
      <c r="AW541">
        <v>2</v>
      </c>
      <c r="AX541">
        <v>43137785</v>
      </c>
      <c r="AY541">
        <v>1</v>
      </c>
      <c r="AZ541">
        <v>0</v>
      </c>
      <c r="BA541">
        <v>533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0</v>
      </c>
      <c r="BV541">
        <v>0</v>
      </c>
      <c r="BW541">
        <v>0</v>
      </c>
      <c r="CX541">
        <f>Y541*Source!I1032</f>
        <v>0.33600000000000002</v>
      </c>
      <c r="CY541">
        <f>AB541</f>
        <v>1636.27</v>
      </c>
      <c r="CZ541">
        <f>AF541</f>
        <v>190.93</v>
      </c>
      <c r="DA541">
        <f>AJ541</f>
        <v>8.57</v>
      </c>
      <c r="DB541">
        <f>ROUND((ROUND(AT541*CZ541,2)*0.6),6)</f>
        <v>16.038</v>
      </c>
      <c r="DC541">
        <f>ROUND((ROUND(AT541*AG541,2)*0.6),6)</f>
        <v>1.524</v>
      </c>
    </row>
    <row r="542" spans="1:107" x14ac:dyDescent="0.2">
      <c r="A542">
        <f>ROW(Source!A1033)</f>
        <v>1033</v>
      </c>
      <c r="B542">
        <v>42938047</v>
      </c>
      <c r="C542">
        <v>43137789</v>
      </c>
      <c r="D542">
        <v>35973053</v>
      </c>
      <c r="E542">
        <v>35973048</v>
      </c>
      <c r="F542">
        <v>1</v>
      </c>
      <c r="G542">
        <v>35973048</v>
      </c>
      <c r="H542">
        <v>1</v>
      </c>
      <c r="I542" t="s">
        <v>1228</v>
      </c>
      <c r="J542" t="s">
        <v>3</v>
      </c>
      <c r="K542" t="s">
        <v>1229</v>
      </c>
      <c r="L542">
        <v>1191</v>
      </c>
      <c r="N542">
        <v>1013</v>
      </c>
      <c r="O542" t="s">
        <v>1230</v>
      </c>
      <c r="P542" t="s">
        <v>1230</v>
      </c>
      <c r="Q542">
        <v>1</v>
      </c>
      <c r="W542">
        <v>0</v>
      </c>
      <c r="X542">
        <v>476480486</v>
      </c>
      <c r="Y542">
        <v>7.6704999999999997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1</v>
      </c>
      <c r="AJ542">
        <v>1</v>
      </c>
      <c r="AK542">
        <v>1</v>
      </c>
      <c r="AL542">
        <v>25.44</v>
      </c>
      <c r="AN542">
        <v>0</v>
      </c>
      <c r="AO542">
        <v>1</v>
      </c>
      <c r="AP542">
        <v>1</v>
      </c>
      <c r="AQ542">
        <v>0</v>
      </c>
      <c r="AR542">
        <v>0</v>
      </c>
      <c r="AS542" t="s">
        <v>3</v>
      </c>
      <c r="AT542">
        <v>6.67</v>
      </c>
      <c r="AU542" t="s">
        <v>21</v>
      </c>
      <c r="AV542">
        <v>1</v>
      </c>
      <c r="AW542">
        <v>2</v>
      </c>
      <c r="AX542">
        <v>43137793</v>
      </c>
      <c r="AY542">
        <v>1</v>
      </c>
      <c r="AZ542">
        <v>0</v>
      </c>
      <c r="BA542">
        <v>535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>
        <v>0</v>
      </c>
      <c r="BU542">
        <v>0</v>
      </c>
      <c r="BV542">
        <v>0</v>
      </c>
      <c r="BW542">
        <v>0</v>
      </c>
      <c r="CX542">
        <f>Y542*Source!I1033</f>
        <v>30.681999999999999</v>
      </c>
      <c r="CY542">
        <f>AD542</f>
        <v>0</v>
      </c>
      <c r="CZ542">
        <f>AH542</f>
        <v>0</v>
      </c>
      <c r="DA542">
        <f>AL542</f>
        <v>25.44</v>
      </c>
      <c r="DB542">
        <f>ROUND((ROUND(AT542*CZ542,2)*1.15),6)</f>
        <v>0</v>
      </c>
      <c r="DC542">
        <f>ROUND((ROUND(AT542*AG542,2)*1.15),6)</f>
        <v>0</v>
      </c>
    </row>
    <row r="543" spans="1:107" x14ac:dyDescent="0.2">
      <c r="A543">
        <f>ROW(Source!A1033)</f>
        <v>1033</v>
      </c>
      <c r="B543">
        <v>42938047</v>
      </c>
      <c r="C543">
        <v>43137789</v>
      </c>
      <c r="D543">
        <v>36045318</v>
      </c>
      <c r="E543">
        <v>1</v>
      </c>
      <c r="F543">
        <v>1</v>
      </c>
      <c r="G543">
        <v>35973048</v>
      </c>
      <c r="H543">
        <v>2</v>
      </c>
      <c r="I543" t="s">
        <v>1445</v>
      </c>
      <c r="J543" t="s">
        <v>1446</v>
      </c>
      <c r="K543" t="s">
        <v>1447</v>
      </c>
      <c r="L543">
        <v>1367</v>
      </c>
      <c r="N543">
        <v>1011</v>
      </c>
      <c r="O543" t="s">
        <v>738</v>
      </c>
      <c r="P543" t="s">
        <v>738</v>
      </c>
      <c r="Q543">
        <v>1</v>
      </c>
      <c r="W543">
        <v>0</v>
      </c>
      <c r="X543">
        <v>-1546953749</v>
      </c>
      <c r="Y543">
        <v>0.05</v>
      </c>
      <c r="AA543">
        <v>0</v>
      </c>
      <c r="AB543">
        <v>897.84</v>
      </c>
      <c r="AC543">
        <v>446.47</v>
      </c>
      <c r="AD543">
        <v>0</v>
      </c>
      <c r="AE543">
        <v>0</v>
      </c>
      <c r="AF543">
        <v>93.04</v>
      </c>
      <c r="AG543">
        <v>17.55</v>
      </c>
      <c r="AH543">
        <v>0</v>
      </c>
      <c r="AI543">
        <v>1</v>
      </c>
      <c r="AJ543">
        <v>9.65</v>
      </c>
      <c r="AK543">
        <v>25.44</v>
      </c>
      <c r="AL543">
        <v>1</v>
      </c>
      <c r="AN543">
        <v>0</v>
      </c>
      <c r="AO543">
        <v>1</v>
      </c>
      <c r="AP543">
        <v>1</v>
      </c>
      <c r="AQ543">
        <v>0</v>
      </c>
      <c r="AR543">
        <v>0</v>
      </c>
      <c r="AS543" t="s">
        <v>3</v>
      </c>
      <c r="AT543">
        <v>0.04</v>
      </c>
      <c r="AU543" t="s">
        <v>20</v>
      </c>
      <c r="AV543">
        <v>0</v>
      </c>
      <c r="AW543">
        <v>2</v>
      </c>
      <c r="AX543">
        <v>43137794</v>
      </c>
      <c r="AY543">
        <v>1</v>
      </c>
      <c r="AZ543">
        <v>0</v>
      </c>
      <c r="BA543">
        <v>536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0</v>
      </c>
      <c r="BV543">
        <v>0</v>
      </c>
      <c r="BW543">
        <v>0</v>
      </c>
      <c r="CX543">
        <f>Y543*Source!I1033</f>
        <v>0.2</v>
      </c>
      <c r="CY543">
        <f>AB543</f>
        <v>897.84</v>
      </c>
      <c r="CZ543">
        <f>AF543</f>
        <v>93.04</v>
      </c>
      <c r="DA543">
        <f>AJ543</f>
        <v>9.65</v>
      </c>
      <c r="DB543">
        <f>ROUND((ROUND(AT543*CZ543,2)*1.25),6)</f>
        <v>4.6500000000000004</v>
      </c>
      <c r="DC543">
        <f>ROUND((ROUND(AT543*AG543,2)*1.25),6)</f>
        <v>0.875</v>
      </c>
    </row>
    <row r="544" spans="1:107" x14ac:dyDescent="0.2">
      <c r="A544">
        <f>ROW(Source!A1033)</f>
        <v>1033</v>
      </c>
      <c r="B544">
        <v>42938047</v>
      </c>
      <c r="C544">
        <v>43137789</v>
      </c>
      <c r="D544">
        <v>36045304</v>
      </c>
      <c r="E544">
        <v>1</v>
      </c>
      <c r="F544">
        <v>1</v>
      </c>
      <c r="G544">
        <v>35973048</v>
      </c>
      <c r="H544">
        <v>2</v>
      </c>
      <c r="I544" t="s">
        <v>1448</v>
      </c>
      <c r="J544" t="s">
        <v>1449</v>
      </c>
      <c r="K544" t="s">
        <v>1450</v>
      </c>
      <c r="L544">
        <v>1367</v>
      </c>
      <c r="N544">
        <v>1011</v>
      </c>
      <c r="O544" t="s">
        <v>738</v>
      </c>
      <c r="P544" t="s">
        <v>738</v>
      </c>
      <c r="Q544">
        <v>1</v>
      </c>
      <c r="W544">
        <v>0</v>
      </c>
      <c r="X544">
        <v>1702445989</v>
      </c>
      <c r="Y544">
        <v>6.25E-2</v>
      </c>
      <c r="AA544">
        <v>0</v>
      </c>
      <c r="AB544">
        <v>77.36</v>
      </c>
      <c r="AC544">
        <v>21.37</v>
      </c>
      <c r="AD544">
        <v>0</v>
      </c>
      <c r="AE544">
        <v>0</v>
      </c>
      <c r="AF544">
        <v>10.76</v>
      </c>
      <c r="AG544">
        <v>0.84</v>
      </c>
      <c r="AH544">
        <v>0</v>
      </c>
      <c r="AI544">
        <v>1</v>
      </c>
      <c r="AJ544">
        <v>7.19</v>
      </c>
      <c r="AK544">
        <v>25.44</v>
      </c>
      <c r="AL544">
        <v>1</v>
      </c>
      <c r="AN544">
        <v>0</v>
      </c>
      <c r="AO544">
        <v>1</v>
      </c>
      <c r="AP544">
        <v>1</v>
      </c>
      <c r="AQ544">
        <v>0</v>
      </c>
      <c r="AR544">
        <v>0</v>
      </c>
      <c r="AS544" t="s">
        <v>3</v>
      </c>
      <c r="AT544">
        <v>0.05</v>
      </c>
      <c r="AU544" t="s">
        <v>20</v>
      </c>
      <c r="AV544">
        <v>0</v>
      </c>
      <c r="AW544">
        <v>2</v>
      </c>
      <c r="AX544">
        <v>43137795</v>
      </c>
      <c r="AY544">
        <v>1</v>
      </c>
      <c r="AZ544">
        <v>0</v>
      </c>
      <c r="BA544">
        <v>537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</v>
      </c>
      <c r="BU544">
        <v>0</v>
      </c>
      <c r="BV544">
        <v>0</v>
      </c>
      <c r="BW544">
        <v>0</v>
      </c>
      <c r="CX544">
        <f>Y544*Source!I1033</f>
        <v>0.25</v>
      </c>
      <c r="CY544">
        <f>AB544</f>
        <v>77.36</v>
      </c>
      <c r="CZ544">
        <f>AF544</f>
        <v>10.76</v>
      </c>
      <c r="DA544">
        <f>AJ544</f>
        <v>7.19</v>
      </c>
      <c r="DB544">
        <f>ROUND((ROUND(AT544*CZ544,2)*1.25),6)</f>
        <v>0.67500000000000004</v>
      </c>
      <c r="DC544">
        <f>ROUND((ROUND(AT544*AG544,2)*1.25),6)</f>
        <v>0.05</v>
      </c>
    </row>
    <row r="545" spans="1:107" x14ac:dyDescent="0.2">
      <c r="A545">
        <f>ROW(Source!A1033)</f>
        <v>1033</v>
      </c>
      <c r="B545">
        <v>42938047</v>
      </c>
      <c r="C545">
        <v>43137789</v>
      </c>
      <c r="D545">
        <v>36044555</v>
      </c>
      <c r="E545">
        <v>1</v>
      </c>
      <c r="F545">
        <v>1</v>
      </c>
      <c r="G545">
        <v>35973048</v>
      </c>
      <c r="H545">
        <v>2</v>
      </c>
      <c r="I545" t="s">
        <v>1267</v>
      </c>
      <c r="J545" t="s">
        <v>1268</v>
      </c>
      <c r="K545" t="s">
        <v>1269</v>
      </c>
      <c r="L545">
        <v>1367</v>
      </c>
      <c r="N545">
        <v>1011</v>
      </c>
      <c r="O545" t="s">
        <v>738</v>
      </c>
      <c r="P545" t="s">
        <v>738</v>
      </c>
      <c r="Q545">
        <v>1</v>
      </c>
      <c r="W545">
        <v>0</v>
      </c>
      <c r="X545">
        <v>-266174272</v>
      </c>
      <c r="Y545">
        <v>0.17500000000000002</v>
      </c>
      <c r="AA545">
        <v>0</v>
      </c>
      <c r="AB545">
        <v>1636.27</v>
      </c>
      <c r="AC545">
        <v>461.74</v>
      </c>
      <c r="AD545">
        <v>0</v>
      </c>
      <c r="AE545">
        <v>0</v>
      </c>
      <c r="AF545">
        <v>190.93</v>
      </c>
      <c r="AG545">
        <v>18.149999999999999</v>
      </c>
      <c r="AH545">
        <v>0</v>
      </c>
      <c r="AI545">
        <v>1</v>
      </c>
      <c r="AJ545">
        <v>8.57</v>
      </c>
      <c r="AK545">
        <v>25.44</v>
      </c>
      <c r="AL545">
        <v>1</v>
      </c>
      <c r="AN545">
        <v>0</v>
      </c>
      <c r="AO545">
        <v>1</v>
      </c>
      <c r="AP545">
        <v>1</v>
      </c>
      <c r="AQ545">
        <v>0</v>
      </c>
      <c r="AR545">
        <v>0</v>
      </c>
      <c r="AS545" t="s">
        <v>3</v>
      </c>
      <c r="AT545">
        <v>0.14000000000000001</v>
      </c>
      <c r="AU545" t="s">
        <v>20</v>
      </c>
      <c r="AV545">
        <v>0</v>
      </c>
      <c r="AW545">
        <v>2</v>
      </c>
      <c r="AX545">
        <v>43137796</v>
      </c>
      <c r="AY545">
        <v>1</v>
      </c>
      <c r="AZ545">
        <v>0</v>
      </c>
      <c r="BA545">
        <v>538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0</v>
      </c>
      <c r="BU545">
        <v>0</v>
      </c>
      <c r="BV545">
        <v>0</v>
      </c>
      <c r="BW545">
        <v>0</v>
      </c>
      <c r="CX545">
        <f>Y545*Source!I1033</f>
        <v>0.70000000000000007</v>
      </c>
      <c r="CY545">
        <f>AB545</f>
        <v>1636.27</v>
      </c>
      <c r="CZ545">
        <f>AF545</f>
        <v>190.93</v>
      </c>
      <c r="DA545">
        <f>AJ545</f>
        <v>8.57</v>
      </c>
      <c r="DB545">
        <f>ROUND((ROUND(AT545*CZ545,2)*1.25),6)</f>
        <v>33.412500000000001</v>
      </c>
      <c r="DC545">
        <f>ROUND((ROUND(AT545*AG545,2)*1.25),6)</f>
        <v>3.1749999999999998</v>
      </c>
    </row>
    <row r="546" spans="1:107" x14ac:dyDescent="0.2">
      <c r="A546">
        <f>ROW(Source!A1033)</f>
        <v>1033</v>
      </c>
      <c r="B546">
        <v>42938047</v>
      </c>
      <c r="C546">
        <v>43137789</v>
      </c>
      <c r="D546">
        <v>0</v>
      </c>
      <c r="E546">
        <v>0</v>
      </c>
      <c r="F546">
        <v>1</v>
      </c>
      <c r="G546">
        <v>35973048</v>
      </c>
      <c r="H546">
        <v>3</v>
      </c>
      <c r="I546" t="s">
        <v>118</v>
      </c>
      <c r="J546" t="s">
        <v>3</v>
      </c>
      <c r="K546" t="s">
        <v>1171</v>
      </c>
      <c r="L546">
        <v>1354</v>
      </c>
      <c r="N546">
        <v>1010</v>
      </c>
      <c r="O546" t="s">
        <v>169</v>
      </c>
      <c r="P546" t="s">
        <v>169</v>
      </c>
      <c r="Q546">
        <v>1</v>
      </c>
      <c r="W546">
        <v>0</v>
      </c>
      <c r="X546">
        <v>-158374550</v>
      </c>
      <c r="Y546">
        <v>1</v>
      </c>
      <c r="AA546">
        <v>115600.01</v>
      </c>
      <c r="AB546">
        <v>0</v>
      </c>
      <c r="AC546">
        <v>0</v>
      </c>
      <c r="AD546">
        <v>0</v>
      </c>
      <c r="AE546">
        <v>18233.439999999999</v>
      </c>
      <c r="AF546">
        <v>0</v>
      </c>
      <c r="AG546">
        <v>0</v>
      </c>
      <c r="AH546">
        <v>0</v>
      </c>
      <c r="AI546">
        <v>6.34</v>
      </c>
      <c r="AJ546">
        <v>1</v>
      </c>
      <c r="AK546">
        <v>1</v>
      </c>
      <c r="AL546">
        <v>1</v>
      </c>
      <c r="AN546">
        <v>0</v>
      </c>
      <c r="AO546">
        <v>0</v>
      </c>
      <c r="AP546">
        <v>0</v>
      </c>
      <c r="AQ546">
        <v>0</v>
      </c>
      <c r="AR546">
        <v>0</v>
      </c>
      <c r="AS546" t="s">
        <v>3</v>
      </c>
      <c r="AT546">
        <v>1</v>
      </c>
      <c r="AU546" t="s">
        <v>3</v>
      </c>
      <c r="AV546">
        <v>0</v>
      </c>
      <c r="AW546">
        <v>1</v>
      </c>
      <c r="AX546">
        <v>-1</v>
      </c>
      <c r="AY546">
        <v>0</v>
      </c>
      <c r="AZ546">
        <v>0</v>
      </c>
      <c r="BA546" t="s">
        <v>3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0</v>
      </c>
      <c r="BU546">
        <v>0</v>
      </c>
      <c r="BV546">
        <v>0</v>
      </c>
      <c r="BW546">
        <v>0</v>
      </c>
      <c r="CX546">
        <f>Y546*Source!I1033</f>
        <v>4</v>
      </c>
      <c r="CY546">
        <f>AA546</f>
        <v>115600.01</v>
      </c>
      <c r="CZ546">
        <f>AE546</f>
        <v>18233.439999999999</v>
      </c>
      <c r="DA546">
        <f>AI546</f>
        <v>6.34</v>
      </c>
      <c r="DB546">
        <f>ROUND(ROUND(AT546*CZ546,2),6)</f>
        <v>18233.439999999999</v>
      </c>
      <c r="DC546">
        <f>ROUND(ROUND(AT546*AG546,2),6)</f>
        <v>0</v>
      </c>
    </row>
    <row r="547" spans="1:107" x14ac:dyDescent="0.2">
      <c r="A547">
        <f>ROW(Source!A1035)</f>
        <v>1035</v>
      </c>
      <c r="B547">
        <v>42938047</v>
      </c>
      <c r="C547">
        <v>43137790</v>
      </c>
      <c r="D547">
        <v>35973053</v>
      </c>
      <c r="E547">
        <v>35973048</v>
      </c>
      <c r="F547">
        <v>1</v>
      </c>
      <c r="G547">
        <v>35973048</v>
      </c>
      <c r="H547">
        <v>1</v>
      </c>
      <c r="I547" t="s">
        <v>1228</v>
      </c>
      <c r="J547" t="s">
        <v>3</v>
      </c>
      <c r="K547" t="s">
        <v>1229</v>
      </c>
      <c r="L547">
        <v>1191</v>
      </c>
      <c r="N547">
        <v>1013</v>
      </c>
      <c r="O547" t="s">
        <v>1230</v>
      </c>
      <c r="P547" t="s">
        <v>1230</v>
      </c>
      <c r="Q547">
        <v>1</v>
      </c>
      <c r="W547">
        <v>0</v>
      </c>
      <c r="X547">
        <v>476480486</v>
      </c>
      <c r="Y547">
        <v>4.508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1</v>
      </c>
      <c r="AJ547">
        <v>1</v>
      </c>
      <c r="AK547">
        <v>1</v>
      </c>
      <c r="AL547">
        <v>25.44</v>
      </c>
      <c r="AN547">
        <v>0</v>
      </c>
      <c r="AO547">
        <v>1</v>
      </c>
      <c r="AP547">
        <v>1</v>
      </c>
      <c r="AQ547">
        <v>0</v>
      </c>
      <c r="AR547">
        <v>0</v>
      </c>
      <c r="AS547" t="s">
        <v>3</v>
      </c>
      <c r="AT547">
        <v>3.92</v>
      </c>
      <c r="AU547" t="s">
        <v>21</v>
      </c>
      <c r="AV547">
        <v>1</v>
      </c>
      <c r="AW547">
        <v>2</v>
      </c>
      <c r="AX547">
        <v>43137803</v>
      </c>
      <c r="AY547">
        <v>1</v>
      </c>
      <c r="AZ547">
        <v>0</v>
      </c>
      <c r="BA547">
        <v>540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>
        <v>0</v>
      </c>
      <c r="BV547">
        <v>0</v>
      </c>
      <c r="BW547">
        <v>0</v>
      </c>
      <c r="CX547">
        <f>Y547*Source!I1035</f>
        <v>18.032</v>
      </c>
      <c r="CY547">
        <f>AD547</f>
        <v>0</v>
      </c>
      <c r="CZ547">
        <f>AH547</f>
        <v>0</v>
      </c>
      <c r="DA547">
        <f>AL547</f>
        <v>25.44</v>
      </c>
      <c r="DB547">
        <f>ROUND((ROUND(AT547*CZ547,2)*1.15),6)</f>
        <v>0</v>
      </c>
      <c r="DC547">
        <f>ROUND((ROUND(AT547*AG547,2)*1.15),6)</f>
        <v>0</v>
      </c>
    </row>
    <row r="548" spans="1:107" x14ac:dyDescent="0.2">
      <c r="A548">
        <f>ROW(Source!A1035)</f>
        <v>1035</v>
      </c>
      <c r="B548">
        <v>42938047</v>
      </c>
      <c r="C548">
        <v>43137790</v>
      </c>
      <c r="D548">
        <v>40599150</v>
      </c>
      <c r="E548">
        <v>1</v>
      </c>
      <c r="F548">
        <v>1</v>
      </c>
      <c r="G548">
        <v>35973048</v>
      </c>
      <c r="H548">
        <v>3</v>
      </c>
      <c r="I548" t="s">
        <v>1180</v>
      </c>
      <c r="J548" t="s">
        <v>1181</v>
      </c>
      <c r="K548" t="s">
        <v>1598</v>
      </c>
      <c r="L548">
        <v>1354</v>
      </c>
      <c r="N548">
        <v>1010</v>
      </c>
      <c r="O548" t="s">
        <v>169</v>
      </c>
      <c r="P548" t="s">
        <v>169</v>
      </c>
      <c r="Q548">
        <v>1</v>
      </c>
      <c r="W548">
        <v>0</v>
      </c>
      <c r="X548">
        <v>-1951459900</v>
      </c>
      <c r="Y548">
        <v>1</v>
      </c>
      <c r="AA548">
        <v>7235.4</v>
      </c>
      <c r="AB548">
        <v>0</v>
      </c>
      <c r="AC548">
        <v>0</v>
      </c>
      <c r="AD548">
        <v>0</v>
      </c>
      <c r="AE548">
        <v>1141.23</v>
      </c>
      <c r="AF548">
        <v>0</v>
      </c>
      <c r="AG548">
        <v>0</v>
      </c>
      <c r="AH548">
        <v>0</v>
      </c>
      <c r="AI548">
        <v>6.34</v>
      </c>
      <c r="AJ548">
        <v>1</v>
      </c>
      <c r="AK548">
        <v>1</v>
      </c>
      <c r="AL548">
        <v>1</v>
      </c>
      <c r="AN548">
        <v>0</v>
      </c>
      <c r="AO548">
        <v>0</v>
      </c>
      <c r="AP548">
        <v>0</v>
      </c>
      <c r="AQ548">
        <v>0</v>
      </c>
      <c r="AR548">
        <v>0</v>
      </c>
      <c r="AS548" t="s">
        <v>3</v>
      </c>
      <c r="AT548">
        <v>1</v>
      </c>
      <c r="AU548" t="s">
        <v>3</v>
      </c>
      <c r="AV548">
        <v>0</v>
      </c>
      <c r="AW548">
        <v>1</v>
      </c>
      <c r="AX548">
        <v>-1</v>
      </c>
      <c r="AY548">
        <v>0</v>
      </c>
      <c r="AZ548">
        <v>0</v>
      </c>
      <c r="BA548" t="s">
        <v>3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0</v>
      </c>
      <c r="BV548">
        <v>0</v>
      </c>
      <c r="BW548">
        <v>0</v>
      </c>
      <c r="CX548">
        <f>Y548*Source!I1035</f>
        <v>4</v>
      </c>
      <c r="CY548">
        <f>AA548</f>
        <v>7235.4</v>
      </c>
      <c r="CZ548">
        <f>AE548</f>
        <v>1141.23</v>
      </c>
      <c r="DA548">
        <f>AI548</f>
        <v>6.34</v>
      </c>
      <c r="DB548">
        <f>ROUND(ROUND(AT548*CZ548,2),6)</f>
        <v>1141.23</v>
      </c>
      <c r="DC548">
        <f>ROUND(ROUND(AT548*AG548,2),6)</f>
        <v>0</v>
      </c>
    </row>
    <row r="549" spans="1:107" x14ac:dyDescent="0.2">
      <c r="A549">
        <f>ROW(Source!A1037)</f>
        <v>1037</v>
      </c>
      <c r="B549">
        <v>42938047</v>
      </c>
      <c r="C549">
        <v>43137791</v>
      </c>
      <c r="D549">
        <v>35973053</v>
      </c>
      <c r="E549">
        <v>35973048</v>
      </c>
      <c r="F549">
        <v>1</v>
      </c>
      <c r="G549">
        <v>35973048</v>
      </c>
      <c r="H549">
        <v>1</v>
      </c>
      <c r="I549" t="s">
        <v>1228</v>
      </c>
      <c r="J549" t="s">
        <v>3</v>
      </c>
      <c r="K549" t="s">
        <v>1229</v>
      </c>
      <c r="L549">
        <v>1191</v>
      </c>
      <c r="N549">
        <v>1013</v>
      </c>
      <c r="O549" t="s">
        <v>1230</v>
      </c>
      <c r="P549" t="s">
        <v>1230</v>
      </c>
      <c r="Q549">
        <v>1</v>
      </c>
      <c r="W549">
        <v>0</v>
      </c>
      <c r="X549">
        <v>476480486</v>
      </c>
      <c r="Y549">
        <v>1.8744999999999998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1</v>
      </c>
      <c r="AJ549">
        <v>1</v>
      </c>
      <c r="AK549">
        <v>1</v>
      </c>
      <c r="AL549">
        <v>25.44</v>
      </c>
      <c r="AN549">
        <v>0</v>
      </c>
      <c r="AO549">
        <v>1</v>
      </c>
      <c r="AP549">
        <v>1</v>
      </c>
      <c r="AQ549">
        <v>0</v>
      </c>
      <c r="AR549">
        <v>0</v>
      </c>
      <c r="AS549" t="s">
        <v>3</v>
      </c>
      <c r="AT549">
        <v>1.63</v>
      </c>
      <c r="AU549" t="s">
        <v>21</v>
      </c>
      <c r="AV549">
        <v>1</v>
      </c>
      <c r="AW549">
        <v>2</v>
      </c>
      <c r="AX549">
        <v>43137806</v>
      </c>
      <c r="AY549">
        <v>1</v>
      </c>
      <c r="AZ549">
        <v>0</v>
      </c>
      <c r="BA549">
        <v>541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0</v>
      </c>
      <c r="BU549">
        <v>0</v>
      </c>
      <c r="BV549">
        <v>0</v>
      </c>
      <c r="BW549">
        <v>0</v>
      </c>
      <c r="CX549">
        <f>Y549*Source!I1037</f>
        <v>14.995999999999999</v>
      </c>
      <c r="CY549">
        <f>AD549</f>
        <v>0</v>
      </c>
      <c r="CZ549">
        <f>AH549</f>
        <v>0</v>
      </c>
      <c r="DA549">
        <f>AL549</f>
        <v>25.44</v>
      </c>
      <c r="DB549">
        <f>ROUND((ROUND(AT549*CZ549,2)*1.15),6)</f>
        <v>0</v>
      </c>
      <c r="DC549">
        <f>ROUND((ROUND(AT549*AG549,2)*1.15),6)</f>
        <v>0</v>
      </c>
    </row>
    <row r="550" spans="1:107" x14ac:dyDescent="0.2">
      <c r="A550">
        <f>ROW(Source!A1037)</f>
        <v>1037</v>
      </c>
      <c r="B550">
        <v>42938047</v>
      </c>
      <c r="C550">
        <v>43137791</v>
      </c>
      <c r="D550">
        <v>36045154</v>
      </c>
      <c r="E550">
        <v>1</v>
      </c>
      <c r="F550">
        <v>1</v>
      </c>
      <c r="G550">
        <v>35973048</v>
      </c>
      <c r="H550">
        <v>2</v>
      </c>
      <c r="I550" t="s">
        <v>1451</v>
      </c>
      <c r="J550" t="s">
        <v>1452</v>
      </c>
      <c r="K550" t="s">
        <v>1453</v>
      </c>
      <c r="L550">
        <v>1367</v>
      </c>
      <c r="N550">
        <v>1011</v>
      </c>
      <c r="O550" t="s">
        <v>738</v>
      </c>
      <c r="P550" t="s">
        <v>738</v>
      </c>
      <c r="Q550">
        <v>1</v>
      </c>
      <c r="W550">
        <v>0</v>
      </c>
      <c r="X550">
        <v>1653638965</v>
      </c>
      <c r="Y550">
        <v>0.4</v>
      </c>
      <c r="AA550">
        <v>0</v>
      </c>
      <c r="AB550">
        <v>6.26</v>
      </c>
      <c r="AC550">
        <v>2.29</v>
      </c>
      <c r="AD550">
        <v>0</v>
      </c>
      <c r="AE550">
        <v>0</v>
      </c>
      <c r="AF550">
        <v>1.0900000000000001</v>
      </c>
      <c r="AG550">
        <v>0.09</v>
      </c>
      <c r="AH550">
        <v>0</v>
      </c>
      <c r="AI550">
        <v>1</v>
      </c>
      <c r="AJ550">
        <v>5.74</v>
      </c>
      <c r="AK550">
        <v>25.44</v>
      </c>
      <c r="AL550">
        <v>1</v>
      </c>
      <c r="AN550">
        <v>0</v>
      </c>
      <c r="AO550">
        <v>1</v>
      </c>
      <c r="AP550">
        <v>1</v>
      </c>
      <c r="AQ550">
        <v>0</v>
      </c>
      <c r="AR550">
        <v>0</v>
      </c>
      <c r="AS550" t="s">
        <v>3</v>
      </c>
      <c r="AT550">
        <v>0.32</v>
      </c>
      <c r="AU550" t="s">
        <v>20</v>
      </c>
      <c r="AV550">
        <v>0</v>
      </c>
      <c r="AW550">
        <v>2</v>
      </c>
      <c r="AX550">
        <v>43137807</v>
      </c>
      <c r="AY550">
        <v>1</v>
      </c>
      <c r="AZ550">
        <v>0</v>
      </c>
      <c r="BA550">
        <v>542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0</v>
      </c>
      <c r="BV550">
        <v>0</v>
      </c>
      <c r="BW550">
        <v>0</v>
      </c>
      <c r="CX550">
        <f>Y550*Source!I1037</f>
        <v>3.2</v>
      </c>
      <c r="CY550">
        <f>AB550</f>
        <v>6.26</v>
      </c>
      <c r="CZ550">
        <f>AF550</f>
        <v>1.0900000000000001</v>
      </c>
      <c r="DA550">
        <f>AJ550</f>
        <v>5.74</v>
      </c>
      <c r="DB550">
        <f>ROUND((ROUND(AT550*CZ550,2)*1.25),6)</f>
        <v>0.4375</v>
      </c>
      <c r="DC550">
        <f>ROUND((ROUND(AT550*AG550,2)*1.25),6)</f>
        <v>3.7499999999999999E-2</v>
      </c>
    </row>
    <row r="551" spans="1:107" x14ac:dyDescent="0.2">
      <c r="A551">
        <f>ROW(Source!A1037)</f>
        <v>1037</v>
      </c>
      <c r="B551">
        <v>42938047</v>
      </c>
      <c r="C551">
        <v>43137791</v>
      </c>
      <c r="D551">
        <v>36045308</v>
      </c>
      <c r="E551">
        <v>1</v>
      </c>
      <c r="F551">
        <v>1</v>
      </c>
      <c r="G551">
        <v>35973048</v>
      </c>
      <c r="H551">
        <v>2</v>
      </c>
      <c r="I551" t="s">
        <v>1231</v>
      </c>
      <c r="J551" t="s">
        <v>1232</v>
      </c>
      <c r="K551" t="s">
        <v>1233</v>
      </c>
      <c r="L551">
        <v>1367</v>
      </c>
      <c r="N551">
        <v>1011</v>
      </c>
      <c r="O551" t="s">
        <v>738</v>
      </c>
      <c r="P551" t="s">
        <v>738</v>
      </c>
      <c r="Q551">
        <v>1</v>
      </c>
      <c r="W551">
        <v>0</v>
      </c>
      <c r="X551">
        <v>-628430174</v>
      </c>
      <c r="Y551">
        <v>1.2500000000000001E-2</v>
      </c>
      <c r="AA551">
        <v>0</v>
      </c>
      <c r="AB551">
        <v>748.13</v>
      </c>
      <c r="AC551">
        <v>365.32</v>
      </c>
      <c r="AD551">
        <v>0</v>
      </c>
      <c r="AE551">
        <v>0</v>
      </c>
      <c r="AF551">
        <v>76.81</v>
      </c>
      <c r="AG551">
        <v>14.36</v>
      </c>
      <c r="AH551">
        <v>0</v>
      </c>
      <c r="AI551">
        <v>1</v>
      </c>
      <c r="AJ551">
        <v>9.74</v>
      </c>
      <c r="AK551">
        <v>25.44</v>
      </c>
      <c r="AL551">
        <v>1</v>
      </c>
      <c r="AN551">
        <v>0</v>
      </c>
      <c r="AO551">
        <v>1</v>
      </c>
      <c r="AP551">
        <v>1</v>
      </c>
      <c r="AQ551">
        <v>0</v>
      </c>
      <c r="AR551">
        <v>0</v>
      </c>
      <c r="AS551" t="s">
        <v>3</v>
      </c>
      <c r="AT551">
        <v>0.01</v>
      </c>
      <c r="AU551" t="s">
        <v>20</v>
      </c>
      <c r="AV551">
        <v>0</v>
      </c>
      <c r="AW551">
        <v>2</v>
      </c>
      <c r="AX551">
        <v>43137808</v>
      </c>
      <c r="AY551">
        <v>1</v>
      </c>
      <c r="AZ551">
        <v>0</v>
      </c>
      <c r="BA551">
        <v>543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v>0</v>
      </c>
      <c r="BV551">
        <v>0</v>
      </c>
      <c r="BW551">
        <v>0</v>
      </c>
      <c r="CX551">
        <f>Y551*Source!I1037</f>
        <v>0.1</v>
      </c>
      <c r="CY551">
        <f>AB551</f>
        <v>748.13</v>
      </c>
      <c r="CZ551">
        <f>AF551</f>
        <v>76.81</v>
      </c>
      <c r="DA551">
        <f>AJ551</f>
        <v>9.74</v>
      </c>
      <c r="DB551">
        <f>ROUND((ROUND(AT551*CZ551,2)*1.25),6)</f>
        <v>0.96250000000000002</v>
      </c>
      <c r="DC551">
        <f>ROUND((ROUND(AT551*AG551,2)*1.25),6)</f>
        <v>0.17499999999999999</v>
      </c>
    </row>
    <row r="552" spans="1:107" x14ac:dyDescent="0.2">
      <c r="A552">
        <f>ROW(Source!A1037)</f>
        <v>1037</v>
      </c>
      <c r="B552">
        <v>42938047</v>
      </c>
      <c r="C552">
        <v>43137791</v>
      </c>
      <c r="D552">
        <v>36022649</v>
      </c>
      <c r="E552">
        <v>1</v>
      </c>
      <c r="F552">
        <v>1</v>
      </c>
      <c r="G552">
        <v>35973048</v>
      </c>
      <c r="H552">
        <v>3</v>
      </c>
      <c r="I552" t="s">
        <v>1454</v>
      </c>
      <c r="J552" t="s">
        <v>1455</v>
      </c>
      <c r="K552" t="s">
        <v>1456</v>
      </c>
      <c r="L552">
        <v>1346</v>
      </c>
      <c r="N552">
        <v>1009</v>
      </c>
      <c r="O552" t="s">
        <v>131</v>
      </c>
      <c r="P552" t="s">
        <v>131</v>
      </c>
      <c r="Q552">
        <v>1</v>
      </c>
      <c r="W552">
        <v>0</v>
      </c>
      <c r="X552">
        <v>-1558522825</v>
      </c>
      <c r="Y552">
        <v>1.0098</v>
      </c>
      <c r="AA552">
        <v>47.97</v>
      </c>
      <c r="AB552">
        <v>0</v>
      </c>
      <c r="AC552">
        <v>0</v>
      </c>
      <c r="AD552">
        <v>0</v>
      </c>
      <c r="AE552">
        <v>6.27</v>
      </c>
      <c r="AF552">
        <v>0</v>
      </c>
      <c r="AG552">
        <v>0</v>
      </c>
      <c r="AH552">
        <v>0</v>
      </c>
      <c r="AI552">
        <v>7.65</v>
      </c>
      <c r="AJ552">
        <v>1</v>
      </c>
      <c r="AK552">
        <v>1</v>
      </c>
      <c r="AL552">
        <v>1</v>
      </c>
      <c r="AN552">
        <v>0</v>
      </c>
      <c r="AO552">
        <v>1</v>
      </c>
      <c r="AP552">
        <v>1</v>
      </c>
      <c r="AQ552">
        <v>0</v>
      </c>
      <c r="AR552">
        <v>0</v>
      </c>
      <c r="AS552" t="s">
        <v>3</v>
      </c>
      <c r="AT552">
        <v>1.0098</v>
      </c>
      <c r="AU552" t="s">
        <v>3</v>
      </c>
      <c r="AV552">
        <v>0</v>
      </c>
      <c r="AW552">
        <v>2</v>
      </c>
      <c r="AX552">
        <v>43137809</v>
      </c>
      <c r="AY552">
        <v>1</v>
      </c>
      <c r="AZ552">
        <v>0</v>
      </c>
      <c r="BA552">
        <v>544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  <c r="BV552">
        <v>0</v>
      </c>
      <c r="BW552">
        <v>0</v>
      </c>
      <c r="CX552">
        <f>Y552*Source!I1037</f>
        <v>8.0784000000000002</v>
      </c>
      <c r="CY552">
        <f t="shared" ref="CY552:CY557" si="91">AA552</f>
        <v>47.97</v>
      </c>
      <c r="CZ552">
        <f t="shared" ref="CZ552:CZ557" si="92">AE552</f>
        <v>6.27</v>
      </c>
      <c r="DA552">
        <f t="shared" ref="DA552:DA557" si="93">AI552</f>
        <v>7.65</v>
      </c>
      <c r="DB552">
        <f t="shared" ref="DB552:DB557" si="94">ROUND(ROUND(AT552*CZ552,2),6)</f>
        <v>6.33</v>
      </c>
      <c r="DC552">
        <f t="shared" ref="DC552:DC557" si="95">ROUND(ROUND(AT552*AG552,2),6)</f>
        <v>0</v>
      </c>
    </row>
    <row r="553" spans="1:107" x14ac:dyDescent="0.2">
      <c r="A553">
        <f>ROW(Source!A1037)</f>
        <v>1037</v>
      </c>
      <c r="B553">
        <v>42938047</v>
      </c>
      <c r="C553">
        <v>43137791</v>
      </c>
      <c r="D553">
        <v>36034110</v>
      </c>
      <c r="E553">
        <v>1</v>
      </c>
      <c r="F553">
        <v>1</v>
      </c>
      <c r="G553">
        <v>35973048</v>
      </c>
      <c r="H553">
        <v>3</v>
      </c>
      <c r="I553" t="s">
        <v>1457</v>
      </c>
      <c r="J553" t="s">
        <v>1458</v>
      </c>
      <c r="K553" t="s">
        <v>1459</v>
      </c>
      <c r="L553">
        <v>1356</v>
      </c>
      <c r="N553">
        <v>1010</v>
      </c>
      <c r="O553" t="s">
        <v>1460</v>
      </c>
      <c r="P553" t="s">
        <v>1460</v>
      </c>
      <c r="Q553">
        <v>1000</v>
      </c>
      <c r="W553">
        <v>0</v>
      </c>
      <c r="X553">
        <v>-1688149627</v>
      </c>
      <c r="Y553">
        <v>2E-3</v>
      </c>
      <c r="AA553">
        <v>834.18</v>
      </c>
      <c r="AB553">
        <v>0</v>
      </c>
      <c r="AC553">
        <v>0</v>
      </c>
      <c r="AD553">
        <v>0</v>
      </c>
      <c r="AE553">
        <v>226.68</v>
      </c>
      <c r="AF553">
        <v>0</v>
      </c>
      <c r="AG553">
        <v>0</v>
      </c>
      <c r="AH553">
        <v>0</v>
      </c>
      <c r="AI553">
        <v>3.68</v>
      </c>
      <c r="AJ553">
        <v>1</v>
      </c>
      <c r="AK553">
        <v>1</v>
      </c>
      <c r="AL553">
        <v>1</v>
      </c>
      <c r="AN553">
        <v>0</v>
      </c>
      <c r="AO553">
        <v>1</v>
      </c>
      <c r="AP553">
        <v>1</v>
      </c>
      <c r="AQ553">
        <v>0</v>
      </c>
      <c r="AR553">
        <v>0</v>
      </c>
      <c r="AS553" t="s">
        <v>3</v>
      </c>
      <c r="AT553">
        <v>2E-3</v>
      </c>
      <c r="AU553" t="s">
        <v>3</v>
      </c>
      <c r="AV553">
        <v>0</v>
      </c>
      <c r="AW553">
        <v>2</v>
      </c>
      <c r="AX553">
        <v>43137810</v>
      </c>
      <c r="AY553">
        <v>1</v>
      </c>
      <c r="AZ553">
        <v>0</v>
      </c>
      <c r="BA553">
        <v>545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>
        <v>0</v>
      </c>
      <c r="BV553">
        <v>0</v>
      </c>
      <c r="BW553">
        <v>0</v>
      </c>
      <c r="CX553">
        <f>Y553*Source!I1037</f>
        <v>1.6E-2</v>
      </c>
      <c r="CY553">
        <f t="shared" si="91"/>
        <v>834.18</v>
      </c>
      <c r="CZ553">
        <f t="shared" si="92"/>
        <v>226.68</v>
      </c>
      <c r="DA553">
        <f t="shared" si="93"/>
        <v>3.68</v>
      </c>
      <c r="DB553">
        <f t="shared" si="94"/>
        <v>0.45</v>
      </c>
      <c r="DC553">
        <f t="shared" si="95"/>
        <v>0</v>
      </c>
    </row>
    <row r="554" spans="1:107" x14ac:dyDescent="0.2">
      <c r="A554">
        <f>ROW(Source!A1037)</f>
        <v>1037</v>
      </c>
      <c r="B554">
        <v>42938047</v>
      </c>
      <c r="C554">
        <v>43137791</v>
      </c>
      <c r="D554">
        <v>41520382</v>
      </c>
      <c r="E554">
        <v>1</v>
      </c>
      <c r="F554">
        <v>1</v>
      </c>
      <c r="G554">
        <v>35973048</v>
      </c>
      <c r="H554">
        <v>3</v>
      </c>
      <c r="I554" t="s">
        <v>1189</v>
      </c>
      <c r="J554" t="s">
        <v>1190</v>
      </c>
      <c r="K554" t="s">
        <v>1599</v>
      </c>
      <c r="L554">
        <v>1354</v>
      </c>
      <c r="N554">
        <v>1010</v>
      </c>
      <c r="O554" t="s">
        <v>169</v>
      </c>
      <c r="P554" t="s">
        <v>169</v>
      </c>
      <c r="Q554">
        <v>1</v>
      </c>
      <c r="W554">
        <v>0</v>
      </c>
      <c r="X554">
        <v>34621393</v>
      </c>
      <c r="Y554">
        <v>1</v>
      </c>
      <c r="AA554">
        <v>1570.07</v>
      </c>
      <c r="AB554">
        <v>0</v>
      </c>
      <c r="AC554">
        <v>0</v>
      </c>
      <c r="AD554">
        <v>0</v>
      </c>
      <c r="AE554">
        <v>409.94</v>
      </c>
      <c r="AF554">
        <v>0</v>
      </c>
      <c r="AG554">
        <v>0</v>
      </c>
      <c r="AH554">
        <v>0</v>
      </c>
      <c r="AI554">
        <v>3.83</v>
      </c>
      <c r="AJ554">
        <v>1</v>
      </c>
      <c r="AK554">
        <v>1</v>
      </c>
      <c r="AL554">
        <v>1</v>
      </c>
      <c r="AN554">
        <v>0</v>
      </c>
      <c r="AO554">
        <v>0</v>
      </c>
      <c r="AP554">
        <v>0</v>
      </c>
      <c r="AQ554">
        <v>0</v>
      </c>
      <c r="AR554">
        <v>0</v>
      </c>
      <c r="AS554" t="s">
        <v>3</v>
      </c>
      <c r="AT554">
        <v>1</v>
      </c>
      <c r="AU554" t="s">
        <v>3</v>
      </c>
      <c r="AV554">
        <v>0</v>
      </c>
      <c r="AW554">
        <v>1</v>
      </c>
      <c r="AX554">
        <v>-1</v>
      </c>
      <c r="AY554">
        <v>0</v>
      </c>
      <c r="AZ554">
        <v>0</v>
      </c>
      <c r="BA554" t="s">
        <v>3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v>0</v>
      </c>
      <c r="BV554">
        <v>0</v>
      </c>
      <c r="BW554">
        <v>0</v>
      </c>
      <c r="CX554">
        <f>Y554*Source!I1037</f>
        <v>8</v>
      </c>
      <c r="CY554">
        <f t="shared" si="91"/>
        <v>1570.07</v>
      </c>
      <c r="CZ554">
        <f t="shared" si="92"/>
        <v>409.94</v>
      </c>
      <c r="DA554">
        <f t="shared" si="93"/>
        <v>3.83</v>
      </c>
      <c r="DB554">
        <f t="shared" si="94"/>
        <v>409.94</v>
      </c>
      <c r="DC554">
        <f t="shared" si="95"/>
        <v>0</v>
      </c>
    </row>
    <row r="555" spans="1:107" x14ac:dyDescent="0.2">
      <c r="A555">
        <f>ROW(Source!A1037)</f>
        <v>1037</v>
      </c>
      <c r="B555">
        <v>42938047</v>
      </c>
      <c r="C555">
        <v>43137791</v>
      </c>
      <c r="D555">
        <v>36033325</v>
      </c>
      <c r="E555">
        <v>1</v>
      </c>
      <c r="F555">
        <v>1</v>
      </c>
      <c r="G555">
        <v>35973048</v>
      </c>
      <c r="H555">
        <v>3</v>
      </c>
      <c r="I555" t="s">
        <v>1196</v>
      </c>
      <c r="J555" t="s">
        <v>1198</v>
      </c>
      <c r="K555" t="s">
        <v>1197</v>
      </c>
      <c r="L555">
        <v>1391</v>
      </c>
      <c r="N555">
        <v>1013</v>
      </c>
      <c r="O555" t="s">
        <v>1062</v>
      </c>
      <c r="P555" t="s">
        <v>1062</v>
      </c>
      <c r="Q555">
        <v>1</v>
      </c>
      <c r="W555">
        <v>0</v>
      </c>
      <c r="X555">
        <v>-636669021</v>
      </c>
      <c r="Y555">
        <v>1</v>
      </c>
      <c r="AA555">
        <v>660.01</v>
      </c>
      <c r="AB555">
        <v>0</v>
      </c>
      <c r="AC555">
        <v>0</v>
      </c>
      <c r="AD555">
        <v>0</v>
      </c>
      <c r="AE555">
        <v>227.59</v>
      </c>
      <c r="AF555">
        <v>0</v>
      </c>
      <c r="AG555">
        <v>0</v>
      </c>
      <c r="AH555">
        <v>0</v>
      </c>
      <c r="AI555">
        <v>2.9</v>
      </c>
      <c r="AJ555">
        <v>1</v>
      </c>
      <c r="AK555">
        <v>1</v>
      </c>
      <c r="AL555">
        <v>1</v>
      </c>
      <c r="AN555">
        <v>0</v>
      </c>
      <c r="AO555">
        <v>0</v>
      </c>
      <c r="AP555">
        <v>1</v>
      </c>
      <c r="AQ555">
        <v>0</v>
      </c>
      <c r="AR555">
        <v>0</v>
      </c>
      <c r="AS555" t="s">
        <v>3</v>
      </c>
      <c r="AT555">
        <v>1</v>
      </c>
      <c r="AU555" t="s">
        <v>3</v>
      </c>
      <c r="AV555">
        <v>0</v>
      </c>
      <c r="AW555">
        <v>1</v>
      </c>
      <c r="AX555">
        <v>-1</v>
      </c>
      <c r="AY555">
        <v>0</v>
      </c>
      <c r="AZ555">
        <v>0</v>
      </c>
      <c r="BA555" t="s">
        <v>3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0</v>
      </c>
      <c r="BV555">
        <v>0</v>
      </c>
      <c r="BW555">
        <v>0</v>
      </c>
      <c r="CX555">
        <f>Y555*Source!I1037</f>
        <v>8</v>
      </c>
      <c r="CY555">
        <f t="shared" si="91"/>
        <v>660.01</v>
      </c>
      <c r="CZ555">
        <f t="shared" si="92"/>
        <v>227.59</v>
      </c>
      <c r="DA555">
        <f t="shared" si="93"/>
        <v>2.9</v>
      </c>
      <c r="DB555">
        <f t="shared" si="94"/>
        <v>227.59</v>
      </c>
      <c r="DC555">
        <f t="shared" si="95"/>
        <v>0</v>
      </c>
    </row>
    <row r="556" spans="1:107" x14ac:dyDescent="0.2">
      <c r="A556">
        <f>ROW(Source!A1037)</f>
        <v>1037</v>
      </c>
      <c r="B556">
        <v>42938047</v>
      </c>
      <c r="C556">
        <v>43137791</v>
      </c>
      <c r="D556">
        <v>40597984</v>
      </c>
      <c r="E556">
        <v>1</v>
      </c>
      <c r="F556">
        <v>1</v>
      </c>
      <c r="G556">
        <v>35973048</v>
      </c>
      <c r="H556">
        <v>3</v>
      </c>
      <c r="I556" t="s">
        <v>1192</v>
      </c>
      <c r="J556" t="s">
        <v>1194</v>
      </c>
      <c r="K556" t="s">
        <v>1193</v>
      </c>
      <c r="L556">
        <v>1354</v>
      </c>
      <c r="N556">
        <v>1010</v>
      </c>
      <c r="O556" t="s">
        <v>169</v>
      </c>
      <c r="P556" t="s">
        <v>169</v>
      </c>
      <c r="Q556">
        <v>1</v>
      </c>
      <c r="W556">
        <v>0</v>
      </c>
      <c r="X556">
        <v>1845202903</v>
      </c>
      <c r="Y556">
        <v>1</v>
      </c>
      <c r="AA556">
        <v>716.04</v>
      </c>
      <c r="AB556">
        <v>0</v>
      </c>
      <c r="AC556">
        <v>0</v>
      </c>
      <c r="AD556">
        <v>0</v>
      </c>
      <c r="AE556">
        <v>112.94</v>
      </c>
      <c r="AF556">
        <v>0</v>
      </c>
      <c r="AG556">
        <v>0</v>
      </c>
      <c r="AH556">
        <v>0</v>
      </c>
      <c r="AI556">
        <v>6.34</v>
      </c>
      <c r="AJ556">
        <v>1</v>
      </c>
      <c r="AK556">
        <v>1</v>
      </c>
      <c r="AL556">
        <v>1</v>
      </c>
      <c r="AN556">
        <v>0</v>
      </c>
      <c r="AO556">
        <v>0</v>
      </c>
      <c r="AP556">
        <v>0</v>
      </c>
      <c r="AQ556">
        <v>0</v>
      </c>
      <c r="AR556">
        <v>0</v>
      </c>
      <c r="AS556" t="s">
        <v>3</v>
      </c>
      <c r="AT556">
        <v>1</v>
      </c>
      <c r="AU556" t="s">
        <v>3</v>
      </c>
      <c r="AV556">
        <v>0</v>
      </c>
      <c r="AW556">
        <v>1</v>
      </c>
      <c r="AX556">
        <v>-1</v>
      </c>
      <c r="AY556">
        <v>0</v>
      </c>
      <c r="AZ556">
        <v>0</v>
      </c>
      <c r="BA556" t="s">
        <v>3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0</v>
      </c>
      <c r="BU556">
        <v>0</v>
      </c>
      <c r="BV556">
        <v>0</v>
      </c>
      <c r="BW556">
        <v>0</v>
      </c>
      <c r="CX556">
        <f>Y556*Source!I1037</f>
        <v>8</v>
      </c>
      <c r="CY556">
        <f t="shared" si="91"/>
        <v>716.04</v>
      </c>
      <c r="CZ556">
        <f t="shared" si="92"/>
        <v>112.94</v>
      </c>
      <c r="DA556">
        <f t="shared" si="93"/>
        <v>6.34</v>
      </c>
      <c r="DB556">
        <f t="shared" si="94"/>
        <v>112.94</v>
      </c>
      <c r="DC556">
        <f t="shared" si="95"/>
        <v>0</v>
      </c>
    </row>
    <row r="557" spans="1:107" x14ac:dyDescent="0.2">
      <c r="A557">
        <f>ROW(Source!A1037)</f>
        <v>1037</v>
      </c>
      <c r="B557">
        <v>42938047</v>
      </c>
      <c r="C557">
        <v>43137791</v>
      </c>
      <c r="D557">
        <v>0</v>
      </c>
      <c r="E557">
        <v>0</v>
      </c>
      <c r="F557">
        <v>1</v>
      </c>
      <c r="G557">
        <v>35973048</v>
      </c>
      <c r="H557">
        <v>3</v>
      </c>
      <c r="I557" t="s">
        <v>118</v>
      </c>
      <c r="J557" t="s">
        <v>3</v>
      </c>
      <c r="K557" t="s">
        <v>1200</v>
      </c>
      <c r="L557">
        <v>1354</v>
      </c>
      <c r="N557">
        <v>1010</v>
      </c>
      <c r="O557" t="s">
        <v>169</v>
      </c>
      <c r="P557" t="s">
        <v>169</v>
      </c>
      <c r="Q557">
        <v>1</v>
      </c>
      <c r="W557">
        <v>0</v>
      </c>
      <c r="X557">
        <v>2030200037</v>
      </c>
      <c r="Y557">
        <v>1</v>
      </c>
      <c r="AA557">
        <v>51204</v>
      </c>
      <c r="AB557">
        <v>0</v>
      </c>
      <c r="AC557">
        <v>0</v>
      </c>
      <c r="AD557">
        <v>0</v>
      </c>
      <c r="AE557">
        <v>8076.3399999999992</v>
      </c>
      <c r="AF557">
        <v>0</v>
      </c>
      <c r="AG557">
        <v>0</v>
      </c>
      <c r="AH557">
        <v>0</v>
      </c>
      <c r="AI557">
        <v>6.34</v>
      </c>
      <c r="AJ557">
        <v>1</v>
      </c>
      <c r="AK557">
        <v>1</v>
      </c>
      <c r="AL557">
        <v>1</v>
      </c>
      <c r="AN557">
        <v>0</v>
      </c>
      <c r="AO557">
        <v>0</v>
      </c>
      <c r="AP557">
        <v>0</v>
      </c>
      <c r="AQ557">
        <v>0</v>
      </c>
      <c r="AR557">
        <v>0</v>
      </c>
      <c r="AS557" t="s">
        <v>3</v>
      </c>
      <c r="AT557">
        <v>1</v>
      </c>
      <c r="AU557" t="s">
        <v>3</v>
      </c>
      <c r="AV557">
        <v>0</v>
      </c>
      <c r="AW557">
        <v>1</v>
      </c>
      <c r="AX557">
        <v>-1</v>
      </c>
      <c r="AY557">
        <v>0</v>
      </c>
      <c r="AZ557">
        <v>0</v>
      </c>
      <c r="BA557" t="s">
        <v>3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0</v>
      </c>
      <c r="BU557">
        <v>0</v>
      </c>
      <c r="BV557">
        <v>0</v>
      </c>
      <c r="BW557">
        <v>0</v>
      </c>
      <c r="CX557">
        <f>Y557*Source!I1037</f>
        <v>8</v>
      </c>
      <c r="CY557">
        <f t="shared" si="91"/>
        <v>51204</v>
      </c>
      <c r="CZ557">
        <f t="shared" si="92"/>
        <v>8076.3399999999992</v>
      </c>
      <c r="DA557">
        <f t="shared" si="93"/>
        <v>6.34</v>
      </c>
      <c r="DB557">
        <f t="shared" si="94"/>
        <v>8076.34</v>
      </c>
      <c r="DC557">
        <f t="shared" si="95"/>
        <v>0</v>
      </c>
    </row>
    <row r="558" spans="1:107" x14ac:dyDescent="0.2">
      <c r="A558">
        <f>ROW(Source!A1042)</f>
        <v>1042</v>
      </c>
      <c r="B558">
        <v>42938047</v>
      </c>
      <c r="C558">
        <v>43137792</v>
      </c>
      <c r="D558">
        <v>35973053</v>
      </c>
      <c r="E558">
        <v>35973048</v>
      </c>
      <c r="F558">
        <v>1</v>
      </c>
      <c r="G558">
        <v>35973048</v>
      </c>
      <c r="H558">
        <v>1</v>
      </c>
      <c r="I558" t="s">
        <v>1228</v>
      </c>
      <c r="J558" t="s">
        <v>3</v>
      </c>
      <c r="K558" t="s">
        <v>1229</v>
      </c>
      <c r="L558">
        <v>1191</v>
      </c>
      <c r="N558">
        <v>1013</v>
      </c>
      <c r="O558" t="s">
        <v>1230</v>
      </c>
      <c r="P558" t="s">
        <v>1230</v>
      </c>
      <c r="Q558">
        <v>1</v>
      </c>
      <c r="W558">
        <v>0</v>
      </c>
      <c r="X558">
        <v>476480486</v>
      </c>
      <c r="Y558">
        <v>6.4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1</v>
      </c>
      <c r="AJ558">
        <v>1</v>
      </c>
      <c r="AK558">
        <v>1</v>
      </c>
      <c r="AL558">
        <v>1</v>
      </c>
      <c r="AN558">
        <v>0</v>
      </c>
      <c r="AO558">
        <v>1</v>
      </c>
      <c r="AP558">
        <v>1</v>
      </c>
      <c r="AQ558">
        <v>0</v>
      </c>
      <c r="AR558">
        <v>0</v>
      </c>
      <c r="AS558" t="s">
        <v>3</v>
      </c>
      <c r="AT558">
        <v>8</v>
      </c>
      <c r="AU558" t="s">
        <v>566</v>
      </c>
      <c r="AV558">
        <v>1</v>
      </c>
      <c r="AW558">
        <v>2</v>
      </c>
      <c r="AX558">
        <v>43137830</v>
      </c>
      <c r="AY558">
        <v>1</v>
      </c>
      <c r="AZ558">
        <v>0</v>
      </c>
      <c r="BA558">
        <v>551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0</v>
      </c>
      <c r="BV558">
        <v>0</v>
      </c>
      <c r="BW558">
        <v>0</v>
      </c>
      <c r="CX558">
        <f>Y558*Source!I1042</f>
        <v>25.6</v>
      </c>
      <c r="CY558">
        <f>AD558</f>
        <v>0</v>
      </c>
      <c r="CZ558">
        <f>AH558</f>
        <v>0</v>
      </c>
      <c r="DA558">
        <f>AL558</f>
        <v>1</v>
      </c>
      <c r="DB558">
        <f>ROUND((ROUND(AT558*CZ558,2)*0.8),6)</f>
        <v>0</v>
      </c>
      <c r="DC558">
        <f>ROUND((ROUND(AT558*AG558,2)*0.8),6)</f>
        <v>0</v>
      </c>
    </row>
    <row r="559" spans="1:107" x14ac:dyDescent="0.2">
      <c r="A559">
        <f>ROW(Source!A1043)</f>
        <v>1043</v>
      </c>
      <c r="B559">
        <v>42938047</v>
      </c>
      <c r="C559">
        <v>43137831</v>
      </c>
      <c r="D559">
        <v>35973053</v>
      </c>
      <c r="E559">
        <v>35973048</v>
      </c>
      <c r="F559">
        <v>1</v>
      </c>
      <c r="G559">
        <v>35973048</v>
      </c>
      <c r="H559">
        <v>1</v>
      </c>
      <c r="I559" t="s">
        <v>1228</v>
      </c>
      <c r="J559" t="s">
        <v>3</v>
      </c>
      <c r="K559" t="s">
        <v>1229</v>
      </c>
      <c r="L559">
        <v>1191</v>
      </c>
      <c r="N559">
        <v>1013</v>
      </c>
      <c r="O559" t="s">
        <v>1230</v>
      </c>
      <c r="P559" t="s">
        <v>1230</v>
      </c>
      <c r="Q559">
        <v>1</v>
      </c>
      <c r="W559">
        <v>0</v>
      </c>
      <c r="X559">
        <v>476480486</v>
      </c>
      <c r="Y559">
        <v>44.800000000000004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1</v>
      </c>
      <c r="AJ559">
        <v>1</v>
      </c>
      <c r="AK559">
        <v>1</v>
      </c>
      <c r="AL559">
        <v>1</v>
      </c>
      <c r="AN559">
        <v>0</v>
      </c>
      <c r="AO559">
        <v>1</v>
      </c>
      <c r="AP559">
        <v>1</v>
      </c>
      <c r="AQ559">
        <v>0</v>
      </c>
      <c r="AR559">
        <v>0</v>
      </c>
      <c r="AS559" t="s">
        <v>3</v>
      </c>
      <c r="AT559">
        <v>56</v>
      </c>
      <c r="AU559" t="s">
        <v>566</v>
      </c>
      <c r="AV559">
        <v>1</v>
      </c>
      <c r="AW559">
        <v>2</v>
      </c>
      <c r="AX559">
        <v>43137832</v>
      </c>
      <c r="AY559">
        <v>1</v>
      </c>
      <c r="AZ559">
        <v>0</v>
      </c>
      <c r="BA559">
        <v>552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0</v>
      </c>
      <c r="BU559">
        <v>0</v>
      </c>
      <c r="BV559">
        <v>0</v>
      </c>
      <c r="BW559">
        <v>0</v>
      </c>
      <c r="CX559">
        <f>Y559*Source!I1043</f>
        <v>44.800000000000004</v>
      </c>
      <c r="CY559">
        <f>AD559</f>
        <v>0</v>
      </c>
      <c r="CZ559">
        <f>AH559</f>
        <v>0</v>
      </c>
      <c r="DA559">
        <f>AL559</f>
        <v>1</v>
      </c>
      <c r="DB559">
        <f>ROUND((ROUND(AT559*CZ559,2)*0.8),6)</f>
        <v>0</v>
      </c>
      <c r="DC559">
        <f>ROUND((ROUND(AT559*AG559,2)*0.8),6)</f>
        <v>0</v>
      </c>
    </row>
    <row r="560" spans="1:107" x14ac:dyDescent="0.2">
      <c r="A560">
        <f>ROW(Source!A1044)</f>
        <v>1044</v>
      </c>
      <c r="B560">
        <v>42938047</v>
      </c>
      <c r="C560">
        <v>43143283</v>
      </c>
      <c r="D560">
        <v>36759504</v>
      </c>
      <c r="E560">
        <v>1</v>
      </c>
      <c r="F560">
        <v>1</v>
      </c>
      <c r="G560">
        <v>35973048</v>
      </c>
      <c r="H560">
        <v>2</v>
      </c>
      <c r="I560" t="s">
        <v>1332</v>
      </c>
      <c r="J560" t="s">
        <v>1333</v>
      </c>
      <c r="K560" t="s">
        <v>1334</v>
      </c>
      <c r="L560">
        <v>1367</v>
      </c>
      <c r="N560">
        <v>1011</v>
      </c>
      <c r="O560" t="s">
        <v>738</v>
      </c>
      <c r="P560" t="s">
        <v>738</v>
      </c>
      <c r="Q560">
        <v>1</v>
      </c>
      <c r="W560">
        <v>0</v>
      </c>
      <c r="X560">
        <v>1815391720</v>
      </c>
      <c r="Y560">
        <v>1</v>
      </c>
      <c r="AA560">
        <v>0</v>
      </c>
      <c r="AB560">
        <v>100.09</v>
      </c>
      <c r="AC560">
        <v>13.81</v>
      </c>
      <c r="AD560">
        <v>0</v>
      </c>
      <c r="AE560">
        <v>0</v>
      </c>
      <c r="AF560">
        <v>100.09</v>
      </c>
      <c r="AG560">
        <v>13.81</v>
      </c>
      <c r="AH560">
        <v>0</v>
      </c>
      <c r="AI560">
        <v>1</v>
      </c>
      <c r="AJ560">
        <v>1</v>
      </c>
      <c r="AK560">
        <v>1</v>
      </c>
      <c r="AL560">
        <v>1</v>
      </c>
      <c r="AN560">
        <v>0</v>
      </c>
      <c r="AO560">
        <v>1</v>
      </c>
      <c r="AP560">
        <v>0</v>
      </c>
      <c r="AQ560">
        <v>0</v>
      </c>
      <c r="AR560">
        <v>0</v>
      </c>
      <c r="AS560" t="s">
        <v>3</v>
      </c>
      <c r="AT560">
        <v>1</v>
      </c>
      <c r="AU560" t="s">
        <v>3</v>
      </c>
      <c r="AV560">
        <v>0</v>
      </c>
      <c r="AW560">
        <v>2</v>
      </c>
      <c r="AX560">
        <v>43143285</v>
      </c>
      <c r="AY560">
        <v>1</v>
      </c>
      <c r="AZ560">
        <v>0</v>
      </c>
      <c r="BA560">
        <v>553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0</v>
      </c>
      <c r="BU560">
        <v>0</v>
      </c>
      <c r="BV560">
        <v>0</v>
      </c>
      <c r="BW560">
        <v>0</v>
      </c>
      <c r="CX560">
        <f>Y560*Source!I1044</f>
        <v>24.9</v>
      </c>
      <c r="CY560">
        <f>AB560</f>
        <v>100.09</v>
      </c>
      <c r="CZ560">
        <f>AF560</f>
        <v>100.09</v>
      </c>
      <c r="DA560">
        <f>AJ560</f>
        <v>1</v>
      </c>
      <c r="DB560">
        <f>ROUND(ROUND(AT560*CZ560,2),6)</f>
        <v>100.09</v>
      </c>
      <c r="DC560">
        <f>ROUND(ROUND(AT560*AG560,2),6)</f>
        <v>13.81</v>
      </c>
    </row>
    <row r="561" spans="1:107" x14ac:dyDescent="0.2">
      <c r="A561">
        <f>ROW(Source!A1045)</f>
        <v>1045</v>
      </c>
      <c r="B561">
        <v>42938047</v>
      </c>
      <c r="C561">
        <v>43143286</v>
      </c>
      <c r="D561">
        <v>36759504</v>
      </c>
      <c r="E561">
        <v>1</v>
      </c>
      <c r="F561">
        <v>1</v>
      </c>
      <c r="G561">
        <v>35973048</v>
      </c>
      <c r="H561">
        <v>2</v>
      </c>
      <c r="I561" t="s">
        <v>1332</v>
      </c>
      <c r="J561" t="s">
        <v>1333</v>
      </c>
      <c r="K561" t="s">
        <v>1334</v>
      </c>
      <c r="L561">
        <v>1367</v>
      </c>
      <c r="N561">
        <v>1011</v>
      </c>
      <c r="O561" t="s">
        <v>738</v>
      </c>
      <c r="P561" t="s">
        <v>738</v>
      </c>
      <c r="Q561">
        <v>1</v>
      </c>
      <c r="W561">
        <v>0</v>
      </c>
      <c r="X561">
        <v>1815391720</v>
      </c>
      <c r="Y561">
        <v>1</v>
      </c>
      <c r="AA561">
        <v>0</v>
      </c>
      <c r="AB561">
        <v>100.09</v>
      </c>
      <c r="AC561">
        <v>13.81</v>
      </c>
      <c r="AD561">
        <v>0</v>
      </c>
      <c r="AE561">
        <v>0</v>
      </c>
      <c r="AF561">
        <v>100.09</v>
      </c>
      <c r="AG561">
        <v>13.81</v>
      </c>
      <c r="AH561">
        <v>0</v>
      </c>
      <c r="AI561">
        <v>1</v>
      </c>
      <c r="AJ561">
        <v>1</v>
      </c>
      <c r="AK561">
        <v>1</v>
      </c>
      <c r="AL561">
        <v>1</v>
      </c>
      <c r="AN561">
        <v>0</v>
      </c>
      <c r="AO561">
        <v>1</v>
      </c>
      <c r="AP561">
        <v>0</v>
      </c>
      <c r="AQ561">
        <v>0</v>
      </c>
      <c r="AR561">
        <v>0</v>
      </c>
      <c r="AS561" t="s">
        <v>3</v>
      </c>
      <c r="AT561">
        <v>1</v>
      </c>
      <c r="AU561" t="s">
        <v>3</v>
      </c>
      <c r="AV561">
        <v>0</v>
      </c>
      <c r="AW561">
        <v>2</v>
      </c>
      <c r="AX561">
        <v>43143288</v>
      </c>
      <c r="AY561">
        <v>1</v>
      </c>
      <c r="AZ561">
        <v>0</v>
      </c>
      <c r="BA561">
        <v>554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0</v>
      </c>
      <c r="BU561">
        <v>0</v>
      </c>
      <c r="BV561">
        <v>0</v>
      </c>
      <c r="BW561">
        <v>0</v>
      </c>
      <c r="CX561">
        <f>Y561*Source!I1045</f>
        <v>24.9</v>
      </c>
      <c r="CY561">
        <f>AB561</f>
        <v>100.09</v>
      </c>
      <c r="CZ561">
        <f>AF561</f>
        <v>100.09</v>
      </c>
      <c r="DA561">
        <f>AJ561</f>
        <v>1</v>
      </c>
      <c r="DB561">
        <f>ROUND(ROUND(AT561*CZ561,2),6)</f>
        <v>100.09</v>
      </c>
      <c r="DC561">
        <f>ROUND(ROUND(AT561*AG561,2),6)</f>
        <v>13.81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54"/>
  <sheetViews>
    <sheetView workbookViewId="0"/>
  </sheetViews>
  <sheetFormatPr defaultColWidth="9.140625" defaultRowHeight="12.75" x14ac:dyDescent="0.2"/>
  <cols>
    <col min="1" max="256" width="9.140625" customWidth="1"/>
  </cols>
  <sheetData>
    <row r="1" spans="1:44" x14ac:dyDescent="0.2">
      <c r="A1">
        <f>ROW(Source!A28)</f>
        <v>28</v>
      </c>
      <c r="B1">
        <v>43134811</v>
      </c>
      <c r="C1">
        <v>43134810</v>
      </c>
      <c r="D1">
        <v>35973053</v>
      </c>
      <c r="E1">
        <v>35973048</v>
      </c>
      <c r="F1">
        <v>1</v>
      </c>
      <c r="G1">
        <v>35973048</v>
      </c>
      <c r="H1">
        <v>1</v>
      </c>
      <c r="I1" t="s">
        <v>1228</v>
      </c>
      <c r="J1" t="s">
        <v>3</v>
      </c>
      <c r="K1" t="s">
        <v>1229</v>
      </c>
      <c r="L1">
        <v>1191</v>
      </c>
      <c r="N1">
        <v>1013</v>
      </c>
      <c r="O1" t="s">
        <v>1230</v>
      </c>
      <c r="P1" t="s">
        <v>1230</v>
      </c>
      <c r="Q1">
        <v>1</v>
      </c>
      <c r="X1">
        <v>7.41</v>
      </c>
      <c r="Y1">
        <v>0</v>
      </c>
      <c r="Z1">
        <v>0</v>
      </c>
      <c r="AA1">
        <v>0</v>
      </c>
      <c r="AB1">
        <v>0</v>
      </c>
      <c r="AC1">
        <v>0</v>
      </c>
      <c r="AD1">
        <v>1</v>
      </c>
      <c r="AE1">
        <v>1</v>
      </c>
      <c r="AF1" t="s">
        <v>21</v>
      </c>
      <c r="AG1">
        <v>8.5214999999999996</v>
      </c>
      <c r="AH1">
        <v>2</v>
      </c>
      <c r="AI1">
        <v>43134811</v>
      </c>
      <c r="AJ1">
        <v>1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</row>
    <row r="2" spans="1:44" x14ac:dyDescent="0.2">
      <c r="A2">
        <f>ROW(Source!A29)</f>
        <v>29</v>
      </c>
      <c r="B2">
        <v>43135299</v>
      </c>
      <c r="C2">
        <v>43135298</v>
      </c>
      <c r="D2">
        <v>35973053</v>
      </c>
      <c r="E2">
        <v>35973048</v>
      </c>
      <c r="F2">
        <v>1</v>
      </c>
      <c r="G2">
        <v>35973048</v>
      </c>
      <c r="H2">
        <v>1</v>
      </c>
      <c r="I2" t="s">
        <v>1228</v>
      </c>
      <c r="J2" t="s">
        <v>3</v>
      </c>
      <c r="K2" t="s">
        <v>1229</v>
      </c>
      <c r="L2">
        <v>1191</v>
      </c>
      <c r="N2">
        <v>1013</v>
      </c>
      <c r="O2" t="s">
        <v>1230</v>
      </c>
      <c r="P2" t="s">
        <v>1230</v>
      </c>
      <c r="Q2">
        <v>1</v>
      </c>
      <c r="X2">
        <v>8.1300000000000008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1</v>
      </c>
      <c r="AF2" t="s">
        <v>31</v>
      </c>
      <c r="AG2">
        <v>6.5040000000000013</v>
      </c>
      <c r="AH2">
        <v>2</v>
      </c>
      <c r="AI2">
        <v>43135299</v>
      </c>
      <c r="AJ2">
        <v>2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</row>
    <row r="3" spans="1:44" x14ac:dyDescent="0.2">
      <c r="A3">
        <f>ROW(Source!A29)</f>
        <v>29</v>
      </c>
      <c r="B3">
        <v>43135300</v>
      </c>
      <c r="C3">
        <v>43135298</v>
      </c>
      <c r="D3">
        <v>36045308</v>
      </c>
      <c r="E3">
        <v>1</v>
      </c>
      <c r="F3">
        <v>1</v>
      </c>
      <c r="G3">
        <v>35973048</v>
      </c>
      <c r="H3">
        <v>2</v>
      </c>
      <c r="I3" t="s">
        <v>1231</v>
      </c>
      <c r="J3" t="s">
        <v>1232</v>
      </c>
      <c r="K3" t="s">
        <v>1233</v>
      </c>
      <c r="L3">
        <v>1367</v>
      </c>
      <c r="N3">
        <v>1011</v>
      </c>
      <c r="O3" t="s">
        <v>738</v>
      </c>
      <c r="P3" t="s">
        <v>738</v>
      </c>
      <c r="Q3">
        <v>1</v>
      </c>
      <c r="X3">
        <v>0.01</v>
      </c>
      <c r="Y3">
        <v>0</v>
      </c>
      <c r="Z3">
        <v>76.81</v>
      </c>
      <c r="AA3">
        <v>14.36</v>
      </c>
      <c r="AB3">
        <v>0</v>
      </c>
      <c r="AC3">
        <v>0</v>
      </c>
      <c r="AD3">
        <v>1</v>
      </c>
      <c r="AE3">
        <v>0</v>
      </c>
      <c r="AF3" t="s">
        <v>31</v>
      </c>
      <c r="AG3">
        <v>8.0000000000000002E-3</v>
      </c>
      <c r="AH3">
        <v>2</v>
      </c>
      <c r="AI3">
        <v>43135300</v>
      </c>
      <c r="AJ3">
        <v>3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</row>
    <row r="4" spans="1:44" x14ac:dyDescent="0.2">
      <c r="A4">
        <f>ROW(Source!A29)</f>
        <v>29</v>
      </c>
      <c r="B4">
        <v>43135301</v>
      </c>
      <c r="C4">
        <v>43135298</v>
      </c>
      <c r="D4">
        <v>36045419</v>
      </c>
      <c r="E4">
        <v>1</v>
      </c>
      <c r="F4">
        <v>1</v>
      </c>
      <c r="G4">
        <v>35973048</v>
      </c>
      <c r="H4">
        <v>2</v>
      </c>
      <c r="I4" t="s">
        <v>1234</v>
      </c>
      <c r="J4" t="s">
        <v>1235</v>
      </c>
      <c r="K4" t="s">
        <v>1236</v>
      </c>
      <c r="L4">
        <v>1367</v>
      </c>
      <c r="N4">
        <v>1011</v>
      </c>
      <c r="O4" t="s">
        <v>738</v>
      </c>
      <c r="P4" t="s">
        <v>738</v>
      </c>
      <c r="Q4">
        <v>1</v>
      </c>
      <c r="X4">
        <v>7.0000000000000007E-2</v>
      </c>
      <c r="Y4">
        <v>0</v>
      </c>
      <c r="Z4">
        <v>1.76</v>
      </c>
      <c r="AA4">
        <v>0.01</v>
      </c>
      <c r="AB4">
        <v>0</v>
      </c>
      <c r="AC4">
        <v>0</v>
      </c>
      <c r="AD4">
        <v>1</v>
      </c>
      <c r="AE4">
        <v>0</v>
      </c>
      <c r="AF4" t="s">
        <v>31</v>
      </c>
      <c r="AG4">
        <v>5.6000000000000008E-2</v>
      </c>
      <c r="AH4">
        <v>2</v>
      </c>
      <c r="AI4">
        <v>43135301</v>
      </c>
      <c r="AJ4">
        <v>4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</row>
    <row r="5" spans="1:44" x14ac:dyDescent="0.2">
      <c r="A5">
        <f>ROW(Source!A29)</f>
        <v>29</v>
      </c>
      <c r="B5">
        <v>43135302</v>
      </c>
      <c r="C5">
        <v>43135298</v>
      </c>
      <c r="D5">
        <v>36044645</v>
      </c>
      <c r="E5">
        <v>1</v>
      </c>
      <c r="F5">
        <v>1</v>
      </c>
      <c r="G5">
        <v>35973048</v>
      </c>
      <c r="H5">
        <v>2</v>
      </c>
      <c r="I5" t="s">
        <v>1237</v>
      </c>
      <c r="J5" t="s">
        <v>1238</v>
      </c>
      <c r="K5" t="s">
        <v>1239</v>
      </c>
      <c r="L5">
        <v>1367</v>
      </c>
      <c r="N5">
        <v>1011</v>
      </c>
      <c r="O5" t="s">
        <v>738</v>
      </c>
      <c r="P5" t="s">
        <v>738</v>
      </c>
      <c r="Q5">
        <v>1</v>
      </c>
      <c r="X5">
        <v>0.01</v>
      </c>
      <c r="Y5">
        <v>0</v>
      </c>
      <c r="Z5">
        <v>68.87</v>
      </c>
      <c r="AA5">
        <v>18.34</v>
      </c>
      <c r="AB5">
        <v>0</v>
      </c>
      <c r="AC5">
        <v>0</v>
      </c>
      <c r="AD5">
        <v>1</v>
      </c>
      <c r="AE5">
        <v>0</v>
      </c>
      <c r="AF5" t="s">
        <v>31</v>
      </c>
      <c r="AG5">
        <v>8.0000000000000002E-3</v>
      </c>
      <c r="AH5">
        <v>2</v>
      </c>
      <c r="AI5">
        <v>43135302</v>
      </c>
      <c r="AJ5">
        <v>5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</row>
    <row r="6" spans="1:44" x14ac:dyDescent="0.2">
      <c r="A6">
        <f>ROW(Source!A29)</f>
        <v>29</v>
      </c>
      <c r="B6">
        <v>43135303</v>
      </c>
      <c r="C6">
        <v>43135298</v>
      </c>
      <c r="D6">
        <v>36023369</v>
      </c>
      <c r="E6">
        <v>1</v>
      </c>
      <c r="F6">
        <v>1</v>
      </c>
      <c r="G6">
        <v>35973048</v>
      </c>
      <c r="H6">
        <v>3</v>
      </c>
      <c r="I6" t="s">
        <v>129</v>
      </c>
      <c r="J6" t="s">
        <v>132</v>
      </c>
      <c r="K6" t="s">
        <v>130</v>
      </c>
      <c r="L6">
        <v>1346</v>
      </c>
      <c r="N6">
        <v>1009</v>
      </c>
      <c r="O6" t="s">
        <v>131</v>
      </c>
      <c r="P6" t="s">
        <v>131</v>
      </c>
      <c r="Q6">
        <v>1</v>
      </c>
      <c r="X6">
        <v>4.82</v>
      </c>
      <c r="Y6">
        <v>83.79</v>
      </c>
      <c r="Z6">
        <v>0</v>
      </c>
      <c r="AA6">
        <v>0</v>
      </c>
      <c r="AB6">
        <v>0</v>
      </c>
      <c r="AC6">
        <v>0</v>
      </c>
      <c r="AD6">
        <v>1</v>
      </c>
      <c r="AE6">
        <v>0</v>
      </c>
      <c r="AF6" t="s">
        <v>30</v>
      </c>
      <c r="AG6">
        <v>0</v>
      </c>
      <c r="AH6">
        <v>2</v>
      </c>
      <c r="AI6">
        <v>43135303</v>
      </c>
      <c r="AJ6">
        <v>6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</row>
    <row r="7" spans="1:44" x14ac:dyDescent="0.2">
      <c r="A7">
        <f>ROW(Source!A29)</f>
        <v>29</v>
      </c>
      <c r="B7">
        <v>43135304</v>
      </c>
      <c r="C7">
        <v>43135298</v>
      </c>
      <c r="D7">
        <v>36023370</v>
      </c>
      <c r="E7">
        <v>1</v>
      </c>
      <c r="F7">
        <v>1</v>
      </c>
      <c r="G7">
        <v>35973048</v>
      </c>
      <c r="H7">
        <v>3</v>
      </c>
      <c r="I7" t="s">
        <v>134</v>
      </c>
      <c r="J7" t="s">
        <v>137</v>
      </c>
      <c r="K7" t="s">
        <v>135</v>
      </c>
      <c r="L7">
        <v>1301</v>
      </c>
      <c r="N7">
        <v>1003</v>
      </c>
      <c r="O7" t="s">
        <v>136</v>
      </c>
      <c r="P7" t="s">
        <v>136</v>
      </c>
      <c r="Q7">
        <v>1</v>
      </c>
      <c r="X7">
        <v>24.7</v>
      </c>
      <c r="Y7">
        <v>7.33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 t="s">
        <v>30</v>
      </c>
      <c r="AG7">
        <v>0</v>
      </c>
      <c r="AH7">
        <v>2</v>
      </c>
      <c r="AI7">
        <v>43135304</v>
      </c>
      <c r="AJ7">
        <v>7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</row>
    <row r="8" spans="1:44" x14ac:dyDescent="0.2">
      <c r="A8">
        <f>ROW(Source!A29)</f>
        <v>29</v>
      </c>
      <c r="B8">
        <v>43135305</v>
      </c>
      <c r="C8">
        <v>43135298</v>
      </c>
      <c r="D8">
        <v>35987767</v>
      </c>
      <c r="E8">
        <v>35973048</v>
      </c>
      <c r="F8">
        <v>1</v>
      </c>
      <c r="G8">
        <v>35973048</v>
      </c>
      <c r="H8">
        <v>3</v>
      </c>
      <c r="I8" t="s">
        <v>1461</v>
      </c>
      <c r="J8" t="s">
        <v>3</v>
      </c>
      <c r="K8" t="s">
        <v>1462</v>
      </c>
      <c r="L8">
        <v>1327</v>
      </c>
      <c r="N8">
        <v>1005</v>
      </c>
      <c r="O8" t="s">
        <v>120</v>
      </c>
      <c r="P8" t="s">
        <v>120</v>
      </c>
      <c r="Q8">
        <v>1</v>
      </c>
      <c r="X8">
        <v>102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 t="s">
        <v>30</v>
      </c>
      <c r="AG8">
        <v>0</v>
      </c>
      <c r="AH8">
        <v>3</v>
      </c>
      <c r="AI8">
        <v>-1</v>
      </c>
      <c r="AJ8" t="s">
        <v>3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</row>
    <row r="9" spans="1:44" x14ac:dyDescent="0.2">
      <c r="A9">
        <f>ROW(Source!A30)</f>
        <v>30</v>
      </c>
      <c r="B9">
        <v>43135319</v>
      </c>
      <c r="C9">
        <v>43135318</v>
      </c>
      <c r="D9">
        <v>35973053</v>
      </c>
      <c r="E9">
        <v>35973048</v>
      </c>
      <c r="F9">
        <v>1</v>
      </c>
      <c r="G9">
        <v>35973048</v>
      </c>
      <c r="H9">
        <v>1</v>
      </c>
      <c r="I9" t="s">
        <v>1228</v>
      </c>
      <c r="J9" t="s">
        <v>3</v>
      </c>
      <c r="K9" t="s">
        <v>1229</v>
      </c>
      <c r="L9">
        <v>1191</v>
      </c>
      <c r="N9">
        <v>1013</v>
      </c>
      <c r="O9" t="s">
        <v>1230</v>
      </c>
      <c r="P9" t="s">
        <v>1230</v>
      </c>
      <c r="Q9">
        <v>1</v>
      </c>
      <c r="X9">
        <v>49.5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1</v>
      </c>
      <c r="AF9" t="s">
        <v>3</v>
      </c>
      <c r="AG9">
        <v>49.5</v>
      </c>
      <c r="AH9">
        <v>2</v>
      </c>
      <c r="AI9">
        <v>43135319</v>
      </c>
      <c r="AJ9">
        <v>8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</row>
    <row r="10" spans="1:44" x14ac:dyDescent="0.2">
      <c r="A10">
        <f>ROW(Source!A30)</f>
        <v>30</v>
      </c>
      <c r="B10">
        <v>43135320</v>
      </c>
      <c r="C10">
        <v>43135318</v>
      </c>
      <c r="D10">
        <v>36044487</v>
      </c>
      <c r="E10">
        <v>1</v>
      </c>
      <c r="F10">
        <v>1</v>
      </c>
      <c r="G10">
        <v>35973048</v>
      </c>
      <c r="H10">
        <v>2</v>
      </c>
      <c r="I10" t="s">
        <v>769</v>
      </c>
      <c r="J10" t="s">
        <v>771</v>
      </c>
      <c r="K10" t="s">
        <v>770</v>
      </c>
      <c r="L10">
        <v>1367</v>
      </c>
      <c r="N10">
        <v>1011</v>
      </c>
      <c r="O10" t="s">
        <v>738</v>
      </c>
      <c r="P10" t="s">
        <v>738</v>
      </c>
      <c r="Q10">
        <v>1</v>
      </c>
      <c r="X10">
        <v>2.87</v>
      </c>
      <c r="Y10">
        <v>0</v>
      </c>
      <c r="Z10">
        <v>163.47999999999999</v>
      </c>
      <c r="AA10">
        <v>15.47</v>
      </c>
      <c r="AB10">
        <v>0</v>
      </c>
      <c r="AC10">
        <v>0</v>
      </c>
      <c r="AD10">
        <v>1</v>
      </c>
      <c r="AE10">
        <v>0</v>
      </c>
      <c r="AF10" t="s">
        <v>3</v>
      </c>
      <c r="AG10">
        <v>2.87</v>
      </c>
      <c r="AH10">
        <v>2</v>
      </c>
      <c r="AI10">
        <v>43135320</v>
      </c>
      <c r="AJ10">
        <v>9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</row>
    <row r="11" spans="1:44" x14ac:dyDescent="0.2">
      <c r="A11">
        <f>ROW(Source!A30)</f>
        <v>30</v>
      </c>
      <c r="B11">
        <v>43135321</v>
      </c>
      <c r="C11">
        <v>43135318</v>
      </c>
      <c r="D11">
        <v>36044464</v>
      </c>
      <c r="E11">
        <v>1</v>
      </c>
      <c r="F11">
        <v>1</v>
      </c>
      <c r="G11">
        <v>35973048</v>
      </c>
      <c r="H11">
        <v>2</v>
      </c>
      <c r="I11" t="s">
        <v>1240</v>
      </c>
      <c r="J11" t="s">
        <v>1241</v>
      </c>
      <c r="K11" t="s">
        <v>1242</v>
      </c>
      <c r="L11">
        <v>1367</v>
      </c>
      <c r="N11">
        <v>1011</v>
      </c>
      <c r="O11" t="s">
        <v>738</v>
      </c>
      <c r="P11" t="s">
        <v>738</v>
      </c>
      <c r="Q11">
        <v>1</v>
      </c>
      <c r="X11">
        <v>7.86</v>
      </c>
      <c r="Y11">
        <v>0</v>
      </c>
      <c r="Z11">
        <v>220.27</v>
      </c>
      <c r="AA11">
        <v>18.3</v>
      </c>
      <c r="AB11">
        <v>0</v>
      </c>
      <c r="AC11">
        <v>0</v>
      </c>
      <c r="AD11">
        <v>1</v>
      </c>
      <c r="AE11">
        <v>0</v>
      </c>
      <c r="AF11" t="s">
        <v>3</v>
      </c>
      <c r="AG11">
        <v>7.86</v>
      </c>
      <c r="AH11">
        <v>2</v>
      </c>
      <c r="AI11">
        <v>43135321</v>
      </c>
      <c r="AJ11">
        <v>10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</row>
    <row r="12" spans="1:44" x14ac:dyDescent="0.2">
      <c r="A12">
        <f>ROW(Source!A30)</f>
        <v>30</v>
      </c>
      <c r="B12">
        <v>43135322</v>
      </c>
      <c r="C12">
        <v>43135318</v>
      </c>
      <c r="D12">
        <v>35973762</v>
      </c>
      <c r="E12">
        <v>35973048</v>
      </c>
      <c r="F12">
        <v>1</v>
      </c>
      <c r="G12">
        <v>35973048</v>
      </c>
      <c r="H12">
        <v>2</v>
      </c>
      <c r="I12" t="s">
        <v>1243</v>
      </c>
      <c r="J12" t="s">
        <v>3</v>
      </c>
      <c r="K12" t="s">
        <v>1244</v>
      </c>
      <c r="L12">
        <v>1344</v>
      </c>
      <c r="N12">
        <v>1008</v>
      </c>
      <c r="O12" t="s">
        <v>1245</v>
      </c>
      <c r="P12" t="s">
        <v>1245</v>
      </c>
      <c r="Q12">
        <v>1</v>
      </c>
      <c r="X12">
        <v>5.21</v>
      </c>
      <c r="Y12">
        <v>0</v>
      </c>
      <c r="Z12">
        <v>1</v>
      </c>
      <c r="AA12">
        <v>0</v>
      </c>
      <c r="AB12">
        <v>0</v>
      </c>
      <c r="AC12">
        <v>0</v>
      </c>
      <c r="AD12">
        <v>1</v>
      </c>
      <c r="AE12">
        <v>0</v>
      </c>
      <c r="AF12" t="s">
        <v>3</v>
      </c>
      <c r="AG12">
        <v>5.21</v>
      </c>
      <c r="AH12">
        <v>2</v>
      </c>
      <c r="AI12">
        <v>43135322</v>
      </c>
      <c r="AJ12">
        <v>11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</row>
    <row r="13" spans="1:44" x14ac:dyDescent="0.2">
      <c r="A13">
        <f>ROW(Source!A31)</f>
        <v>31</v>
      </c>
      <c r="B13">
        <v>42939592</v>
      </c>
      <c r="C13">
        <v>42939591</v>
      </c>
      <c r="D13">
        <v>35973053</v>
      </c>
      <c r="E13">
        <v>35973048</v>
      </c>
      <c r="F13">
        <v>1</v>
      </c>
      <c r="G13">
        <v>35973048</v>
      </c>
      <c r="H13">
        <v>1</v>
      </c>
      <c r="I13" t="s">
        <v>1228</v>
      </c>
      <c r="J13" t="s">
        <v>3</v>
      </c>
      <c r="K13" t="s">
        <v>1229</v>
      </c>
      <c r="L13">
        <v>1191</v>
      </c>
      <c r="N13">
        <v>1013</v>
      </c>
      <c r="O13" t="s">
        <v>1230</v>
      </c>
      <c r="P13" t="s">
        <v>1230</v>
      </c>
      <c r="Q13">
        <v>1</v>
      </c>
      <c r="X13">
        <v>10.199999999999999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1</v>
      </c>
      <c r="AF13" t="s">
        <v>48</v>
      </c>
      <c r="AG13">
        <v>2.9324999999999997</v>
      </c>
      <c r="AH13">
        <v>2</v>
      </c>
      <c r="AI13">
        <v>42939592</v>
      </c>
      <c r="AJ13">
        <v>12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</row>
    <row r="14" spans="1:44" x14ac:dyDescent="0.2">
      <c r="A14">
        <f>ROW(Source!A32)</f>
        <v>32</v>
      </c>
      <c r="B14">
        <v>42939641</v>
      </c>
      <c r="C14">
        <v>42939640</v>
      </c>
      <c r="D14">
        <v>36044716</v>
      </c>
      <c r="E14">
        <v>1</v>
      </c>
      <c r="F14">
        <v>1</v>
      </c>
      <c r="G14">
        <v>35973048</v>
      </c>
      <c r="H14">
        <v>2</v>
      </c>
      <c r="I14" t="s">
        <v>1246</v>
      </c>
      <c r="J14" t="s">
        <v>1247</v>
      </c>
      <c r="K14" t="s">
        <v>1248</v>
      </c>
      <c r="L14">
        <v>1367</v>
      </c>
      <c r="N14">
        <v>1011</v>
      </c>
      <c r="O14" t="s">
        <v>738</v>
      </c>
      <c r="P14" t="s">
        <v>738</v>
      </c>
      <c r="Q14">
        <v>1</v>
      </c>
      <c r="X14">
        <v>0.65</v>
      </c>
      <c r="Y14">
        <v>0</v>
      </c>
      <c r="Z14">
        <v>92.32</v>
      </c>
      <c r="AA14">
        <v>18</v>
      </c>
      <c r="AB14">
        <v>0</v>
      </c>
      <c r="AC14">
        <v>0</v>
      </c>
      <c r="AD14">
        <v>1</v>
      </c>
      <c r="AE14">
        <v>0</v>
      </c>
      <c r="AF14" t="s">
        <v>55</v>
      </c>
      <c r="AG14">
        <v>0.609375</v>
      </c>
      <c r="AH14">
        <v>2</v>
      </c>
      <c r="AI14">
        <v>42939641</v>
      </c>
      <c r="AJ14">
        <v>13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</row>
    <row r="15" spans="1:44" x14ac:dyDescent="0.2">
      <c r="A15">
        <f>ROW(Source!A33)</f>
        <v>33</v>
      </c>
      <c r="B15">
        <v>43135286</v>
      </c>
      <c r="C15">
        <v>43135267</v>
      </c>
      <c r="D15">
        <v>35973053</v>
      </c>
      <c r="E15">
        <v>35973048</v>
      </c>
      <c r="F15">
        <v>1</v>
      </c>
      <c r="G15">
        <v>35973048</v>
      </c>
      <c r="H15">
        <v>1</v>
      </c>
      <c r="I15" t="s">
        <v>1228</v>
      </c>
      <c r="J15" t="s">
        <v>3</v>
      </c>
      <c r="K15" t="s">
        <v>1229</v>
      </c>
      <c r="L15">
        <v>1191</v>
      </c>
      <c r="N15">
        <v>1013</v>
      </c>
      <c r="O15" t="s">
        <v>1230</v>
      </c>
      <c r="P15" t="s">
        <v>1230</v>
      </c>
      <c r="Q15">
        <v>1</v>
      </c>
      <c r="X15">
        <v>192.7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1</v>
      </c>
      <c r="AF15" t="s">
        <v>65</v>
      </c>
      <c r="AG15">
        <v>55.40124999999999</v>
      </c>
      <c r="AH15">
        <v>2</v>
      </c>
      <c r="AI15">
        <v>43135286</v>
      </c>
      <c r="AJ15">
        <v>14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</row>
    <row r="16" spans="1:44" x14ac:dyDescent="0.2">
      <c r="A16">
        <f>ROW(Source!A34)</f>
        <v>34</v>
      </c>
      <c r="B16">
        <v>43135288</v>
      </c>
      <c r="C16">
        <v>43135287</v>
      </c>
      <c r="D16">
        <v>35973053</v>
      </c>
      <c r="E16">
        <v>35973048</v>
      </c>
      <c r="F16">
        <v>1</v>
      </c>
      <c r="G16">
        <v>35973048</v>
      </c>
      <c r="H16">
        <v>1</v>
      </c>
      <c r="I16" t="s">
        <v>1228</v>
      </c>
      <c r="J16" t="s">
        <v>3</v>
      </c>
      <c r="K16" t="s">
        <v>1229</v>
      </c>
      <c r="L16">
        <v>1191</v>
      </c>
      <c r="N16">
        <v>1013</v>
      </c>
      <c r="O16" t="s">
        <v>1230</v>
      </c>
      <c r="P16" t="s">
        <v>1230</v>
      </c>
      <c r="Q16">
        <v>1</v>
      </c>
      <c r="X16">
        <v>1.38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1</v>
      </c>
      <c r="AF16" t="s">
        <v>56</v>
      </c>
      <c r="AG16">
        <v>1.1902499999999998</v>
      </c>
      <c r="AH16">
        <v>2</v>
      </c>
      <c r="AI16">
        <v>43135288</v>
      </c>
      <c r="AJ16">
        <v>15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  <row r="17" spans="1:44" x14ac:dyDescent="0.2">
      <c r="A17">
        <f>ROW(Source!A34)</f>
        <v>34</v>
      </c>
      <c r="B17">
        <v>43135289</v>
      </c>
      <c r="C17">
        <v>43135287</v>
      </c>
      <c r="D17">
        <v>36044463</v>
      </c>
      <c r="E17">
        <v>1</v>
      </c>
      <c r="F17">
        <v>1</v>
      </c>
      <c r="G17">
        <v>35973048</v>
      </c>
      <c r="H17">
        <v>2</v>
      </c>
      <c r="I17" t="s">
        <v>1249</v>
      </c>
      <c r="J17" t="s">
        <v>1250</v>
      </c>
      <c r="K17" t="s">
        <v>1251</v>
      </c>
      <c r="L17">
        <v>1367</v>
      </c>
      <c r="N17">
        <v>1011</v>
      </c>
      <c r="O17" t="s">
        <v>738</v>
      </c>
      <c r="P17" t="s">
        <v>738</v>
      </c>
      <c r="Q17">
        <v>1</v>
      </c>
      <c r="X17">
        <v>3.9874999999999998</v>
      </c>
      <c r="Y17">
        <v>0</v>
      </c>
      <c r="Z17">
        <v>180.72</v>
      </c>
      <c r="AA17">
        <v>17.510000000000002</v>
      </c>
      <c r="AB17">
        <v>0</v>
      </c>
      <c r="AC17">
        <v>0</v>
      </c>
      <c r="AD17">
        <v>1</v>
      </c>
      <c r="AE17">
        <v>0</v>
      </c>
      <c r="AF17" t="s">
        <v>55</v>
      </c>
      <c r="AG17">
        <v>3.7382812499999996</v>
      </c>
      <c r="AH17">
        <v>2</v>
      </c>
      <c r="AI17">
        <v>43135289</v>
      </c>
      <c r="AJ17">
        <v>16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</row>
    <row r="18" spans="1:44" x14ac:dyDescent="0.2">
      <c r="A18">
        <f>ROW(Source!A34)</f>
        <v>34</v>
      </c>
      <c r="B18">
        <v>43135290</v>
      </c>
      <c r="C18">
        <v>43135287</v>
      </c>
      <c r="D18">
        <v>36044488</v>
      </c>
      <c r="E18">
        <v>1</v>
      </c>
      <c r="F18">
        <v>1</v>
      </c>
      <c r="G18">
        <v>35973048</v>
      </c>
      <c r="H18">
        <v>2</v>
      </c>
      <c r="I18" t="s">
        <v>1252</v>
      </c>
      <c r="J18" t="s">
        <v>1253</v>
      </c>
      <c r="K18" t="s">
        <v>1254</v>
      </c>
      <c r="L18">
        <v>1367</v>
      </c>
      <c r="N18">
        <v>1011</v>
      </c>
      <c r="O18" t="s">
        <v>738</v>
      </c>
      <c r="P18" t="s">
        <v>738</v>
      </c>
      <c r="Q18">
        <v>1</v>
      </c>
      <c r="X18">
        <v>0.997</v>
      </c>
      <c r="Y18">
        <v>0</v>
      </c>
      <c r="Z18">
        <v>161.49</v>
      </c>
      <c r="AA18">
        <v>17.7</v>
      </c>
      <c r="AB18">
        <v>0</v>
      </c>
      <c r="AC18">
        <v>0</v>
      </c>
      <c r="AD18">
        <v>1</v>
      </c>
      <c r="AE18">
        <v>0</v>
      </c>
      <c r="AF18" t="s">
        <v>55</v>
      </c>
      <c r="AG18">
        <v>0.9346875</v>
      </c>
      <c r="AH18">
        <v>2</v>
      </c>
      <c r="AI18">
        <v>43135290</v>
      </c>
      <c r="AJ18">
        <v>17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</row>
    <row r="19" spans="1:44" x14ac:dyDescent="0.2">
      <c r="A19">
        <f>ROW(Source!A35)</f>
        <v>35</v>
      </c>
      <c r="B19">
        <v>43136466</v>
      </c>
      <c r="C19">
        <v>43136455</v>
      </c>
      <c r="D19">
        <v>35973053</v>
      </c>
      <c r="E19">
        <v>35973048</v>
      </c>
      <c r="F19">
        <v>1</v>
      </c>
      <c r="G19">
        <v>35973048</v>
      </c>
      <c r="H19">
        <v>1</v>
      </c>
      <c r="I19" t="s">
        <v>1228</v>
      </c>
      <c r="J19" t="s">
        <v>3</v>
      </c>
      <c r="K19" t="s">
        <v>1229</v>
      </c>
      <c r="L19">
        <v>1191</v>
      </c>
      <c r="N19">
        <v>1013</v>
      </c>
      <c r="O19" t="s">
        <v>1230</v>
      </c>
      <c r="P19" t="s">
        <v>1230</v>
      </c>
      <c r="Q19">
        <v>1</v>
      </c>
      <c r="X19">
        <v>21.6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1</v>
      </c>
      <c r="AF19" t="s">
        <v>21</v>
      </c>
      <c r="AG19">
        <v>24.84</v>
      </c>
      <c r="AH19">
        <v>2</v>
      </c>
      <c r="AI19">
        <v>43136466</v>
      </c>
      <c r="AJ19">
        <v>18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</row>
    <row r="20" spans="1:44" x14ac:dyDescent="0.2">
      <c r="A20">
        <f>ROW(Source!A35)</f>
        <v>35</v>
      </c>
      <c r="B20">
        <v>43136467</v>
      </c>
      <c r="C20">
        <v>43136455</v>
      </c>
      <c r="D20">
        <v>36044487</v>
      </c>
      <c r="E20">
        <v>1</v>
      </c>
      <c r="F20">
        <v>1</v>
      </c>
      <c r="G20">
        <v>35973048</v>
      </c>
      <c r="H20">
        <v>2</v>
      </c>
      <c r="I20" t="s">
        <v>769</v>
      </c>
      <c r="J20" t="s">
        <v>771</v>
      </c>
      <c r="K20" t="s">
        <v>770</v>
      </c>
      <c r="L20">
        <v>1367</v>
      </c>
      <c r="N20">
        <v>1011</v>
      </c>
      <c r="O20" t="s">
        <v>738</v>
      </c>
      <c r="P20" t="s">
        <v>738</v>
      </c>
      <c r="Q20">
        <v>1</v>
      </c>
      <c r="X20">
        <v>2.35</v>
      </c>
      <c r="Y20">
        <v>0</v>
      </c>
      <c r="Z20">
        <v>163.47999999999999</v>
      </c>
      <c r="AA20">
        <v>15.47</v>
      </c>
      <c r="AB20">
        <v>0</v>
      </c>
      <c r="AC20">
        <v>0</v>
      </c>
      <c r="AD20">
        <v>1</v>
      </c>
      <c r="AE20">
        <v>0</v>
      </c>
      <c r="AF20" t="s">
        <v>20</v>
      </c>
      <c r="AG20">
        <v>2.9375</v>
      </c>
      <c r="AH20">
        <v>2</v>
      </c>
      <c r="AI20">
        <v>43136467</v>
      </c>
      <c r="AJ20">
        <v>19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</row>
    <row r="21" spans="1:44" x14ac:dyDescent="0.2">
      <c r="A21">
        <f>ROW(Source!A35)</f>
        <v>35</v>
      </c>
      <c r="B21">
        <v>43136468</v>
      </c>
      <c r="C21">
        <v>43136455</v>
      </c>
      <c r="D21">
        <v>36044734</v>
      </c>
      <c r="E21">
        <v>1</v>
      </c>
      <c r="F21">
        <v>1</v>
      </c>
      <c r="G21">
        <v>35973048</v>
      </c>
      <c r="H21">
        <v>2</v>
      </c>
      <c r="I21" t="s">
        <v>745</v>
      </c>
      <c r="J21" t="s">
        <v>747</v>
      </c>
      <c r="K21" t="s">
        <v>746</v>
      </c>
      <c r="L21">
        <v>1367</v>
      </c>
      <c r="N21">
        <v>1011</v>
      </c>
      <c r="O21" t="s">
        <v>738</v>
      </c>
      <c r="P21" t="s">
        <v>738</v>
      </c>
      <c r="Q21">
        <v>1</v>
      </c>
      <c r="X21">
        <v>0.91</v>
      </c>
      <c r="Y21">
        <v>0</v>
      </c>
      <c r="Z21">
        <v>246.68</v>
      </c>
      <c r="AA21">
        <v>13.37</v>
      </c>
      <c r="AB21">
        <v>0</v>
      </c>
      <c r="AC21">
        <v>0</v>
      </c>
      <c r="AD21">
        <v>1</v>
      </c>
      <c r="AE21">
        <v>0</v>
      </c>
      <c r="AF21" t="s">
        <v>20</v>
      </c>
      <c r="AG21">
        <v>1.1375</v>
      </c>
      <c r="AH21">
        <v>2</v>
      </c>
      <c r="AI21">
        <v>43136468</v>
      </c>
      <c r="AJ21">
        <v>20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</row>
    <row r="22" spans="1:44" x14ac:dyDescent="0.2">
      <c r="A22">
        <f>ROW(Source!A35)</f>
        <v>35</v>
      </c>
      <c r="B22">
        <v>43136469</v>
      </c>
      <c r="C22">
        <v>43136455</v>
      </c>
      <c r="D22">
        <v>36044719</v>
      </c>
      <c r="E22">
        <v>1</v>
      </c>
      <c r="F22">
        <v>1</v>
      </c>
      <c r="G22">
        <v>35973048</v>
      </c>
      <c r="H22">
        <v>2</v>
      </c>
      <c r="I22" t="s">
        <v>1255</v>
      </c>
      <c r="J22" t="s">
        <v>1256</v>
      </c>
      <c r="K22" t="s">
        <v>1257</v>
      </c>
      <c r="L22">
        <v>1367</v>
      </c>
      <c r="N22">
        <v>1011</v>
      </c>
      <c r="O22" t="s">
        <v>738</v>
      </c>
      <c r="P22" t="s">
        <v>738</v>
      </c>
      <c r="Q22">
        <v>1</v>
      </c>
      <c r="X22">
        <v>7.17</v>
      </c>
      <c r="Y22">
        <v>0</v>
      </c>
      <c r="Z22">
        <v>169.44</v>
      </c>
      <c r="AA22">
        <v>15.02</v>
      </c>
      <c r="AB22">
        <v>0</v>
      </c>
      <c r="AC22">
        <v>0</v>
      </c>
      <c r="AD22">
        <v>1</v>
      </c>
      <c r="AE22">
        <v>0</v>
      </c>
      <c r="AF22" t="s">
        <v>20</v>
      </c>
      <c r="AG22">
        <v>8.9625000000000004</v>
      </c>
      <c r="AH22">
        <v>2</v>
      </c>
      <c r="AI22">
        <v>43136469</v>
      </c>
      <c r="AJ22">
        <v>21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</row>
    <row r="23" spans="1:44" x14ac:dyDescent="0.2">
      <c r="A23">
        <f>ROW(Source!A35)</f>
        <v>35</v>
      </c>
      <c r="B23">
        <v>43136470</v>
      </c>
      <c r="C23">
        <v>43136455</v>
      </c>
      <c r="D23">
        <v>36044720</v>
      </c>
      <c r="E23">
        <v>1</v>
      </c>
      <c r="F23">
        <v>1</v>
      </c>
      <c r="G23">
        <v>35973048</v>
      </c>
      <c r="H23">
        <v>2</v>
      </c>
      <c r="I23" t="s">
        <v>765</v>
      </c>
      <c r="J23" t="s">
        <v>767</v>
      </c>
      <c r="K23" t="s">
        <v>766</v>
      </c>
      <c r="L23">
        <v>1367</v>
      </c>
      <c r="N23">
        <v>1011</v>
      </c>
      <c r="O23" t="s">
        <v>738</v>
      </c>
      <c r="P23" t="s">
        <v>738</v>
      </c>
      <c r="Q23">
        <v>1</v>
      </c>
      <c r="X23">
        <v>14.6</v>
      </c>
      <c r="Y23">
        <v>0</v>
      </c>
      <c r="Z23">
        <v>219.5</v>
      </c>
      <c r="AA23">
        <v>17.510000000000002</v>
      </c>
      <c r="AB23">
        <v>0</v>
      </c>
      <c r="AC23">
        <v>0</v>
      </c>
      <c r="AD23">
        <v>1</v>
      </c>
      <c r="AE23">
        <v>0</v>
      </c>
      <c r="AF23" t="s">
        <v>20</v>
      </c>
      <c r="AG23">
        <v>18.25</v>
      </c>
      <c r="AH23">
        <v>2</v>
      </c>
      <c r="AI23">
        <v>43136470</v>
      </c>
      <c r="AJ23">
        <v>22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</row>
    <row r="24" spans="1:44" x14ac:dyDescent="0.2">
      <c r="A24">
        <f>ROW(Source!A35)</f>
        <v>35</v>
      </c>
      <c r="B24">
        <v>43136471</v>
      </c>
      <c r="C24">
        <v>43136455</v>
      </c>
      <c r="D24">
        <v>36044762</v>
      </c>
      <c r="E24">
        <v>1</v>
      </c>
      <c r="F24">
        <v>1</v>
      </c>
      <c r="G24">
        <v>35973048</v>
      </c>
      <c r="H24">
        <v>2</v>
      </c>
      <c r="I24" t="s">
        <v>736</v>
      </c>
      <c r="J24" t="s">
        <v>739</v>
      </c>
      <c r="K24" t="s">
        <v>737</v>
      </c>
      <c r="L24">
        <v>1367</v>
      </c>
      <c r="N24">
        <v>1011</v>
      </c>
      <c r="O24" t="s">
        <v>738</v>
      </c>
      <c r="P24" t="s">
        <v>738</v>
      </c>
      <c r="Q24">
        <v>1</v>
      </c>
      <c r="X24">
        <v>1.79</v>
      </c>
      <c r="Y24">
        <v>0</v>
      </c>
      <c r="Z24">
        <v>125.13</v>
      </c>
      <c r="AA24">
        <v>24.74</v>
      </c>
      <c r="AB24">
        <v>0</v>
      </c>
      <c r="AC24">
        <v>0</v>
      </c>
      <c r="AD24">
        <v>1</v>
      </c>
      <c r="AE24">
        <v>0</v>
      </c>
      <c r="AF24" t="s">
        <v>20</v>
      </c>
      <c r="AG24">
        <v>2.2374999999999998</v>
      </c>
      <c r="AH24">
        <v>2</v>
      </c>
      <c r="AI24">
        <v>43136471</v>
      </c>
      <c r="AJ24">
        <v>23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</row>
    <row r="25" spans="1:44" x14ac:dyDescent="0.2">
      <c r="A25">
        <f>ROW(Source!A35)</f>
        <v>35</v>
      </c>
      <c r="B25">
        <v>43136472</v>
      </c>
      <c r="C25">
        <v>43136455</v>
      </c>
      <c r="D25">
        <v>36044724</v>
      </c>
      <c r="E25">
        <v>1</v>
      </c>
      <c r="F25">
        <v>1</v>
      </c>
      <c r="G25">
        <v>35973048</v>
      </c>
      <c r="H25">
        <v>2</v>
      </c>
      <c r="I25" t="s">
        <v>741</v>
      </c>
      <c r="J25" t="s">
        <v>743</v>
      </c>
      <c r="K25" t="s">
        <v>742</v>
      </c>
      <c r="L25">
        <v>1367</v>
      </c>
      <c r="N25">
        <v>1011</v>
      </c>
      <c r="O25" t="s">
        <v>738</v>
      </c>
      <c r="P25" t="s">
        <v>738</v>
      </c>
      <c r="Q25">
        <v>1</v>
      </c>
      <c r="X25">
        <v>0.52</v>
      </c>
      <c r="Y25">
        <v>0</v>
      </c>
      <c r="Z25">
        <v>177.54</v>
      </c>
      <c r="AA25">
        <v>17.420000000000002</v>
      </c>
      <c r="AB25">
        <v>0</v>
      </c>
      <c r="AC25">
        <v>0</v>
      </c>
      <c r="AD25">
        <v>1</v>
      </c>
      <c r="AE25">
        <v>0</v>
      </c>
      <c r="AF25" t="s">
        <v>20</v>
      </c>
      <c r="AG25">
        <v>0.65</v>
      </c>
      <c r="AH25">
        <v>2</v>
      </c>
      <c r="AI25">
        <v>43136472</v>
      </c>
      <c r="AJ25">
        <v>24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</row>
    <row r="26" spans="1:44" x14ac:dyDescent="0.2">
      <c r="A26">
        <f>ROW(Source!A35)</f>
        <v>35</v>
      </c>
      <c r="B26">
        <v>43136473</v>
      </c>
      <c r="C26">
        <v>43136455</v>
      </c>
      <c r="D26">
        <v>36020415</v>
      </c>
      <c r="E26">
        <v>1</v>
      </c>
      <c r="F26">
        <v>1</v>
      </c>
      <c r="G26">
        <v>35973048</v>
      </c>
      <c r="H26">
        <v>3</v>
      </c>
      <c r="I26" t="s">
        <v>469</v>
      </c>
      <c r="J26" t="s">
        <v>471</v>
      </c>
      <c r="K26" t="s">
        <v>470</v>
      </c>
      <c r="L26">
        <v>1339</v>
      </c>
      <c r="N26">
        <v>1007</v>
      </c>
      <c r="O26" t="s">
        <v>84</v>
      </c>
      <c r="P26" t="s">
        <v>84</v>
      </c>
      <c r="Q26">
        <v>1</v>
      </c>
      <c r="X26">
        <v>7</v>
      </c>
      <c r="Y26">
        <v>7.07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0</v>
      </c>
      <c r="AF26" t="s">
        <v>3</v>
      </c>
      <c r="AG26">
        <v>7</v>
      </c>
      <c r="AH26">
        <v>2</v>
      </c>
      <c r="AI26">
        <v>43136473</v>
      </c>
      <c r="AJ26">
        <v>25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</row>
    <row r="27" spans="1:44" x14ac:dyDescent="0.2">
      <c r="A27">
        <f>ROW(Source!A35)</f>
        <v>35</v>
      </c>
      <c r="B27">
        <v>43136474</v>
      </c>
      <c r="C27">
        <v>43136455</v>
      </c>
      <c r="D27">
        <v>35990270</v>
      </c>
      <c r="E27">
        <v>35973048</v>
      </c>
      <c r="F27">
        <v>1</v>
      </c>
      <c r="G27">
        <v>35973048</v>
      </c>
      <c r="H27">
        <v>3</v>
      </c>
      <c r="I27" t="s">
        <v>1463</v>
      </c>
      <c r="J27" t="s">
        <v>3</v>
      </c>
      <c r="K27" t="s">
        <v>1464</v>
      </c>
      <c r="L27">
        <v>1339</v>
      </c>
      <c r="N27">
        <v>1007</v>
      </c>
      <c r="O27" t="s">
        <v>84</v>
      </c>
      <c r="P27" t="s">
        <v>84</v>
      </c>
      <c r="Q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 t="s">
        <v>3</v>
      </c>
      <c r="AG27">
        <v>0</v>
      </c>
      <c r="AH27">
        <v>3</v>
      </c>
      <c r="AI27">
        <v>-1</v>
      </c>
      <c r="AJ27" t="s">
        <v>3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</row>
    <row r="28" spans="1:44" x14ac:dyDescent="0.2">
      <c r="A28">
        <f>ROW(Source!A37)</f>
        <v>37</v>
      </c>
      <c r="B28">
        <v>43136457</v>
      </c>
      <c r="C28">
        <v>43136456</v>
      </c>
      <c r="D28">
        <v>35973053</v>
      </c>
      <c r="E28">
        <v>35973048</v>
      </c>
      <c r="F28">
        <v>1</v>
      </c>
      <c r="G28">
        <v>35973048</v>
      </c>
      <c r="H28">
        <v>1</v>
      </c>
      <c r="I28" t="s">
        <v>1228</v>
      </c>
      <c r="J28" t="s">
        <v>3</v>
      </c>
      <c r="K28" t="s">
        <v>1229</v>
      </c>
      <c r="L28">
        <v>1191</v>
      </c>
      <c r="N28">
        <v>1013</v>
      </c>
      <c r="O28" t="s">
        <v>1230</v>
      </c>
      <c r="P28" t="s">
        <v>1230</v>
      </c>
      <c r="Q28">
        <v>1</v>
      </c>
      <c r="X28">
        <v>14.4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</v>
      </c>
      <c r="AE28">
        <v>1</v>
      </c>
      <c r="AF28" t="s">
        <v>21</v>
      </c>
      <c r="AG28">
        <v>16.559999999999999</v>
      </c>
      <c r="AH28">
        <v>2</v>
      </c>
      <c r="AI28">
        <v>43136457</v>
      </c>
      <c r="AJ28">
        <v>27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</row>
    <row r="29" spans="1:44" x14ac:dyDescent="0.2">
      <c r="A29">
        <f>ROW(Source!A37)</f>
        <v>37</v>
      </c>
      <c r="B29">
        <v>43136458</v>
      </c>
      <c r="C29">
        <v>43136456</v>
      </c>
      <c r="D29">
        <v>36044508</v>
      </c>
      <c r="E29">
        <v>1</v>
      </c>
      <c r="F29">
        <v>1</v>
      </c>
      <c r="G29">
        <v>35973048</v>
      </c>
      <c r="H29">
        <v>2</v>
      </c>
      <c r="I29" t="s">
        <v>1258</v>
      </c>
      <c r="J29" t="s">
        <v>1259</v>
      </c>
      <c r="K29" t="s">
        <v>1260</v>
      </c>
      <c r="L29">
        <v>1367</v>
      </c>
      <c r="N29">
        <v>1011</v>
      </c>
      <c r="O29" t="s">
        <v>738</v>
      </c>
      <c r="P29" t="s">
        <v>738</v>
      </c>
      <c r="Q29">
        <v>1</v>
      </c>
      <c r="X29">
        <v>1.66</v>
      </c>
      <c r="Y29">
        <v>0</v>
      </c>
      <c r="Z29">
        <v>116.89</v>
      </c>
      <c r="AA29">
        <v>23.41</v>
      </c>
      <c r="AB29">
        <v>0</v>
      </c>
      <c r="AC29">
        <v>0</v>
      </c>
      <c r="AD29">
        <v>1</v>
      </c>
      <c r="AE29">
        <v>0</v>
      </c>
      <c r="AF29" t="s">
        <v>20</v>
      </c>
      <c r="AG29">
        <v>2.0749999999999997</v>
      </c>
      <c r="AH29">
        <v>2</v>
      </c>
      <c r="AI29">
        <v>43136458</v>
      </c>
      <c r="AJ29">
        <v>28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</row>
    <row r="30" spans="1:44" x14ac:dyDescent="0.2">
      <c r="A30">
        <f>ROW(Source!A37)</f>
        <v>37</v>
      </c>
      <c r="B30">
        <v>43136459</v>
      </c>
      <c r="C30">
        <v>43136456</v>
      </c>
      <c r="D30">
        <v>36044731</v>
      </c>
      <c r="E30">
        <v>1</v>
      </c>
      <c r="F30">
        <v>1</v>
      </c>
      <c r="G30">
        <v>35973048</v>
      </c>
      <c r="H30">
        <v>2</v>
      </c>
      <c r="I30" t="s">
        <v>749</v>
      </c>
      <c r="J30" t="s">
        <v>751</v>
      </c>
      <c r="K30" t="s">
        <v>750</v>
      </c>
      <c r="L30">
        <v>1367</v>
      </c>
      <c r="N30">
        <v>1011</v>
      </c>
      <c r="O30" t="s">
        <v>738</v>
      </c>
      <c r="P30" t="s">
        <v>738</v>
      </c>
      <c r="Q30">
        <v>1</v>
      </c>
      <c r="X30">
        <v>1.66</v>
      </c>
      <c r="Y30">
        <v>0</v>
      </c>
      <c r="Z30">
        <v>62.97</v>
      </c>
      <c r="AA30">
        <v>6.64</v>
      </c>
      <c r="AB30">
        <v>0</v>
      </c>
      <c r="AC30">
        <v>0</v>
      </c>
      <c r="AD30">
        <v>1</v>
      </c>
      <c r="AE30">
        <v>0</v>
      </c>
      <c r="AF30" t="s">
        <v>20</v>
      </c>
      <c r="AG30">
        <v>2.0749999999999997</v>
      </c>
      <c r="AH30">
        <v>2</v>
      </c>
      <c r="AI30">
        <v>43136459</v>
      </c>
      <c r="AJ30">
        <v>29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</row>
    <row r="31" spans="1:44" x14ac:dyDescent="0.2">
      <c r="A31">
        <f>ROW(Source!A37)</f>
        <v>37</v>
      </c>
      <c r="B31">
        <v>43136460</v>
      </c>
      <c r="C31">
        <v>43136456</v>
      </c>
      <c r="D31">
        <v>36044734</v>
      </c>
      <c r="E31">
        <v>1</v>
      </c>
      <c r="F31">
        <v>1</v>
      </c>
      <c r="G31">
        <v>35973048</v>
      </c>
      <c r="H31">
        <v>2</v>
      </c>
      <c r="I31" t="s">
        <v>745</v>
      </c>
      <c r="J31" t="s">
        <v>747</v>
      </c>
      <c r="K31" t="s">
        <v>746</v>
      </c>
      <c r="L31">
        <v>1367</v>
      </c>
      <c r="N31">
        <v>1011</v>
      </c>
      <c r="O31" t="s">
        <v>738</v>
      </c>
      <c r="P31" t="s">
        <v>738</v>
      </c>
      <c r="Q31">
        <v>1</v>
      </c>
      <c r="X31">
        <v>0.65</v>
      </c>
      <c r="Y31">
        <v>0</v>
      </c>
      <c r="Z31">
        <v>246.68</v>
      </c>
      <c r="AA31">
        <v>13.37</v>
      </c>
      <c r="AB31">
        <v>0</v>
      </c>
      <c r="AC31">
        <v>0</v>
      </c>
      <c r="AD31">
        <v>1</v>
      </c>
      <c r="AE31">
        <v>0</v>
      </c>
      <c r="AF31" t="s">
        <v>20</v>
      </c>
      <c r="AG31">
        <v>0.8125</v>
      </c>
      <c r="AH31">
        <v>2</v>
      </c>
      <c r="AI31">
        <v>43136460</v>
      </c>
      <c r="AJ31">
        <v>30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</row>
    <row r="32" spans="1:44" x14ac:dyDescent="0.2">
      <c r="A32">
        <f>ROW(Source!A37)</f>
        <v>37</v>
      </c>
      <c r="B32">
        <v>43136461</v>
      </c>
      <c r="C32">
        <v>43136456</v>
      </c>
      <c r="D32">
        <v>36044762</v>
      </c>
      <c r="E32">
        <v>1</v>
      </c>
      <c r="F32">
        <v>1</v>
      </c>
      <c r="G32">
        <v>35973048</v>
      </c>
      <c r="H32">
        <v>2</v>
      </c>
      <c r="I32" t="s">
        <v>736</v>
      </c>
      <c r="J32" t="s">
        <v>739</v>
      </c>
      <c r="K32" t="s">
        <v>737</v>
      </c>
      <c r="L32">
        <v>1367</v>
      </c>
      <c r="N32">
        <v>1011</v>
      </c>
      <c r="O32" t="s">
        <v>738</v>
      </c>
      <c r="P32" t="s">
        <v>738</v>
      </c>
      <c r="Q32">
        <v>1</v>
      </c>
      <c r="X32">
        <v>1.55</v>
      </c>
      <c r="Y32">
        <v>0</v>
      </c>
      <c r="Z32">
        <v>125.13</v>
      </c>
      <c r="AA32">
        <v>24.74</v>
      </c>
      <c r="AB32">
        <v>0</v>
      </c>
      <c r="AC32">
        <v>0</v>
      </c>
      <c r="AD32">
        <v>1</v>
      </c>
      <c r="AE32">
        <v>0</v>
      </c>
      <c r="AF32" t="s">
        <v>20</v>
      </c>
      <c r="AG32">
        <v>1.9375</v>
      </c>
      <c r="AH32">
        <v>2</v>
      </c>
      <c r="AI32">
        <v>43136461</v>
      </c>
      <c r="AJ32">
        <v>31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</row>
    <row r="33" spans="1:44" x14ac:dyDescent="0.2">
      <c r="A33">
        <f>ROW(Source!A37)</f>
        <v>37</v>
      </c>
      <c r="B33">
        <v>43136462</v>
      </c>
      <c r="C33">
        <v>43136456</v>
      </c>
      <c r="D33">
        <v>36044724</v>
      </c>
      <c r="E33">
        <v>1</v>
      </c>
      <c r="F33">
        <v>1</v>
      </c>
      <c r="G33">
        <v>35973048</v>
      </c>
      <c r="H33">
        <v>2</v>
      </c>
      <c r="I33" t="s">
        <v>741</v>
      </c>
      <c r="J33" t="s">
        <v>743</v>
      </c>
      <c r="K33" t="s">
        <v>742</v>
      </c>
      <c r="L33">
        <v>1367</v>
      </c>
      <c r="N33">
        <v>1011</v>
      </c>
      <c r="O33" t="s">
        <v>738</v>
      </c>
      <c r="P33" t="s">
        <v>738</v>
      </c>
      <c r="Q33">
        <v>1</v>
      </c>
      <c r="X33">
        <v>0.52</v>
      </c>
      <c r="Y33">
        <v>0</v>
      </c>
      <c r="Z33">
        <v>177.54</v>
      </c>
      <c r="AA33">
        <v>17.420000000000002</v>
      </c>
      <c r="AB33">
        <v>0</v>
      </c>
      <c r="AC33">
        <v>0</v>
      </c>
      <c r="AD33">
        <v>1</v>
      </c>
      <c r="AE33">
        <v>0</v>
      </c>
      <c r="AF33" t="s">
        <v>20</v>
      </c>
      <c r="AG33">
        <v>0.65</v>
      </c>
      <c r="AH33">
        <v>2</v>
      </c>
      <c r="AI33">
        <v>43136462</v>
      </c>
      <c r="AJ33">
        <v>32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</row>
    <row r="34" spans="1:44" x14ac:dyDescent="0.2">
      <c r="A34">
        <f>ROW(Source!A37)</f>
        <v>37</v>
      </c>
      <c r="B34">
        <v>43136463</v>
      </c>
      <c r="C34">
        <v>43136456</v>
      </c>
      <c r="D34">
        <v>36020415</v>
      </c>
      <c r="E34">
        <v>1</v>
      </c>
      <c r="F34">
        <v>1</v>
      </c>
      <c r="G34">
        <v>35973048</v>
      </c>
      <c r="H34">
        <v>3</v>
      </c>
      <c r="I34" t="s">
        <v>469</v>
      </c>
      <c r="J34" t="s">
        <v>471</v>
      </c>
      <c r="K34" t="s">
        <v>470</v>
      </c>
      <c r="L34">
        <v>1339</v>
      </c>
      <c r="N34">
        <v>1007</v>
      </c>
      <c r="O34" t="s">
        <v>84</v>
      </c>
      <c r="P34" t="s">
        <v>84</v>
      </c>
      <c r="Q34">
        <v>1</v>
      </c>
      <c r="X34">
        <v>5</v>
      </c>
      <c r="Y34">
        <v>7.07</v>
      </c>
      <c r="Z34">
        <v>0</v>
      </c>
      <c r="AA34">
        <v>0</v>
      </c>
      <c r="AB34">
        <v>0</v>
      </c>
      <c r="AC34">
        <v>0</v>
      </c>
      <c r="AD34">
        <v>1</v>
      </c>
      <c r="AE34">
        <v>0</v>
      </c>
      <c r="AF34" t="s">
        <v>3</v>
      </c>
      <c r="AG34">
        <v>5</v>
      </c>
      <c r="AH34">
        <v>2</v>
      </c>
      <c r="AI34">
        <v>43136463</v>
      </c>
      <c r="AJ34">
        <v>33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</row>
    <row r="35" spans="1:44" x14ac:dyDescent="0.2">
      <c r="A35">
        <f>ROW(Source!A37)</f>
        <v>37</v>
      </c>
      <c r="B35">
        <v>43136464</v>
      </c>
      <c r="C35">
        <v>43136456</v>
      </c>
      <c r="D35">
        <v>35985843</v>
      </c>
      <c r="E35">
        <v>35973048</v>
      </c>
      <c r="F35">
        <v>1</v>
      </c>
      <c r="G35">
        <v>35973048</v>
      </c>
      <c r="H35">
        <v>3</v>
      </c>
      <c r="I35" t="s">
        <v>1465</v>
      </c>
      <c r="J35" t="s">
        <v>3</v>
      </c>
      <c r="K35" t="s">
        <v>1466</v>
      </c>
      <c r="L35">
        <v>1339</v>
      </c>
      <c r="N35">
        <v>1007</v>
      </c>
      <c r="O35" t="s">
        <v>84</v>
      </c>
      <c r="P35" t="s">
        <v>84</v>
      </c>
      <c r="Q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 t="s">
        <v>3</v>
      </c>
      <c r="AG35">
        <v>0</v>
      </c>
      <c r="AH35">
        <v>3</v>
      </c>
      <c r="AI35">
        <v>-1</v>
      </c>
      <c r="AJ35" t="s">
        <v>3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</row>
    <row r="36" spans="1:44" x14ac:dyDescent="0.2">
      <c r="A36">
        <f>ROW(Source!A39)</f>
        <v>39</v>
      </c>
      <c r="B36">
        <v>43159626</v>
      </c>
      <c r="C36">
        <v>43159511</v>
      </c>
      <c r="D36">
        <v>35973053</v>
      </c>
      <c r="E36">
        <v>35973048</v>
      </c>
      <c r="F36">
        <v>1</v>
      </c>
      <c r="G36">
        <v>35973048</v>
      </c>
      <c r="H36">
        <v>1</v>
      </c>
      <c r="I36" t="s">
        <v>1228</v>
      </c>
      <c r="J36" t="s">
        <v>3</v>
      </c>
      <c r="K36" t="s">
        <v>1229</v>
      </c>
      <c r="L36">
        <v>1191</v>
      </c>
      <c r="N36">
        <v>1013</v>
      </c>
      <c r="O36" t="s">
        <v>1230</v>
      </c>
      <c r="P36" t="s">
        <v>1230</v>
      </c>
      <c r="Q36">
        <v>1</v>
      </c>
      <c r="X36">
        <v>179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1</v>
      </c>
      <c r="AF36" t="s">
        <v>21</v>
      </c>
      <c r="AG36">
        <v>205.85</v>
      </c>
      <c r="AH36">
        <v>2</v>
      </c>
      <c r="AI36">
        <v>43159626</v>
      </c>
      <c r="AJ36">
        <v>35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</row>
    <row r="37" spans="1:44" x14ac:dyDescent="0.2">
      <c r="A37">
        <f>ROW(Source!A39)</f>
        <v>39</v>
      </c>
      <c r="B37">
        <v>43159627</v>
      </c>
      <c r="C37">
        <v>43159511</v>
      </c>
      <c r="D37">
        <v>36045025</v>
      </c>
      <c r="E37">
        <v>1</v>
      </c>
      <c r="F37">
        <v>1</v>
      </c>
      <c r="G37">
        <v>35973048</v>
      </c>
      <c r="H37">
        <v>2</v>
      </c>
      <c r="I37" t="s">
        <v>1261</v>
      </c>
      <c r="J37" t="s">
        <v>1262</v>
      </c>
      <c r="K37" t="s">
        <v>1263</v>
      </c>
      <c r="L37">
        <v>1367</v>
      </c>
      <c r="N37">
        <v>1011</v>
      </c>
      <c r="O37" t="s">
        <v>738</v>
      </c>
      <c r="P37" t="s">
        <v>738</v>
      </c>
      <c r="Q37">
        <v>1</v>
      </c>
      <c r="X37">
        <v>120</v>
      </c>
      <c r="Y37">
        <v>0</v>
      </c>
      <c r="Z37">
        <v>6.15</v>
      </c>
      <c r="AA37">
        <v>0.02</v>
      </c>
      <c r="AB37">
        <v>0</v>
      </c>
      <c r="AC37">
        <v>0</v>
      </c>
      <c r="AD37">
        <v>1</v>
      </c>
      <c r="AE37">
        <v>0</v>
      </c>
      <c r="AF37" t="s">
        <v>20</v>
      </c>
      <c r="AG37">
        <v>150</v>
      </c>
      <c r="AH37">
        <v>2</v>
      </c>
      <c r="AI37">
        <v>43159627</v>
      </c>
      <c r="AJ37">
        <v>36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</row>
    <row r="38" spans="1:44" x14ac:dyDescent="0.2">
      <c r="A38">
        <f>ROW(Source!A39)</f>
        <v>39</v>
      </c>
      <c r="B38">
        <v>43159628</v>
      </c>
      <c r="C38">
        <v>43159511</v>
      </c>
      <c r="D38">
        <v>36045308</v>
      </c>
      <c r="E38">
        <v>1</v>
      </c>
      <c r="F38">
        <v>1</v>
      </c>
      <c r="G38">
        <v>35973048</v>
      </c>
      <c r="H38">
        <v>2</v>
      </c>
      <c r="I38" t="s">
        <v>1231</v>
      </c>
      <c r="J38" t="s">
        <v>1232</v>
      </c>
      <c r="K38" t="s">
        <v>1233</v>
      </c>
      <c r="L38">
        <v>1367</v>
      </c>
      <c r="N38">
        <v>1011</v>
      </c>
      <c r="O38" t="s">
        <v>738</v>
      </c>
      <c r="P38" t="s">
        <v>738</v>
      </c>
      <c r="Q38">
        <v>1</v>
      </c>
      <c r="X38">
        <v>1.35</v>
      </c>
      <c r="Y38">
        <v>0</v>
      </c>
      <c r="Z38">
        <v>76.81</v>
      </c>
      <c r="AA38">
        <v>14.36</v>
      </c>
      <c r="AB38">
        <v>0</v>
      </c>
      <c r="AC38">
        <v>0</v>
      </c>
      <c r="AD38">
        <v>1</v>
      </c>
      <c r="AE38">
        <v>0</v>
      </c>
      <c r="AF38" t="s">
        <v>20</v>
      </c>
      <c r="AG38">
        <v>1.6875</v>
      </c>
      <c r="AH38">
        <v>2</v>
      </c>
      <c r="AI38">
        <v>43159628</v>
      </c>
      <c r="AJ38">
        <v>37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</row>
    <row r="39" spans="1:44" x14ac:dyDescent="0.2">
      <c r="A39">
        <f>ROW(Source!A39)</f>
        <v>39</v>
      </c>
      <c r="B39">
        <v>43159630</v>
      </c>
      <c r="C39">
        <v>43159511</v>
      </c>
      <c r="D39">
        <v>36045361</v>
      </c>
      <c r="E39">
        <v>1</v>
      </c>
      <c r="F39">
        <v>1</v>
      </c>
      <c r="G39">
        <v>35973048</v>
      </c>
      <c r="H39">
        <v>2</v>
      </c>
      <c r="I39" t="s">
        <v>1264</v>
      </c>
      <c r="J39" t="s">
        <v>1265</v>
      </c>
      <c r="K39" t="s">
        <v>1266</v>
      </c>
      <c r="L39">
        <v>1367</v>
      </c>
      <c r="N39">
        <v>1011</v>
      </c>
      <c r="O39" t="s">
        <v>738</v>
      </c>
      <c r="P39" t="s">
        <v>738</v>
      </c>
      <c r="Q39">
        <v>1</v>
      </c>
      <c r="X39">
        <v>0.1</v>
      </c>
      <c r="Y39">
        <v>0</v>
      </c>
      <c r="Z39">
        <v>0.53</v>
      </c>
      <c r="AA39">
        <v>0.04</v>
      </c>
      <c r="AB39">
        <v>0</v>
      </c>
      <c r="AC39">
        <v>0</v>
      </c>
      <c r="AD39">
        <v>1</v>
      </c>
      <c r="AE39">
        <v>0</v>
      </c>
      <c r="AF39" t="s">
        <v>20</v>
      </c>
      <c r="AG39">
        <v>0.125</v>
      </c>
      <c r="AH39">
        <v>2</v>
      </c>
      <c r="AI39">
        <v>43159630</v>
      </c>
      <c r="AJ39">
        <v>38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</row>
    <row r="40" spans="1:44" x14ac:dyDescent="0.2">
      <c r="A40">
        <f>ROW(Source!A39)</f>
        <v>39</v>
      </c>
      <c r="B40">
        <v>43159629</v>
      </c>
      <c r="C40">
        <v>43159511</v>
      </c>
      <c r="D40">
        <v>36044555</v>
      </c>
      <c r="E40">
        <v>1</v>
      </c>
      <c r="F40">
        <v>1</v>
      </c>
      <c r="G40">
        <v>35973048</v>
      </c>
      <c r="H40">
        <v>2</v>
      </c>
      <c r="I40" t="s">
        <v>1267</v>
      </c>
      <c r="J40" t="s">
        <v>1268</v>
      </c>
      <c r="K40" t="s">
        <v>1269</v>
      </c>
      <c r="L40">
        <v>1367</v>
      </c>
      <c r="N40">
        <v>1011</v>
      </c>
      <c r="O40" t="s">
        <v>738</v>
      </c>
      <c r="P40" t="s">
        <v>738</v>
      </c>
      <c r="Q40">
        <v>1</v>
      </c>
      <c r="X40">
        <v>0.9</v>
      </c>
      <c r="Y40">
        <v>0</v>
      </c>
      <c r="Z40">
        <v>190.93</v>
      </c>
      <c r="AA40">
        <v>18.149999999999999</v>
      </c>
      <c r="AB40">
        <v>0</v>
      </c>
      <c r="AC40">
        <v>0</v>
      </c>
      <c r="AD40">
        <v>1</v>
      </c>
      <c r="AE40">
        <v>0</v>
      </c>
      <c r="AF40" t="s">
        <v>20</v>
      </c>
      <c r="AG40">
        <v>1.125</v>
      </c>
      <c r="AH40">
        <v>2</v>
      </c>
      <c r="AI40">
        <v>43159629</v>
      </c>
      <c r="AJ40">
        <v>39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</row>
    <row r="41" spans="1:44" x14ac:dyDescent="0.2">
      <c r="A41">
        <f>ROW(Source!A39)</f>
        <v>39</v>
      </c>
      <c r="B41">
        <v>43159631</v>
      </c>
      <c r="C41">
        <v>43159511</v>
      </c>
      <c r="D41">
        <v>36044648</v>
      </c>
      <c r="E41">
        <v>1</v>
      </c>
      <c r="F41">
        <v>1</v>
      </c>
      <c r="G41">
        <v>35973048</v>
      </c>
      <c r="H41">
        <v>2</v>
      </c>
      <c r="I41" t="s">
        <v>1270</v>
      </c>
      <c r="J41" t="s">
        <v>1271</v>
      </c>
      <c r="K41" t="s">
        <v>1272</v>
      </c>
      <c r="L41">
        <v>1367</v>
      </c>
      <c r="N41">
        <v>1011</v>
      </c>
      <c r="O41" t="s">
        <v>738</v>
      </c>
      <c r="P41" t="s">
        <v>738</v>
      </c>
      <c r="Q41">
        <v>1</v>
      </c>
      <c r="X41">
        <v>0.25</v>
      </c>
      <c r="Y41">
        <v>0</v>
      </c>
      <c r="Z41">
        <v>73</v>
      </c>
      <c r="AA41">
        <v>16.899999999999999</v>
      </c>
      <c r="AB41">
        <v>0</v>
      </c>
      <c r="AC41">
        <v>0</v>
      </c>
      <c r="AD41">
        <v>1</v>
      </c>
      <c r="AE41">
        <v>0</v>
      </c>
      <c r="AF41" t="s">
        <v>20</v>
      </c>
      <c r="AG41">
        <v>0.3125</v>
      </c>
      <c r="AH41">
        <v>2</v>
      </c>
      <c r="AI41">
        <v>43159631</v>
      </c>
      <c r="AJ41">
        <v>40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</row>
    <row r="42" spans="1:44" x14ac:dyDescent="0.2">
      <c r="A42">
        <f>ROW(Source!A39)</f>
        <v>39</v>
      </c>
      <c r="B42">
        <v>43159632</v>
      </c>
      <c r="C42">
        <v>43159511</v>
      </c>
      <c r="D42">
        <v>36044839</v>
      </c>
      <c r="E42">
        <v>1</v>
      </c>
      <c r="F42">
        <v>1</v>
      </c>
      <c r="G42">
        <v>35973048</v>
      </c>
      <c r="H42">
        <v>2</v>
      </c>
      <c r="I42" t="s">
        <v>1273</v>
      </c>
      <c r="J42" t="s">
        <v>1274</v>
      </c>
      <c r="K42" t="s">
        <v>1275</v>
      </c>
      <c r="L42">
        <v>1367</v>
      </c>
      <c r="N42">
        <v>1011</v>
      </c>
      <c r="O42" t="s">
        <v>738</v>
      </c>
      <c r="P42" t="s">
        <v>738</v>
      </c>
      <c r="Q42">
        <v>1</v>
      </c>
      <c r="X42">
        <v>9</v>
      </c>
      <c r="Y42">
        <v>0</v>
      </c>
      <c r="Z42">
        <v>2.06</v>
      </c>
      <c r="AA42">
        <v>0.09</v>
      </c>
      <c r="AB42">
        <v>0</v>
      </c>
      <c r="AC42">
        <v>0</v>
      </c>
      <c r="AD42">
        <v>1</v>
      </c>
      <c r="AE42">
        <v>0</v>
      </c>
      <c r="AF42" t="s">
        <v>20</v>
      </c>
      <c r="AG42">
        <v>11.25</v>
      </c>
      <c r="AH42">
        <v>2</v>
      </c>
      <c r="AI42">
        <v>43159632</v>
      </c>
      <c r="AJ42">
        <v>41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</row>
    <row r="43" spans="1:44" x14ac:dyDescent="0.2">
      <c r="A43">
        <f>ROW(Source!A39)</f>
        <v>39</v>
      </c>
      <c r="B43">
        <v>43159633</v>
      </c>
      <c r="C43">
        <v>43159511</v>
      </c>
      <c r="D43">
        <v>35989090</v>
      </c>
      <c r="E43">
        <v>35973048</v>
      </c>
      <c r="F43">
        <v>1</v>
      </c>
      <c r="G43">
        <v>35973048</v>
      </c>
      <c r="H43">
        <v>3</v>
      </c>
      <c r="I43" t="s">
        <v>1467</v>
      </c>
      <c r="J43" t="s">
        <v>3</v>
      </c>
      <c r="K43" t="s">
        <v>1468</v>
      </c>
      <c r="L43">
        <v>1348</v>
      </c>
      <c r="N43">
        <v>1009</v>
      </c>
      <c r="O43" t="s">
        <v>104</v>
      </c>
      <c r="P43" t="s">
        <v>104</v>
      </c>
      <c r="Q43">
        <v>1000</v>
      </c>
      <c r="X43">
        <v>8.1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 t="s">
        <v>3</v>
      </c>
      <c r="AG43">
        <v>8.1</v>
      </c>
      <c r="AH43">
        <v>3</v>
      </c>
      <c r="AI43">
        <v>-1</v>
      </c>
      <c r="AJ43" t="s">
        <v>3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</row>
    <row r="44" spans="1:44" x14ac:dyDescent="0.2">
      <c r="A44">
        <f>ROW(Source!A39)</f>
        <v>39</v>
      </c>
      <c r="B44">
        <v>43159634</v>
      </c>
      <c r="C44">
        <v>43159511</v>
      </c>
      <c r="D44">
        <v>36020415</v>
      </c>
      <c r="E44">
        <v>1</v>
      </c>
      <c r="F44">
        <v>1</v>
      </c>
      <c r="G44">
        <v>35973048</v>
      </c>
      <c r="H44">
        <v>3</v>
      </c>
      <c r="I44" t="s">
        <v>469</v>
      </c>
      <c r="J44" t="s">
        <v>471</v>
      </c>
      <c r="K44" t="s">
        <v>470</v>
      </c>
      <c r="L44">
        <v>1339</v>
      </c>
      <c r="N44">
        <v>1007</v>
      </c>
      <c r="O44" t="s">
        <v>84</v>
      </c>
      <c r="P44" t="s">
        <v>84</v>
      </c>
      <c r="Q44">
        <v>1</v>
      </c>
      <c r="X44">
        <v>0.73</v>
      </c>
      <c r="Y44">
        <v>7.07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0</v>
      </c>
      <c r="AF44" t="s">
        <v>3</v>
      </c>
      <c r="AG44">
        <v>0.73</v>
      </c>
      <c r="AH44">
        <v>2</v>
      </c>
      <c r="AI44">
        <v>43159634</v>
      </c>
      <c r="AJ44">
        <v>42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</row>
    <row r="45" spans="1:44" x14ac:dyDescent="0.2">
      <c r="A45">
        <f>ROW(Source!A39)</f>
        <v>39</v>
      </c>
      <c r="B45">
        <v>43159635</v>
      </c>
      <c r="C45">
        <v>43159511</v>
      </c>
      <c r="D45">
        <v>36020428</v>
      </c>
      <c r="E45">
        <v>1</v>
      </c>
      <c r="F45">
        <v>1</v>
      </c>
      <c r="G45">
        <v>35973048</v>
      </c>
      <c r="H45">
        <v>3</v>
      </c>
      <c r="I45" t="s">
        <v>372</v>
      </c>
      <c r="J45" t="s">
        <v>374</v>
      </c>
      <c r="K45" t="s">
        <v>373</v>
      </c>
      <c r="L45">
        <v>1348</v>
      </c>
      <c r="N45">
        <v>1009</v>
      </c>
      <c r="O45" t="s">
        <v>104</v>
      </c>
      <c r="P45" t="s">
        <v>104</v>
      </c>
      <c r="Q45">
        <v>1000</v>
      </c>
      <c r="X45">
        <v>2E-3</v>
      </c>
      <c r="Y45">
        <v>6521.42</v>
      </c>
      <c r="Z45">
        <v>0</v>
      </c>
      <c r="AA45">
        <v>0</v>
      </c>
      <c r="AB45">
        <v>0</v>
      </c>
      <c r="AC45">
        <v>0</v>
      </c>
      <c r="AD45">
        <v>1</v>
      </c>
      <c r="AE45">
        <v>0</v>
      </c>
      <c r="AF45" t="s">
        <v>3</v>
      </c>
      <c r="AG45">
        <v>2E-3</v>
      </c>
      <c r="AH45">
        <v>2</v>
      </c>
      <c r="AI45">
        <v>43159635</v>
      </c>
      <c r="AJ45">
        <v>43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</row>
    <row r="46" spans="1:44" x14ac:dyDescent="0.2">
      <c r="A46">
        <f>ROW(Source!A39)</f>
        <v>39</v>
      </c>
      <c r="B46">
        <v>43159636</v>
      </c>
      <c r="C46">
        <v>43159511</v>
      </c>
      <c r="D46">
        <v>36021727</v>
      </c>
      <c r="E46">
        <v>1</v>
      </c>
      <c r="F46">
        <v>1</v>
      </c>
      <c r="G46">
        <v>35973048</v>
      </c>
      <c r="H46">
        <v>3</v>
      </c>
      <c r="I46" t="s">
        <v>1276</v>
      </c>
      <c r="J46" t="s">
        <v>1277</v>
      </c>
      <c r="K46" t="s">
        <v>1278</v>
      </c>
      <c r="L46">
        <v>1348</v>
      </c>
      <c r="N46">
        <v>1009</v>
      </c>
      <c r="O46" t="s">
        <v>104</v>
      </c>
      <c r="P46" t="s">
        <v>104</v>
      </c>
      <c r="Q46">
        <v>1000</v>
      </c>
      <c r="X46">
        <v>0.16</v>
      </c>
      <c r="Y46">
        <v>7191.81</v>
      </c>
      <c r="Z46">
        <v>0</v>
      </c>
      <c r="AA46">
        <v>0</v>
      </c>
      <c r="AB46">
        <v>0</v>
      </c>
      <c r="AC46">
        <v>0</v>
      </c>
      <c r="AD46">
        <v>1</v>
      </c>
      <c r="AE46">
        <v>0</v>
      </c>
      <c r="AF46" t="s">
        <v>3</v>
      </c>
      <c r="AG46">
        <v>0.16</v>
      </c>
      <c r="AH46">
        <v>2</v>
      </c>
      <c r="AI46">
        <v>43159636</v>
      </c>
      <c r="AJ46">
        <v>44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</row>
    <row r="47" spans="1:44" x14ac:dyDescent="0.2">
      <c r="A47">
        <f>ROW(Source!A39)</f>
        <v>39</v>
      </c>
      <c r="B47">
        <v>43159637</v>
      </c>
      <c r="C47">
        <v>43159511</v>
      </c>
      <c r="D47">
        <v>36020519</v>
      </c>
      <c r="E47">
        <v>1</v>
      </c>
      <c r="F47">
        <v>1</v>
      </c>
      <c r="G47">
        <v>35973048</v>
      </c>
      <c r="H47">
        <v>3</v>
      </c>
      <c r="I47" t="s">
        <v>1279</v>
      </c>
      <c r="J47" t="s">
        <v>1280</v>
      </c>
      <c r="K47" t="s">
        <v>1281</v>
      </c>
      <c r="L47">
        <v>1339</v>
      </c>
      <c r="N47">
        <v>1007</v>
      </c>
      <c r="O47" t="s">
        <v>84</v>
      </c>
      <c r="P47" t="s">
        <v>84</v>
      </c>
      <c r="Q47">
        <v>1</v>
      </c>
      <c r="X47">
        <v>0.04</v>
      </c>
      <c r="Y47">
        <v>1828.56</v>
      </c>
      <c r="Z47">
        <v>0</v>
      </c>
      <c r="AA47">
        <v>0</v>
      </c>
      <c r="AB47">
        <v>0</v>
      </c>
      <c r="AC47">
        <v>0</v>
      </c>
      <c r="AD47">
        <v>1</v>
      </c>
      <c r="AE47">
        <v>0</v>
      </c>
      <c r="AF47" t="s">
        <v>3</v>
      </c>
      <c r="AG47">
        <v>0.04</v>
      </c>
      <c r="AH47">
        <v>2</v>
      </c>
      <c r="AI47">
        <v>43159637</v>
      </c>
      <c r="AJ47">
        <v>45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</row>
    <row r="48" spans="1:44" x14ac:dyDescent="0.2">
      <c r="A48">
        <f>ROW(Source!A39)</f>
        <v>39</v>
      </c>
      <c r="B48">
        <v>43159638</v>
      </c>
      <c r="C48">
        <v>43159511</v>
      </c>
      <c r="D48">
        <v>36020546</v>
      </c>
      <c r="E48">
        <v>1</v>
      </c>
      <c r="F48">
        <v>1</v>
      </c>
      <c r="G48">
        <v>35973048</v>
      </c>
      <c r="H48">
        <v>3</v>
      </c>
      <c r="I48" t="s">
        <v>1282</v>
      </c>
      <c r="J48" t="s">
        <v>1283</v>
      </c>
      <c r="K48" t="s">
        <v>1284</v>
      </c>
      <c r="L48">
        <v>1348</v>
      </c>
      <c r="N48">
        <v>1009</v>
      </c>
      <c r="O48" t="s">
        <v>104</v>
      </c>
      <c r="P48" t="s">
        <v>104</v>
      </c>
      <c r="Q48">
        <v>1000</v>
      </c>
      <c r="X48">
        <v>0.01</v>
      </c>
      <c r="Y48">
        <v>1260.72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0</v>
      </c>
      <c r="AF48" t="s">
        <v>3</v>
      </c>
      <c r="AG48">
        <v>0.01</v>
      </c>
      <c r="AH48">
        <v>2</v>
      </c>
      <c r="AI48">
        <v>43159638</v>
      </c>
      <c r="AJ48">
        <v>46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</row>
    <row r="49" spans="1:44" x14ac:dyDescent="0.2">
      <c r="A49">
        <f>ROW(Source!A39)</f>
        <v>39</v>
      </c>
      <c r="B49">
        <v>43159639</v>
      </c>
      <c r="C49">
        <v>43159511</v>
      </c>
      <c r="D49">
        <v>36020898</v>
      </c>
      <c r="E49">
        <v>1</v>
      </c>
      <c r="F49">
        <v>1</v>
      </c>
      <c r="G49">
        <v>35973048</v>
      </c>
      <c r="H49">
        <v>3</v>
      </c>
      <c r="I49" t="s">
        <v>1285</v>
      </c>
      <c r="J49" t="s">
        <v>1286</v>
      </c>
      <c r="K49" t="s">
        <v>1287</v>
      </c>
      <c r="L49">
        <v>1327</v>
      </c>
      <c r="N49">
        <v>1005</v>
      </c>
      <c r="O49" t="s">
        <v>120</v>
      </c>
      <c r="P49" t="s">
        <v>120</v>
      </c>
      <c r="Q49">
        <v>1</v>
      </c>
      <c r="X49">
        <v>30</v>
      </c>
      <c r="Y49">
        <v>7.39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0</v>
      </c>
      <c r="AF49" t="s">
        <v>3</v>
      </c>
      <c r="AG49">
        <v>30</v>
      </c>
      <c r="AH49">
        <v>2</v>
      </c>
      <c r="AI49">
        <v>43159639</v>
      </c>
      <c r="AJ49">
        <v>47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</row>
    <row r="50" spans="1:44" x14ac:dyDescent="0.2">
      <c r="A50">
        <f>ROW(Source!A39)</f>
        <v>39</v>
      </c>
      <c r="B50">
        <v>43159640</v>
      </c>
      <c r="C50">
        <v>43159511</v>
      </c>
      <c r="D50">
        <v>36044236</v>
      </c>
      <c r="E50">
        <v>1</v>
      </c>
      <c r="F50">
        <v>1</v>
      </c>
      <c r="G50">
        <v>35973048</v>
      </c>
      <c r="H50">
        <v>3</v>
      </c>
      <c r="I50" t="s">
        <v>1288</v>
      </c>
      <c r="J50" t="s">
        <v>1289</v>
      </c>
      <c r="K50" t="s">
        <v>1290</v>
      </c>
      <c r="L50">
        <v>1327</v>
      </c>
      <c r="N50">
        <v>1005</v>
      </c>
      <c r="O50" t="s">
        <v>120</v>
      </c>
      <c r="P50" t="s">
        <v>120</v>
      </c>
      <c r="Q50">
        <v>1</v>
      </c>
      <c r="X50">
        <v>3.6</v>
      </c>
      <c r="Y50">
        <v>90.15</v>
      </c>
      <c r="Z50">
        <v>0</v>
      </c>
      <c r="AA50">
        <v>0</v>
      </c>
      <c r="AB50">
        <v>0</v>
      </c>
      <c r="AC50">
        <v>0</v>
      </c>
      <c r="AD50">
        <v>1</v>
      </c>
      <c r="AE50">
        <v>0</v>
      </c>
      <c r="AF50" t="s">
        <v>3</v>
      </c>
      <c r="AG50">
        <v>3.6</v>
      </c>
      <c r="AH50">
        <v>2</v>
      </c>
      <c r="AI50">
        <v>43159640</v>
      </c>
      <c r="AJ50">
        <v>50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</row>
    <row r="51" spans="1:44" x14ac:dyDescent="0.2">
      <c r="A51">
        <f>ROW(Source!A39)</f>
        <v>39</v>
      </c>
      <c r="B51">
        <v>43159641</v>
      </c>
      <c r="C51">
        <v>43159511</v>
      </c>
      <c r="D51">
        <v>35986636</v>
      </c>
      <c r="E51">
        <v>35973048</v>
      </c>
      <c r="F51">
        <v>1</v>
      </c>
      <c r="G51">
        <v>35973048</v>
      </c>
      <c r="H51">
        <v>3</v>
      </c>
      <c r="I51" t="s">
        <v>1469</v>
      </c>
      <c r="J51" t="s">
        <v>3</v>
      </c>
      <c r="K51" t="s">
        <v>1470</v>
      </c>
      <c r="L51">
        <v>1339</v>
      </c>
      <c r="N51">
        <v>1007</v>
      </c>
      <c r="O51" t="s">
        <v>84</v>
      </c>
      <c r="P51" t="s">
        <v>84</v>
      </c>
      <c r="Q51">
        <v>1</v>
      </c>
      <c r="X51">
        <v>101.5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 t="s">
        <v>3</v>
      </c>
      <c r="AG51">
        <v>101.5</v>
      </c>
      <c r="AH51">
        <v>3</v>
      </c>
      <c r="AI51">
        <v>-1</v>
      </c>
      <c r="AJ51" t="s">
        <v>3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</row>
    <row r="52" spans="1:44" x14ac:dyDescent="0.2">
      <c r="A52">
        <f>ROW(Source!A42)</f>
        <v>42</v>
      </c>
      <c r="B52">
        <v>43137316</v>
      </c>
      <c r="C52">
        <v>42938350</v>
      </c>
      <c r="D52">
        <v>35973053</v>
      </c>
      <c r="E52">
        <v>35973048</v>
      </c>
      <c r="F52">
        <v>1</v>
      </c>
      <c r="G52">
        <v>35973048</v>
      </c>
      <c r="H52">
        <v>1</v>
      </c>
      <c r="I52" t="s">
        <v>1228</v>
      </c>
      <c r="J52" t="s">
        <v>3</v>
      </c>
      <c r="K52" t="s">
        <v>1229</v>
      </c>
      <c r="L52">
        <v>1191</v>
      </c>
      <c r="N52">
        <v>1013</v>
      </c>
      <c r="O52" t="s">
        <v>1230</v>
      </c>
      <c r="P52" t="s">
        <v>1230</v>
      </c>
      <c r="Q52">
        <v>1</v>
      </c>
      <c r="X52">
        <v>27.7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</v>
      </c>
      <c r="AE52">
        <v>1</v>
      </c>
      <c r="AF52" t="s">
        <v>21</v>
      </c>
      <c r="AG52">
        <v>31.854999999999997</v>
      </c>
      <c r="AH52">
        <v>2</v>
      </c>
      <c r="AI52">
        <v>43137316</v>
      </c>
      <c r="AJ52">
        <v>51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</row>
    <row r="53" spans="1:44" x14ac:dyDescent="0.2">
      <c r="A53">
        <f>ROW(Source!A42)</f>
        <v>42</v>
      </c>
      <c r="B53">
        <v>43137317</v>
      </c>
      <c r="C53">
        <v>42938350</v>
      </c>
      <c r="D53">
        <v>36044488</v>
      </c>
      <c r="E53">
        <v>1</v>
      </c>
      <c r="F53">
        <v>1</v>
      </c>
      <c r="G53">
        <v>35973048</v>
      </c>
      <c r="H53">
        <v>2</v>
      </c>
      <c r="I53" t="s">
        <v>1252</v>
      </c>
      <c r="J53" t="s">
        <v>1253</v>
      </c>
      <c r="K53" t="s">
        <v>1254</v>
      </c>
      <c r="L53">
        <v>1367</v>
      </c>
      <c r="N53">
        <v>1011</v>
      </c>
      <c r="O53" t="s">
        <v>738</v>
      </c>
      <c r="P53" t="s">
        <v>738</v>
      </c>
      <c r="Q53">
        <v>1</v>
      </c>
      <c r="X53">
        <v>2.52</v>
      </c>
      <c r="Y53">
        <v>0</v>
      </c>
      <c r="Z53">
        <v>161.49</v>
      </c>
      <c r="AA53">
        <v>17.7</v>
      </c>
      <c r="AB53">
        <v>0</v>
      </c>
      <c r="AC53">
        <v>0</v>
      </c>
      <c r="AD53">
        <v>1</v>
      </c>
      <c r="AE53">
        <v>0</v>
      </c>
      <c r="AF53" t="s">
        <v>20</v>
      </c>
      <c r="AG53">
        <v>3.15</v>
      </c>
      <c r="AH53">
        <v>2</v>
      </c>
      <c r="AI53">
        <v>43137317</v>
      </c>
      <c r="AJ53">
        <v>52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</row>
    <row r="54" spans="1:44" x14ac:dyDescent="0.2">
      <c r="A54">
        <f>ROW(Source!A42)</f>
        <v>42</v>
      </c>
      <c r="B54">
        <v>43137318</v>
      </c>
      <c r="C54">
        <v>42938350</v>
      </c>
      <c r="D54">
        <v>36044727</v>
      </c>
      <c r="E54">
        <v>1</v>
      </c>
      <c r="F54">
        <v>1</v>
      </c>
      <c r="G54">
        <v>35973048</v>
      </c>
      <c r="H54">
        <v>2</v>
      </c>
      <c r="I54" t="s">
        <v>1291</v>
      </c>
      <c r="J54" t="s">
        <v>1292</v>
      </c>
      <c r="K54" t="s">
        <v>1293</v>
      </c>
      <c r="L54">
        <v>1367</v>
      </c>
      <c r="N54">
        <v>1011</v>
      </c>
      <c r="O54" t="s">
        <v>738</v>
      </c>
      <c r="P54" t="s">
        <v>738</v>
      </c>
      <c r="Q54">
        <v>1</v>
      </c>
      <c r="X54">
        <v>1.02</v>
      </c>
      <c r="Y54">
        <v>0</v>
      </c>
      <c r="Z54">
        <v>258.24</v>
      </c>
      <c r="AA54">
        <v>17.34</v>
      </c>
      <c r="AB54">
        <v>0</v>
      </c>
      <c r="AC54">
        <v>0</v>
      </c>
      <c r="AD54">
        <v>1</v>
      </c>
      <c r="AE54">
        <v>0</v>
      </c>
      <c r="AF54" t="s">
        <v>20</v>
      </c>
      <c r="AG54">
        <v>1.2749999999999999</v>
      </c>
      <c r="AH54">
        <v>2</v>
      </c>
      <c r="AI54">
        <v>43137318</v>
      </c>
      <c r="AJ54">
        <v>53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</row>
    <row r="55" spans="1:44" x14ac:dyDescent="0.2">
      <c r="A55">
        <f>ROW(Source!A42)</f>
        <v>42</v>
      </c>
      <c r="B55">
        <v>43137319</v>
      </c>
      <c r="C55">
        <v>42938350</v>
      </c>
      <c r="D55">
        <v>35986151</v>
      </c>
      <c r="E55">
        <v>35973048</v>
      </c>
      <c r="F55">
        <v>1</v>
      </c>
      <c r="G55">
        <v>35973048</v>
      </c>
      <c r="H55">
        <v>3</v>
      </c>
      <c r="I55" t="s">
        <v>1471</v>
      </c>
      <c r="J55" t="s">
        <v>3</v>
      </c>
      <c r="K55" t="s">
        <v>1472</v>
      </c>
      <c r="L55">
        <v>1330</v>
      </c>
      <c r="N55">
        <v>1005</v>
      </c>
      <c r="O55" t="s">
        <v>1473</v>
      </c>
      <c r="P55" t="s">
        <v>1473</v>
      </c>
      <c r="Q55">
        <v>10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 t="s">
        <v>3</v>
      </c>
      <c r="AG55">
        <v>0</v>
      </c>
      <c r="AH55">
        <v>3</v>
      </c>
      <c r="AI55">
        <v>-1</v>
      </c>
      <c r="AJ55" t="s">
        <v>3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</row>
    <row r="56" spans="1:44" x14ac:dyDescent="0.2">
      <c r="A56">
        <f>ROW(Source!A42)</f>
        <v>42</v>
      </c>
      <c r="B56">
        <v>43137320</v>
      </c>
      <c r="C56">
        <v>42938350</v>
      </c>
      <c r="D56">
        <v>35994366</v>
      </c>
      <c r="E56">
        <v>35973048</v>
      </c>
      <c r="F56">
        <v>1</v>
      </c>
      <c r="G56">
        <v>35973048</v>
      </c>
      <c r="H56">
        <v>3</v>
      </c>
      <c r="I56" t="s">
        <v>1294</v>
      </c>
      <c r="J56" t="s">
        <v>3</v>
      </c>
      <c r="K56" t="s">
        <v>1295</v>
      </c>
      <c r="L56">
        <v>1344</v>
      </c>
      <c r="N56">
        <v>1008</v>
      </c>
      <c r="O56" t="s">
        <v>1245</v>
      </c>
      <c r="P56" t="s">
        <v>1245</v>
      </c>
      <c r="Q56">
        <v>1</v>
      </c>
      <c r="X56">
        <v>0.49</v>
      </c>
      <c r="Y56">
        <v>1</v>
      </c>
      <c r="Z56">
        <v>0</v>
      </c>
      <c r="AA56">
        <v>0</v>
      </c>
      <c r="AB56">
        <v>0</v>
      </c>
      <c r="AC56">
        <v>0</v>
      </c>
      <c r="AD56">
        <v>1</v>
      </c>
      <c r="AE56">
        <v>0</v>
      </c>
      <c r="AF56" t="s">
        <v>3</v>
      </c>
      <c r="AG56">
        <v>0.49</v>
      </c>
      <c r="AH56">
        <v>2</v>
      </c>
      <c r="AI56">
        <v>43137320</v>
      </c>
      <c r="AJ56">
        <v>54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</row>
    <row r="57" spans="1:44" x14ac:dyDescent="0.2">
      <c r="A57">
        <f>ROW(Source!A44)</f>
        <v>44</v>
      </c>
      <c r="B57">
        <v>42938378</v>
      </c>
      <c r="C57">
        <v>42938363</v>
      </c>
      <c r="D57">
        <v>35973053</v>
      </c>
      <c r="E57">
        <v>35973048</v>
      </c>
      <c r="F57">
        <v>1</v>
      </c>
      <c r="G57">
        <v>35973048</v>
      </c>
      <c r="H57">
        <v>1</v>
      </c>
      <c r="I57" t="s">
        <v>1228</v>
      </c>
      <c r="J57" t="s">
        <v>3</v>
      </c>
      <c r="K57" t="s">
        <v>1229</v>
      </c>
      <c r="L57">
        <v>1191</v>
      </c>
      <c r="N57">
        <v>1013</v>
      </c>
      <c r="O57" t="s">
        <v>1230</v>
      </c>
      <c r="P57" t="s">
        <v>1230</v>
      </c>
      <c r="Q57">
        <v>1</v>
      </c>
      <c r="X57">
        <v>8.1300000000000008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1</v>
      </c>
      <c r="AF57" t="s">
        <v>21</v>
      </c>
      <c r="AG57">
        <v>9.3495000000000008</v>
      </c>
      <c r="AH57">
        <v>2</v>
      </c>
      <c r="AI57">
        <v>42938364</v>
      </c>
      <c r="AJ57">
        <v>56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</row>
    <row r="58" spans="1:44" x14ac:dyDescent="0.2">
      <c r="A58">
        <f>ROW(Source!A44)</f>
        <v>44</v>
      </c>
      <c r="B58">
        <v>42938379</v>
      </c>
      <c r="C58">
        <v>42938363</v>
      </c>
      <c r="D58">
        <v>36045308</v>
      </c>
      <c r="E58">
        <v>1</v>
      </c>
      <c r="F58">
        <v>1</v>
      </c>
      <c r="G58">
        <v>35973048</v>
      </c>
      <c r="H58">
        <v>2</v>
      </c>
      <c r="I58" t="s">
        <v>1231</v>
      </c>
      <c r="J58" t="s">
        <v>1232</v>
      </c>
      <c r="K58" t="s">
        <v>1233</v>
      </c>
      <c r="L58">
        <v>1367</v>
      </c>
      <c r="N58">
        <v>1011</v>
      </c>
      <c r="O58" t="s">
        <v>738</v>
      </c>
      <c r="P58" t="s">
        <v>738</v>
      </c>
      <c r="Q58">
        <v>1</v>
      </c>
      <c r="X58">
        <v>0.01</v>
      </c>
      <c r="Y58">
        <v>0</v>
      </c>
      <c r="Z58">
        <v>76.81</v>
      </c>
      <c r="AA58">
        <v>14.36</v>
      </c>
      <c r="AB58">
        <v>0</v>
      </c>
      <c r="AC58">
        <v>0</v>
      </c>
      <c r="AD58">
        <v>1</v>
      </c>
      <c r="AE58">
        <v>0</v>
      </c>
      <c r="AF58" t="s">
        <v>20</v>
      </c>
      <c r="AG58">
        <v>1.2500000000000001E-2</v>
      </c>
      <c r="AH58">
        <v>2</v>
      </c>
      <c r="AI58">
        <v>42938365</v>
      </c>
      <c r="AJ58">
        <v>57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</row>
    <row r="59" spans="1:44" x14ac:dyDescent="0.2">
      <c r="A59">
        <f>ROW(Source!A44)</f>
        <v>44</v>
      </c>
      <c r="B59">
        <v>42938380</v>
      </c>
      <c r="C59">
        <v>42938363</v>
      </c>
      <c r="D59">
        <v>36045419</v>
      </c>
      <c r="E59">
        <v>1</v>
      </c>
      <c r="F59">
        <v>1</v>
      </c>
      <c r="G59">
        <v>35973048</v>
      </c>
      <c r="H59">
        <v>2</v>
      </c>
      <c r="I59" t="s">
        <v>1234</v>
      </c>
      <c r="J59" t="s">
        <v>1235</v>
      </c>
      <c r="K59" t="s">
        <v>1236</v>
      </c>
      <c r="L59">
        <v>1367</v>
      </c>
      <c r="N59">
        <v>1011</v>
      </c>
      <c r="O59" t="s">
        <v>738</v>
      </c>
      <c r="P59" t="s">
        <v>738</v>
      </c>
      <c r="Q59">
        <v>1</v>
      </c>
      <c r="X59">
        <v>7.0000000000000007E-2</v>
      </c>
      <c r="Y59">
        <v>0</v>
      </c>
      <c r="Z59">
        <v>1.76</v>
      </c>
      <c r="AA59">
        <v>0.01</v>
      </c>
      <c r="AB59">
        <v>0</v>
      </c>
      <c r="AC59">
        <v>0</v>
      </c>
      <c r="AD59">
        <v>1</v>
      </c>
      <c r="AE59">
        <v>0</v>
      </c>
      <c r="AF59" t="s">
        <v>20</v>
      </c>
      <c r="AG59">
        <v>8.7500000000000008E-2</v>
      </c>
      <c r="AH59">
        <v>2</v>
      </c>
      <c r="AI59">
        <v>42938366</v>
      </c>
      <c r="AJ59">
        <v>58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</row>
    <row r="60" spans="1:44" x14ac:dyDescent="0.2">
      <c r="A60">
        <f>ROW(Source!A44)</f>
        <v>44</v>
      </c>
      <c r="B60">
        <v>42938381</v>
      </c>
      <c r="C60">
        <v>42938363</v>
      </c>
      <c r="D60">
        <v>36044645</v>
      </c>
      <c r="E60">
        <v>1</v>
      </c>
      <c r="F60">
        <v>1</v>
      </c>
      <c r="G60">
        <v>35973048</v>
      </c>
      <c r="H60">
        <v>2</v>
      </c>
      <c r="I60" t="s">
        <v>1237</v>
      </c>
      <c r="J60" t="s">
        <v>1238</v>
      </c>
      <c r="K60" t="s">
        <v>1239</v>
      </c>
      <c r="L60">
        <v>1367</v>
      </c>
      <c r="N60">
        <v>1011</v>
      </c>
      <c r="O60" t="s">
        <v>738</v>
      </c>
      <c r="P60" t="s">
        <v>738</v>
      </c>
      <c r="Q60">
        <v>1</v>
      </c>
      <c r="X60">
        <v>0.01</v>
      </c>
      <c r="Y60">
        <v>0</v>
      </c>
      <c r="Z60">
        <v>68.87</v>
      </c>
      <c r="AA60">
        <v>18.34</v>
      </c>
      <c r="AB60">
        <v>0</v>
      </c>
      <c r="AC60">
        <v>0</v>
      </c>
      <c r="AD60">
        <v>1</v>
      </c>
      <c r="AE60">
        <v>0</v>
      </c>
      <c r="AF60" t="s">
        <v>20</v>
      </c>
      <c r="AG60">
        <v>1.2500000000000001E-2</v>
      </c>
      <c r="AH60">
        <v>2</v>
      </c>
      <c r="AI60">
        <v>42938367</v>
      </c>
      <c r="AJ60">
        <v>59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</row>
    <row r="61" spans="1:44" x14ac:dyDescent="0.2">
      <c r="A61">
        <f>ROW(Source!A44)</f>
        <v>44</v>
      </c>
      <c r="B61">
        <v>42938382</v>
      </c>
      <c r="C61">
        <v>42938363</v>
      </c>
      <c r="D61">
        <v>36023369</v>
      </c>
      <c r="E61">
        <v>1</v>
      </c>
      <c r="F61">
        <v>1</v>
      </c>
      <c r="G61">
        <v>35973048</v>
      </c>
      <c r="H61">
        <v>3</v>
      </c>
      <c r="I61" t="s">
        <v>129</v>
      </c>
      <c r="J61" t="s">
        <v>132</v>
      </c>
      <c r="K61" t="s">
        <v>130</v>
      </c>
      <c r="L61">
        <v>1346</v>
      </c>
      <c r="N61">
        <v>1009</v>
      </c>
      <c r="O61" t="s">
        <v>131</v>
      </c>
      <c r="P61" t="s">
        <v>131</v>
      </c>
      <c r="Q61">
        <v>1</v>
      </c>
      <c r="X61">
        <v>4.82</v>
      </c>
      <c r="Y61">
        <v>83.79</v>
      </c>
      <c r="Z61">
        <v>0</v>
      </c>
      <c r="AA61">
        <v>0</v>
      </c>
      <c r="AB61">
        <v>0</v>
      </c>
      <c r="AC61">
        <v>0</v>
      </c>
      <c r="AD61">
        <v>1</v>
      </c>
      <c r="AE61">
        <v>0</v>
      </c>
      <c r="AF61" t="s">
        <v>3</v>
      </c>
      <c r="AG61">
        <v>4.82</v>
      </c>
      <c r="AH61">
        <v>2</v>
      </c>
      <c r="AI61">
        <v>42938368</v>
      </c>
      <c r="AJ61">
        <v>60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</row>
    <row r="62" spans="1:44" x14ac:dyDescent="0.2">
      <c r="A62">
        <f>ROW(Source!A44)</f>
        <v>44</v>
      </c>
      <c r="B62">
        <v>42938383</v>
      </c>
      <c r="C62">
        <v>42938363</v>
      </c>
      <c r="D62">
        <v>36023370</v>
      </c>
      <c r="E62">
        <v>1</v>
      </c>
      <c r="F62">
        <v>1</v>
      </c>
      <c r="G62">
        <v>35973048</v>
      </c>
      <c r="H62">
        <v>3</v>
      </c>
      <c r="I62" t="s">
        <v>134</v>
      </c>
      <c r="J62" t="s">
        <v>137</v>
      </c>
      <c r="K62" t="s">
        <v>135</v>
      </c>
      <c r="L62">
        <v>1301</v>
      </c>
      <c r="N62">
        <v>1003</v>
      </c>
      <c r="O62" t="s">
        <v>136</v>
      </c>
      <c r="P62" t="s">
        <v>136</v>
      </c>
      <c r="Q62">
        <v>1</v>
      </c>
      <c r="X62">
        <v>24.7</v>
      </c>
      <c r="Y62">
        <v>7.33</v>
      </c>
      <c r="Z62">
        <v>0</v>
      </c>
      <c r="AA62">
        <v>0</v>
      </c>
      <c r="AB62">
        <v>0</v>
      </c>
      <c r="AC62">
        <v>0</v>
      </c>
      <c r="AD62">
        <v>1</v>
      </c>
      <c r="AE62">
        <v>0</v>
      </c>
      <c r="AF62" t="s">
        <v>3</v>
      </c>
      <c r="AG62">
        <v>24.7</v>
      </c>
      <c r="AH62">
        <v>2</v>
      </c>
      <c r="AI62">
        <v>42938369</v>
      </c>
      <c r="AJ62">
        <v>61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</row>
    <row r="63" spans="1:44" x14ac:dyDescent="0.2">
      <c r="A63">
        <f>ROW(Source!A44)</f>
        <v>44</v>
      </c>
      <c r="B63">
        <v>42938384</v>
      </c>
      <c r="C63">
        <v>42938363</v>
      </c>
      <c r="D63">
        <v>35987767</v>
      </c>
      <c r="E63">
        <v>35973048</v>
      </c>
      <c r="F63">
        <v>1</v>
      </c>
      <c r="G63">
        <v>35973048</v>
      </c>
      <c r="H63">
        <v>3</v>
      </c>
      <c r="I63" t="s">
        <v>1461</v>
      </c>
      <c r="J63" t="s">
        <v>3</v>
      </c>
      <c r="K63" t="s">
        <v>1462</v>
      </c>
      <c r="L63">
        <v>1327</v>
      </c>
      <c r="N63">
        <v>1005</v>
      </c>
      <c r="O63" t="s">
        <v>120</v>
      </c>
      <c r="P63" t="s">
        <v>120</v>
      </c>
      <c r="Q63">
        <v>1</v>
      </c>
      <c r="X63">
        <v>102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 t="s">
        <v>3</v>
      </c>
      <c r="AG63">
        <v>102</v>
      </c>
      <c r="AH63">
        <v>3</v>
      </c>
      <c r="AI63">
        <v>-1</v>
      </c>
      <c r="AJ63" t="s">
        <v>3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</row>
    <row r="64" spans="1:44" x14ac:dyDescent="0.2">
      <c r="A64">
        <f>ROW(Source!A51)</f>
        <v>51</v>
      </c>
      <c r="B64">
        <v>43137298</v>
      </c>
      <c r="C64">
        <v>43137270</v>
      </c>
      <c r="D64">
        <v>35973053</v>
      </c>
      <c r="E64">
        <v>35973048</v>
      </c>
      <c r="F64">
        <v>1</v>
      </c>
      <c r="G64">
        <v>35973048</v>
      </c>
      <c r="H64">
        <v>1</v>
      </c>
      <c r="I64" t="s">
        <v>1228</v>
      </c>
      <c r="J64" t="s">
        <v>3</v>
      </c>
      <c r="K64" t="s">
        <v>1229</v>
      </c>
      <c r="L64">
        <v>1191</v>
      </c>
      <c r="N64">
        <v>1013</v>
      </c>
      <c r="O64" t="s">
        <v>1230</v>
      </c>
      <c r="P64" t="s">
        <v>1230</v>
      </c>
      <c r="Q64">
        <v>1</v>
      </c>
      <c r="X64">
        <v>26.08</v>
      </c>
      <c r="Y64">
        <v>0</v>
      </c>
      <c r="Z64">
        <v>0</v>
      </c>
      <c r="AA64">
        <v>0</v>
      </c>
      <c r="AB64">
        <v>0</v>
      </c>
      <c r="AC64">
        <v>0</v>
      </c>
      <c r="AD64">
        <v>1</v>
      </c>
      <c r="AE64">
        <v>1</v>
      </c>
      <c r="AF64" t="s">
        <v>21</v>
      </c>
      <c r="AG64">
        <v>29.991999999999997</v>
      </c>
      <c r="AH64">
        <v>2</v>
      </c>
      <c r="AI64">
        <v>43137298</v>
      </c>
      <c r="AJ64">
        <v>66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</row>
    <row r="65" spans="1:44" x14ac:dyDescent="0.2">
      <c r="A65">
        <f>ROW(Source!A51)</f>
        <v>51</v>
      </c>
      <c r="B65">
        <v>43137299</v>
      </c>
      <c r="C65">
        <v>43137270</v>
      </c>
      <c r="D65">
        <v>36044486</v>
      </c>
      <c r="E65">
        <v>1</v>
      </c>
      <c r="F65">
        <v>1</v>
      </c>
      <c r="G65">
        <v>35973048</v>
      </c>
      <c r="H65">
        <v>2</v>
      </c>
      <c r="I65" t="s">
        <v>1296</v>
      </c>
      <c r="J65" t="s">
        <v>1297</v>
      </c>
      <c r="K65" t="s">
        <v>1298</v>
      </c>
      <c r="L65">
        <v>1367</v>
      </c>
      <c r="N65">
        <v>1011</v>
      </c>
      <c r="O65" t="s">
        <v>738</v>
      </c>
      <c r="P65" t="s">
        <v>738</v>
      </c>
      <c r="Q65">
        <v>1</v>
      </c>
      <c r="X65">
        <v>0.19</v>
      </c>
      <c r="Y65">
        <v>0</v>
      </c>
      <c r="Z65">
        <v>73.45</v>
      </c>
      <c r="AA65">
        <v>12.83</v>
      </c>
      <c r="AB65">
        <v>0</v>
      </c>
      <c r="AC65">
        <v>0</v>
      </c>
      <c r="AD65">
        <v>1</v>
      </c>
      <c r="AE65">
        <v>0</v>
      </c>
      <c r="AF65" t="s">
        <v>20</v>
      </c>
      <c r="AG65">
        <v>0.23749999999999999</v>
      </c>
      <c r="AH65">
        <v>2</v>
      </c>
      <c r="AI65">
        <v>43137299</v>
      </c>
      <c r="AJ65">
        <v>67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</row>
    <row r="66" spans="1:44" x14ac:dyDescent="0.2">
      <c r="A66">
        <f>ROW(Source!A51)</f>
        <v>51</v>
      </c>
      <c r="B66">
        <v>43137300</v>
      </c>
      <c r="C66">
        <v>43137270</v>
      </c>
      <c r="D66">
        <v>36045308</v>
      </c>
      <c r="E66">
        <v>1</v>
      </c>
      <c r="F66">
        <v>1</v>
      </c>
      <c r="G66">
        <v>35973048</v>
      </c>
      <c r="H66">
        <v>2</v>
      </c>
      <c r="I66" t="s">
        <v>1231</v>
      </c>
      <c r="J66" t="s">
        <v>1232</v>
      </c>
      <c r="K66" t="s">
        <v>1233</v>
      </c>
      <c r="L66">
        <v>1367</v>
      </c>
      <c r="N66">
        <v>1011</v>
      </c>
      <c r="O66" t="s">
        <v>738</v>
      </c>
      <c r="P66" t="s">
        <v>738</v>
      </c>
      <c r="Q66">
        <v>1</v>
      </c>
      <c r="X66">
        <v>0.03</v>
      </c>
      <c r="Y66">
        <v>0</v>
      </c>
      <c r="Z66">
        <v>76.81</v>
      </c>
      <c r="AA66">
        <v>14.36</v>
      </c>
      <c r="AB66">
        <v>0</v>
      </c>
      <c r="AC66">
        <v>0</v>
      </c>
      <c r="AD66">
        <v>1</v>
      </c>
      <c r="AE66">
        <v>0</v>
      </c>
      <c r="AF66" t="s">
        <v>20</v>
      </c>
      <c r="AG66">
        <v>3.7499999999999999E-2</v>
      </c>
      <c r="AH66">
        <v>2</v>
      </c>
      <c r="AI66">
        <v>43137300</v>
      </c>
      <c r="AJ66">
        <v>68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</row>
    <row r="67" spans="1:44" x14ac:dyDescent="0.2">
      <c r="A67">
        <f>ROW(Source!A51)</f>
        <v>51</v>
      </c>
      <c r="B67">
        <v>43137302</v>
      </c>
      <c r="C67">
        <v>43137270</v>
      </c>
      <c r="D67">
        <v>36045337</v>
      </c>
      <c r="E67">
        <v>1</v>
      </c>
      <c r="F67">
        <v>1</v>
      </c>
      <c r="G67">
        <v>35973048</v>
      </c>
      <c r="H67">
        <v>2</v>
      </c>
      <c r="I67" t="s">
        <v>1299</v>
      </c>
      <c r="J67" t="s">
        <v>1300</v>
      </c>
      <c r="K67" t="s">
        <v>1301</v>
      </c>
      <c r="L67">
        <v>1367</v>
      </c>
      <c r="N67">
        <v>1011</v>
      </c>
      <c r="O67" t="s">
        <v>738</v>
      </c>
      <c r="P67" t="s">
        <v>738</v>
      </c>
      <c r="Q67">
        <v>1</v>
      </c>
      <c r="X67">
        <v>0.78</v>
      </c>
      <c r="Y67">
        <v>0</v>
      </c>
      <c r="Z67">
        <v>0.56000000000000005</v>
      </c>
      <c r="AA67">
        <v>0.09</v>
      </c>
      <c r="AB67">
        <v>0</v>
      </c>
      <c r="AC67">
        <v>0</v>
      </c>
      <c r="AD67">
        <v>1</v>
      </c>
      <c r="AE67">
        <v>0</v>
      </c>
      <c r="AF67" t="s">
        <v>20</v>
      </c>
      <c r="AG67">
        <v>0.97500000000000009</v>
      </c>
      <c r="AH67">
        <v>2</v>
      </c>
      <c r="AI67">
        <v>43137302</v>
      </c>
      <c r="AJ67">
        <v>69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</row>
    <row r="68" spans="1:44" x14ac:dyDescent="0.2">
      <c r="A68">
        <f>ROW(Source!A51)</f>
        <v>51</v>
      </c>
      <c r="B68">
        <v>43137301</v>
      </c>
      <c r="C68">
        <v>43137270</v>
      </c>
      <c r="D68">
        <v>36044555</v>
      </c>
      <c r="E68">
        <v>1</v>
      </c>
      <c r="F68">
        <v>1</v>
      </c>
      <c r="G68">
        <v>35973048</v>
      </c>
      <c r="H68">
        <v>2</v>
      </c>
      <c r="I68" t="s">
        <v>1267</v>
      </c>
      <c r="J68" t="s">
        <v>1268</v>
      </c>
      <c r="K68" t="s">
        <v>1269</v>
      </c>
      <c r="L68">
        <v>1367</v>
      </c>
      <c r="N68">
        <v>1011</v>
      </c>
      <c r="O68" t="s">
        <v>738</v>
      </c>
      <c r="P68" t="s">
        <v>738</v>
      </c>
      <c r="Q68">
        <v>1</v>
      </c>
      <c r="X68">
        <v>0.03</v>
      </c>
      <c r="Y68">
        <v>0</v>
      </c>
      <c r="Z68">
        <v>190.93</v>
      </c>
      <c r="AA68">
        <v>18.149999999999999</v>
      </c>
      <c r="AB68">
        <v>0</v>
      </c>
      <c r="AC68">
        <v>0</v>
      </c>
      <c r="AD68">
        <v>1</v>
      </c>
      <c r="AE68">
        <v>0</v>
      </c>
      <c r="AF68" t="s">
        <v>20</v>
      </c>
      <c r="AG68">
        <v>3.7499999999999999E-2</v>
      </c>
      <c r="AH68">
        <v>2</v>
      </c>
      <c r="AI68">
        <v>43137301</v>
      </c>
      <c r="AJ68">
        <v>70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</row>
    <row r="69" spans="1:44" x14ac:dyDescent="0.2">
      <c r="A69">
        <f>ROW(Source!A51)</f>
        <v>51</v>
      </c>
      <c r="B69">
        <v>43137303</v>
      </c>
      <c r="C69">
        <v>43137270</v>
      </c>
      <c r="D69">
        <v>35973762</v>
      </c>
      <c r="E69">
        <v>35973048</v>
      </c>
      <c r="F69">
        <v>1</v>
      </c>
      <c r="G69">
        <v>35973048</v>
      </c>
      <c r="H69">
        <v>2</v>
      </c>
      <c r="I69" t="s">
        <v>1243</v>
      </c>
      <c r="J69" t="s">
        <v>3</v>
      </c>
      <c r="K69" t="s">
        <v>1244</v>
      </c>
      <c r="L69">
        <v>1344</v>
      </c>
      <c r="N69">
        <v>1008</v>
      </c>
      <c r="O69" t="s">
        <v>1245</v>
      </c>
      <c r="P69" t="s">
        <v>1245</v>
      </c>
      <c r="Q69">
        <v>1</v>
      </c>
      <c r="X69">
        <v>0.01</v>
      </c>
      <c r="Y69">
        <v>0</v>
      </c>
      <c r="Z69">
        <v>1</v>
      </c>
      <c r="AA69">
        <v>0</v>
      </c>
      <c r="AB69">
        <v>0</v>
      </c>
      <c r="AC69">
        <v>0</v>
      </c>
      <c r="AD69">
        <v>1</v>
      </c>
      <c r="AE69">
        <v>0</v>
      </c>
      <c r="AF69" t="s">
        <v>20</v>
      </c>
      <c r="AG69">
        <v>1.2500000000000001E-2</v>
      </c>
      <c r="AH69">
        <v>2</v>
      </c>
      <c r="AI69">
        <v>43137303</v>
      </c>
      <c r="AJ69">
        <v>71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</row>
    <row r="70" spans="1:44" x14ac:dyDescent="0.2">
      <c r="A70">
        <f>ROW(Source!A51)</f>
        <v>51</v>
      </c>
      <c r="B70">
        <v>43137304</v>
      </c>
      <c r="C70">
        <v>43137270</v>
      </c>
      <c r="D70">
        <v>36021690</v>
      </c>
      <c r="E70">
        <v>1</v>
      </c>
      <c r="F70">
        <v>1</v>
      </c>
      <c r="G70">
        <v>35973048</v>
      </c>
      <c r="H70">
        <v>3</v>
      </c>
      <c r="I70" t="s">
        <v>1302</v>
      </c>
      <c r="J70" t="s">
        <v>1303</v>
      </c>
      <c r="K70" t="s">
        <v>1304</v>
      </c>
      <c r="L70">
        <v>1339</v>
      </c>
      <c r="N70">
        <v>1007</v>
      </c>
      <c r="O70" t="s">
        <v>84</v>
      </c>
      <c r="P70" t="s">
        <v>84</v>
      </c>
      <c r="Q70">
        <v>1</v>
      </c>
      <c r="X70">
        <v>20</v>
      </c>
      <c r="Y70">
        <v>230.95</v>
      </c>
      <c r="Z70">
        <v>0</v>
      </c>
      <c r="AA70">
        <v>0</v>
      </c>
      <c r="AB70">
        <v>0</v>
      </c>
      <c r="AC70">
        <v>0</v>
      </c>
      <c r="AD70">
        <v>1</v>
      </c>
      <c r="AE70">
        <v>0</v>
      </c>
      <c r="AF70" t="s">
        <v>3</v>
      </c>
      <c r="AG70">
        <v>20</v>
      </c>
      <c r="AH70">
        <v>2</v>
      </c>
      <c r="AI70">
        <v>43137304</v>
      </c>
      <c r="AJ70">
        <v>72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</row>
    <row r="71" spans="1:44" x14ac:dyDescent="0.2">
      <c r="A71">
        <f>ROW(Source!A51)</f>
        <v>51</v>
      </c>
      <c r="B71">
        <v>43137305</v>
      </c>
      <c r="C71">
        <v>43137270</v>
      </c>
      <c r="D71">
        <v>36022065</v>
      </c>
      <c r="E71">
        <v>1</v>
      </c>
      <c r="F71">
        <v>1</v>
      </c>
      <c r="G71">
        <v>35973048</v>
      </c>
      <c r="H71">
        <v>3</v>
      </c>
      <c r="I71" t="s">
        <v>1305</v>
      </c>
      <c r="J71" t="s">
        <v>1306</v>
      </c>
      <c r="K71" t="s">
        <v>1307</v>
      </c>
      <c r="L71">
        <v>1327</v>
      </c>
      <c r="N71">
        <v>1005</v>
      </c>
      <c r="O71" t="s">
        <v>120</v>
      </c>
      <c r="P71" t="s">
        <v>120</v>
      </c>
      <c r="Q71">
        <v>1</v>
      </c>
      <c r="X71">
        <v>270</v>
      </c>
      <c r="Y71">
        <v>16.559999999999999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0</v>
      </c>
      <c r="AF71" t="s">
        <v>3</v>
      </c>
      <c r="AG71">
        <v>270</v>
      </c>
      <c r="AH71">
        <v>2</v>
      </c>
      <c r="AI71">
        <v>43137305</v>
      </c>
      <c r="AJ71">
        <v>73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</row>
    <row r="72" spans="1:44" x14ac:dyDescent="0.2">
      <c r="A72">
        <f>ROW(Source!A51)</f>
        <v>51</v>
      </c>
      <c r="B72">
        <v>43137306</v>
      </c>
      <c r="C72">
        <v>43137270</v>
      </c>
      <c r="D72">
        <v>36020974</v>
      </c>
      <c r="E72">
        <v>1</v>
      </c>
      <c r="F72">
        <v>1</v>
      </c>
      <c r="G72">
        <v>35973048</v>
      </c>
      <c r="H72">
        <v>3</v>
      </c>
      <c r="I72" t="s">
        <v>91</v>
      </c>
      <c r="J72" t="s">
        <v>93</v>
      </c>
      <c r="K72" t="s">
        <v>92</v>
      </c>
      <c r="L72">
        <v>1339</v>
      </c>
      <c r="N72">
        <v>1007</v>
      </c>
      <c r="O72" t="s">
        <v>84</v>
      </c>
      <c r="P72" t="s">
        <v>84</v>
      </c>
      <c r="Q72">
        <v>1</v>
      </c>
      <c r="X72">
        <v>28</v>
      </c>
      <c r="Y72">
        <v>104.99</v>
      </c>
      <c r="Z72">
        <v>0</v>
      </c>
      <c r="AA72">
        <v>0</v>
      </c>
      <c r="AB72">
        <v>0</v>
      </c>
      <c r="AC72">
        <v>0</v>
      </c>
      <c r="AD72">
        <v>1</v>
      </c>
      <c r="AE72">
        <v>0</v>
      </c>
      <c r="AF72" t="s">
        <v>3</v>
      </c>
      <c r="AG72">
        <v>28</v>
      </c>
      <c r="AH72">
        <v>2</v>
      </c>
      <c r="AI72">
        <v>43137306</v>
      </c>
      <c r="AJ72">
        <v>74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</row>
    <row r="73" spans="1:44" x14ac:dyDescent="0.2">
      <c r="A73">
        <f>ROW(Source!A51)</f>
        <v>51</v>
      </c>
      <c r="B73">
        <v>43137307</v>
      </c>
      <c r="C73">
        <v>43137270</v>
      </c>
      <c r="D73">
        <v>35987915</v>
      </c>
      <c r="E73">
        <v>35973048</v>
      </c>
      <c r="F73">
        <v>1</v>
      </c>
      <c r="G73">
        <v>35973048</v>
      </c>
      <c r="H73">
        <v>3</v>
      </c>
      <c r="I73" t="s">
        <v>1474</v>
      </c>
      <c r="J73" t="s">
        <v>3</v>
      </c>
      <c r="K73" t="s">
        <v>1475</v>
      </c>
      <c r="L73">
        <v>1301</v>
      </c>
      <c r="N73">
        <v>1003</v>
      </c>
      <c r="O73" t="s">
        <v>136</v>
      </c>
      <c r="P73" t="s">
        <v>136</v>
      </c>
      <c r="Q73">
        <v>1</v>
      </c>
      <c r="X73">
        <v>100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 t="s">
        <v>3</v>
      </c>
      <c r="AG73">
        <v>100</v>
      </c>
      <c r="AH73">
        <v>3</v>
      </c>
      <c r="AI73">
        <v>-1</v>
      </c>
      <c r="AJ73" t="s">
        <v>3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</row>
    <row r="74" spans="1:44" x14ac:dyDescent="0.2">
      <c r="A74">
        <f>ROW(Source!A51)</f>
        <v>51</v>
      </c>
      <c r="B74">
        <v>43137308</v>
      </c>
      <c r="C74">
        <v>43137270</v>
      </c>
      <c r="D74">
        <v>35987921</v>
      </c>
      <c r="E74">
        <v>35973048</v>
      </c>
      <c r="F74">
        <v>1</v>
      </c>
      <c r="G74">
        <v>35973048</v>
      </c>
      <c r="H74">
        <v>3</v>
      </c>
      <c r="I74" t="s">
        <v>1476</v>
      </c>
      <c r="J74" t="s">
        <v>3</v>
      </c>
      <c r="K74" t="s">
        <v>1477</v>
      </c>
      <c r="L74">
        <v>1354</v>
      </c>
      <c r="N74">
        <v>1010</v>
      </c>
      <c r="O74" t="s">
        <v>169</v>
      </c>
      <c r="P74" t="s">
        <v>169</v>
      </c>
      <c r="Q74">
        <v>1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 t="s">
        <v>3</v>
      </c>
      <c r="AG74">
        <v>0</v>
      </c>
      <c r="AH74">
        <v>3</v>
      </c>
      <c r="AI74">
        <v>-1</v>
      </c>
      <c r="AJ74" t="s">
        <v>3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</row>
    <row r="75" spans="1:44" x14ac:dyDescent="0.2">
      <c r="A75">
        <f>ROW(Source!A53)</f>
        <v>53</v>
      </c>
      <c r="B75">
        <v>43159336</v>
      </c>
      <c r="C75">
        <v>43159296</v>
      </c>
      <c r="D75">
        <v>35973053</v>
      </c>
      <c r="E75">
        <v>35973048</v>
      </c>
      <c r="F75">
        <v>1</v>
      </c>
      <c r="G75">
        <v>35973048</v>
      </c>
      <c r="H75">
        <v>1</v>
      </c>
      <c r="I75" t="s">
        <v>1228</v>
      </c>
      <c r="J75" t="s">
        <v>3</v>
      </c>
      <c r="K75" t="s">
        <v>1229</v>
      </c>
      <c r="L75">
        <v>1191</v>
      </c>
      <c r="N75">
        <v>1013</v>
      </c>
      <c r="O75" t="s">
        <v>1230</v>
      </c>
      <c r="P75" t="s">
        <v>1230</v>
      </c>
      <c r="Q75">
        <v>1</v>
      </c>
      <c r="X75">
        <v>5.32</v>
      </c>
      <c r="Y75">
        <v>0</v>
      </c>
      <c r="Z75">
        <v>0</v>
      </c>
      <c r="AA75">
        <v>0</v>
      </c>
      <c r="AB75">
        <v>0</v>
      </c>
      <c r="AC75">
        <v>0</v>
      </c>
      <c r="AD75">
        <v>1</v>
      </c>
      <c r="AE75">
        <v>1</v>
      </c>
      <c r="AF75" t="s">
        <v>21</v>
      </c>
      <c r="AG75">
        <v>6.1179999999999994</v>
      </c>
      <c r="AH75">
        <v>2</v>
      </c>
      <c r="AI75">
        <v>43159336</v>
      </c>
      <c r="AJ75">
        <v>76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</row>
    <row r="76" spans="1:44" x14ac:dyDescent="0.2">
      <c r="A76">
        <f>ROW(Source!A53)</f>
        <v>53</v>
      </c>
      <c r="B76">
        <v>43159337</v>
      </c>
      <c r="C76">
        <v>43159296</v>
      </c>
      <c r="D76">
        <v>36045311</v>
      </c>
      <c r="E76">
        <v>1</v>
      </c>
      <c r="F76">
        <v>1</v>
      </c>
      <c r="G76">
        <v>35973048</v>
      </c>
      <c r="H76">
        <v>2</v>
      </c>
      <c r="I76" t="s">
        <v>1308</v>
      </c>
      <c r="J76" t="s">
        <v>1309</v>
      </c>
      <c r="K76" t="s">
        <v>1310</v>
      </c>
      <c r="L76">
        <v>1367</v>
      </c>
      <c r="N76">
        <v>1011</v>
      </c>
      <c r="O76" t="s">
        <v>738</v>
      </c>
      <c r="P76" t="s">
        <v>738</v>
      </c>
      <c r="Q76">
        <v>1</v>
      </c>
      <c r="X76">
        <v>0.02</v>
      </c>
      <c r="Y76">
        <v>0</v>
      </c>
      <c r="Z76">
        <v>113.31</v>
      </c>
      <c r="AA76">
        <v>15.56</v>
      </c>
      <c r="AB76">
        <v>0</v>
      </c>
      <c r="AC76">
        <v>0</v>
      </c>
      <c r="AD76">
        <v>1</v>
      </c>
      <c r="AE76">
        <v>0</v>
      </c>
      <c r="AF76" t="s">
        <v>20</v>
      </c>
      <c r="AG76">
        <v>2.5000000000000001E-2</v>
      </c>
      <c r="AH76">
        <v>2</v>
      </c>
      <c r="AI76">
        <v>43159337</v>
      </c>
      <c r="AJ76">
        <v>77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</row>
    <row r="77" spans="1:44" x14ac:dyDescent="0.2">
      <c r="A77">
        <f>ROW(Source!A53)</f>
        <v>53</v>
      </c>
      <c r="B77">
        <v>43159339</v>
      </c>
      <c r="C77">
        <v>43159296</v>
      </c>
      <c r="D77">
        <v>36045430</v>
      </c>
      <c r="E77">
        <v>1</v>
      </c>
      <c r="F77">
        <v>1</v>
      </c>
      <c r="G77">
        <v>35973048</v>
      </c>
      <c r="H77">
        <v>2</v>
      </c>
      <c r="I77" t="s">
        <v>1311</v>
      </c>
      <c r="J77" t="s">
        <v>1312</v>
      </c>
      <c r="K77" t="s">
        <v>1313</v>
      </c>
      <c r="L77">
        <v>1367</v>
      </c>
      <c r="N77">
        <v>1011</v>
      </c>
      <c r="O77" t="s">
        <v>738</v>
      </c>
      <c r="P77" t="s">
        <v>738</v>
      </c>
      <c r="Q77">
        <v>1</v>
      </c>
      <c r="X77">
        <v>0.11</v>
      </c>
      <c r="Y77">
        <v>0</v>
      </c>
      <c r="Z77">
        <v>2.21</v>
      </c>
      <c r="AA77">
        <v>0.04</v>
      </c>
      <c r="AB77">
        <v>0</v>
      </c>
      <c r="AC77">
        <v>0</v>
      </c>
      <c r="AD77">
        <v>1</v>
      </c>
      <c r="AE77">
        <v>0</v>
      </c>
      <c r="AF77" t="s">
        <v>20</v>
      </c>
      <c r="AG77">
        <v>0.13750000000000001</v>
      </c>
      <c r="AH77">
        <v>2</v>
      </c>
      <c r="AI77">
        <v>43159339</v>
      </c>
      <c r="AJ77">
        <v>78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</row>
    <row r="78" spans="1:44" x14ac:dyDescent="0.2">
      <c r="A78">
        <f>ROW(Source!A53)</f>
        <v>53</v>
      </c>
      <c r="B78">
        <v>43159340</v>
      </c>
      <c r="C78">
        <v>43159296</v>
      </c>
      <c r="D78">
        <v>36045388</v>
      </c>
      <c r="E78">
        <v>1</v>
      </c>
      <c r="F78">
        <v>1</v>
      </c>
      <c r="G78">
        <v>35973048</v>
      </c>
      <c r="H78">
        <v>2</v>
      </c>
      <c r="I78" t="s">
        <v>1314</v>
      </c>
      <c r="J78" t="s">
        <v>1315</v>
      </c>
      <c r="K78" t="s">
        <v>1316</v>
      </c>
      <c r="L78">
        <v>1367</v>
      </c>
      <c r="N78">
        <v>1011</v>
      </c>
      <c r="O78" t="s">
        <v>738</v>
      </c>
      <c r="P78" t="s">
        <v>738</v>
      </c>
      <c r="Q78">
        <v>1</v>
      </c>
      <c r="X78">
        <v>0.03</v>
      </c>
      <c r="Y78">
        <v>0</v>
      </c>
      <c r="Z78">
        <v>0.64</v>
      </c>
      <c r="AA78">
        <v>0.04</v>
      </c>
      <c r="AB78">
        <v>0</v>
      </c>
      <c r="AC78">
        <v>0</v>
      </c>
      <c r="AD78">
        <v>1</v>
      </c>
      <c r="AE78">
        <v>0</v>
      </c>
      <c r="AF78" t="s">
        <v>20</v>
      </c>
      <c r="AG78">
        <v>3.7499999999999999E-2</v>
      </c>
      <c r="AH78">
        <v>2</v>
      </c>
      <c r="AI78">
        <v>43159340</v>
      </c>
      <c r="AJ78">
        <v>79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</row>
    <row r="79" spans="1:44" x14ac:dyDescent="0.2">
      <c r="A79">
        <f>ROW(Source!A53)</f>
        <v>53</v>
      </c>
      <c r="B79">
        <v>43159338</v>
      </c>
      <c r="C79">
        <v>43159296</v>
      </c>
      <c r="D79">
        <v>36044555</v>
      </c>
      <c r="E79">
        <v>1</v>
      </c>
      <c r="F79">
        <v>1</v>
      </c>
      <c r="G79">
        <v>35973048</v>
      </c>
      <c r="H79">
        <v>2</v>
      </c>
      <c r="I79" t="s">
        <v>1267</v>
      </c>
      <c r="J79" t="s">
        <v>1268</v>
      </c>
      <c r="K79" t="s">
        <v>1269</v>
      </c>
      <c r="L79">
        <v>1367</v>
      </c>
      <c r="N79">
        <v>1011</v>
      </c>
      <c r="O79" t="s">
        <v>738</v>
      </c>
      <c r="P79" t="s">
        <v>738</v>
      </c>
      <c r="Q79">
        <v>1</v>
      </c>
      <c r="X79">
        <v>0.02</v>
      </c>
      <c r="Y79">
        <v>0</v>
      </c>
      <c r="Z79">
        <v>190.93</v>
      </c>
      <c r="AA79">
        <v>18.149999999999999</v>
      </c>
      <c r="AB79">
        <v>0</v>
      </c>
      <c r="AC79">
        <v>0</v>
      </c>
      <c r="AD79">
        <v>1</v>
      </c>
      <c r="AE79">
        <v>0</v>
      </c>
      <c r="AF79" t="s">
        <v>20</v>
      </c>
      <c r="AG79">
        <v>2.5000000000000001E-2</v>
      </c>
      <c r="AH79">
        <v>2</v>
      </c>
      <c r="AI79">
        <v>43159338</v>
      </c>
      <c r="AJ79">
        <v>80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</row>
    <row r="80" spans="1:44" x14ac:dyDescent="0.2">
      <c r="A80">
        <f>ROW(Source!A53)</f>
        <v>53</v>
      </c>
      <c r="B80">
        <v>43159341</v>
      </c>
      <c r="C80">
        <v>43159296</v>
      </c>
      <c r="D80">
        <v>36020412</v>
      </c>
      <c r="E80">
        <v>1</v>
      </c>
      <c r="F80">
        <v>1</v>
      </c>
      <c r="G80">
        <v>35973048</v>
      </c>
      <c r="H80">
        <v>3</v>
      </c>
      <c r="I80" t="s">
        <v>1317</v>
      </c>
      <c r="J80" t="s">
        <v>1318</v>
      </c>
      <c r="K80" t="s">
        <v>1319</v>
      </c>
      <c r="L80">
        <v>1346</v>
      </c>
      <c r="N80">
        <v>1009</v>
      </c>
      <c r="O80" t="s">
        <v>131</v>
      </c>
      <c r="P80" t="s">
        <v>131</v>
      </c>
      <c r="Q80">
        <v>1</v>
      </c>
      <c r="X80">
        <v>0.5</v>
      </c>
      <c r="Y80">
        <v>1.61</v>
      </c>
      <c r="Z80">
        <v>0</v>
      </c>
      <c r="AA80">
        <v>0</v>
      </c>
      <c r="AB80">
        <v>0</v>
      </c>
      <c r="AC80">
        <v>0</v>
      </c>
      <c r="AD80">
        <v>1</v>
      </c>
      <c r="AE80">
        <v>0</v>
      </c>
      <c r="AF80" t="s">
        <v>3</v>
      </c>
      <c r="AG80">
        <v>0.5</v>
      </c>
      <c r="AH80">
        <v>2</v>
      </c>
      <c r="AI80">
        <v>43159341</v>
      </c>
      <c r="AJ80">
        <v>81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</row>
    <row r="81" spans="1:44" x14ac:dyDescent="0.2">
      <c r="A81">
        <f>ROW(Source!A53)</f>
        <v>53</v>
      </c>
      <c r="B81">
        <v>43159342</v>
      </c>
      <c r="C81">
        <v>43159296</v>
      </c>
      <c r="D81">
        <v>36020415</v>
      </c>
      <c r="E81">
        <v>1</v>
      </c>
      <c r="F81">
        <v>1</v>
      </c>
      <c r="G81">
        <v>35973048</v>
      </c>
      <c r="H81">
        <v>3</v>
      </c>
      <c r="I81" t="s">
        <v>469</v>
      </c>
      <c r="J81" t="s">
        <v>471</v>
      </c>
      <c r="K81" t="s">
        <v>470</v>
      </c>
      <c r="L81">
        <v>1339</v>
      </c>
      <c r="N81">
        <v>1007</v>
      </c>
      <c r="O81" t="s">
        <v>84</v>
      </c>
      <c r="P81" t="s">
        <v>84</v>
      </c>
      <c r="Q81">
        <v>1</v>
      </c>
      <c r="X81">
        <v>0.19</v>
      </c>
      <c r="Y81">
        <v>7.07</v>
      </c>
      <c r="Z81">
        <v>0</v>
      </c>
      <c r="AA81">
        <v>0</v>
      </c>
      <c r="AB81">
        <v>0</v>
      </c>
      <c r="AC81">
        <v>0</v>
      </c>
      <c r="AD81">
        <v>1</v>
      </c>
      <c r="AE81">
        <v>0</v>
      </c>
      <c r="AF81" t="s">
        <v>3</v>
      </c>
      <c r="AG81">
        <v>0.19</v>
      </c>
      <c r="AH81">
        <v>2</v>
      </c>
      <c r="AI81">
        <v>43159342</v>
      </c>
      <c r="AJ81">
        <v>82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</row>
    <row r="82" spans="1:44" x14ac:dyDescent="0.2">
      <c r="A82">
        <f>ROW(Source!A53)</f>
        <v>53</v>
      </c>
      <c r="B82">
        <v>43159343</v>
      </c>
      <c r="C82">
        <v>43159296</v>
      </c>
      <c r="D82">
        <v>36022664</v>
      </c>
      <c r="E82">
        <v>1</v>
      </c>
      <c r="F82">
        <v>1</v>
      </c>
      <c r="G82">
        <v>35973048</v>
      </c>
      <c r="H82">
        <v>3</v>
      </c>
      <c r="I82" t="s">
        <v>1320</v>
      </c>
      <c r="J82" t="s">
        <v>1321</v>
      </c>
      <c r="K82" t="s">
        <v>1322</v>
      </c>
      <c r="L82">
        <v>1346</v>
      </c>
      <c r="N82">
        <v>1009</v>
      </c>
      <c r="O82" t="s">
        <v>131</v>
      </c>
      <c r="P82" t="s">
        <v>131</v>
      </c>
      <c r="Q82">
        <v>1</v>
      </c>
      <c r="X82">
        <v>9.2799999999999994E-2</v>
      </c>
      <c r="Y82">
        <v>27.63</v>
      </c>
      <c r="Z82">
        <v>0</v>
      </c>
      <c r="AA82">
        <v>0</v>
      </c>
      <c r="AB82">
        <v>0</v>
      </c>
      <c r="AC82">
        <v>0</v>
      </c>
      <c r="AD82">
        <v>1</v>
      </c>
      <c r="AE82">
        <v>0</v>
      </c>
      <c r="AF82" t="s">
        <v>3</v>
      </c>
      <c r="AG82">
        <v>9.2799999999999994E-2</v>
      </c>
      <c r="AH82">
        <v>2</v>
      </c>
      <c r="AI82">
        <v>43159343</v>
      </c>
      <c r="AJ82">
        <v>83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</row>
    <row r="83" spans="1:44" x14ac:dyDescent="0.2">
      <c r="A83">
        <f>ROW(Source!A53)</f>
        <v>53</v>
      </c>
      <c r="B83">
        <v>43159344</v>
      </c>
      <c r="C83">
        <v>43159296</v>
      </c>
      <c r="D83">
        <v>36020901</v>
      </c>
      <c r="E83">
        <v>1</v>
      </c>
      <c r="F83">
        <v>1</v>
      </c>
      <c r="G83">
        <v>35973048</v>
      </c>
      <c r="H83">
        <v>3</v>
      </c>
      <c r="I83" t="s">
        <v>1323</v>
      </c>
      <c r="J83" t="s">
        <v>1324</v>
      </c>
      <c r="K83" t="s">
        <v>1325</v>
      </c>
      <c r="L83">
        <v>1348</v>
      </c>
      <c r="N83">
        <v>1009</v>
      </c>
      <c r="O83" t="s">
        <v>104</v>
      </c>
      <c r="P83" t="s">
        <v>104</v>
      </c>
      <c r="Q83">
        <v>1000</v>
      </c>
      <c r="X83">
        <v>1.4999999999999999E-4</v>
      </c>
      <c r="Y83">
        <v>18054.14</v>
      </c>
      <c r="Z83">
        <v>0</v>
      </c>
      <c r="AA83">
        <v>0</v>
      </c>
      <c r="AB83">
        <v>0</v>
      </c>
      <c r="AC83">
        <v>0</v>
      </c>
      <c r="AD83">
        <v>1</v>
      </c>
      <c r="AE83">
        <v>0</v>
      </c>
      <c r="AF83" t="s">
        <v>3</v>
      </c>
      <c r="AG83">
        <v>1.4999999999999999E-4</v>
      </c>
      <c r="AH83">
        <v>2</v>
      </c>
      <c r="AI83">
        <v>43159344</v>
      </c>
      <c r="AJ83">
        <v>84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</row>
    <row r="84" spans="1:44" x14ac:dyDescent="0.2">
      <c r="A84">
        <f>ROW(Source!A53)</f>
        <v>53</v>
      </c>
      <c r="B84">
        <v>43159345</v>
      </c>
      <c r="C84">
        <v>43159296</v>
      </c>
      <c r="D84">
        <v>36020974</v>
      </c>
      <c r="E84">
        <v>1</v>
      </c>
      <c r="F84">
        <v>1</v>
      </c>
      <c r="G84">
        <v>35973048</v>
      </c>
      <c r="H84">
        <v>3</v>
      </c>
      <c r="I84" t="s">
        <v>91</v>
      </c>
      <c r="J84" t="s">
        <v>93</v>
      </c>
      <c r="K84" t="s">
        <v>92</v>
      </c>
      <c r="L84">
        <v>1339</v>
      </c>
      <c r="N84">
        <v>1007</v>
      </c>
      <c r="O84" t="s">
        <v>84</v>
      </c>
      <c r="P84" t="s">
        <v>84</v>
      </c>
      <c r="Q84">
        <v>1</v>
      </c>
      <c r="X84">
        <v>0.86129999999999995</v>
      </c>
      <c r="Y84">
        <v>104.99</v>
      </c>
      <c r="Z84">
        <v>0</v>
      </c>
      <c r="AA84">
        <v>0</v>
      </c>
      <c r="AB84">
        <v>0</v>
      </c>
      <c r="AC84">
        <v>0</v>
      </c>
      <c r="AD84">
        <v>1</v>
      </c>
      <c r="AE84">
        <v>0</v>
      </c>
      <c r="AF84" t="s">
        <v>3</v>
      </c>
      <c r="AG84">
        <v>0.86129999999999995</v>
      </c>
      <c r="AH84">
        <v>2</v>
      </c>
      <c r="AI84">
        <v>43159345</v>
      </c>
      <c r="AJ84">
        <v>85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</row>
    <row r="85" spans="1:44" x14ac:dyDescent="0.2">
      <c r="A85">
        <f>ROW(Source!A53)</f>
        <v>53</v>
      </c>
      <c r="B85">
        <v>43159346</v>
      </c>
      <c r="C85">
        <v>43159296</v>
      </c>
      <c r="D85">
        <v>36042796</v>
      </c>
      <c r="E85">
        <v>1</v>
      </c>
      <c r="F85">
        <v>1</v>
      </c>
      <c r="G85">
        <v>35973048</v>
      </c>
      <c r="H85">
        <v>3</v>
      </c>
      <c r="I85" t="s">
        <v>1326</v>
      </c>
      <c r="J85" t="s">
        <v>1327</v>
      </c>
      <c r="K85" t="s">
        <v>1328</v>
      </c>
      <c r="L85">
        <v>1354</v>
      </c>
      <c r="N85">
        <v>1010</v>
      </c>
      <c r="O85" t="s">
        <v>169</v>
      </c>
      <c r="P85" t="s">
        <v>169</v>
      </c>
      <c r="Q85">
        <v>1</v>
      </c>
      <c r="X85">
        <v>4</v>
      </c>
      <c r="Y85">
        <v>13</v>
      </c>
      <c r="Z85">
        <v>0</v>
      </c>
      <c r="AA85">
        <v>0</v>
      </c>
      <c r="AB85">
        <v>0</v>
      </c>
      <c r="AC85">
        <v>0</v>
      </c>
      <c r="AD85">
        <v>1</v>
      </c>
      <c r="AE85">
        <v>0</v>
      </c>
      <c r="AF85" t="s">
        <v>3</v>
      </c>
      <c r="AG85">
        <v>4</v>
      </c>
      <c r="AH85">
        <v>2</v>
      </c>
      <c r="AI85">
        <v>43159346</v>
      </c>
      <c r="AJ85">
        <v>89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</row>
    <row r="86" spans="1:44" x14ac:dyDescent="0.2">
      <c r="A86">
        <f>ROW(Source!A53)</f>
        <v>53</v>
      </c>
      <c r="B86">
        <v>43159347</v>
      </c>
      <c r="C86">
        <v>43159296</v>
      </c>
      <c r="D86">
        <v>35987923</v>
      </c>
      <c r="E86">
        <v>35973048</v>
      </c>
      <c r="F86">
        <v>1</v>
      </c>
      <c r="G86">
        <v>35973048</v>
      </c>
      <c r="H86">
        <v>3</v>
      </c>
      <c r="I86" t="s">
        <v>1478</v>
      </c>
      <c r="J86" t="s">
        <v>3</v>
      </c>
      <c r="K86" t="s">
        <v>1479</v>
      </c>
      <c r="L86">
        <v>1301</v>
      </c>
      <c r="N86">
        <v>1003</v>
      </c>
      <c r="O86" t="s">
        <v>136</v>
      </c>
      <c r="P86" t="s">
        <v>136</v>
      </c>
      <c r="Q86">
        <v>1</v>
      </c>
      <c r="X86">
        <v>0.5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 t="s">
        <v>3</v>
      </c>
      <c r="AG86">
        <v>0.5</v>
      </c>
      <c r="AH86">
        <v>3</v>
      </c>
      <c r="AI86">
        <v>-1</v>
      </c>
      <c r="AJ86" t="s">
        <v>3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</row>
    <row r="87" spans="1:44" x14ac:dyDescent="0.2">
      <c r="A87">
        <f>ROW(Source!A53)</f>
        <v>53</v>
      </c>
      <c r="B87">
        <v>43159348</v>
      </c>
      <c r="C87">
        <v>43159296</v>
      </c>
      <c r="D87">
        <v>38558703</v>
      </c>
      <c r="E87">
        <v>35973048</v>
      </c>
      <c r="F87">
        <v>1</v>
      </c>
      <c r="G87">
        <v>35973048</v>
      </c>
      <c r="H87">
        <v>3</v>
      </c>
      <c r="I87" t="s">
        <v>1480</v>
      </c>
      <c r="J87" t="s">
        <v>3</v>
      </c>
      <c r="K87" t="s">
        <v>1481</v>
      </c>
      <c r="L87">
        <v>1354</v>
      </c>
      <c r="N87">
        <v>1010</v>
      </c>
      <c r="O87" t="s">
        <v>169</v>
      </c>
      <c r="P87" t="s">
        <v>169</v>
      </c>
      <c r="Q87">
        <v>1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 t="s">
        <v>3</v>
      </c>
      <c r="AG87">
        <v>0</v>
      </c>
      <c r="AH87">
        <v>3</v>
      </c>
      <c r="AI87">
        <v>-1</v>
      </c>
      <c r="AJ87" t="s">
        <v>3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</row>
    <row r="88" spans="1:44" x14ac:dyDescent="0.2">
      <c r="A88">
        <f>ROW(Source!A57)</f>
        <v>57</v>
      </c>
      <c r="B88">
        <v>42938393</v>
      </c>
      <c r="C88">
        <v>42938391</v>
      </c>
      <c r="D88">
        <v>35973762</v>
      </c>
      <c r="E88">
        <v>35973048</v>
      </c>
      <c r="F88">
        <v>1</v>
      </c>
      <c r="G88">
        <v>35973048</v>
      </c>
      <c r="H88">
        <v>2</v>
      </c>
      <c r="I88" t="s">
        <v>1243</v>
      </c>
      <c r="J88" t="s">
        <v>3</v>
      </c>
      <c r="K88" t="s">
        <v>1244</v>
      </c>
      <c r="L88">
        <v>1344</v>
      </c>
      <c r="N88">
        <v>1008</v>
      </c>
      <c r="O88" t="s">
        <v>1245</v>
      </c>
      <c r="P88" t="s">
        <v>1245</v>
      </c>
      <c r="Q88">
        <v>1</v>
      </c>
      <c r="X88">
        <v>8.86</v>
      </c>
      <c r="Y88">
        <v>0</v>
      </c>
      <c r="Z88">
        <v>1</v>
      </c>
      <c r="AA88">
        <v>0</v>
      </c>
      <c r="AB88">
        <v>0</v>
      </c>
      <c r="AC88">
        <v>0</v>
      </c>
      <c r="AD88">
        <v>1</v>
      </c>
      <c r="AE88">
        <v>0</v>
      </c>
      <c r="AF88" t="s">
        <v>3</v>
      </c>
      <c r="AG88">
        <v>8.86</v>
      </c>
      <c r="AH88">
        <v>2</v>
      </c>
      <c r="AI88">
        <v>42938392</v>
      </c>
      <c r="AJ88">
        <v>90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</row>
    <row r="89" spans="1:44" x14ac:dyDescent="0.2">
      <c r="A89">
        <f>ROW(Source!A58)</f>
        <v>58</v>
      </c>
      <c r="B89">
        <v>42938396</v>
      </c>
      <c r="C89">
        <v>42938394</v>
      </c>
      <c r="D89">
        <v>36759507</v>
      </c>
      <c r="E89">
        <v>1</v>
      </c>
      <c r="F89">
        <v>1</v>
      </c>
      <c r="G89">
        <v>35973048</v>
      </c>
      <c r="H89">
        <v>2</v>
      </c>
      <c r="I89" t="s">
        <v>1329</v>
      </c>
      <c r="J89" t="s">
        <v>1330</v>
      </c>
      <c r="K89" t="s">
        <v>1331</v>
      </c>
      <c r="L89">
        <v>1367</v>
      </c>
      <c r="N89">
        <v>1011</v>
      </c>
      <c r="O89" t="s">
        <v>738</v>
      </c>
      <c r="P89" t="s">
        <v>738</v>
      </c>
      <c r="Q89">
        <v>1</v>
      </c>
      <c r="X89">
        <v>1</v>
      </c>
      <c r="Y89">
        <v>0</v>
      </c>
      <c r="Z89">
        <v>115.66</v>
      </c>
      <c r="AA89">
        <v>14.4</v>
      </c>
      <c r="AB89">
        <v>0</v>
      </c>
      <c r="AC89">
        <v>0</v>
      </c>
      <c r="AD89">
        <v>1</v>
      </c>
      <c r="AE89">
        <v>0</v>
      </c>
      <c r="AF89" t="s">
        <v>3</v>
      </c>
      <c r="AG89">
        <v>1</v>
      </c>
      <c r="AH89">
        <v>2</v>
      </c>
      <c r="AI89">
        <v>42938395</v>
      </c>
      <c r="AJ89">
        <v>91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</row>
    <row r="90" spans="1:44" x14ac:dyDescent="0.2">
      <c r="A90">
        <f>ROW(Source!A59)</f>
        <v>59</v>
      </c>
      <c r="B90">
        <v>43159661</v>
      </c>
      <c r="C90">
        <v>43159660</v>
      </c>
      <c r="D90">
        <v>35973762</v>
      </c>
      <c r="E90">
        <v>35973048</v>
      </c>
      <c r="F90">
        <v>1</v>
      </c>
      <c r="G90">
        <v>35973048</v>
      </c>
      <c r="H90">
        <v>2</v>
      </c>
      <c r="I90" t="s">
        <v>1243</v>
      </c>
      <c r="J90" t="s">
        <v>3</v>
      </c>
      <c r="K90" t="s">
        <v>1244</v>
      </c>
      <c r="L90">
        <v>1344</v>
      </c>
      <c r="N90">
        <v>1008</v>
      </c>
      <c r="O90" t="s">
        <v>1245</v>
      </c>
      <c r="P90" t="s">
        <v>1245</v>
      </c>
      <c r="Q90">
        <v>1</v>
      </c>
      <c r="X90">
        <v>17.84</v>
      </c>
      <c r="Y90">
        <v>0</v>
      </c>
      <c r="Z90">
        <v>1</v>
      </c>
      <c r="AA90">
        <v>0</v>
      </c>
      <c r="AB90">
        <v>0</v>
      </c>
      <c r="AC90">
        <v>0</v>
      </c>
      <c r="AD90">
        <v>1</v>
      </c>
      <c r="AE90">
        <v>0</v>
      </c>
      <c r="AF90" t="s">
        <v>3</v>
      </c>
      <c r="AG90">
        <v>17.84</v>
      </c>
      <c r="AH90">
        <v>2</v>
      </c>
      <c r="AI90">
        <v>43159661</v>
      </c>
      <c r="AJ90">
        <v>92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</row>
    <row r="91" spans="1:44" x14ac:dyDescent="0.2">
      <c r="A91">
        <f>ROW(Source!A60)</f>
        <v>60</v>
      </c>
      <c r="B91">
        <v>43137269</v>
      </c>
      <c r="C91">
        <v>43137268</v>
      </c>
      <c r="D91">
        <v>35973053</v>
      </c>
      <c r="E91">
        <v>35973048</v>
      </c>
      <c r="F91">
        <v>1</v>
      </c>
      <c r="G91">
        <v>35973048</v>
      </c>
      <c r="H91">
        <v>1</v>
      </c>
      <c r="I91" t="s">
        <v>1228</v>
      </c>
      <c r="J91" t="s">
        <v>3</v>
      </c>
      <c r="K91" t="s">
        <v>1229</v>
      </c>
      <c r="L91">
        <v>1191</v>
      </c>
      <c r="N91">
        <v>1013</v>
      </c>
      <c r="O91" t="s">
        <v>1230</v>
      </c>
      <c r="P91" t="s">
        <v>1230</v>
      </c>
      <c r="Q91">
        <v>1</v>
      </c>
      <c r="X91">
        <v>83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</v>
      </c>
      <c r="AE91">
        <v>1</v>
      </c>
      <c r="AF91" t="s">
        <v>3</v>
      </c>
      <c r="AG91">
        <v>83</v>
      </c>
      <c r="AH91">
        <v>2</v>
      </c>
      <c r="AI91">
        <v>43137269</v>
      </c>
      <c r="AJ91">
        <v>93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</row>
    <row r="92" spans="1:44" x14ac:dyDescent="0.2">
      <c r="A92">
        <f>ROW(Source!A61)</f>
        <v>61</v>
      </c>
      <c r="B92">
        <v>43136918</v>
      </c>
      <c r="C92">
        <v>43136855</v>
      </c>
      <c r="D92">
        <v>36759504</v>
      </c>
      <c r="E92">
        <v>1</v>
      </c>
      <c r="F92">
        <v>1</v>
      </c>
      <c r="G92">
        <v>35973048</v>
      </c>
      <c r="H92">
        <v>2</v>
      </c>
      <c r="I92" t="s">
        <v>1332</v>
      </c>
      <c r="J92" t="s">
        <v>1333</v>
      </c>
      <c r="K92" t="s">
        <v>1334</v>
      </c>
      <c r="L92">
        <v>1367</v>
      </c>
      <c r="N92">
        <v>1011</v>
      </c>
      <c r="O92" t="s">
        <v>738</v>
      </c>
      <c r="P92" t="s">
        <v>738</v>
      </c>
      <c r="Q92">
        <v>1</v>
      </c>
      <c r="X92">
        <v>1</v>
      </c>
      <c r="Y92">
        <v>0</v>
      </c>
      <c r="Z92">
        <v>100.09</v>
      </c>
      <c r="AA92">
        <v>13.81</v>
      </c>
      <c r="AB92">
        <v>0</v>
      </c>
      <c r="AC92">
        <v>0</v>
      </c>
      <c r="AD92">
        <v>1</v>
      </c>
      <c r="AE92">
        <v>0</v>
      </c>
      <c r="AF92" t="s">
        <v>3</v>
      </c>
      <c r="AG92">
        <v>1</v>
      </c>
      <c r="AH92">
        <v>2</v>
      </c>
      <c r="AI92">
        <v>43136918</v>
      </c>
      <c r="AJ92">
        <v>94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</row>
    <row r="93" spans="1:44" x14ac:dyDescent="0.2">
      <c r="A93">
        <f>ROW(Source!A62)</f>
        <v>62</v>
      </c>
      <c r="B93">
        <v>43136858</v>
      </c>
      <c r="C93">
        <v>43136856</v>
      </c>
      <c r="D93">
        <v>35973762</v>
      </c>
      <c r="E93">
        <v>35973048</v>
      </c>
      <c r="F93">
        <v>1</v>
      </c>
      <c r="G93">
        <v>35973048</v>
      </c>
      <c r="H93">
        <v>2</v>
      </c>
      <c r="I93" t="s">
        <v>1243</v>
      </c>
      <c r="J93" t="s">
        <v>3</v>
      </c>
      <c r="K93" t="s">
        <v>1244</v>
      </c>
      <c r="L93">
        <v>1344</v>
      </c>
      <c r="N93">
        <v>1008</v>
      </c>
      <c r="O93" t="s">
        <v>1245</v>
      </c>
      <c r="P93" t="s">
        <v>1245</v>
      </c>
      <c r="Q93">
        <v>1</v>
      </c>
      <c r="X93">
        <v>12.61</v>
      </c>
      <c r="Y93">
        <v>0</v>
      </c>
      <c r="Z93">
        <v>1</v>
      </c>
      <c r="AA93">
        <v>0</v>
      </c>
      <c r="AB93">
        <v>0</v>
      </c>
      <c r="AC93">
        <v>0</v>
      </c>
      <c r="AD93">
        <v>1</v>
      </c>
      <c r="AE93">
        <v>0</v>
      </c>
      <c r="AF93" t="s">
        <v>3</v>
      </c>
      <c r="AG93">
        <v>12.61</v>
      </c>
      <c r="AH93">
        <v>2</v>
      </c>
      <c r="AI93">
        <v>43136858</v>
      </c>
      <c r="AJ93">
        <v>95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</row>
    <row r="94" spans="1:44" x14ac:dyDescent="0.2">
      <c r="A94">
        <f>ROW(Source!A98)</f>
        <v>98</v>
      </c>
      <c r="B94">
        <v>42938398</v>
      </c>
      <c r="C94">
        <v>42938397</v>
      </c>
      <c r="D94">
        <v>35973053</v>
      </c>
      <c r="E94">
        <v>35973048</v>
      </c>
      <c r="F94">
        <v>1</v>
      </c>
      <c r="G94">
        <v>35973048</v>
      </c>
      <c r="H94">
        <v>1</v>
      </c>
      <c r="I94" t="s">
        <v>1228</v>
      </c>
      <c r="J94" t="s">
        <v>3</v>
      </c>
      <c r="K94" t="s">
        <v>1229</v>
      </c>
      <c r="L94">
        <v>1191</v>
      </c>
      <c r="N94">
        <v>1013</v>
      </c>
      <c r="O94" t="s">
        <v>1230</v>
      </c>
      <c r="P94" t="s">
        <v>1230</v>
      </c>
      <c r="Q94">
        <v>1</v>
      </c>
      <c r="X94">
        <v>18.68</v>
      </c>
      <c r="Y94">
        <v>0</v>
      </c>
      <c r="Z94">
        <v>0</v>
      </c>
      <c r="AA94">
        <v>0</v>
      </c>
      <c r="AB94">
        <v>0</v>
      </c>
      <c r="AC94">
        <v>0</v>
      </c>
      <c r="AD94">
        <v>1</v>
      </c>
      <c r="AE94">
        <v>1</v>
      </c>
      <c r="AF94" t="s">
        <v>3</v>
      </c>
      <c r="AG94">
        <v>18.68</v>
      </c>
      <c r="AH94">
        <v>2</v>
      </c>
      <c r="AI94">
        <v>42938398</v>
      </c>
      <c r="AJ94">
        <v>96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</row>
    <row r="95" spans="1:44" x14ac:dyDescent="0.2">
      <c r="A95">
        <f>ROW(Source!A99)</f>
        <v>99</v>
      </c>
      <c r="B95">
        <v>43136545</v>
      </c>
      <c r="C95">
        <v>43136524</v>
      </c>
      <c r="D95">
        <v>35973053</v>
      </c>
      <c r="E95">
        <v>35973048</v>
      </c>
      <c r="F95">
        <v>1</v>
      </c>
      <c r="G95">
        <v>35973048</v>
      </c>
      <c r="H95">
        <v>1</v>
      </c>
      <c r="I95" t="s">
        <v>1228</v>
      </c>
      <c r="J95" t="s">
        <v>3</v>
      </c>
      <c r="K95" t="s">
        <v>1229</v>
      </c>
      <c r="L95">
        <v>1191</v>
      </c>
      <c r="N95">
        <v>1013</v>
      </c>
      <c r="O95" t="s">
        <v>1230</v>
      </c>
      <c r="P95" t="s">
        <v>1230</v>
      </c>
      <c r="Q95">
        <v>1</v>
      </c>
      <c r="X95">
        <v>10.199999999999999</v>
      </c>
      <c r="Y95">
        <v>0</v>
      </c>
      <c r="Z95">
        <v>0</v>
      </c>
      <c r="AA95">
        <v>0</v>
      </c>
      <c r="AB95">
        <v>0</v>
      </c>
      <c r="AC95">
        <v>0</v>
      </c>
      <c r="AD95">
        <v>1</v>
      </c>
      <c r="AE95">
        <v>1</v>
      </c>
      <c r="AF95" t="s">
        <v>21</v>
      </c>
      <c r="AG95">
        <v>11.729999999999999</v>
      </c>
      <c r="AH95">
        <v>2</v>
      </c>
      <c r="AI95">
        <v>43136545</v>
      </c>
      <c r="AJ95">
        <v>97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</row>
    <row r="96" spans="1:44" x14ac:dyDescent="0.2">
      <c r="A96">
        <f>ROW(Source!A100)</f>
        <v>100</v>
      </c>
      <c r="B96">
        <v>43136547</v>
      </c>
      <c r="C96">
        <v>43136546</v>
      </c>
      <c r="D96">
        <v>35973053</v>
      </c>
      <c r="E96">
        <v>35973048</v>
      </c>
      <c r="F96">
        <v>1</v>
      </c>
      <c r="G96">
        <v>35973048</v>
      </c>
      <c r="H96">
        <v>1</v>
      </c>
      <c r="I96" t="s">
        <v>1228</v>
      </c>
      <c r="J96" t="s">
        <v>3</v>
      </c>
      <c r="K96" t="s">
        <v>1229</v>
      </c>
      <c r="L96">
        <v>1191</v>
      </c>
      <c r="N96">
        <v>1013</v>
      </c>
      <c r="O96" t="s">
        <v>1230</v>
      </c>
      <c r="P96" t="s">
        <v>1230</v>
      </c>
      <c r="Q96">
        <v>1</v>
      </c>
      <c r="X96">
        <v>1.38</v>
      </c>
      <c r="Y96">
        <v>0</v>
      </c>
      <c r="Z96">
        <v>0</v>
      </c>
      <c r="AA96">
        <v>0</v>
      </c>
      <c r="AB96">
        <v>0</v>
      </c>
      <c r="AC96">
        <v>0</v>
      </c>
      <c r="AD96">
        <v>1</v>
      </c>
      <c r="AE96">
        <v>1</v>
      </c>
      <c r="AF96" t="s">
        <v>21</v>
      </c>
      <c r="AG96">
        <v>1.5869999999999997</v>
      </c>
      <c r="AH96">
        <v>2</v>
      </c>
      <c r="AI96">
        <v>43136547</v>
      </c>
      <c r="AJ96">
        <v>98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</row>
    <row r="97" spans="1:44" x14ac:dyDescent="0.2">
      <c r="A97">
        <f>ROW(Source!A100)</f>
        <v>100</v>
      </c>
      <c r="B97">
        <v>43136548</v>
      </c>
      <c r="C97">
        <v>43136546</v>
      </c>
      <c r="D97">
        <v>36044463</v>
      </c>
      <c r="E97">
        <v>1</v>
      </c>
      <c r="F97">
        <v>1</v>
      </c>
      <c r="G97">
        <v>35973048</v>
      </c>
      <c r="H97">
        <v>2</v>
      </c>
      <c r="I97" t="s">
        <v>1249</v>
      </c>
      <c r="J97" t="s">
        <v>1250</v>
      </c>
      <c r="K97" t="s">
        <v>1251</v>
      </c>
      <c r="L97">
        <v>1367</v>
      </c>
      <c r="N97">
        <v>1011</v>
      </c>
      <c r="O97" t="s">
        <v>738</v>
      </c>
      <c r="P97" t="s">
        <v>738</v>
      </c>
      <c r="Q97">
        <v>1</v>
      </c>
      <c r="X97">
        <v>3.9874999999999998</v>
      </c>
      <c r="Y97">
        <v>0</v>
      </c>
      <c r="Z97">
        <v>180.72</v>
      </c>
      <c r="AA97">
        <v>17.510000000000002</v>
      </c>
      <c r="AB97">
        <v>0</v>
      </c>
      <c r="AC97">
        <v>0</v>
      </c>
      <c r="AD97">
        <v>1</v>
      </c>
      <c r="AE97">
        <v>0</v>
      </c>
      <c r="AF97" t="s">
        <v>20</v>
      </c>
      <c r="AG97">
        <v>4.984375</v>
      </c>
      <c r="AH97">
        <v>2</v>
      </c>
      <c r="AI97">
        <v>43136548</v>
      </c>
      <c r="AJ97">
        <v>99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</row>
    <row r="98" spans="1:44" x14ac:dyDescent="0.2">
      <c r="A98">
        <f>ROW(Source!A100)</f>
        <v>100</v>
      </c>
      <c r="B98">
        <v>43136549</v>
      </c>
      <c r="C98">
        <v>43136546</v>
      </c>
      <c r="D98">
        <v>36044488</v>
      </c>
      <c r="E98">
        <v>1</v>
      </c>
      <c r="F98">
        <v>1</v>
      </c>
      <c r="G98">
        <v>35973048</v>
      </c>
      <c r="H98">
        <v>2</v>
      </c>
      <c r="I98" t="s">
        <v>1252</v>
      </c>
      <c r="J98" t="s">
        <v>1253</v>
      </c>
      <c r="K98" t="s">
        <v>1254</v>
      </c>
      <c r="L98">
        <v>1367</v>
      </c>
      <c r="N98">
        <v>1011</v>
      </c>
      <c r="O98" t="s">
        <v>738</v>
      </c>
      <c r="P98" t="s">
        <v>738</v>
      </c>
      <c r="Q98">
        <v>1</v>
      </c>
      <c r="X98">
        <v>0.997</v>
      </c>
      <c r="Y98">
        <v>0</v>
      </c>
      <c r="Z98">
        <v>161.49</v>
      </c>
      <c r="AA98">
        <v>17.7</v>
      </c>
      <c r="AB98">
        <v>0</v>
      </c>
      <c r="AC98">
        <v>0</v>
      </c>
      <c r="AD98">
        <v>1</v>
      </c>
      <c r="AE98">
        <v>0</v>
      </c>
      <c r="AF98" t="s">
        <v>20</v>
      </c>
      <c r="AG98">
        <v>1.2462500000000001</v>
      </c>
      <c r="AH98">
        <v>2</v>
      </c>
      <c r="AI98">
        <v>43136549</v>
      </c>
      <c r="AJ98">
        <v>100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</row>
    <row r="99" spans="1:44" x14ac:dyDescent="0.2">
      <c r="A99">
        <f>ROW(Source!A101)</f>
        <v>101</v>
      </c>
      <c r="B99">
        <v>43136901</v>
      </c>
      <c r="C99">
        <v>43136900</v>
      </c>
      <c r="D99">
        <v>35973053</v>
      </c>
      <c r="E99">
        <v>35973048</v>
      </c>
      <c r="F99">
        <v>1</v>
      </c>
      <c r="G99">
        <v>35973048</v>
      </c>
      <c r="H99">
        <v>1</v>
      </c>
      <c r="I99" t="s">
        <v>1228</v>
      </c>
      <c r="J99" t="s">
        <v>3</v>
      </c>
      <c r="K99" t="s">
        <v>1229</v>
      </c>
      <c r="L99">
        <v>1191</v>
      </c>
      <c r="N99">
        <v>1013</v>
      </c>
      <c r="O99" t="s">
        <v>1230</v>
      </c>
      <c r="P99" t="s">
        <v>1230</v>
      </c>
      <c r="Q99">
        <v>1</v>
      </c>
      <c r="X99">
        <v>21.6</v>
      </c>
      <c r="Y99">
        <v>0</v>
      </c>
      <c r="Z99">
        <v>0</v>
      </c>
      <c r="AA99">
        <v>0</v>
      </c>
      <c r="AB99">
        <v>0</v>
      </c>
      <c r="AC99">
        <v>0</v>
      </c>
      <c r="AD99">
        <v>1</v>
      </c>
      <c r="AE99">
        <v>1</v>
      </c>
      <c r="AF99" t="s">
        <v>21</v>
      </c>
      <c r="AG99">
        <v>24.84</v>
      </c>
      <c r="AH99">
        <v>2</v>
      </c>
      <c r="AI99">
        <v>43136901</v>
      </c>
      <c r="AJ99">
        <v>101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</row>
    <row r="100" spans="1:44" x14ac:dyDescent="0.2">
      <c r="A100">
        <f>ROW(Source!A101)</f>
        <v>101</v>
      </c>
      <c r="B100">
        <v>43136902</v>
      </c>
      <c r="C100">
        <v>43136900</v>
      </c>
      <c r="D100">
        <v>36044487</v>
      </c>
      <c r="E100">
        <v>1</v>
      </c>
      <c r="F100">
        <v>1</v>
      </c>
      <c r="G100">
        <v>35973048</v>
      </c>
      <c r="H100">
        <v>2</v>
      </c>
      <c r="I100" t="s">
        <v>769</v>
      </c>
      <c r="J100" t="s">
        <v>771</v>
      </c>
      <c r="K100" t="s">
        <v>770</v>
      </c>
      <c r="L100">
        <v>1367</v>
      </c>
      <c r="N100">
        <v>1011</v>
      </c>
      <c r="O100" t="s">
        <v>738</v>
      </c>
      <c r="P100" t="s">
        <v>738</v>
      </c>
      <c r="Q100">
        <v>1</v>
      </c>
      <c r="X100">
        <v>2.35</v>
      </c>
      <c r="Y100">
        <v>0</v>
      </c>
      <c r="Z100">
        <v>163.47999999999999</v>
      </c>
      <c r="AA100">
        <v>15.47</v>
      </c>
      <c r="AB100">
        <v>0</v>
      </c>
      <c r="AC100">
        <v>0</v>
      </c>
      <c r="AD100">
        <v>1</v>
      </c>
      <c r="AE100">
        <v>0</v>
      </c>
      <c r="AF100" t="s">
        <v>20</v>
      </c>
      <c r="AG100">
        <v>2.9375</v>
      </c>
      <c r="AH100">
        <v>2</v>
      </c>
      <c r="AI100">
        <v>43136902</v>
      </c>
      <c r="AJ100">
        <v>102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</row>
    <row r="101" spans="1:44" x14ac:dyDescent="0.2">
      <c r="A101">
        <f>ROW(Source!A101)</f>
        <v>101</v>
      </c>
      <c r="B101">
        <v>43136903</v>
      </c>
      <c r="C101">
        <v>43136900</v>
      </c>
      <c r="D101">
        <v>36044734</v>
      </c>
      <c r="E101">
        <v>1</v>
      </c>
      <c r="F101">
        <v>1</v>
      </c>
      <c r="G101">
        <v>35973048</v>
      </c>
      <c r="H101">
        <v>2</v>
      </c>
      <c r="I101" t="s">
        <v>745</v>
      </c>
      <c r="J101" t="s">
        <v>747</v>
      </c>
      <c r="K101" t="s">
        <v>746</v>
      </c>
      <c r="L101">
        <v>1367</v>
      </c>
      <c r="N101">
        <v>1011</v>
      </c>
      <c r="O101" t="s">
        <v>738</v>
      </c>
      <c r="P101" t="s">
        <v>738</v>
      </c>
      <c r="Q101">
        <v>1</v>
      </c>
      <c r="X101">
        <v>0.91</v>
      </c>
      <c r="Y101">
        <v>0</v>
      </c>
      <c r="Z101">
        <v>246.68</v>
      </c>
      <c r="AA101">
        <v>13.37</v>
      </c>
      <c r="AB101">
        <v>0</v>
      </c>
      <c r="AC101">
        <v>0</v>
      </c>
      <c r="AD101">
        <v>1</v>
      </c>
      <c r="AE101">
        <v>0</v>
      </c>
      <c r="AF101" t="s">
        <v>20</v>
      </c>
      <c r="AG101">
        <v>1.1375</v>
      </c>
      <c r="AH101">
        <v>2</v>
      </c>
      <c r="AI101">
        <v>43136903</v>
      </c>
      <c r="AJ101">
        <v>103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</row>
    <row r="102" spans="1:44" x14ac:dyDescent="0.2">
      <c r="A102">
        <f>ROW(Source!A101)</f>
        <v>101</v>
      </c>
      <c r="B102">
        <v>43136904</v>
      </c>
      <c r="C102">
        <v>43136900</v>
      </c>
      <c r="D102">
        <v>36044719</v>
      </c>
      <c r="E102">
        <v>1</v>
      </c>
      <c r="F102">
        <v>1</v>
      </c>
      <c r="G102">
        <v>35973048</v>
      </c>
      <c r="H102">
        <v>2</v>
      </c>
      <c r="I102" t="s">
        <v>1255</v>
      </c>
      <c r="J102" t="s">
        <v>1256</v>
      </c>
      <c r="K102" t="s">
        <v>1257</v>
      </c>
      <c r="L102">
        <v>1367</v>
      </c>
      <c r="N102">
        <v>1011</v>
      </c>
      <c r="O102" t="s">
        <v>738</v>
      </c>
      <c r="P102" t="s">
        <v>738</v>
      </c>
      <c r="Q102">
        <v>1</v>
      </c>
      <c r="X102">
        <v>7.17</v>
      </c>
      <c r="Y102">
        <v>0</v>
      </c>
      <c r="Z102">
        <v>169.44</v>
      </c>
      <c r="AA102">
        <v>15.02</v>
      </c>
      <c r="AB102">
        <v>0</v>
      </c>
      <c r="AC102">
        <v>0</v>
      </c>
      <c r="AD102">
        <v>1</v>
      </c>
      <c r="AE102">
        <v>0</v>
      </c>
      <c r="AF102" t="s">
        <v>20</v>
      </c>
      <c r="AG102">
        <v>8.9625000000000004</v>
      </c>
      <c r="AH102">
        <v>2</v>
      </c>
      <c r="AI102">
        <v>43136904</v>
      </c>
      <c r="AJ102">
        <v>104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</row>
    <row r="103" spans="1:44" x14ac:dyDescent="0.2">
      <c r="A103">
        <f>ROW(Source!A101)</f>
        <v>101</v>
      </c>
      <c r="B103">
        <v>43136905</v>
      </c>
      <c r="C103">
        <v>43136900</v>
      </c>
      <c r="D103">
        <v>36044720</v>
      </c>
      <c r="E103">
        <v>1</v>
      </c>
      <c r="F103">
        <v>1</v>
      </c>
      <c r="G103">
        <v>35973048</v>
      </c>
      <c r="H103">
        <v>2</v>
      </c>
      <c r="I103" t="s">
        <v>765</v>
      </c>
      <c r="J103" t="s">
        <v>767</v>
      </c>
      <c r="K103" t="s">
        <v>766</v>
      </c>
      <c r="L103">
        <v>1367</v>
      </c>
      <c r="N103">
        <v>1011</v>
      </c>
      <c r="O103" t="s">
        <v>738</v>
      </c>
      <c r="P103" t="s">
        <v>738</v>
      </c>
      <c r="Q103">
        <v>1</v>
      </c>
      <c r="X103">
        <v>14.6</v>
      </c>
      <c r="Y103">
        <v>0</v>
      </c>
      <c r="Z103">
        <v>219.5</v>
      </c>
      <c r="AA103">
        <v>17.510000000000002</v>
      </c>
      <c r="AB103">
        <v>0</v>
      </c>
      <c r="AC103">
        <v>0</v>
      </c>
      <c r="AD103">
        <v>1</v>
      </c>
      <c r="AE103">
        <v>0</v>
      </c>
      <c r="AF103" t="s">
        <v>20</v>
      </c>
      <c r="AG103">
        <v>18.25</v>
      </c>
      <c r="AH103">
        <v>2</v>
      </c>
      <c r="AI103">
        <v>43136905</v>
      </c>
      <c r="AJ103">
        <v>105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</row>
    <row r="104" spans="1:44" x14ac:dyDescent="0.2">
      <c r="A104">
        <f>ROW(Source!A101)</f>
        <v>101</v>
      </c>
      <c r="B104">
        <v>43136906</v>
      </c>
      <c r="C104">
        <v>43136900</v>
      </c>
      <c r="D104">
        <v>36044762</v>
      </c>
      <c r="E104">
        <v>1</v>
      </c>
      <c r="F104">
        <v>1</v>
      </c>
      <c r="G104">
        <v>35973048</v>
      </c>
      <c r="H104">
        <v>2</v>
      </c>
      <c r="I104" t="s">
        <v>736</v>
      </c>
      <c r="J104" t="s">
        <v>739</v>
      </c>
      <c r="K104" t="s">
        <v>737</v>
      </c>
      <c r="L104">
        <v>1367</v>
      </c>
      <c r="N104">
        <v>1011</v>
      </c>
      <c r="O104" t="s">
        <v>738</v>
      </c>
      <c r="P104" t="s">
        <v>738</v>
      </c>
      <c r="Q104">
        <v>1</v>
      </c>
      <c r="X104">
        <v>1.79</v>
      </c>
      <c r="Y104">
        <v>0</v>
      </c>
      <c r="Z104">
        <v>125.13</v>
      </c>
      <c r="AA104">
        <v>24.74</v>
      </c>
      <c r="AB104">
        <v>0</v>
      </c>
      <c r="AC104">
        <v>0</v>
      </c>
      <c r="AD104">
        <v>1</v>
      </c>
      <c r="AE104">
        <v>0</v>
      </c>
      <c r="AF104" t="s">
        <v>20</v>
      </c>
      <c r="AG104">
        <v>2.2374999999999998</v>
      </c>
      <c r="AH104">
        <v>2</v>
      </c>
      <c r="AI104">
        <v>43136906</v>
      </c>
      <c r="AJ104">
        <v>106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</row>
    <row r="105" spans="1:44" x14ac:dyDescent="0.2">
      <c r="A105">
        <f>ROW(Source!A101)</f>
        <v>101</v>
      </c>
      <c r="B105">
        <v>43136907</v>
      </c>
      <c r="C105">
        <v>43136900</v>
      </c>
      <c r="D105">
        <v>36044724</v>
      </c>
      <c r="E105">
        <v>1</v>
      </c>
      <c r="F105">
        <v>1</v>
      </c>
      <c r="G105">
        <v>35973048</v>
      </c>
      <c r="H105">
        <v>2</v>
      </c>
      <c r="I105" t="s">
        <v>741</v>
      </c>
      <c r="J105" t="s">
        <v>743</v>
      </c>
      <c r="K105" t="s">
        <v>742</v>
      </c>
      <c r="L105">
        <v>1367</v>
      </c>
      <c r="N105">
        <v>1011</v>
      </c>
      <c r="O105" t="s">
        <v>738</v>
      </c>
      <c r="P105" t="s">
        <v>738</v>
      </c>
      <c r="Q105">
        <v>1</v>
      </c>
      <c r="X105">
        <v>0.52</v>
      </c>
      <c r="Y105">
        <v>0</v>
      </c>
      <c r="Z105">
        <v>177.54</v>
      </c>
      <c r="AA105">
        <v>17.420000000000002</v>
      </c>
      <c r="AB105">
        <v>0</v>
      </c>
      <c r="AC105">
        <v>0</v>
      </c>
      <c r="AD105">
        <v>1</v>
      </c>
      <c r="AE105">
        <v>0</v>
      </c>
      <c r="AF105" t="s">
        <v>20</v>
      </c>
      <c r="AG105">
        <v>0.65</v>
      </c>
      <c r="AH105">
        <v>2</v>
      </c>
      <c r="AI105">
        <v>43136907</v>
      </c>
      <c r="AJ105">
        <v>107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</row>
    <row r="106" spans="1:44" x14ac:dyDescent="0.2">
      <c r="A106">
        <f>ROW(Source!A101)</f>
        <v>101</v>
      </c>
      <c r="B106">
        <v>43136908</v>
      </c>
      <c r="C106">
        <v>43136900</v>
      </c>
      <c r="D106">
        <v>36020415</v>
      </c>
      <c r="E106">
        <v>1</v>
      </c>
      <c r="F106">
        <v>1</v>
      </c>
      <c r="G106">
        <v>35973048</v>
      </c>
      <c r="H106">
        <v>3</v>
      </c>
      <c r="I106" t="s">
        <v>469</v>
      </c>
      <c r="J106" t="s">
        <v>471</v>
      </c>
      <c r="K106" t="s">
        <v>470</v>
      </c>
      <c r="L106">
        <v>1339</v>
      </c>
      <c r="N106">
        <v>1007</v>
      </c>
      <c r="O106" t="s">
        <v>84</v>
      </c>
      <c r="P106" t="s">
        <v>84</v>
      </c>
      <c r="Q106">
        <v>1</v>
      </c>
      <c r="X106">
        <v>7</v>
      </c>
      <c r="Y106">
        <v>7.07</v>
      </c>
      <c r="Z106">
        <v>0</v>
      </c>
      <c r="AA106">
        <v>0</v>
      </c>
      <c r="AB106">
        <v>0</v>
      </c>
      <c r="AC106">
        <v>0</v>
      </c>
      <c r="AD106">
        <v>1</v>
      </c>
      <c r="AE106">
        <v>0</v>
      </c>
      <c r="AF106" t="s">
        <v>3</v>
      </c>
      <c r="AG106">
        <v>7</v>
      </c>
      <c r="AH106">
        <v>2</v>
      </c>
      <c r="AI106">
        <v>43136908</v>
      </c>
      <c r="AJ106">
        <v>108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</row>
    <row r="107" spans="1:44" x14ac:dyDescent="0.2">
      <c r="A107">
        <f>ROW(Source!A101)</f>
        <v>101</v>
      </c>
      <c r="B107">
        <v>43136909</v>
      </c>
      <c r="C107">
        <v>43136900</v>
      </c>
      <c r="D107">
        <v>35990270</v>
      </c>
      <c r="E107">
        <v>35973048</v>
      </c>
      <c r="F107">
        <v>1</v>
      </c>
      <c r="G107">
        <v>35973048</v>
      </c>
      <c r="H107">
        <v>3</v>
      </c>
      <c r="I107" t="s">
        <v>1463</v>
      </c>
      <c r="J107" t="s">
        <v>3</v>
      </c>
      <c r="K107" t="s">
        <v>1464</v>
      </c>
      <c r="L107">
        <v>1339</v>
      </c>
      <c r="N107">
        <v>1007</v>
      </c>
      <c r="O107" t="s">
        <v>84</v>
      </c>
      <c r="P107" t="s">
        <v>84</v>
      </c>
      <c r="Q107">
        <v>1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 t="s">
        <v>3</v>
      </c>
      <c r="AG107">
        <v>0</v>
      </c>
      <c r="AH107">
        <v>3</v>
      </c>
      <c r="AI107">
        <v>-1</v>
      </c>
      <c r="AJ107" t="s">
        <v>3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</row>
    <row r="108" spans="1:44" x14ac:dyDescent="0.2">
      <c r="A108">
        <f>ROW(Source!A103)</f>
        <v>103</v>
      </c>
      <c r="B108">
        <v>42938612</v>
      </c>
      <c r="C108">
        <v>42938522</v>
      </c>
      <c r="D108">
        <v>35973053</v>
      </c>
      <c r="E108">
        <v>35973048</v>
      </c>
      <c r="F108">
        <v>1</v>
      </c>
      <c r="G108">
        <v>35973048</v>
      </c>
      <c r="H108">
        <v>1</v>
      </c>
      <c r="I108" t="s">
        <v>1228</v>
      </c>
      <c r="J108" t="s">
        <v>3</v>
      </c>
      <c r="K108" t="s">
        <v>1229</v>
      </c>
      <c r="L108">
        <v>1191</v>
      </c>
      <c r="N108">
        <v>1013</v>
      </c>
      <c r="O108" t="s">
        <v>1230</v>
      </c>
      <c r="P108" t="s">
        <v>1230</v>
      </c>
      <c r="Q108">
        <v>1</v>
      </c>
      <c r="X108">
        <v>14.4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1</v>
      </c>
      <c r="AE108">
        <v>1</v>
      </c>
      <c r="AF108" t="s">
        <v>21</v>
      </c>
      <c r="AG108">
        <v>16.559999999999999</v>
      </c>
      <c r="AH108">
        <v>2</v>
      </c>
      <c r="AI108">
        <v>42938612</v>
      </c>
      <c r="AJ108">
        <v>110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</row>
    <row r="109" spans="1:44" x14ac:dyDescent="0.2">
      <c r="A109">
        <f>ROW(Source!A103)</f>
        <v>103</v>
      </c>
      <c r="B109">
        <v>42938613</v>
      </c>
      <c r="C109">
        <v>42938522</v>
      </c>
      <c r="D109">
        <v>36044508</v>
      </c>
      <c r="E109">
        <v>1</v>
      </c>
      <c r="F109">
        <v>1</v>
      </c>
      <c r="G109">
        <v>35973048</v>
      </c>
      <c r="H109">
        <v>2</v>
      </c>
      <c r="I109" t="s">
        <v>1258</v>
      </c>
      <c r="J109" t="s">
        <v>1259</v>
      </c>
      <c r="K109" t="s">
        <v>1260</v>
      </c>
      <c r="L109">
        <v>1367</v>
      </c>
      <c r="N109">
        <v>1011</v>
      </c>
      <c r="O109" t="s">
        <v>738</v>
      </c>
      <c r="P109" t="s">
        <v>738</v>
      </c>
      <c r="Q109">
        <v>1</v>
      </c>
      <c r="X109">
        <v>1.66</v>
      </c>
      <c r="Y109">
        <v>0</v>
      </c>
      <c r="Z109">
        <v>116.89</v>
      </c>
      <c r="AA109">
        <v>23.41</v>
      </c>
      <c r="AB109">
        <v>0</v>
      </c>
      <c r="AC109">
        <v>0</v>
      </c>
      <c r="AD109">
        <v>1</v>
      </c>
      <c r="AE109">
        <v>0</v>
      </c>
      <c r="AF109" t="s">
        <v>20</v>
      </c>
      <c r="AG109">
        <v>2.0749999999999997</v>
      </c>
      <c r="AH109">
        <v>2</v>
      </c>
      <c r="AI109">
        <v>42938613</v>
      </c>
      <c r="AJ109">
        <v>111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</row>
    <row r="110" spans="1:44" x14ac:dyDescent="0.2">
      <c r="A110">
        <f>ROW(Source!A103)</f>
        <v>103</v>
      </c>
      <c r="B110">
        <v>42938614</v>
      </c>
      <c r="C110">
        <v>42938522</v>
      </c>
      <c r="D110">
        <v>36044731</v>
      </c>
      <c r="E110">
        <v>1</v>
      </c>
      <c r="F110">
        <v>1</v>
      </c>
      <c r="G110">
        <v>35973048</v>
      </c>
      <c r="H110">
        <v>2</v>
      </c>
      <c r="I110" t="s">
        <v>749</v>
      </c>
      <c r="J110" t="s">
        <v>751</v>
      </c>
      <c r="K110" t="s">
        <v>750</v>
      </c>
      <c r="L110">
        <v>1367</v>
      </c>
      <c r="N110">
        <v>1011</v>
      </c>
      <c r="O110" t="s">
        <v>738</v>
      </c>
      <c r="P110" t="s">
        <v>738</v>
      </c>
      <c r="Q110">
        <v>1</v>
      </c>
      <c r="X110">
        <v>1.66</v>
      </c>
      <c r="Y110">
        <v>0</v>
      </c>
      <c r="Z110">
        <v>62.97</v>
      </c>
      <c r="AA110">
        <v>6.64</v>
      </c>
      <c r="AB110">
        <v>0</v>
      </c>
      <c r="AC110">
        <v>0</v>
      </c>
      <c r="AD110">
        <v>1</v>
      </c>
      <c r="AE110">
        <v>0</v>
      </c>
      <c r="AF110" t="s">
        <v>20</v>
      </c>
      <c r="AG110">
        <v>2.0749999999999997</v>
      </c>
      <c r="AH110">
        <v>2</v>
      </c>
      <c r="AI110">
        <v>42938614</v>
      </c>
      <c r="AJ110">
        <v>112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</row>
    <row r="111" spans="1:44" x14ac:dyDescent="0.2">
      <c r="A111">
        <f>ROW(Source!A103)</f>
        <v>103</v>
      </c>
      <c r="B111">
        <v>42938615</v>
      </c>
      <c r="C111">
        <v>42938522</v>
      </c>
      <c r="D111">
        <v>36044734</v>
      </c>
      <c r="E111">
        <v>1</v>
      </c>
      <c r="F111">
        <v>1</v>
      </c>
      <c r="G111">
        <v>35973048</v>
      </c>
      <c r="H111">
        <v>2</v>
      </c>
      <c r="I111" t="s">
        <v>745</v>
      </c>
      <c r="J111" t="s">
        <v>747</v>
      </c>
      <c r="K111" t="s">
        <v>746</v>
      </c>
      <c r="L111">
        <v>1367</v>
      </c>
      <c r="N111">
        <v>1011</v>
      </c>
      <c r="O111" t="s">
        <v>738</v>
      </c>
      <c r="P111" t="s">
        <v>738</v>
      </c>
      <c r="Q111">
        <v>1</v>
      </c>
      <c r="X111">
        <v>0.65</v>
      </c>
      <c r="Y111">
        <v>0</v>
      </c>
      <c r="Z111">
        <v>246.68</v>
      </c>
      <c r="AA111">
        <v>13.37</v>
      </c>
      <c r="AB111">
        <v>0</v>
      </c>
      <c r="AC111">
        <v>0</v>
      </c>
      <c r="AD111">
        <v>1</v>
      </c>
      <c r="AE111">
        <v>0</v>
      </c>
      <c r="AF111" t="s">
        <v>20</v>
      </c>
      <c r="AG111">
        <v>0.8125</v>
      </c>
      <c r="AH111">
        <v>2</v>
      </c>
      <c r="AI111">
        <v>42938615</v>
      </c>
      <c r="AJ111">
        <v>113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</row>
    <row r="112" spans="1:44" x14ac:dyDescent="0.2">
      <c r="A112">
        <f>ROW(Source!A103)</f>
        <v>103</v>
      </c>
      <c r="B112">
        <v>42938616</v>
      </c>
      <c r="C112">
        <v>42938522</v>
      </c>
      <c r="D112">
        <v>36044762</v>
      </c>
      <c r="E112">
        <v>1</v>
      </c>
      <c r="F112">
        <v>1</v>
      </c>
      <c r="G112">
        <v>35973048</v>
      </c>
      <c r="H112">
        <v>2</v>
      </c>
      <c r="I112" t="s">
        <v>736</v>
      </c>
      <c r="J112" t="s">
        <v>739</v>
      </c>
      <c r="K112" t="s">
        <v>737</v>
      </c>
      <c r="L112">
        <v>1367</v>
      </c>
      <c r="N112">
        <v>1011</v>
      </c>
      <c r="O112" t="s">
        <v>738</v>
      </c>
      <c r="P112" t="s">
        <v>738</v>
      </c>
      <c r="Q112">
        <v>1</v>
      </c>
      <c r="X112">
        <v>1.55</v>
      </c>
      <c r="Y112">
        <v>0</v>
      </c>
      <c r="Z112">
        <v>125.13</v>
      </c>
      <c r="AA112">
        <v>24.74</v>
      </c>
      <c r="AB112">
        <v>0</v>
      </c>
      <c r="AC112">
        <v>0</v>
      </c>
      <c r="AD112">
        <v>1</v>
      </c>
      <c r="AE112">
        <v>0</v>
      </c>
      <c r="AF112" t="s">
        <v>20</v>
      </c>
      <c r="AG112">
        <v>1.9375</v>
      </c>
      <c r="AH112">
        <v>2</v>
      </c>
      <c r="AI112">
        <v>42938616</v>
      </c>
      <c r="AJ112">
        <v>114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</row>
    <row r="113" spans="1:44" x14ac:dyDescent="0.2">
      <c r="A113">
        <f>ROW(Source!A103)</f>
        <v>103</v>
      </c>
      <c r="B113">
        <v>42938617</v>
      </c>
      <c r="C113">
        <v>42938522</v>
      </c>
      <c r="D113">
        <v>36044724</v>
      </c>
      <c r="E113">
        <v>1</v>
      </c>
      <c r="F113">
        <v>1</v>
      </c>
      <c r="G113">
        <v>35973048</v>
      </c>
      <c r="H113">
        <v>2</v>
      </c>
      <c r="I113" t="s">
        <v>741</v>
      </c>
      <c r="J113" t="s">
        <v>743</v>
      </c>
      <c r="K113" t="s">
        <v>742</v>
      </c>
      <c r="L113">
        <v>1367</v>
      </c>
      <c r="N113">
        <v>1011</v>
      </c>
      <c r="O113" t="s">
        <v>738</v>
      </c>
      <c r="P113" t="s">
        <v>738</v>
      </c>
      <c r="Q113">
        <v>1</v>
      </c>
      <c r="X113">
        <v>0.52</v>
      </c>
      <c r="Y113">
        <v>0</v>
      </c>
      <c r="Z113">
        <v>177.54</v>
      </c>
      <c r="AA113">
        <v>17.420000000000002</v>
      </c>
      <c r="AB113">
        <v>0</v>
      </c>
      <c r="AC113">
        <v>0</v>
      </c>
      <c r="AD113">
        <v>1</v>
      </c>
      <c r="AE113">
        <v>0</v>
      </c>
      <c r="AF113" t="s">
        <v>20</v>
      </c>
      <c r="AG113">
        <v>0.65</v>
      </c>
      <c r="AH113">
        <v>2</v>
      </c>
      <c r="AI113">
        <v>42938617</v>
      </c>
      <c r="AJ113">
        <v>115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</row>
    <row r="114" spans="1:44" x14ac:dyDescent="0.2">
      <c r="A114">
        <f>ROW(Source!A103)</f>
        <v>103</v>
      </c>
      <c r="B114">
        <v>42938618</v>
      </c>
      <c r="C114">
        <v>42938522</v>
      </c>
      <c r="D114">
        <v>36020415</v>
      </c>
      <c r="E114">
        <v>1</v>
      </c>
      <c r="F114">
        <v>1</v>
      </c>
      <c r="G114">
        <v>35973048</v>
      </c>
      <c r="H114">
        <v>3</v>
      </c>
      <c r="I114" t="s">
        <v>469</v>
      </c>
      <c r="J114" t="s">
        <v>471</v>
      </c>
      <c r="K114" t="s">
        <v>470</v>
      </c>
      <c r="L114">
        <v>1339</v>
      </c>
      <c r="N114">
        <v>1007</v>
      </c>
      <c r="O114" t="s">
        <v>84</v>
      </c>
      <c r="P114" t="s">
        <v>84</v>
      </c>
      <c r="Q114">
        <v>1</v>
      </c>
      <c r="X114">
        <v>5</v>
      </c>
      <c r="Y114">
        <v>7.07</v>
      </c>
      <c r="Z114">
        <v>0</v>
      </c>
      <c r="AA114">
        <v>0</v>
      </c>
      <c r="AB114">
        <v>0</v>
      </c>
      <c r="AC114">
        <v>0</v>
      </c>
      <c r="AD114">
        <v>1</v>
      </c>
      <c r="AE114">
        <v>0</v>
      </c>
      <c r="AF114" t="s">
        <v>3</v>
      </c>
      <c r="AG114">
        <v>5</v>
      </c>
      <c r="AH114">
        <v>2</v>
      </c>
      <c r="AI114">
        <v>42938618</v>
      </c>
      <c r="AJ114">
        <v>116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</row>
    <row r="115" spans="1:44" x14ac:dyDescent="0.2">
      <c r="A115">
        <f>ROW(Source!A103)</f>
        <v>103</v>
      </c>
      <c r="B115">
        <v>42938619</v>
      </c>
      <c r="C115">
        <v>42938522</v>
      </c>
      <c r="D115">
        <v>35985843</v>
      </c>
      <c r="E115">
        <v>35973048</v>
      </c>
      <c r="F115">
        <v>1</v>
      </c>
      <c r="G115">
        <v>35973048</v>
      </c>
      <c r="H115">
        <v>3</v>
      </c>
      <c r="I115" t="s">
        <v>1465</v>
      </c>
      <c r="J115" t="s">
        <v>3</v>
      </c>
      <c r="K115" t="s">
        <v>1466</v>
      </c>
      <c r="L115">
        <v>1339</v>
      </c>
      <c r="N115">
        <v>1007</v>
      </c>
      <c r="O115" t="s">
        <v>84</v>
      </c>
      <c r="P115" t="s">
        <v>84</v>
      </c>
      <c r="Q115">
        <v>1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 t="s">
        <v>3</v>
      </c>
      <c r="AG115">
        <v>0</v>
      </c>
      <c r="AH115">
        <v>3</v>
      </c>
      <c r="AI115">
        <v>-1</v>
      </c>
      <c r="AJ115" t="s">
        <v>3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</row>
    <row r="116" spans="1:44" x14ac:dyDescent="0.2">
      <c r="A116">
        <f>ROW(Source!A105)</f>
        <v>105</v>
      </c>
      <c r="B116">
        <v>42938408</v>
      </c>
      <c r="C116">
        <v>42938404</v>
      </c>
      <c r="D116">
        <v>35973053</v>
      </c>
      <c r="E116">
        <v>35973048</v>
      </c>
      <c r="F116">
        <v>1</v>
      </c>
      <c r="G116">
        <v>35973048</v>
      </c>
      <c r="H116">
        <v>1</v>
      </c>
      <c r="I116" t="s">
        <v>1228</v>
      </c>
      <c r="J116" t="s">
        <v>3</v>
      </c>
      <c r="K116" t="s">
        <v>1229</v>
      </c>
      <c r="L116">
        <v>1191</v>
      </c>
      <c r="N116">
        <v>1013</v>
      </c>
      <c r="O116" t="s">
        <v>1230</v>
      </c>
      <c r="P116" t="s">
        <v>1230</v>
      </c>
      <c r="Q116">
        <v>1</v>
      </c>
      <c r="X116">
        <v>10.8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1</v>
      </c>
      <c r="AE116">
        <v>1</v>
      </c>
      <c r="AF116" t="s">
        <v>21</v>
      </c>
      <c r="AG116">
        <v>12.42</v>
      </c>
      <c r="AH116">
        <v>2</v>
      </c>
      <c r="AI116">
        <v>42938405</v>
      </c>
      <c r="AJ116">
        <v>118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</row>
    <row r="117" spans="1:44" x14ac:dyDescent="0.2">
      <c r="A117">
        <f>ROW(Source!A105)</f>
        <v>105</v>
      </c>
      <c r="B117">
        <v>42938409</v>
      </c>
      <c r="C117">
        <v>42938404</v>
      </c>
      <c r="D117">
        <v>36044927</v>
      </c>
      <c r="E117">
        <v>1</v>
      </c>
      <c r="F117">
        <v>1</v>
      </c>
      <c r="G117">
        <v>35973048</v>
      </c>
      <c r="H117">
        <v>2</v>
      </c>
      <c r="I117" t="s">
        <v>1335</v>
      </c>
      <c r="J117" t="s">
        <v>1336</v>
      </c>
      <c r="K117" t="s">
        <v>1337</v>
      </c>
      <c r="L117">
        <v>1367</v>
      </c>
      <c r="N117">
        <v>1011</v>
      </c>
      <c r="O117" t="s">
        <v>738</v>
      </c>
      <c r="P117" t="s">
        <v>738</v>
      </c>
      <c r="Q117">
        <v>1</v>
      </c>
      <c r="X117">
        <v>10.5</v>
      </c>
      <c r="Y117">
        <v>0</v>
      </c>
      <c r="Z117">
        <v>60.77</v>
      </c>
      <c r="AA117">
        <v>18.48</v>
      </c>
      <c r="AB117">
        <v>0</v>
      </c>
      <c r="AC117">
        <v>0</v>
      </c>
      <c r="AD117">
        <v>1</v>
      </c>
      <c r="AE117">
        <v>0</v>
      </c>
      <c r="AF117" t="s">
        <v>20</v>
      </c>
      <c r="AG117">
        <v>13.125</v>
      </c>
      <c r="AH117">
        <v>2</v>
      </c>
      <c r="AI117">
        <v>42938406</v>
      </c>
      <c r="AJ117">
        <v>119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</row>
    <row r="118" spans="1:44" x14ac:dyDescent="0.2">
      <c r="A118">
        <f>ROW(Source!A105)</f>
        <v>105</v>
      </c>
      <c r="B118">
        <v>42938410</v>
      </c>
      <c r="C118">
        <v>42938404</v>
      </c>
      <c r="D118">
        <v>36045337</v>
      </c>
      <c r="E118">
        <v>1</v>
      </c>
      <c r="F118">
        <v>1</v>
      </c>
      <c r="G118">
        <v>35973048</v>
      </c>
      <c r="H118">
        <v>2</v>
      </c>
      <c r="I118" t="s">
        <v>1299</v>
      </c>
      <c r="J118" t="s">
        <v>1300</v>
      </c>
      <c r="K118" t="s">
        <v>1301</v>
      </c>
      <c r="L118">
        <v>1367</v>
      </c>
      <c r="N118">
        <v>1011</v>
      </c>
      <c r="O118" t="s">
        <v>738</v>
      </c>
      <c r="P118" t="s">
        <v>738</v>
      </c>
      <c r="Q118">
        <v>1</v>
      </c>
      <c r="X118">
        <v>10.5</v>
      </c>
      <c r="Y118">
        <v>0</v>
      </c>
      <c r="Z118">
        <v>0.56000000000000005</v>
      </c>
      <c r="AA118">
        <v>0.09</v>
      </c>
      <c r="AB118">
        <v>0</v>
      </c>
      <c r="AC118">
        <v>0</v>
      </c>
      <c r="AD118">
        <v>1</v>
      </c>
      <c r="AE118">
        <v>0</v>
      </c>
      <c r="AF118" t="s">
        <v>20</v>
      </c>
      <c r="AG118">
        <v>13.125</v>
      </c>
      <c r="AH118">
        <v>2</v>
      </c>
      <c r="AI118">
        <v>42938407</v>
      </c>
      <c r="AJ118">
        <v>120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</row>
    <row r="119" spans="1:44" x14ac:dyDescent="0.2">
      <c r="A119">
        <f>ROW(Source!A106)</f>
        <v>106</v>
      </c>
      <c r="B119">
        <v>42938423</v>
      </c>
      <c r="C119">
        <v>42938411</v>
      </c>
      <c r="D119">
        <v>35973053</v>
      </c>
      <c r="E119">
        <v>35973048</v>
      </c>
      <c r="F119">
        <v>1</v>
      </c>
      <c r="G119">
        <v>35973048</v>
      </c>
      <c r="H119">
        <v>1</v>
      </c>
      <c r="I119" t="s">
        <v>1228</v>
      </c>
      <c r="J119" t="s">
        <v>3</v>
      </c>
      <c r="K119" t="s">
        <v>1229</v>
      </c>
      <c r="L119">
        <v>1191</v>
      </c>
      <c r="N119">
        <v>1013</v>
      </c>
      <c r="O119" t="s">
        <v>1230</v>
      </c>
      <c r="P119" t="s">
        <v>1230</v>
      </c>
      <c r="Q119">
        <v>1</v>
      </c>
      <c r="X119">
        <v>27.7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1</v>
      </c>
      <c r="AE119">
        <v>1</v>
      </c>
      <c r="AF119" t="s">
        <v>21</v>
      </c>
      <c r="AG119">
        <v>31.854999999999997</v>
      </c>
      <c r="AH119">
        <v>2</v>
      </c>
      <c r="AI119">
        <v>42938423</v>
      </c>
      <c r="AJ119">
        <v>121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</row>
    <row r="120" spans="1:44" x14ac:dyDescent="0.2">
      <c r="A120">
        <f>ROW(Source!A106)</f>
        <v>106</v>
      </c>
      <c r="B120">
        <v>42938424</v>
      </c>
      <c r="C120">
        <v>42938411</v>
      </c>
      <c r="D120">
        <v>36044488</v>
      </c>
      <c r="E120">
        <v>1</v>
      </c>
      <c r="F120">
        <v>1</v>
      </c>
      <c r="G120">
        <v>35973048</v>
      </c>
      <c r="H120">
        <v>2</v>
      </c>
      <c r="I120" t="s">
        <v>1252</v>
      </c>
      <c r="J120" t="s">
        <v>1253</v>
      </c>
      <c r="K120" t="s">
        <v>1254</v>
      </c>
      <c r="L120">
        <v>1367</v>
      </c>
      <c r="N120">
        <v>1011</v>
      </c>
      <c r="O120" t="s">
        <v>738</v>
      </c>
      <c r="P120" t="s">
        <v>738</v>
      </c>
      <c r="Q120">
        <v>1</v>
      </c>
      <c r="X120">
        <v>2.52</v>
      </c>
      <c r="Y120">
        <v>0</v>
      </c>
      <c r="Z120">
        <v>161.49</v>
      </c>
      <c r="AA120">
        <v>17.7</v>
      </c>
      <c r="AB120">
        <v>0</v>
      </c>
      <c r="AC120">
        <v>0</v>
      </c>
      <c r="AD120">
        <v>1</v>
      </c>
      <c r="AE120">
        <v>0</v>
      </c>
      <c r="AF120" t="s">
        <v>20</v>
      </c>
      <c r="AG120">
        <v>3.15</v>
      </c>
      <c r="AH120">
        <v>2</v>
      </c>
      <c r="AI120">
        <v>42938424</v>
      </c>
      <c r="AJ120">
        <v>122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</row>
    <row r="121" spans="1:44" x14ac:dyDescent="0.2">
      <c r="A121">
        <f>ROW(Source!A106)</f>
        <v>106</v>
      </c>
      <c r="B121">
        <v>42938425</v>
      </c>
      <c r="C121">
        <v>42938411</v>
      </c>
      <c r="D121">
        <v>36044727</v>
      </c>
      <c r="E121">
        <v>1</v>
      </c>
      <c r="F121">
        <v>1</v>
      </c>
      <c r="G121">
        <v>35973048</v>
      </c>
      <c r="H121">
        <v>2</v>
      </c>
      <c r="I121" t="s">
        <v>1291</v>
      </c>
      <c r="J121" t="s">
        <v>1292</v>
      </c>
      <c r="K121" t="s">
        <v>1293</v>
      </c>
      <c r="L121">
        <v>1367</v>
      </c>
      <c r="N121">
        <v>1011</v>
      </c>
      <c r="O121" t="s">
        <v>738</v>
      </c>
      <c r="P121" t="s">
        <v>738</v>
      </c>
      <c r="Q121">
        <v>1</v>
      </c>
      <c r="X121">
        <v>1.02</v>
      </c>
      <c r="Y121">
        <v>0</v>
      </c>
      <c r="Z121">
        <v>258.24</v>
      </c>
      <c r="AA121">
        <v>17.34</v>
      </c>
      <c r="AB121">
        <v>0</v>
      </c>
      <c r="AC121">
        <v>0</v>
      </c>
      <c r="AD121">
        <v>1</v>
      </c>
      <c r="AE121">
        <v>0</v>
      </c>
      <c r="AF121" t="s">
        <v>20</v>
      </c>
      <c r="AG121">
        <v>1.2749999999999999</v>
      </c>
      <c r="AH121">
        <v>2</v>
      </c>
      <c r="AI121">
        <v>42938425</v>
      </c>
      <c r="AJ121">
        <v>123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</row>
    <row r="122" spans="1:44" x14ac:dyDescent="0.2">
      <c r="A122">
        <f>ROW(Source!A106)</f>
        <v>106</v>
      </c>
      <c r="B122">
        <v>42938426</v>
      </c>
      <c r="C122">
        <v>42938411</v>
      </c>
      <c r="D122">
        <v>35986151</v>
      </c>
      <c r="E122">
        <v>35973048</v>
      </c>
      <c r="F122">
        <v>1</v>
      </c>
      <c r="G122">
        <v>35973048</v>
      </c>
      <c r="H122">
        <v>3</v>
      </c>
      <c r="I122" t="s">
        <v>1471</v>
      </c>
      <c r="J122" t="s">
        <v>3</v>
      </c>
      <c r="K122" t="s">
        <v>1472</v>
      </c>
      <c r="L122">
        <v>1330</v>
      </c>
      <c r="N122">
        <v>1005</v>
      </c>
      <c r="O122" t="s">
        <v>1473</v>
      </c>
      <c r="P122" t="s">
        <v>1473</v>
      </c>
      <c r="Q122">
        <v>10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 t="s">
        <v>3</v>
      </c>
      <c r="AG122">
        <v>0</v>
      </c>
      <c r="AH122">
        <v>3</v>
      </c>
      <c r="AI122">
        <v>-1</v>
      </c>
      <c r="AJ122" t="s">
        <v>3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</row>
    <row r="123" spans="1:44" x14ac:dyDescent="0.2">
      <c r="A123">
        <f>ROW(Source!A106)</f>
        <v>106</v>
      </c>
      <c r="B123">
        <v>42938427</v>
      </c>
      <c r="C123">
        <v>42938411</v>
      </c>
      <c r="D123">
        <v>35994366</v>
      </c>
      <c r="E123">
        <v>35973048</v>
      </c>
      <c r="F123">
        <v>1</v>
      </c>
      <c r="G123">
        <v>35973048</v>
      </c>
      <c r="H123">
        <v>3</v>
      </c>
      <c r="I123" t="s">
        <v>1294</v>
      </c>
      <c r="J123" t="s">
        <v>3</v>
      </c>
      <c r="K123" t="s">
        <v>1295</v>
      </c>
      <c r="L123">
        <v>1344</v>
      </c>
      <c r="N123">
        <v>1008</v>
      </c>
      <c r="O123" t="s">
        <v>1245</v>
      </c>
      <c r="P123" t="s">
        <v>1245</v>
      </c>
      <c r="Q123">
        <v>1</v>
      </c>
      <c r="X123">
        <v>0.49</v>
      </c>
      <c r="Y123">
        <v>1</v>
      </c>
      <c r="Z123">
        <v>0</v>
      </c>
      <c r="AA123">
        <v>0</v>
      </c>
      <c r="AB123">
        <v>0</v>
      </c>
      <c r="AC123">
        <v>0</v>
      </c>
      <c r="AD123">
        <v>1</v>
      </c>
      <c r="AE123">
        <v>0</v>
      </c>
      <c r="AF123" t="s">
        <v>3</v>
      </c>
      <c r="AG123">
        <v>0.49</v>
      </c>
      <c r="AH123">
        <v>2</v>
      </c>
      <c r="AI123">
        <v>42938427</v>
      </c>
      <c r="AJ123">
        <v>125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</row>
    <row r="124" spans="1:44" x14ac:dyDescent="0.2">
      <c r="A124">
        <f>ROW(Source!A108)</f>
        <v>108</v>
      </c>
      <c r="B124">
        <v>42938452</v>
      </c>
      <c r="C124">
        <v>42938431</v>
      </c>
      <c r="D124">
        <v>35973053</v>
      </c>
      <c r="E124">
        <v>35973048</v>
      </c>
      <c r="F124">
        <v>1</v>
      </c>
      <c r="G124">
        <v>35973048</v>
      </c>
      <c r="H124">
        <v>1</v>
      </c>
      <c r="I124" t="s">
        <v>1228</v>
      </c>
      <c r="J124" t="s">
        <v>3</v>
      </c>
      <c r="K124" t="s">
        <v>1229</v>
      </c>
      <c r="L124">
        <v>1191</v>
      </c>
      <c r="N124">
        <v>1013</v>
      </c>
      <c r="O124" t="s">
        <v>1230</v>
      </c>
      <c r="P124" t="s">
        <v>1230</v>
      </c>
      <c r="Q124">
        <v>1</v>
      </c>
      <c r="X124">
        <v>120.09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1</v>
      </c>
      <c r="AE124">
        <v>1</v>
      </c>
      <c r="AF124" t="s">
        <v>21</v>
      </c>
      <c r="AG124">
        <v>138.1035</v>
      </c>
      <c r="AH124">
        <v>2</v>
      </c>
      <c r="AI124">
        <v>42938452</v>
      </c>
      <c r="AJ124">
        <v>126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</row>
    <row r="125" spans="1:44" x14ac:dyDescent="0.2">
      <c r="A125">
        <f>ROW(Source!A108)</f>
        <v>108</v>
      </c>
      <c r="B125">
        <v>42938453</v>
      </c>
      <c r="C125">
        <v>42938431</v>
      </c>
      <c r="D125">
        <v>36045202</v>
      </c>
      <c r="E125">
        <v>1</v>
      </c>
      <c r="F125">
        <v>1</v>
      </c>
      <c r="G125">
        <v>35973048</v>
      </c>
      <c r="H125">
        <v>2</v>
      </c>
      <c r="I125" t="s">
        <v>1338</v>
      </c>
      <c r="J125" t="s">
        <v>1339</v>
      </c>
      <c r="K125" t="s">
        <v>1340</v>
      </c>
      <c r="L125">
        <v>1367</v>
      </c>
      <c r="N125">
        <v>1011</v>
      </c>
      <c r="O125" t="s">
        <v>738</v>
      </c>
      <c r="P125" t="s">
        <v>738</v>
      </c>
      <c r="Q125">
        <v>1</v>
      </c>
      <c r="X125">
        <v>3.28</v>
      </c>
      <c r="Y125">
        <v>0</v>
      </c>
      <c r="Z125">
        <v>17.420000000000002</v>
      </c>
      <c r="AA125">
        <v>0.15</v>
      </c>
      <c r="AB125">
        <v>0</v>
      </c>
      <c r="AC125">
        <v>0</v>
      </c>
      <c r="AD125">
        <v>1</v>
      </c>
      <c r="AE125">
        <v>0</v>
      </c>
      <c r="AF125" t="s">
        <v>20</v>
      </c>
      <c r="AG125">
        <v>4.0999999999999996</v>
      </c>
      <c r="AH125">
        <v>2</v>
      </c>
      <c r="AI125">
        <v>42938453</v>
      </c>
      <c r="AJ125">
        <v>127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</row>
    <row r="126" spans="1:44" x14ac:dyDescent="0.2">
      <c r="A126">
        <f>ROW(Source!A108)</f>
        <v>108</v>
      </c>
      <c r="B126">
        <v>42938454</v>
      </c>
      <c r="C126">
        <v>42938431</v>
      </c>
      <c r="D126">
        <v>36045308</v>
      </c>
      <c r="E126">
        <v>1</v>
      </c>
      <c r="F126">
        <v>1</v>
      </c>
      <c r="G126">
        <v>35973048</v>
      </c>
      <c r="H126">
        <v>2</v>
      </c>
      <c r="I126" t="s">
        <v>1231</v>
      </c>
      <c r="J126" t="s">
        <v>1232</v>
      </c>
      <c r="K126" t="s">
        <v>1233</v>
      </c>
      <c r="L126">
        <v>1367</v>
      </c>
      <c r="N126">
        <v>1011</v>
      </c>
      <c r="O126" t="s">
        <v>738</v>
      </c>
      <c r="P126" t="s">
        <v>738</v>
      </c>
      <c r="Q126">
        <v>1</v>
      </c>
      <c r="X126">
        <v>0.81</v>
      </c>
      <c r="Y126">
        <v>0</v>
      </c>
      <c r="Z126">
        <v>76.81</v>
      </c>
      <c r="AA126">
        <v>14.36</v>
      </c>
      <c r="AB126">
        <v>0</v>
      </c>
      <c r="AC126">
        <v>0</v>
      </c>
      <c r="AD126">
        <v>1</v>
      </c>
      <c r="AE126">
        <v>0</v>
      </c>
      <c r="AF126" t="s">
        <v>20</v>
      </c>
      <c r="AG126">
        <v>1.0125000000000002</v>
      </c>
      <c r="AH126">
        <v>2</v>
      </c>
      <c r="AI126">
        <v>42938454</v>
      </c>
      <c r="AJ126">
        <v>128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</row>
    <row r="127" spans="1:44" x14ac:dyDescent="0.2">
      <c r="A127">
        <f>ROW(Source!A108)</f>
        <v>108</v>
      </c>
      <c r="B127">
        <v>42938456</v>
      </c>
      <c r="C127">
        <v>42938431</v>
      </c>
      <c r="D127">
        <v>36045362</v>
      </c>
      <c r="E127">
        <v>1</v>
      </c>
      <c r="F127">
        <v>1</v>
      </c>
      <c r="G127">
        <v>35973048</v>
      </c>
      <c r="H127">
        <v>2</v>
      </c>
      <c r="I127" t="s">
        <v>1341</v>
      </c>
      <c r="J127" t="s">
        <v>1342</v>
      </c>
      <c r="K127" t="s">
        <v>1343</v>
      </c>
      <c r="L127">
        <v>1367</v>
      </c>
      <c r="N127">
        <v>1011</v>
      </c>
      <c r="O127" t="s">
        <v>738</v>
      </c>
      <c r="P127" t="s">
        <v>738</v>
      </c>
      <c r="Q127">
        <v>1</v>
      </c>
      <c r="X127">
        <v>0.33</v>
      </c>
      <c r="Y127">
        <v>0</v>
      </c>
      <c r="Z127">
        <v>0.81</v>
      </c>
      <c r="AA127">
        <v>0.03</v>
      </c>
      <c r="AB127">
        <v>0</v>
      </c>
      <c r="AC127">
        <v>0</v>
      </c>
      <c r="AD127">
        <v>1</v>
      </c>
      <c r="AE127">
        <v>0</v>
      </c>
      <c r="AF127" t="s">
        <v>20</v>
      </c>
      <c r="AG127">
        <v>0.41250000000000003</v>
      </c>
      <c r="AH127">
        <v>2</v>
      </c>
      <c r="AI127">
        <v>42938456</v>
      </c>
      <c r="AJ127">
        <v>129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</row>
    <row r="128" spans="1:44" x14ac:dyDescent="0.2">
      <c r="A128">
        <f>ROW(Source!A108)</f>
        <v>108</v>
      </c>
      <c r="B128">
        <v>42938455</v>
      </c>
      <c r="C128">
        <v>42938431</v>
      </c>
      <c r="D128">
        <v>36044555</v>
      </c>
      <c r="E128">
        <v>1</v>
      </c>
      <c r="F128">
        <v>1</v>
      </c>
      <c r="G128">
        <v>35973048</v>
      </c>
      <c r="H128">
        <v>2</v>
      </c>
      <c r="I128" t="s">
        <v>1267</v>
      </c>
      <c r="J128" t="s">
        <v>1268</v>
      </c>
      <c r="K128" t="s">
        <v>1269</v>
      </c>
      <c r="L128">
        <v>1367</v>
      </c>
      <c r="N128">
        <v>1011</v>
      </c>
      <c r="O128" t="s">
        <v>738</v>
      </c>
      <c r="P128" t="s">
        <v>738</v>
      </c>
      <c r="Q128">
        <v>1</v>
      </c>
      <c r="X128">
        <v>0.81</v>
      </c>
      <c r="Y128">
        <v>0</v>
      </c>
      <c r="Z128">
        <v>190.93</v>
      </c>
      <c r="AA128">
        <v>18.149999999999999</v>
      </c>
      <c r="AB128">
        <v>0</v>
      </c>
      <c r="AC128">
        <v>0</v>
      </c>
      <c r="AD128">
        <v>1</v>
      </c>
      <c r="AE128">
        <v>0</v>
      </c>
      <c r="AF128" t="s">
        <v>20</v>
      </c>
      <c r="AG128">
        <v>1.0125000000000002</v>
      </c>
      <c r="AH128">
        <v>2</v>
      </c>
      <c r="AI128">
        <v>42938455</v>
      </c>
      <c r="AJ128">
        <v>130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</row>
    <row r="129" spans="1:44" x14ac:dyDescent="0.2">
      <c r="A129">
        <f>ROW(Source!A108)</f>
        <v>108</v>
      </c>
      <c r="B129">
        <v>42938457</v>
      </c>
      <c r="C129">
        <v>42938431</v>
      </c>
      <c r="D129">
        <v>35973762</v>
      </c>
      <c r="E129">
        <v>35973048</v>
      </c>
      <c r="F129">
        <v>1</v>
      </c>
      <c r="G129">
        <v>35973048</v>
      </c>
      <c r="H129">
        <v>2</v>
      </c>
      <c r="I129" t="s">
        <v>1243</v>
      </c>
      <c r="J129" t="s">
        <v>3</v>
      </c>
      <c r="K129" t="s">
        <v>1244</v>
      </c>
      <c r="L129">
        <v>1344</v>
      </c>
      <c r="N129">
        <v>1008</v>
      </c>
      <c r="O129" t="s">
        <v>1245</v>
      </c>
      <c r="P129" t="s">
        <v>1245</v>
      </c>
      <c r="Q129">
        <v>1</v>
      </c>
      <c r="X129">
        <v>0.01</v>
      </c>
      <c r="Y129">
        <v>0</v>
      </c>
      <c r="Z129">
        <v>1</v>
      </c>
      <c r="AA129">
        <v>0</v>
      </c>
      <c r="AB129">
        <v>0</v>
      </c>
      <c r="AC129">
        <v>0</v>
      </c>
      <c r="AD129">
        <v>1</v>
      </c>
      <c r="AE129">
        <v>0</v>
      </c>
      <c r="AF129" t="s">
        <v>20</v>
      </c>
      <c r="AG129">
        <v>1.2500000000000001E-2</v>
      </c>
      <c r="AH129">
        <v>2</v>
      </c>
      <c r="AI129">
        <v>42938457</v>
      </c>
      <c r="AJ129">
        <v>131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</row>
    <row r="130" spans="1:44" x14ac:dyDescent="0.2">
      <c r="A130">
        <f>ROW(Source!A108)</f>
        <v>108</v>
      </c>
      <c r="B130">
        <v>42938458</v>
      </c>
      <c r="C130">
        <v>42938431</v>
      </c>
      <c r="D130">
        <v>36020974</v>
      </c>
      <c r="E130">
        <v>1</v>
      </c>
      <c r="F130">
        <v>1</v>
      </c>
      <c r="G130">
        <v>35973048</v>
      </c>
      <c r="H130">
        <v>3</v>
      </c>
      <c r="I130" t="s">
        <v>91</v>
      </c>
      <c r="J130" t="s">
        <v>93</v>
      </c>
      <c r="K130" t="s">
        <v>92</v>
      </c>
      <c r="L130">
        <v>1339</v>
      </c>
      <c r="N130">
        <v>1007</v>
      </c>
      <c r="O130" t="s">
        <v>84</v>
      </c>
      <c r="P130" t="s">
        <v>84</v>
      </c>
      <c r="Q130">
        <v>1</v>
      </c>
      <c r="X130">
        <v>0.25</v>
      </c>
      <c r="Y130">
        <v>104.99</v>
      </c>
      <c r="Z130">
        <v>0</v>
      </c>
      <c r="AA130">
        <v>0</v>
      </c>
      <c r="AB130">
        <v>0</v>
      </c>
      <c r="AC130">
        <v>0</v>
      </c>
      <c r="AD130">
        <v>1</v>
      </c>
      <c r="AE130">
        <v>0</v>
      </c>
      <c r="AF130" t="s">
        <v>3</v>
      </c>
      <c r="AG130">
        <v>0.25</v>
      </c>
      <c r="AH130">
        <v>2</v>
      </c>
      <c r="AI130">
        <v>42938458</v>
      </c>
      <c r="AJ130">
        <v>132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</row>
    <row r="131" spans="1:44" x14ac:dyDescent="0.2">
      <c r="A131">
        <f>ROW(Source!A108)</f>
        <v>108</v>
      </c>
      <c r="B131">
        <v>42938459</v>
      </c>
      <c r="C131">
        <v>42938431</v>
      </c>
      <c r="D131">
        <v>35987331</v>
      </c>
      <c r="E131">
        <v>35973048</v>
      </c>
      <c r="F131">
        <v>1</v>
      </c>
      <c r="G131">
        <v>35973048</v>
      </c>
      <c r="H131">
        <v>3</v>
      </c>
      <c r="I131" t="s">
        <v>1482</v>
      </c>
      <c r="J131" t="s">
        <v>3</v>
      </c>
      <c r="K131" t="s">
        <v>1483</v>
      </c>
      <c r="L131">
        <v>1354</v>
      </c>
      <c r="N131">
        <v>1010</v>
      </c>
      <c r="O131" t="s">
        <v>169</v>
      </c>
      <c r="P131" t="s">
        <v>169</v>
      </c>
      <c r="Q131">
        <v>1</v>
      </c>
      <c r="X131">
        <v>1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 t="s">
        <v>3</v>
      </c>
      <c r="AG131">
        <v>1</v>
      </c>
      <c r="AH131">
        <v>3</v>
      </c>
      <c r="AI131">
        <v>-1</v>
      </c>
      <c r="AJ131" t="s">
        <v>3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</row>
    <row r="132" spans="1:44" x14ac:dyDescent="0.2">
      <c r="A132">
        <f>ROW(Source!A108)</f>
        <v>108</v>
      </c>
      <c r="B132">
        <v>42938460</v>
      </c>
      <c r="C132">
        <v>42938431</v>
      </c>
      <c r="D132">
        <v>35990441</v>
      </c>
      <c r="E132">
        <v>35973048</v>
      </c>
      <c r="F132">
        <v>1</v>
      </c>
      <c r="G132">
        <v>35973048</v>
      </c>
      <c r="H132">
        <v>3</v>
      </c>
      <c r="I132" t="s">
        <v>1484</v>
      </c>
      <c r="J132" t="s">
        <v>3</v>
      </c>
      <c r="K132" t="s">
        <v>1485</v>
      </c>
      <c r="L132">
        <v>1348</v>
      </c>
      <c r="N132">
        <v>1009</v>
      </c>
      <c r="O132" t="s">
        <v>104</v>
      </c>
      <c r="P132" t="s">
        <v>104</v>
      </c>
      <c r="Q132">
        <v>1000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 t="s">
        <v>3</v>
      </c>
      <c r="AG132">
        <v>0</v>
      </c>
      <c r="AH132">
        <v>3</v>
      </c>
      <c r="AI132">
        <v>-1</v>
      </c>
      <c r="AJ132" t="s">
        <v>3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</row>
    <row r="133" spans="1:44" x14ac:dyDescent="0.2">
      <c r="A133">
        <f>ROW(Source!A108)</f>
        <v>108</v>
      </c>
      <c r="B133">
        <v>42938461</v>
      </c>
      <c r="C133">
        <v>42938431</v>
      </c>
      <c r="D133">
        <v>35988261</v>
      </c>
      <c r="E133">
        <v>35973048</v>
      </c>
      <c r="F133">
        <v>1</v>
      </c>
      <c r="G133">
        <v>35973048</v>
      </c>
      <c r="H133">
        <v>3</v>
      </c>
      <c r="I133" t="s">
        <v>1486</v>
      </c>
      <c r="J133" t="s">
        <v>3</v>
      </c>
      <c r="K133" t="s">
        <v>1487</v>
      </c>
      <c r="L133">
        <v>1327</v>
      </c>
      <c r="N133">
        <v>1005</v>
      </c>
      <c r="O133" t="s">
        <v>120</v>
      </c>
      <c r="P133" t="s">
        <v>120</v>
      </c>
      <c r="Q133">
        <v>1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 t="s">
        <v>3</v>
      </c>
      <c r="AG133">
        <v>0</v>
      </c>
      <c r="AH133">
        <v>3</v>
      </c>
      <c r="AI133">
        <v>-1</v>
      </c>
      <c r="AJ133" t="s">
        <v>3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</row>
    <row r="134" spans="1:44" x14ac:dyDescent="0.2">
      <c r="A134">
        <f>ROW(Source!A112)</f>
        <v>112</v>
      </c>
      <c r="B134">
        <v>42938628</v>
      </c>
      <c r="C134">
        <v>42938626</v>
      </c>
      <c r="D134">
        <v>35973762</v>
      </c>
      <c r="E134">
        <v>35973048</v>
      </c>
      <c r="F134">
        <v>1</v>
      </c>
      <c r="G134">
        <v>35973048</v>
      </c>
      <c r="H134">
        <v>2</v>
      </c>
      <c r="I134" t="s">
        <v>1243</v>
      </c>
      <c r="J134" t="s">
        <v>3</v>
      </c>
      <c r="K134" t="s">
        <v>1244</v>
      </c>
      <c r="L134">
        <v>1344</v>
      </c>
      <c r="N134">
        <v>1008</v>
      </c>
      <c r="O134" t="s">
        <v>1245</v>
      </c>
      <c r="P134" t="s">
        <v>1245</v>
      </c>
      <c r="Q134">
        <v>1</v>
      </c>
      <c r="X134">
        <v>8.86</v>
      </c>
      <c r="Y134">
        <v>0</v>
      </c>
      <c r="Z134">
        <v>1</v>
      </c>
      <c r="AA134">
        <v>0</v>
      </c>
      <c r="AB134">
        <v>0</v>
      </c>
      <c r="AC134">
        <v>0</v>
      </c>
      <c r="AD134">
        <v>1</v>
      </c>
      <c r="AE134">
        <v>0</v>
      </c>
      <c r="AF134" t="s">
        <v>3</v>
      </c>
      <c r="AG134">
        <v>8.86</v>
      </c>
      <c r="AH134">
        <v>2</v>
      </c>
      <c r="AI134">
        <v>42938628</v>
      </c>
      <c r="AJ134">
        <v>136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</row>
    <row r="135" spans="1:44" x14ac:dyDescent="0.2">
      <c r="A135">
        <f>ROW(Source!A113)</f>
        <v>113</v>
      </c>
      <c r="B135">
        <v>42938629</v>
      </c>
      <c r="C135">
        <v>42938627</v>
      </c>
      <c r="D135">
        <v>36759507</v>
      </c>
      <c r="E135">
        <v>1</v>
      </c>
      <c r="F135">
        <v>1</v>
      </c>
      <c r="G135">
        <v>35973048</v>
      </c>
      <c r="H135">
        <v>2</v>
      </c>
      <c r="I135" t="s">
        <v>1329</v>
      </c>
      <c r="J135" t="s">
        <v>1330</v>
      </c>
      <c r="K135" t="s">
        <v>1331</v>
      </c>
      <c r="L135">
        <v>1367</v>
      </c>
      <c r="N135">
        <v>1011</v>
      </c>
      <c r="O135" t="s">
        <v>738</v>
      </c>
      <c r="P135" t="s">
        <v>738</v>
      </c>
      <c r="Q135">
        <v>1</v>
      </c>
      <c r="X135">
        <v>1</v>
      </c>
      <c r="Y135">
        <v>0</v>
      </c>
      <c r="Z135">
        <v>115.66</v>
      </c>
      <c r="AA135">
        <v>14.4</v>
      </c>
      <c r="AB135">
        <v>0</v>
      </c>
      <c r="AC135">
        <v>0</v>
      </c>
      <c r="AD135">
        <v>1</v>
      </c>
      <c r="AE135">
        <v>0</v>
      </c>
      <c r="AF135" t="s">
        <v>3</v>
      </c>
      <c r="AG135">
        <v>1</v>
      </c>
      <c r="AH135">
        <v>2</v>
      </c>
      <c r="AI135">
        <v>42938629</v>
      </c>
      <c r="AJ135">
        <v>137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</row>
    <row r="136" spans="1:44" x14ac:dyDescent="0.2">
      <c r="A136">
        <f>ROW(Source!A114)</f>
        <v>114</v>
      </c>
      <c r="B136">
        <v>42938631</v>
      </c>
      <c r="C136">
        <v>42938630</v>
      </c>
      <c r="D136">
        <v>35973762</v>
      </c>
      <c r="E136">
        <v>35973048</v>
      </c>
      <c r="F136">
        <v>1</v>
      </c>
      <c r="G136">
        <v>35973048</v>
      </c>
      <c r="H136">
        <v>2</v>
      </c>
      <c r="I136" t="s">
        <v>1243</v>
      </c>
      <c r="J136" t="s">
        <v>3</v>
      </c>
      <c r="K136" t="s">
        <v>1244</v>
      </c>
      <c r="L136">
        <v>1344</v>
      </c>
      <c r="N136">
        <v>1008</v>
      </c>
      <c r="O136" t="s">
        <v>1245</v>
      </c>
      <c r="P136" t="s">
        <v>1245</v>
      </c>
      <c r="Q136">
        <v>1</v>
      </c>
      <c r="X136">
        <v>21.71</v>
      </c>
      <c r="Y136">
        <v>0</v>
      </c>
      <c r="Z136">
        <v>1</v>
      </c>
      <c r="AA136">
        <v>0</v>
      </c>
      <c r="AB136">
        <v>0</v>
      </c>
      <c r="AC136">
        <v>0</v>
      </c>
      <c r="AD136">
        <v>1</v>
      </c>
      <c r="AE136">
        <v>0</v>
      </c>
      <c r="AF136" t="s">
        <v>3</v>
      </c>
      <c r="AG136">
        <v>21.71</v>
      </c>
      <c r="AH136">
        <v>2</v>
      </c>
      <c r="AI136">
        <v>42938631</v>
      </c>
      <c r="AJ136">
        <v>138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</row>
    <row r="137" spans="1:44" x14ac:dyDescent="0.2">
      <c r="A137">
        <f>ROW(Source!A115)</f>
        <v>115</v>
      </c>
      <c r="B137">
        <v>43136917</v>
      </c>
      <c r="C137">
        <v>43136913</v>
      </c>
      <c r="D137">
        <v>36759504</v>
      </c>
      <c r="E137">
        <v>1</v>
      </c>
      <c r="F137">
        <v>1</v>
      </c>
      <c r="G137">
        <v>35973048</v>
      </c>
      <c r="H137">
        <v>2</v>
      </c>
      <c r="I137" t="s">
        <v>1332</v>
      </c>
      <c r="J137" t="s">
        <v>1333</v>
      </c>
      <c r="K137" t="s">
        <v>1334</v>
      </c>
      <c r="L137">
        <v>1367</v>
      </c>
      <c r="N137">
        <v>1011</v>
      </c>
      <c r="O137" t="s">
        <v>738</v>
      </c>
      <c r="P137" t="s">
        <v>738</v>
      </c>
      <c r="Q137">
        <v>1</v>
      </c>
      <c r="X137">
        <v>1</v>
      </c>
      <c r="Y137">
        <v>0</v>
      </c>
      <c r="Z137">
        <v>100.09</v>
      </c>
      <c r="AA137">
        <v>13.81</v>
      </c>
      <c r="AB137">
        <v>0</v>
      </c>
      <c r="AC137">
        <v>0</v>
      </c>
      <c r="AD137">
        <v>1</v>
      </c>
      <c r="AE137">
        <v>0</v>
      </c>
      <c r="AF137" t="s">
        <v>3</v>
      </c>
      <c r="AG137">
        <v>1</v>
      </c>
      <c r="AH137">
        <v>2</v>
      </c>
      <c r="AI137">
        <v>43136917</v>
      </c>
      <c r="AJ137">
        <v>139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</row>
    <row r="138" spans="1:44" x14ac:dyDescent="0.2">
      <c r="A138">
        <f>ROW(Source!A116)</f>
        <v>116</v>
      </c>
      <c r="B138">
        <v>43136916</v>
      </c>
      <c r="C138">
        <v>43136914</v>
      </c>
      <c r="D138">
        <v>35973762</v>
      </c>
      <c r="E138">
        <v>35973048</v>
      </c>
      <c r="F138">
        <v>1</v>
      </c>
      <c r="G138">
        <v>35973048</v>
      </c>
      <c r="H138">
        <v>2</v>
      </c>
      <c r="I138" t="s">
        <v>1243</v>
      </c>
      <c r="J138" t="s">
        <v>3</v>
      </c>
      <c r="K138" t="s">
        <v>1244</v>
      </c>
      <c r="L138">
        <v>1344</v>
      </c>
      <c r="N138">
        <v>1008</v>
      </c>
      <c r="O138" t="s">
        <v>1245</v>
      </c>
      <c r="P138" t="s">
        <v>1245</v>
      </c>
      <c r="Q138">
        <v>1</v>
      </c>
      <c r="X138">
        <v>12.61</v>
      </c>
      <c r="Y138">
        <v>0</v>
      </c>
      <c r="Z138">
        <v>1</v>
      </c>
      <c r="AA138">
        <v>0</v>
      </c>
      <c r="AB138">
        <v>0</v>
      </c>
      <c r="AC138">
        <v>0</v>
      </c>
      <c r="AD138">
        <v>1</v>
      </c>
      <c r="AE138">
        <v>0</v>
      </c>
      <c r="AF138" t="s">
        <v>3</v>
      </c>
      <c r="AG138">
        <v>12.61</v>
      </c>
      <c r="AH138">
        <v>2</v>
      </c>
      <c r="AI138">
        <v>43136916</v>
      </c>
      <c r="AJ138">
        <v>140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</row>
    <row r="139" spans="1:44" x14ac:dyDescent="0.2">
      <c r="A139">
        <f>ROW(Source!A152)</f>
        <v>152</v>
      </c>
      <c r="B139">
        <v>43136571</v>
      </c>
      <c r="C139">
        <v>42938308</v>
      </c>
      <c r="D139">
        <v>35973053</v>
      </c>
      <c r="E139">
        <v>35973048</v>
      </c>
      <c r="F139">
        <v>1</v>
      </c>
      <c r="G139">
        <v>35973048</v>
      </c>
      <c r="H139">
        <v>1</v>
      </c>
      <c r="I139" t="s">
        <v>1228</v>
      </c>
      <c r="J139" t="s">
        <v>3</v>
      </c>
      <c r="K139" t="s">
        <v>1229</v>
      </c>
      <c r="L139">
        <v>1191</v>
      </c>
      <c r="N139">
        <v>1013</v>
      </c>
      <c r="O139" t="s">
        <v>1230</v>
      </c>
      <c r="P139" t="s">
        <v>1230</v>
      </c>
      <c r="Q139">
        <v>1</v>
      </c>
      <c r="X139">
        <v>76.7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1</v>
      </c>
      <c r="AE139">
        <v>1</v>
      </c>
      <c r="AF139" t="s">
        <v>3</v>
      </c>
      <c r="AG139">
        <v>76.7</v>
      </c>
      <c r="AH139">
        <v>2</v>
      </c>
      <c r="AI139">
        <v>43136571</v>
      </c>
      <c r="AJ139">
        <v>141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</row>
    <row r="140" spans="1:44" x14ac:dyDescent="0.2">
      <c r="A140">
        <f>ROW(Source!A153)</f>
        <v>153</v>
      </c>
      <c r="B140">
        <v>43136698</v>
      </c>
      <c r="C140">
        <v>43136689</v>
      </c>
      <c r="D140">
        <v>35973053</v>
      </c>
      <c r="E140">
        <v>35973048</v>
      </c>
      <c r="F140">
        <v>1</v>
      </c>
      <c r="G140">
        <v>35973048</v>
      </c>
      <c r="H140">
        <v>1</v>
      </c>
      <c r="I140" t="s">
        <v>1228</v>
      </c>
      <c r="J140" t="s">
        <v>3</v>
      </c>
      <c r="K140" t="s">
        <v>1229</v>
      </c>
      <c r="L140">
        <v>1191</v>
      </c>
      <c r="N140">
        <v>1013</v>
      </c>
      <c r="O140" t="s">
        <v>1230</v>
      </c>
      <c r="P140" t="s">
        <v>1230</v>
      </c>
      <c r="Q140">
        <v>1</v>
      </c>
      <c r="X140">
        <v>192.7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1</v>
      </c>
      <c r="AE140">
        <v>1</v>
      </c>
      <c r="AF140" t="s">
        <v>21</v>
      </c>
      <c r="AG140">
        <v>221.60499999999996</v>
      </c>
      <c r="AH140">
        <v>2</v>
      </c>
      <c r="AI140">
        <v>43136698</v>
      </c>
      <c r="AJ140">
        <v>142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</row>
    <row r="141" spans="1:44" x14ac:dyDescent="0.2">
      <c r="A141">
        <f>ROW(Source!A154)</f>
        <v>154</v>
      </c>
      <c r="B141">
        <v>43136572</v>
      </c>
      <c r="C141">
        <v>42938309</v>
      </c>
      <c r="D141">
        <v>35973053</v>
      </c>
      <c r="E141">
        <v>35973048</v>
      </c>
      <c r="F141">
        <v>1</v>
      </c>
      <c r="G141">
        <v>35973048</v>
      </c>
      <c r="H141">
        <v>1</v>
      </c>
      <c r="I141" t="s">
        <v>1228</v>
      </c>
      <c r="J141" t="s">
        <v>3</v>
      </c>
      <c r="K141" t="s">
        <v>1229</v>
      </c>
      <c r="L141">
        <v>1191</v>
      </c>
      <c r="N141">
        <v>1013</v>
      </c>
      <c r="O141" t="s">
        <v>1230</v>
      </c>
      <c r="P141" t="s">
        <v>1230</v>
      </c>
      <c r="Q141">
        <v>1</v>
      </c>
      <c r="X141">
        <v>63.44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1</v>
      </c>
      <c r="AE141">
        <v>1</v>
      </c>
      <c r="AF141" t="s">
        <v>21</v>
      </c>
      <c r="AG141">
        <v>72.955999999999989</v>
      </c>
      <c r="AH141">
        <v>2</v>
      </c>
      <c r="AI141">
        <v>43136572</v>
      </c>
      <c r="AJ141">
        <v>143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</row>
    <row r="142" spans="1:44" x14ac:dyDescent="0.2">
      <c r="A142">
        <f>ROW(Source!A154)</f>
        <v>154</v>
      </c>
      <c r="B142">
        <v>43136573</v>
      </c>
      <c r="C142">
        <v>42938309</v>
      </c>
      <c r="D142">
        <v>36045308</v>
      </c>
      <c r="E142">
        <v>1</v>
      </c>
      <c r="F142">
        <v>1</v>
      </c>
      <c r="G142">
        <v>35973048</v>
      </c>
      <c r="H142">
        <v>2</v>
      </c>
      <c r="I142" t="s">
        <v>1231</v>
      </c>
      <c r="J142" t="s">
        <v>1232</v>
      </c>
      <c r="K142" t="s">
        <v>1233</v>
      </c>
      <c r="L142">
        <v>1367</v>
      </c>
      <c r="N142">
        <v>1011</v>
      </c>
      <c r="O142" t="s">
        <v>738</v>
      </c>
      <c r="P142" t="s">
        <v>738</v>
      </c>
      <c r="Q142">
        <v>1</v>
      </c>
      <c r="X142">
        <v>0.14000000000000001</v>
      </c>
      <c r="Y142">
        <v>0</v>
      </c>
      <c r="Z142">
        <v>76.81</v>
      </c>
      <c r="AA142">
        <v>14.36</v>
      </c>
      <c r="AB142">
        <v>0</v>
      </c>
      <c r="AC142">
        <v>0</v>
      </c>
      <c r="AD142">
        <v>1</v>
      </c>
      <c r="AE142">
        <v>0</v>
      </c>
      <c r="AF142" t="s">
        <v>20</v>
      </c>
      <c r="AG142">
        <v>0.17500000000000002</v>
      </c>
      <c r="AH142">
        <v>2</v>
      </c>
      <c r="AI142">
        <v>43136573</v>
      </c>
      <c r="AJ142">
        <v>144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</row>
    <row r="143" spans="1:44" x14ac:dyDescent="0.2">
      <c r="A143">
        <f>ROW(Source!A154)</f>
        <v>154</v>
      </c>
      <c r="B143">
        <v>43136574</v>
      </c>
      <c r="C143">
        <v>42938309</v>
      </c>
      <c r="D143">
        <v>36044555</v>
      </c>
      <c r="E143">
        <v>1</v>
      </c>
      <c r="F143">
        <v>1</v>
      </c>
      <c r="G143">
        <v>35973048</v>
      </c>
      <c r="H143">
        <v>2</v>
      </c>
      <c r="I143" t="s">
        <v>1267</v>
      </c>
      <c r="J143" t="s">
        <v>1268</v>
      </c>
      <c r="K143" t="s">
        <v>1269</v>
      </c>
      <c r="L143">
        <v>1367</v>
      </c>
      <c r="N143">
        <v>1011</v>
      </c>
      <c r="O143" t="s">
        <v>738</v>
      </c>
      <c r="P143" t="s">
        <v>738</v>
      </c>
      <c r="Q143">
        <v>1</v>
      </c>
      <c r="X143">
        <v>0.14000000000000001</v>
      </c>
      <c r="Y143">
        <v>0</v>
      </c>
      <c r="Z143">
        <v>190.93</v>
      </c>
      <c r="AA143">
        <v>18.149999999999999</v>
      </c>
      <c r="AB143">
        <v>0</v>
      </c>
      <c r="AC143">
        <v>0</v>
      </c>
      <c r="AD143">
        <v>1</v>
      </c>
      <c r="AE143">
        <v>0</v>
      </c>
      <c r="AF143" t="s">
        <v>20</v>
      </c>
      <c r="AG143">
        <v>0.17500000000000002</v>
      </c>
      <c r="AH143">
        <v>2</v>
      </c>
      <c r="AI143">
        <v>43136574</v>
      </c>
      <c r="AJ143">
        <v>145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</row>
    <row r="144" spans="1:44" x14ac:dyDescent="0.2">
      <c r="A144">
        <f>ROW(Source!A154)</f>
        <v>154</v>
      </c>
      <c r="B144">
        <v>43136575</v>
      </c>
      <c r="C144">
        <v>42938309</v>
      </c>
      <c r="D144">
        <v>36044648</v>
      </c>
      <c r="E144">
        <v>1</v>
      </c>
      <c r="F144">
        <v>1</v>
      </c>
      <c r="G144">
        <v>35973048</v>
      </c>
      <c r="H144">
        <v>2</v>
      </c>
      <c r="I144" t="s">
        <v>1270</v>
      </c>
      <c r="J144" t="s">
        <v>1271</v>
      </c>
      <c r="K144" t="s">
        <v>1272</v>
      </c>
      <c r="L144">
        <v>1367</v>
      </c>
      <c r="N144">
        <v>1011</v>
      </c>
      <c r="O144" t="s">
        <v>738</v>
      </c>
      <c r="P144" t="s">
        <v>738</v>
      </c>
      <c r="Q144">
        <v>1</v>
      </c>
      <c r="X144">
        <v>0.22</v>
      </c>
      <c r="Y144">
        <v>0</v>
      </c>
      <c r="Z144">
        <v>73</v>
      </c>
      <c r="AA144">
        <v>16.899999999999999</v>
      </c>
      <c r="AB144">
        <v>0</v>
      </c>
      <c r="AC144">
        <v>0</v>
      </c>
      <c r="AD144">
        <v>1</v>
      </c>
      <c r="AE144">
        <v>0</v>
      </c>
      <c r="AF144" t="s">
        <v>20</v>
      </c>
      <c r="AG144">
        <v>0.27500000000000002</v>
      </c>
      <c r="AH144">
        <v>2</v>
      </c>
      <c r="AI144">
        <v>43136575</v>
      </c>
      <c r="AJ144">
        <v>146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</row>
    <row r="145" spans="1:44" x14ac:dyDescent="0.2">
      <c r="A145">
        <f>ROW(Source!A154)</f>
        <v>154</v>
      </c>
      <c r="B145">
        <v>43136576</v>
      </c>
      <c r="C145">
        <v>42938309</v>
      </c>
      <c r="D145">
        <v>36020428</v>
      </c>
      <c r="E145">
        <v>1</v>
      </c>
      <c r="F145">
        <v>1</v>
      </c>
      <c r="G145">
        <v>35973048</v>
      </c>
      <c r="H145">
        <v>3</v>
      </c>
      <c r="I145" t="s">
        <v>372</v>
      </c>
      <c r="J145" t="s">
        <v>374</v>
      </c>
      <c r="K145" t="s">
        <v>373</v>
      </c>
      <c r="L145">
        <v>1348</v>
      </c>
      <c r="N145">
        <v>1009</v>
      </c>
      <c r="O145" t="s">
        <v>104</v>
      </c>
      <c r="P145" t="s">
        <v>104</v>
      </c>
      <c r="Q145">
        <v>1000</v>
      </c>
      <c r="X145">
        <v>1E-3</v>
      </c>
      <c r="Y145">
        <v>6521.42</v>
      </c>
      <c r="Z145">
        <v>0</v>
      </c>
      <c r="AA145">
        <v>0</v>
      </c>
      <c r="AB145">
        <v>0</v>
      </c>
      <c r="AC145">
        <v>0</v>
      </c>
      <c r="AD145">
        <v>1</v>
      </c>
      <c r="AE145">
        <v>0</v>
      </c>
      <c r="AF145" t="s">
        <v>3</v>
      </c>
      <c r="AG145">
        <v>1E-3</v>
      </c>
      <c r="AH145">
        <v>2</v>
      </c>
      <c r="AI145">
        <v>43136576</v>
      </c>
      <c r="AJ145">
        <v>147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</row>
    <row r="146" spans="1:44" x14ac:dyDescent="0.2">
      <c r="A146">
        <f>ROW(Source!A154)</f>
        <v>154</v>
      </c>
      <c r="B146">
        <v>43136577</v>
      </c>
      <c r="C146">
        <v>42938309</v>
      </c>
      <c r="D146">
        <v>36020522</v>
      </c>
      <c r="E146">
        <v>1</v>
      </c>
      <c r="F146">
        <v>1</v>
      </c>
      <c r="G146">
        <v>35973048</v>
      </c>
      <c r="H146">
        <v>3</v>
      </c>
      <c r="I146" t="s">
        <v>1344</v>
      </c>
      <c r="J146" t="s">
        <v>1345</v>
      </c>
      <c r="K146" t="s">
        <v>1346</v>
      </c>
      <c r="L146">
        <v>1339</v>
      </c>
      <c r="N146">
        <v>1007</v>
      </c>
      <c r="O146" t="s">
        <v>84</v>
      </c>
      <c r="P146" t="s">
        <v>84</v>
      </c>
      <c r="Q146">
        <v>1</v>
      </c>
      <c r="X146">
        <v>0.17</v>
      </c>
      <c r="Y146">
        <v>1828.56</v>
      </c>
      <c r="Z146">
        <v>0</v>
      </c>
      <c r="AA146">
        <v>0</v>
      </c>
      <c r="AB146">
        <v>0</v>
      </c>
      <c r="AC146">
        <v>0</v>
      </c>
      <c r="AD146">
        <v>1</v>
      </c>
      <c r="AE146">
        <v>0</v>
      </c>
      <c r="AF146" t="s">
        <v>3</v>
      </c>
      <c r="AG146">
        <v>0.17</v>
      </c>
      <c r="AH146">
        <v>2</v>
      </c>
      <c r="AI146">
        <v>43136577</v>
      </c>
      <c r="AJ146">
        <v>149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</row>
    <row r="147" spans="1:44" x14ac:dyDescent="0.2">
      <c r="A147">
        <f>ROW(Source!A154)</f>
        <v>154</v>
      </c>
      <c r="B147">
        <v>43136578</v>
      </c>
      <c r="C147">
        <v>42938309</v>
      </c>
      <c r="D147">
        <v>36038791</v>
      </c>
      <c r="E147">
        <v>1</v>
      </c>
      <c r="F147">
        <v>1</v>
      </c>
      <c r="G147">
        <v>35973048</v>
      </c>
      <c r="H147">
        <v>3</v>
      </c>
      <c r="I147" t="s">
        <v>107</v>
      </c>
      <c r="J147" t="s">
        <v>109</v>
      </c>
      <c r="K147" t="s">
        <v>108</v>
      </c>
      <c r="L147">
        <v>1339</v>
      </c>
      <c r="N147">
        <v>1007</v>
      </c>
      <c r="O147" t="s">
        <v>84</v>
      </c>
      <c r="P147" t="s">
        <v>84</v>
      </c>
      <c r="Q147">
        <v>1</v>
      </c>
      <c r="X147">
        <v>4.8</v>
      </c>
      <c r="Y147">
        <v>704.89</v>
      </c>
      <c r="Z147">
        <v>0</v>
      </c>
      <c r="AA147">
        <v>0</v>
      </c>
      <c r="AB147">
        <v>0</v>
      </c>
      <c r="AC147">
        <v>0</v>
      </c>
      <c r="AD147">
        <v>1</v>
      </c>
      <c r="AE147">
        <v>0</v>
      </c>
      <c r="AF147" t="s">
        <v>3</v>
      </c>
      <c r="AG147">
        <v>4.8</v>
      </c>
      <c r="AH147">
        <v>2</v>
      </c>
      <c r="AI147">
        <v>43136578</v>
      </c>
      <c r="AJ147">
        <v>150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</row>
    <row r="148" spans="1:44" x14ac:dyDescent="0.2">
      <c r="A148">
        <f>ROW(Source!A154)</f>
        <v>154</v>
      </c>
      <c r="B148">
        <v>43136579</v>
      </c>
      <c r="C148">
        <v>42938309</v>
      </c>
      <c r="D148">
        <v>36038925</v>
      </c>
      <c r="E148">
        <v>1</v>
      </c>
      <c r="F148">
        <v>1</v>
      </c>
      <c r="G148">
        <v>35973048</v>
      </c>
      <c r="H148">
        <v>3</v>
      </c>
      <c r="I148" t="s">
        <v>1347</v>
      </c>
      <c r="J148" t="s">
        <v>1348</v>
      </c>
      <c r="K148" t="s">
        <v>1349</v>
      </c>
      <c r="L148">
        <v>1339</v>
      </c>
      <c r="N148">
        <v>1007</v>
      </c>
      <c r="O148" t="s">
        <v>84</v>
      </c>
      <c r="P148" t="s">
        <v>84</v>
      </c>
      <c r="Q148">
        <v>1</v>
      </c>
      <c r="X148">
        <v>0.02</v>
      </c>
      <c r="Y148">
        <v>451.14</v>
      </c>
      <c r="Z148">
        <v>0</v>
      </c>
      <c r="AA148">
        <v>0</v>
      </c>
      <c r="AB148">
        <v>0</v>
      </c>
      <c r="AC148">
        <v>0</v>
      </c>
      <c r="AD148">
        <v>1</v>
      </c>
      <c r="AE148">
        <v>0</v>
      </c>
      <c r="AF148" t="s">
        <v>3</v>
      </c>
      <c r="AG148">
        <v>0.02</v>
      </c>
      <c r="AH148">
        <v>2</v>
      </c>
      <c r="AI148">
        <v>43136579</v>
      </c>
      <c r="AJ148">
        <v>152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</row>
    <row r="149" spans="1:44" x14ac:dyDescent="0.2">
      <c r="A149">
        <f>ROW(Source!A154)</f>
        <v>154</v>
      </c>
      <c r="B149">
        <v>43136580</v>
      </c>
      <c r="C149">
        <v>42938309</v>
      </c>
      <c r="D149">
        <v>35987607</v>
      </c>
      <c r="E149">
        <v>35973048</v>
      </c>
      <c r="F149">
        <v>1</v>
      </c>
      <c r="G149">
        <v>35973048</v>
      </c>
      <c r="H149">
        <v>3</v>
      </c>
      <c r="I149" t="s">
        <v>1488</v>
      </c>
      <c r="J149" t="s">
        <v>3</v>
      </c>
      <c r="K149" t="s">
        <v>1489</v>
      </c>
      <c r="L149">
        <v>1339</v>
      </c>
      <c r="N149">
        <v>1007</v>
      </c>
      <c r="O149" t="s">
        <v>84</v>
      </c>
      <c r="P149" t="s">
        <v>84</v>
      </c>
      <c r="Q149">
        <v>1</v>
      </c>
      <c r="X149">
        <v>1.6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 t="s">
        <v>3</v>
      </c>
      <c r="AG149">
        <v>1.6</v>
      </c>
      <c r="AH149">
        <v>3</v>
      </c>
      <c r="AI149">
        <v>-1</v>
      </c>
      <c r="AJ149" t="s">
        <v>3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</row>
    <row r="150" spans="1:44" x14ac:dyDescent="0.2">
      <c r="A150">
        <f>ROW(Source!A159)</f>
        <v>159</v>
      </c>
      <c r="B150">
        <v>42938661</v>
      </c>
      <c r="C150">
        <v>42938310</v>
      </c>
      <c r="D150">
        <v>35973762</v>
      </c>
      <c r="E150">
        <v>35973048</v>
      </c>
      <c r="F150">
        <v>1</v>
      </c>
      <c r="G150">
        <v>35973048</v>
      </c>
      <c r="H150">
        <v>2</v>
      </c>
      <c r="I150" t="s">
        <v>1243</v>
      </c>
      <c r="J150" t="s">
        <v>3</v>
      </c>
      <c r="K150" t="s">
        <v>1244</v>
      </c>
      <c r="L150">
        <v>1344</v>
      </c>
      <c r="N150">
        <v>1008</v>
      </c>
      <c r="O150" t="s">
        <v>1245</v>
      </c>
      <c r="P150" t="s">
        <v>1245</v>
      </c>
      <c r="Q150">
        <v>1</v>
      </c>
      <c r="X150">
        <v>8.86</v>
      </c>
      <c r="Y150">
        <v>0</v>
      </c>
      <c r="Z150">
        <v>1</v>
      </c>
      <c r="AA150">
        <v>0</v>
      </c>
      <c r="AB150">
        <v>0</v>
      </c>
      <c r="AC150">
        <v>0</v>
      </c>
      <c r="AD150">
        <v>1</v>
      </c>
      <c r="AE150">
        <v>0</v>
      </c>
      <c r="AF150" t="s">
        <v>3</v>
      </c>
      <c r="AG150">
        <v>8.86</v>
      </c>
      <c r="AH150">
        <v>2</v>
      </c>
      <c r="AI150">
        <v>42938661</v>
      </c>
      <c r="AJ150">
        <v>153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</row>
    <row r="151" spans="1:44" x14ac:dyDescent="0.2">
      <c r="A151">
        <f>ROW(Source!A160)</f>
        <v>160</v>
      </c>
      <c r="B151">
        <v>42938664</v>
      </c>
      <c r="C151">
        <v>42938662</v>
      </c>
      <c r="D151">
        <v>36759507</v>
      </c>
      <c r="E151">
        <v>1</v>
      </c>
      <c r="F151">
        <v>1</v>
      </c>
      <c r="G151">
        <v>35973048</v>
      </c>
      <c r="H151">
        <v>2</v>
      </c>
      <c r="I151" t="s">
        <v>1329</v>
      </c>
      <c r="J151" t="s">
        <v>1330</v>
      </c>
      <c r="K151" t="s">
        <v>1331</v>
      </c>
      <c r="L151">
        <v>1367</v>
      </c>
      <c r="N151">
        <v>1011</v>
      </c>
      <c r="O151" t="s">
        <v>738</v>
      </c>
      <c r="P151" t="s">
        <v>738</v>
      </c>
      <c r="Q151">
        <v>1</v>
      </c>
      <c r="X151">
        <v>1</v>
      </c>
      <c r="Y151">
        <v>0</v>
      </c>
      <c r="Z151">
        <v>115.66</v>
      </c>
      <c r="AA151">
        <v>14.4</v>
      </c>
      <c r="AB151">
        <v>0</v>
      </c>
      <c r="AC151">
        <v>0</v>
      </c>
      <c r="AD151">
        <v>1</v>
      </c>
      <c r="AE151">
        <v>0</v>
      </c>
      <c r="AF151" t="s">
        <v>3</v>
      </c>
      <c r="AG151">
        <v>1</v>
      </c>
      <c r="AH151">
        <v>2</v>
      </c>
      <c r="AI151">
        <v>42938664</v>
      </c>
      <c r="AJ151">
        <v>154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</row>
    <row r="152" spans="1:44" x14ac:dyDescent="0.2">
      <c r="A152">
        <f>ROW(Source!A161)</f>
        <v>161</v>
      </c>
      <c r="B152">
        <v>42938666</v>
      </c>
      <c r="C152">
        <v>42938665</v>
      </c>
      <c r="D152">
        <v>35973762</v>
      </c>
      <c r="E152">
        <v>35973048</v>
      </c>
      <c r="F152">
        <v>1</v>
      </c>
      <c r="G152">
        <v>35973048</v>
      </c>
      <c r="H152">
        <v>2</v>
      </c>
      <c r="I152" t="s">
        <v>1243</v>
      </c>
      <c r="J152" t="s">
        <v>3</v>
      </c>
      <c r="K152" t="s">
        <v>1244</v>
      </c>
      <c r="L152">
        <v>1344</v>
      </c>
      <c r="N152">
        <v>1008</v>
      </c>
      <c r="O152" t="s">
        <v>1245</v>
      </c>
      <c r="P152" t="s">
        <v>1245</v>
      </c>
      <c r="Q152">
        <v>1</v>
      </c>
      <c r="X152">
        <v>21.71</v>
      </c>
      <c r="Y152">
        <v>0</v>
      </c>
      <c r="Z152">
        <v>1</v>
      </c>
      <c r="AA152">
        <v>0</v>
      </c>
      <c r="AB152">
        <v>0</v>
      </c>
      <c r="AC152">
        <v>0</v>
      </c>
      <c r="AD152">
        <v>1</v>
      </c>
      <c r="AE152">
        <v>0</v>
      </c>
      <c r="AF152" t="s">
        <v>3</v>
      </c>
      <c r="AG152">
        <v>21.71</v>
      </c>
      <c r="AH152">
        <v>2</v>
      </c>
      <c r="AI152">
        <v>42938666</v>
      </c>
      <c r="AJ152">
        <v>155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</row>
    <row r="153" spans="1:44" x14ac:dyDescent="0.2">
      <c r="A153">
        <f>ROW(Source!A162)</f>
        <v>162</v>
      </c>
      <c r="B153">
        <v>43136703</v>
      </c>
      <c r="C153">
        <v>43136699</v>
      </c>
      <c r="D153">
        <v>36759504</v>
      </c>
      <c r="E153">
        <v>1</v>
      </c>
      <c r="F153">
        <v>1</v>
      </c>
      <c r="G153">
        <v>35973048</v>
      </c>
      <c r="H153">
        <v>2</v>
      </c>
      <c r="I153" t="s">
        <v>1332</v>
      </c>
      <c r="J153" t="s">
        <v>1333</v>
      </c>
      <c r="K153" t="s">
        <v>1334</v>
      </c>
      <c r="L153">
        <v>1367</v>
      </c>
      <c r="N153">
        <v>1011</v>
      </c>
      <c r="O153" t="s">
        <v>738</v>
      </c>
      <c r="P153" t="s">
        <v>738</v>
      </c>
      <c r="Q153">
        <v>1</v>
      </c>
      <c r="X153">
        <v>1</v>
      </c>
      <c r="Y153">
        <v>0</v>
      </c>
      <c r="Z153">
        <v>100.09</v>
      </c>
      <c r="AA153">
        <v>13.81</v>
      </c>
      <c r="AB153">
        <v>0</v>
      </c>
      <c r="AC153">
        <v>0</v>
      </c>
      <c r="AD153">
        <v>1</v>
      </c>
      <c r="AE153">
        <v>0</v>
      </c>
      <c r="AF153" t="s">
        <v>3</v>
      </c>
      <c r="AG153">
        <v>1</v>
      </c>
      <c r="AH153">
        <v>2</v>
      </c>
      <c r="AI153">
        <v>43136703</v>
      </c>
      <c r="AJ153">
        <v>156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</row>
    <row r="154" spans="1:44" x14ac:dyDescent="0.2">
      <c r="A154">
        <f>ROW(Source!A163)</f>
        <v>163</v>
      </c>
      <c r="B154">
        <v>43136705</v>
      </c>
      <c r="C154">
        <v>43136704</v>
      </c>
      <c r="D154">
        <v>35973762</v>
      </c>
      <c r="E154">
        <v>35973048</v>
      </c>
      <c r="F154">
        <v>1</v>
      </c>
      <c r="G154">
        <v>35973048</v>
      </c>
      <c r="H154">
        <v>2</v>
      </c>
      <c r="I154" t="s">
        <v>1243</v>
      </c>
      <c r="J154" t="s">
        <v>3</v>
      </c>
      <c r="K154" t="s">
        <v>1244</v>
      </c>
      <c r="L154">
        <v>1344</v>
      </c>
      <c r="N154">
        <v>1008</v>
      </c>
      <c r="O154" t="s">
        <v>1245</v>
      </c>
      <c r="P154" t="s">
        <v>1245</v>
      </c>
      <c r="Q154">
        <v>1</v>
      </c>
      <c r="X154">
        <v>12.61</v>
      </c>
      <c r="Y154">
        <v>0</v>
      </c>
      <c r="Z154">
        <v>1</v>
      </c>
      <c r="AA154">
        <v>0</v>
      </c>
      <c r="AB154">
        <v>0</v>
      </c>
      <c r="AC154">
        <v>0</v>
      </c>
      <c r="AD154">
        <v>1</v>
      </c>
      <c r="AE154">
        <v>0</v>
      </c>
      <c r="AF154" t="s">
        <v>3</v>
      </c>
      <c r="AG154">
        <v>12.61</v>
      </c>
      <c r="AH154">
        <v>2</v>
      </c>
      <c r="AI154">
        <v>43136705</v>
      </c>
      <c r="AJ154">
        <v>157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</row>
    <row r="155" spans="1:44" x14ac:dyDescent="0.2">
      <c r="A155">
        <f>ROW(Source!A199)</f>
        <v>199</v>
      </c>
      <c r="B155">
        <v>42938690</v>
      </c>
      <c r="C155">
        <v>42938667</v>
      </c>
      <c r="D155">
        <v>35973053</v>
      </c>
      <c r="E155">
        <v>35973048</v>
      </c>
      <c r="F155">
        <v>1</v>
      </c>
      <c r="G155">
        <v>35973048</v>
      </c>
      <c r="H155">
        <v>1</v>
      </c>
      <c r="I155" t="s">
        <v>1228</v>
      </c>
      <c r="J155" t="s">
        <v>3</v>
      </c>
      <c r="K155" t="s">
        <v>1229</v>
      </c>
      <c r="L155">
        <v>1191</v>
      </c>
      <c r="N155">
        <v>1013</v>
      </c>
      <c r="O155" t="s">
        <v>1230</v>
      </c>
      <c r="P155" t="s">
        <v>1230</v>
      </c>
      <c r="Q155">
        <v>1</v>
      </c>
      <c r="X155">
        <v>2.31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1</v>
      </c>
      <c r="AE155">
        <v>1</v>
      </c>
      <c r="AF155" t="s">
        <v>21</v>
      </c>
      <c r="AG155">
        <v>2.6564999999999999</v>
      </c>
      <c r="AH155">
        <v>2</v>
      </c>
      <c r="AI155">
        <v>42938690</v>
      </c>
      <c r="AJ155">
        <v>158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</row>
    <row r="156" spans="1:44" x14ac:dyDescent="0.2">
      <c r="A156">
        <f>ROW(Source!A200)</f>
        <v>200</v>
      </c>
      <c r="B156">
        <v>42938730</v>
      </c>
      <c r="C156">
        <v>42938724</v>
      </c>
      <c r="D156">
        <v>35973053</v>
      </c>
      <c r="E156">
        <v>35973048</v>
      </c>
      <c r="F156">
        <v>1</v>
      </c>
      <c r="G156">
        <v>35973048</v>
      </c>
      <c r="H156">
        <v>1</v>
      </c>
      <c r="I156" t="s">
        <v>1228</v>
      </c>
      <c r="J156" t="s">
        <v>3</v>
      </c>
      <c r="K156" t="s">
        <v>1229</v>
      </c>
      <c r="L156">
        <v>1191</v>
      </c>
      <c r="N156">
        <v>1013</v>
      </c>
      <c r="O156" t="s">
        <v>1230</v>
      </c>
      <c r="P156" t="s">
        <v>1230</v>
      </c>
      <c r="Q156">
        <v>1</v>
      </c>
      <c r="X156">
        <v>27.7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1</v>
      </c>
      <c r="AE156">
        <v>1</v>
      </c>
      <c r="AF156" t="s">
        <v>21</v>
      </c>
      <c r="AG156">
        <v>31.854999999999997</v>
      </c>
      <c r="AH156">
        <v>2</v>
      </c>
      <c r="AI156">
        <v>42938725</v>
      </c>
      <c r="AJ156">
        <v>159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</row>
    <row r="157" spans="1:44" x14ac:dyDescent="0.2">
      <c r="A157">
        <f>ROW(Source!A200)</f>
        <v>200</v>
      </c>
      <c r="B157">
        <v>42938731</v>
      </c>
      <c r="C157">
        <v>42938724</v>
      </c>
      <c r="D157">
        <v>36044488</v>
      </c>
      <c r="E157">
        <v>1</v>
      </c>
      <c r="F157">
        <v>1</v>
      </c>
      <c r="G157">
        <v>35973048</v>
      </c>
      <c r="H157">
        <v>2</v>
      </c>
      <c r="I157" t="s">
        <v>1252</v>
      </c>
      <c r="J157" t="s">
        <v>1253</v>
      </c>
      <c r="K157" t="s">
        <v>1254</v>
      </c>
      <c r="L157">
        <v>1367</v>
      </c>
      <c r="N157">
        <v>1011</v>
      </c>
      <c r="O157" t="s">
        <v>738</v>
      </c>
      <c r="P157" t="s">
        <v>738</v>
      </c>
      <c r="Q157">
        <v>1</v>
      </c>
      <c r="X157">
        <v>2.52</v>
      </c>
      <c r="Y157">
        <v>0</v>
      </c>
      <c r="Z157">
        <v>161.49</v>
      </c>
      <c r="AA157">
        <v>17.7</v>
      </c>
      <c r="AB157">
        <v>0</v>
      </c>
      <c r="AC157">
        <v>0</v>
      </c>
      <c r="AD157">
        <v>1</v>
      </c>
      <c r="AE157">
        <v>0</v>
      </c>
      <c r="AF157" t="s">
        <v>20</v>
      </c>
      <c r="AG157">
        <v>3.15</v>
      </c>
      <c r="AH157">
        <v>2</v>
      </c>
      <c r="AI157">
        <v>42938726</v>
      </c>
      <c r="AJ157">
        <v>160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</row>
    <row r="158" spans="1:44" x14ac:dyDescent="0.2">
      <c r="A158">
        <f>ROW(Source!A200)</f>
        <v>200</v>
      </c>
      <c r="B158">
        <v>42938732</v>
      </c>
      <c r="C158">
        <v>42938724</v>
      </c>
      <c r="D158">
        <v>36044727</v>
      </c>
      <c r="E158">
        <v>1</v>
      </c>
      <c r="F158">
        <v>1</v>
      </c>
      <c r="G158">
        <v>35973048</v>
      </c>
      <c r="H158">
        <v>2</v>
      </c>
      <c r="I158" t="s">
        <v>1291</v>
      </c>
      <c r="J158" t="s">
        <v>1292</v>
      </c>
      <c r="K158" t="s">
        <v>1293</v>
      </c>
      <c r="L158">
        <v>1367</v>
      </c>
      <c r="N158">
        <v>1011</v>
      </c>
      <c r="O158" t="s">
        <v>738</v>
      </c>
      <c r="P158" t="s">
        <v>738</v>
      </c>
      <c r="Q158">
        <v>1</v>
      </c>
      <c r="X158">
        <v>1.02</v>
      </c>
      <c r="Y158">
        <v>0</v>
      </c>
      <c r="Z158">
        <v>258.24</v>
      </c>
      <c r="AA158">
        <v>17.34</v>
      </c>
      <c r="AB158">
        <v>0</v>
      </c>
      <c r="AC158">
        <v>0</v>
      </c>
      <c r="AD158">
        <v>1</v>
      </c>
      <c r="AE158">
        <v>0</v>
      </c>
      <c r="AF158" t="s">
        <v>20</v>
      </c>
      <c r="AG158">
        <v>1.2749999999999999</v>
      </c>
      <c r="AH158">
        <v>2</v>
      </c>
      <c r="AI158">
        <v>42938727</v>
      </c>
      <c r="AJ158">
        <v>161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</row>
    <row r="159" spans="1:44" x14ac:dyDescent="0.2">
      <c r="A159">
        <f>ROW(Source!A200)</f>
        <v>200</v>
      </c>
      <c r="B159">
        <v>42938733</v>
      </c>
      <c r="C159">
        <v>42938724</v>
      </c>
      <c r="D159">
        <v>35986151</v>
      </c>
      <c r="E159">
        <v>35973048</v>
      </c>
      <c r="F159">
        <v>1</v>
      </c>
      <c r="G159">
        <v>35973048</v>
      </c>
      <c r="H159">
        <v>3</v>
      </c>
      <c r="I159" t="s">
        <v>1471</v>
      </c>
      <c r="J159" t="s">
        <v>3</v>
      </c>
      <c r="K159" t="s">
        <v>1472</v>
      </c>
      <c r="L159">
        <v>1330</v>
      </c>
      <c r="N159">
        <v>1005</v>
      </c>
      <c r="O159" t="s">
        <v>1473</v>
      </c>
      <c r="P159" t="s">
        <v>1473</v>
      </c>
      <c r="Q159">
        <v>10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 t="s">
        <v>3</v>
      </c>
      <c r="AG159">
        <v>0</v>
      </c>
      <c r="AH159">
        <v>3</v>
      </c>
      <c r="AI159">
        <v>-1</v>
      </c>
      <c r="AJ159" t="s">
        <v>3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</row>
    <row r="160" spans="1:44" x14ac:dyDescent="0.2">
      <c r="A160">
        <f>ROW(Source!A200)</f>
        <v>200</v>
      </c>
      <c r="B160">
        <v>42938734</v>
      </c>
      <c r="C160">
        <v>42938724</v>
      </c>
      <c r="D160">
        <v>35994366</v>
      </c>
      <c r="E160">
        <v>35973048</v>
      </c>
      <c r="F160">
        <v>1</v>
      </c>
      <c r="G160">
        <v>35973048</v>
      </c>
      <c r="H160">
        <v>3</v>
      </c>
      <c r="I160" t="s">
        <v>1294</v>
      </c>
      <c r="J160" t="s">
        <v>3</v>
      </c>
      <c r="K160" t="s">
        <v>1295</v>
      </c>
      <c r="L160">
        <v>1344</v>
      </c>
      <c r="N160">
        <v>1008</v>
      </c>
      <c r="O160" t="s">
        <v>1245</v>
      </c>
      <c r="P160" t="s">
        <v>1245</v>
      </c>
      <c r="Q160">
        <v>1</v>
      </c>
      <c r="X160">
        <v>0.49</v>
      </c>
      <c r="Y160">
        <v>1</v>
      </c>
      <c r="Z160">
        <v>0</v>
      </c>
      <c r="AA160">
        <v>0</v>
      </c>
      <c r="AB160">
        <v>0</v>
      </c>
      <c r="AC160">
        <v>0</v>
      </c>
      <c r="AD160">
        <v>1</v>
      </c>
      <c r="AE160">
        <v>0</v>
      </c>
      <c r="AF160" t="s">
        <v>3</v>
      </c>
      <c r="AG160">
        <v>0.49</v>
      </c>
      <c r="AH160">
        <v>2</v>
      </c>
      <c r="AI160">
        <v>42938729</v>
      </c>
      <c r="AJ160">
        <v>163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</row>
    <row r="161" spans="1:44" x14ac:dyDescent="0.2">
      <c r="A161">
        <f>ROW(Source!A202)</f>
        <v>202</v>
      </c>
      <c r="B161">
        <v>42938770</v>
      </c>
      <c r="C161">
        <v>42938746</v>
      </c>
      <c r="D161">
        <v>35973053</v>
      </c>
      <c r="E161">
        <v>35973048</v>
      </c>
      <c r="F161">
        <v>1</v>
      </c>
      <c r="G161">
        <v>35973048</v>
      </c>
      <c r="H161">
        <v>1</v>
      </c>
      <c r="I161" t="s">
        <v>1228</v>
      </c>
      <c r="J161" t="s">
        <v>3</v>
      </c>
      <c r="K161" t="s">
        <v>1229</v>
      </c>
      <c r="L161">
        <v>1191</v>
      </c>
      <c r="N161">
        <v>1013</v>
      </c>
      <c r="O161" t="s">
        <v>1230</v>
      </c>
      <c r="P161" t="s">
        <v>1230</v>
      </c>
      <c r="Q161">
        <v>1</v>
      </c>
      <c r="X161">
        <v>7.65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1</v>
      </c>
      <c r="AE161">
        <v>1</v>
      </c>
      <c r="AF161" t="s">
        <v>21</v>
      </c>
      <c r="AG161">
        <v>8.7974999999999994</v>
      </c>
      <c r="AH161">
        <v>2</v>
      </c>
      <c r="AI161">
        <v>42938770</v>
      </c>
      <c r="AJ161">
        <v>164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</row>
    <row r="162" spans="1:44" x14ac:dyDescent="0.2">
      <c r="A162">
        <f>ROW(Source!A202)</f>
        <v>202</v>
      </c>
      <c r="B162">
        <v>42938771</v>
      </c>
      <c r="C162">
        <v>42938746</v>
      </c>
      <c r="D162">
        <v>35973762</v>
      </c>
      <c r="E162">
        <v>35973048</v>
      </c>
      <c r="F162">
        <v>1</v>
      </c>
      <c r="G162">
        <v>35973048</v>
      </c>
      <c r="H162">
        <v>2</v>
      </c>
      <c r="I162" t="s">
        <v>1243</v>
      </c>
      <c r="J162" t="s">
        <v>3</v>
      </c>
      <c r="K162" t="s">
        <v>1244</v>
      </c>
      <c r="L162">
        <v>1344</v>
      </c>
      <c r="N162">
        <v>1008</v>
      </c>
      <c r="O162" t="s">
        <v>1245</v>
      </c>
      <c r="P162" t="s">
        <v>1245</v>
      </c>
      <c r="Q162">
        <v>1</v>
      </c>
      <c r="X162">
        <v>5.96</v>
      </c>
      <c r="Y162">
        <v>0</v>
      </c>
      <c r="Z162">
        <v>1</v>
      </c>
      <c r="AA162">
        <v>0</v>
      </c>
      <c r="AB162">
        <v>0</v>
      </c>
      <c r="AC162">
        <v>0</v>
      </c>
      <c r="AD162">
        <v>1</v>
      </c>
      <c r="AE162">
        <v>0</v>
      </c>
      <c r="AF162" t="s">
        <v>20</v>
      </c>
      <c r="AG162">
        <v>7.45</v>
      </c>
      <c r="AH162">
        <v>2</v>
      </c>
      <c r="AI162">
        <v>42938771</v>
      </c>
      <c r="AJ162">
        <v>165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</row>
    <row r="163" spans="1:44" x14ac:dyDescent="0.2">
      <c r="A163">
        <f>ROW(Source!A202)</f>
        <v>202</v>
      </c>
      <c r="B163">
        <v>42938772</v>
      </c>
      <c r="C163">
        <v>42938746</v>
      </c>
      <c r="D163">
        <v>36020428</v>
      </c>
      <c r="E163">
        <v>1</v>
      </c>
      <c r="F163">
        <v>1</v>
      </c>
      <c r="G163">
        <v>35973048</v>
      </c>
      <c r="H163">
        <v>3</v>
      </c>
      <c r="I163" t="s">
        <v>372</v>
      </c>
      <c r="J163" t="s">
        <v>374</v>
      </c>
      <c r="K163" t="s">
        <v>373</v>
      </c>
      <c r="L163">
        <v>1348</v>
      </c>
      <c r="N163">
        <v>1009</v>
      </c>
      <c r="O163" t="s">
        <v>104</v>
      </c>
      <c r="P163" t="s">
        <v>104</v>
      </c>
      <c r="Q163">
        <v>1000</v>
      </c>
      <c r="X163">
        <v>4.2000000000000002E-4</v>
      </c>
      <c r="Y163">
        <v>6521.42</v>
      </c>
      <c r="Z163">
        <v>0</v>
      </c>
      <c r="AA163">
        <v>0</v>
      </c>
      <c r="AB163">
        <v>0</v>
      </c>
      <c r="AC163">
        <v>0</v>
      </c>
      <c r="AD163">
        <v>1</v>
      </c>
      <c r="AE163">
        <v>0</v>
      </c>
      <c r="AF163" t="s">
        <v>3</v>
      </c>
      <c r="AG163">
        <v>4.2000000000000002E-4</v>
      </c>
      <c r="AH163">
        <v>2</v>
      </c>
      <c r="AI163">
        <v>42938772</v>
      </c>
      <c r="AJ163">
        <v>166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</row>
    <row r="164" spans="1:44" x14ac:dyDescent="0.2">
      <c r="A164">
        <f>ROW(Source!A202)</f>
        <v>202</v>
      </c>
      <c r="B164">
        <v>42938773</v>
      </c>
      <c r="C164">
        <v>42938746</v>
      </c>
      <c r="D164">
        <v>35986137</v>
      </c>
      <c r="E164">
        <v>35973048</v>
      </c>
      <c r="F164">
        <v>1</v>
      </c>
      <c r="G164">
        <v>35973048</v>
      </c>
      <c r="H164">
        <v>3</v>
      </c>
      <c r="I164" t="s">
        <v>1490</v>
      </c>
      <c r="J164" t="s">
        <v>3</v>
      </c>
      <c r="K164" t="s">
        <v>1491</v>
      </c>
      <c r="L164">
        <v>1301</v>
      </c>
      <c r="N164">
        <v>1003</v>
      </c>
      <c r="O164" t="s">
        <v>136</v>
      </c>
      <c r="P164" t="s">
        <v>136</v>
      </c>
      <c r="Q164">
        <v>1</v>
      </c>
      <c r="X164">
        <v>105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 t="s">
        <v>3</v>
      </c>
      <c r="AG164">
        <v>105</v>
      </c>
      <c r="AH164">
        <v>3</v>
      </c>
      <c r="AI164">
        <v>-1</v>
      </c>
      <c r="AJ164" t="s">
        <v>3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</row>
    <row r="165" spans="1:44" x14ac:dyDescent="0.2">
      <c r="A165">
        <f>ROW(Source!A202)</f>
        <v>202</v>
      </c>
      <c r="B165">
        <v>42938774</v>
      </c>
      <c r="C165">
        <v>42938746</v>
      </c>
      <c r="D165">
        <v>35994366</v>
      </c>
      <c r="E165">
        <v>35973048</v>
      </c>
      <c r="F165">
        <v>1</v>
      </c>
      <c r="G165">
        <v>35973048</v>
      </c>
      <c r="H165">
        <v>3</v>
      </c>
      <c r="I165" t="s">
        <v>1294</v>
      </c>
      <c r="J165" t="s">
        <v>3</v>
      </c>
      <c r="K165" t="s">
        <v>1295</v>
      </c>
      <c r="L165">
        <v>1344</v>
      </c>
      <c r="N165">
        <v>1008</v>
      </c>
      <c r="O165" t="s">
        <v>1245</v>
      </c>
      <c r="P165" t="s">
        <v>1245</v>
      </c>
      <c r="Q165">
        <v>1</v>
      </c>
      <c r="X165">
        <v>2.1</v>
      </c>
      <c r="Y165">
        <v>1</v>
      </c>
      <c r="Z165">
        <v>0</v>
      </c>
      <c r="AA165">
        <v>0</v>
      </c>
      <c r="AB165">
        <v>0</v>
      </c>
      <c r="AC165">
        <v>0</v>
      </c>
      <c r="AD165">
        <v>1</v>
      </c>
      <c r="AE165">
        <v>0</v>
      </c>
      <c r="AF165" t="s">
        <v>3</v>
      </c>
      <c r="AG165">
        <v>2.1</v>
      </c>
      <c r="AH165">
        <v>3</v>
      </c>
      <c r="AI165">
        <v>-1</v>
      </c>
      <c r="AJ165" t="s">
        <v>3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</row>
    <row r="166" spans="1:44" x14ac:dyDescent="0.2">
      <c r="A166">
        <f>ROW(Source!A206)</f>
        <v>206</v>
      </c>
      <c r="B166">
        <v>43136949</v>
      </c>
      <c r="C166">
        <v>43136948</v>
      </c>
      <c r="D166">
        <v>35973053</v>
      </c>
      <c r="E166">
        <v>35973048</v>
      </c>
      <c r="F166">
        <v>1</v>
      </c>
      <c r="G166">
        <v>35973048</v>
      </c>
      <c r="H166">
        <v>1</v>
      </c>
      <c r="I166" t="s">
        <v>1228</v>
      </c>
      <c r="J166" t="s">
        <v>3</v>
      </c>
      <c r="K166" t="s">
        <v>1229</v>
      </c>
      <c r="L166">
        <v>1191</v>
      </c>
      <c r="N166">
        <v>1013</v>
      </c>
      <c r="O166" t="s">
        <v>1230</v>
      </c>
      <c r="P166" t="s">
        <v>1230</v>
      </c>
      <c r="Q166">
        <v>1</v>
      </c>
      <c r="X166">
        <v>8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1</v>
      </c>
      <c r="AE166">
        <v>1</v>
      </c>
      <c r="AF166" t="s">
        <v>3</v>
      </c>
      <c r="AG166">
        <v>8</v>
      </c>
      <c r="AH166">
        <v>2</v>
      </c>
      <c r="AI166">
        <v>43136949</v>
      </c>
      <c r="AJ166">
        <v>169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</row>
    <row r="167" spans="1:44" x14ac:dyDescent="0.2">
      <c r="A167">
        <f>ROW(Source!A206)</f>
        <v>206</v>
      </c>
      <c r="B167">
        <v>43136950</v>
      </c>
      <c r="C167">
        <v>43136948</v>
      </c>
      <c r="D167">
        <v>35973762</v>
      </c>
      <c r="E167">
        <v>35973048</v>
      </c>
      <c r="F167">
        <v>1</v>
      </c>
      <c r="G167">
        <v>35973048</v>
      </c>
      <c r="H167">
        <v>2</v>
      </c>
      <c r="I167" t="s">
        <v>1243</v>
      </c>
      <c r="J167" t="s">
        <v>3</v>
      </c>
      <c r="K167" t="s">
        <v>1244</v>
      </c>
      <c r="L167">
        <v>1344</v>
      </c>
      <c r="N167">
        <v>1008</v>
      </c>
      <c r="O167" t="s">
        <v>1245</v>
      </c>
      <c r="P167" t="s">
        <v>1245</v>
      </c>
      <c r="Q167">
        <v>1</v>
      </c>
      <c r="X167">
        <v>35.380000000000003</v>
      </c>
      <c r="Y167">
        <v>0</v>
      </c>
      <c r="Z167">
        <v>1</v>
      </c>
      <c r="AA167">
        <v>0</v>
      </c>
      <c r="AB167">
        <v>0</v>
      </c>
      <c r="AC167">
        <v>0</v>
      </c>
      <c r="AD167">
        <v>1</v>
      </c>
      <c r="AE167">
        <v>0</v>
      </c>
      <c r="AF167" t="s">
        <v>3</v>
      </c>
      <c r="AG167">
        <v>35.380000000000003</v>
      </c>
      <c r="AH167">
        <v>2</v>
      </c>
      <c r="AI167">
        <v>43136950</v>
      </c>
      <c r="AJ167">
        <v>170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</row>
    <row r="168" spans="1:44" x14ac:dyDescent="0.2">
      <c r="A168">
        <f>ROW(Source!A206)</f>
        <v>206</v>
      </c>
      <c r="B168">
        <v>43136951</v>
      </c>
      <c r="C168">
        <v>43136948</v>
      </c>
      <c r="D168">
        <v>36022456</v>
      </c>
      <c r="E168">
        <v>1</v>
      </c>
      <c r="F168">
        <v>1</v>
      </c>
      <c r="G168">
        <v>35973048</v>
      </c>
      <c r="H168">
        <v>3</v>
      </c>
      <c r="I168" t="s">
        <v>388</v>
      </c>
      <c r="J168" t="s">
        <v>390</v>
      </c>
      <c r="K168" t="s">
        <v>389</v>
      </c>
      <c r="L168">
        <v>1339</v>
      </c>
      <c r="N168">
        <v>1007</v>
      </c>
      <c r="O168" t="s">
        <v>84</v>
      </c>
      <c r="P168" t="s">
        <v>84</v>
      </c>
      <c r="Q168">
        <v>1</v>
      </c>
      <c r="X168">
        <v>5.8</v>
      </c>
      <c r="Y168">
        <v>264.97000000000003</v>
      </c>
      <c r="Z168">
        <v>0</v>
      </c>
      <c r="AA168">
        <v>0</v>
      </c>
      <c r="AB168">
        <v>0</v>
      </c>
      <c r="AC168">
        <v>0</v>
      </c>
      <c r="AD168">
        <v>1</v>
      </c>
      <c r="AE168">
        <v>0</v>
      </c>
      <c r="AF168" t="s">
        <v>3</v>
      </c>
      <c r="AG168">
        <v>5.8</v>
      </c>
      <c r="AH168">
        <v>2</v>
      </c>
      <c r="AI168">
        <v>43136951</v>
      </c>
      <c r="AJ168">
        <v>171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</row>
    <row r="169" spans="1:44" x14ac:dyDescent="0.2">
      <c r="A169">
        <f>ROW(Source!A209)</f>
        <v>209</v>
      </c>
      <c r="B169">
        <v>43159288</v>
      </c>
      <c r="C169">
        <v>43136956</v>
      </c>
      <c r="D169">
        <v>35973053</v>
      </c>
      <c r="E169">
        <v>35973048</v>
      </c>
      <c r="F169">
        <v>1</v>
      </c>
      <c r="G169">
        <v>35973048</v>
      </c>
      <c r="H169">
        <v>1</v>
      </c>
      <c r="I169" t="s">
        <v>1228</v>
      </c>
      <c r="J169" t="s">
        <v>3</v>
      </c>
      <c r="K169" t="s">
        <v>1229</v>
      </c>
      <c r="L169">
        <v>1191</v>
      </c>
      <c r="N169">
        <v>1013</v>
      </c>
      <c r="O169" t="s">
        <v>1230</v>
      </c>
      <c r="P169" t="s">
        <v>1230</v>
      </c>
      <c r="Q169">
        <v>1</v>
      </c>
      <c r="X169">
        <v>1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1</v>
      </c>
      <c r="AE169">
        <v>1</v>
      </c>
      <c r="AF169" t="s">
        <v>400</v>
      </c>
      <c r="AG169">
        <v>5.75</v>
      </c>
      <c r="AH169">
        <v>2</v>
      </c>
      <c r="AI169">
        <v>43159288</v>
      </c>
      <c r="AJ169">
        <v>173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</row>
    <row r="170" spans="1:44" x14ac:dyDescent="0.2">
      <c r="A170">
        <f>ROW(Source!A209)</f>
        <v>209</v>
      </c>
      <c r="B170">
        <v>43159289</v>
      </c>
      <c r="C170">
        <v>43136956</v>
      </c>
      <c r="D170">
        <v>36022456</v>
      </c>
      <c r="E170">
        <v>1</v>
      </c>
      <c r="F170">
        <v>1</v>
      </c>
      <c r="G170">
        <v>35973048</v>
      </c>
      <c r="H170">
        <v>3</v>
      </c>
      <c r="I170" t="s">
        <v>388</v>
      </c>
      <c r="J170" t="s">
        <v>390</v>
      </c>
      <c r="K170" t="s">
        <v>389</v>
      </c>
      <c r="L170">
        <v>1339</v>
      </c>
      <c r="N170">
        <v>1007</v>
      </c>
      <c r="O170" t="s">
        <v>84</v>
      </c>
      <c r="P170" t="s">
        <v>84</v>
      </c>
      <c r="Q170">
        <v>1</v>
      </c>
      <c r="X170">
        <v>1.1599999999999999</v>
      </c>
      <c r="Y170">
        <v>264.97000000000003</v>
      </c>
      <c r="Z170">
        <v>0</v>
      </c>
      <c r="AA170">
        <v>0</v>
      </c>
      <c r="AB170">
        <v>0</v>
      </c>
      <c r="AC170">
        <v>0</v>
      </c>
      <c r="AD170">
        <v>1</v>
      </c>
      <c r="AE170">
        <v>0</v>
      </c>
      <c r="AF170" t="s">
        <v>398</v>
      </c>
      <c r="AG170">
        <v>5.8</v>
      </c>
      <c r="AH170">
        <v>2</v>
      </c>
      <c r="AI170">
        <v>43159289</v>
      </c>
      <c r="AJ170">
        <v>174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</row>
    <row r="171" spans="1:44" x14ac:dyDescent="0.2">
      <c r="A171">
        <f>ROW(Source!A212)</f>
        <v>212</v>
      </c>
      <c r="B171">
        <v>43136966</v>
      </c>
      <c r="C171">
        <v>43136964</v>
      </c>
      <c r="D171">
        <v>36759504</v>
      </c>
      <c r="E171">
        <v>1</v>
      </c>
      <c r="F171">
        <v>1</v>
      </c>
      <c r="G171">
        <v>35973048</v>
      </c>
      <c r="H171">
        <v>2</v>
      </c>
      <c r="I171" t="s">
        <v>1332</v>
      </c>
      <c r="J171" t="s">
        <v>1333</v>
      </c>
      <c r="K171" t="s">
        <v>1334</v>
      </c>
      <c r="L171">
        <v>1367</v>
      </c>
      <c r="N171">
        <v>1011</v>
      </c>
      <c r="O171" t="s">
        <v>738</v>
      </c>
      <c r="P171" t="s">
        <v>738</v>
      </c>
      <c r="Q171">
        <v>1</v>
      </c>
      <c r="X171">
        <v>1</v>
      </c>
      <c r="Y171">
        <v>0</v>
      </c>
      <c r="Z171">
        <v>100.09</v>
      </c>
      <c r="AA171">
        <v>13.81</v>
      </c>
      <c r="AB171">
        <v>0</v>
      </c>
      <c r="AC171">
        <v>0</v>
      </c>
      <c r="AD171">
        <v>1</v>
      </c>
      <c r="AE171">
        <v>0</v>
      </c>
      <c r="AF171" t="s">
        <v>3</v>
      </c>
      <c r="AG171">
        <v>1</v>
      </c>
      <c r="AH171">
        <v>2</v>
      </c>
      <c r="AI171">
        <v>43136966</v>
      </c>
      <c r="AJ171">
        <v>176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</row>
    <row r="172" spans="1:44" x14ac:dyDescent="0.2">
      <c r="A172">
        <f>ROW(Source!A213)</f>
        <v>213</v>
      </c>
      <c r="B172">
        <v>43136967</v>
      </c>
      <c r="C172">
        <v>43136965</v>
      </c>
      <c r="D172">
        <v>35973762</v>
      </c>
      <c r="E172">
        <v>35973048</v>
      </c>
      <c r="F172">
        <v>1</v>
      </c>
      <c r="G172">
        <v>35973048</v>
      </c>
      <c r="H172">
        <v>2</v>
      </c>
      <c r="I172" t="s">
        <v>1243</v>
      </c>
      <c r="J172" t="s">
        <v>3</v>
      </c>
      <c r="K172" t="s">
        <v>1244</v>
      </c>
      <c r="L172">
        <v>1344</v>
      </c>
      <c r="N172">
        <v>1008</v>
      </c>
      <c r="O172" t="s">
        <v>1245</v>
      </c>
      <c r="P172" t="s">
        <v>1245</v>
      </c>
      <c r="Q172">
        <v>1</v>
      </c>
      <c r="X172">
        <v>12.61</v>
      </c>
      <c r="Y172">
        <v>0</v>
      </c>
      <c r="Z172">
        <v>1</v>
      </c>
      <c r="AA172">
        <v>0</v>
      </c>
      <c r="AB172">
        <v>0</v>
      </c>
      <c r="AC172">
        <v>0</v>
      </c>
      <c r="AD172">
        <v>1</v>
      </c>
      <c r="AE172">
        <v>0</v>
      </c>
      <c r="AF172" t="s">
        <v>3</v>
      </c>
      <c r="AG172">
        <v>12.61</v>
      </c>
      <c r="AH172">
        <v>2</v>
      </c>
      <c r="AI172">
        <v>43136967</v>
      </c>
      <c r="AJ172">
        <v>177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</row>
    <row r="173" spans="1:44" x14ac:dyDescent="0.2">
      <c r="A173">
        <f>ROW(Source!A249)</f>
        <v>249</v>
      </c>
      <c r="B173">
        <v>43143081</v>
      </c>
      <c r="C173">
        <v>42939399</v>
      </c>
      <c r="D173">
        <v>35973053</v>
      </c>
      <c r="E173">
        <v>35973048</v>
      </c>
      <c r="F173">
        <v>1</v>
      </c>
      <c r="G173">
        <v>35973048</v>
      </c>
      <c r="H173">
        <v>1</v>
      </c>
      <c r="I173" t="s">
        <v>1228</v>
      </c>
      <c r="J173" t="s">
        <v>3</v>
      </c>
      <c r="K173" t="s">
        <v>1229</v>
      </c>
      <c r="L173">
        <v>1191</v>
      </c>
      <c r="N173">
        <v>1013</v>
      </c>
      <c r="O173" t="s">
        <v>1230</v>
      </c>
      <c r="P173" t="s">
        <v>1230</v>
      </c>
      <c r="Q173">
        <v>1</v>
      </c>
      <c r="X173">
        <v>14.26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1</v>
      </c>
      <c r="AE173">
        <v>1</v>
      </c>
      <c r="AF173" t="s">
        <v>3</v>
      </c>
      <c r="AG173">
        <v>14.26</v>
      </c>
      <c r="AH173">
        <v>2</v>
      </c>
      <c r="AI173">
        <v>43143081</v>
      </c>
      <c r="AJ173">
        <v>178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</row>
    <row r="174" spans="1:44" x14ac:dyDescent="0.2">
      <c r="A174">
        <f>ROW(Source!A249)</f>
        <v>249</v>
      </c>
      <c r="B174">
        <v>43143082</v>
      </c>
      <c r="C174">
        <v>42939399</v>
      </c>
      <c r="D174">
        <v>35973762</v>
      </c>
      <c r="E174">
        <v>35973048</v>
      </c>
      <c r="F174">
        <v>1</v>
      </c>
      <c r="G174">
        <v>35973048</v>
      </c>
      <c r="H174">
        <v>2</v>
      </c>
      <c r="I174" t="s">
        <v>1243</v>
      </c>
      <c r="J174" t="s">
        <v>3</v>
      </c>
      <c r="K174" t="s">
        <v>1244</v>
      </c>
      <c r="L174">
        <v>1344</v>
      </c>
      <c r="N174">
        <v>1008</v>
      </c>
      <c r="O174" t="s">
        <v>1245</v>
      </c>
      <c r="P174" t="s">
        <v>1245</v>
      </c>
      <c r="Q174">
        <v>1</v>
      </c>
      <c r="X174">
        <v>0.02</v>
      </c>
      <c r="Y174">
        <v>0</v>
      </c>
      <c r="Z174">
        <v>1</v>
      </c>
      <c r="AA174">
        <v>0</v>
      </c>
      <c r="AB174">
        <v>0</v>
      </c>
      <c r="AC174">
        <v>0</v>
      </c>
      <c r="AD174">
        <v>1</v>
      </c>
      <c r="AE174">
        <v>0</v>
      </c>
      <c r="AF174" t="s">
        <v>3</v>
      </c>
      <c r="AG174">
        <v>0.02</v>
      </c>
      <c r="AH174">
        <v>2</v>
      </c>
      <c r="AI174">
        <v>43143082</v>
      </c>
      <c r="AJ174">
        <v>179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</row>
    <row r="175" spans="1:44" x14ac:dyDescent="0.2">
      <c r="A175">
        <f>ROW(Source!A249)</f>
        <v>249</v>
      </c>
      <c r="B175">
        <v>43143083</v>
      </c>
      <c r="C175">
        <v>42939399</v>
      </c>
      <c r="D175">
        <v>35994352</v>
      </c>
      <c r="E175">
        <v>35973048</v>
      </c>
      <c r="F175">
        <v>1</v>
      </c>
      <c r="G175">
        <v>35973048</v>
      </c>
      <c r="H175">
        <v>3</v>
      </c>
      <c r="I175" t="s">
        <v>1350</v>
      </c>
      <c r="J175" t="s">
        <v>3</v>
      </c>
      <c r="K175" t="s">
        <v>1351</v>
      </c>
      <c r="L175">
        <v>1348</v>
      </c>
      <c r="N175">
        <v>1009</v>
      </c>
      <c r="O175" t="s">
        <v>104</v>
      </c>
      <c r="P175" t="s">
        <v>104</v>
      </c>
      <c r="Q175">
        <v>1000</v>
      </c>
      <c r="X175">
        <v>3.62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1</v>
      </c>
      <c r="AE175">
        <v>0</v>
      </c>
      <c r="AF175" t="s">
        <v>3</v>
      </c>
      <c r="AG175">
        <v>3.62</v>
      </c>
      <c r="AH175">
        <v>2</v>
      </c>
      <c r="AI175">
        <v>43143083</v>
      </c>
      <c r="AJ175">
        <v>180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</row>
    <row r="176" spans="1:44" x14ac:dyDescent="0.2">
      <c r="A176">
        <f>ROW(Source!A250)</f>
        <v>250</v>
      </c>
      <c r="B176">
        <v>42939416</v>
      </c>
      <c r="C176">
        <v>42939356</v>
      </c>
      <c r="D176">
        <v>35973053</v>
      </c>
      <c r="E176">
        <v>35973048</v>
      </c>
      <c r="F176">
        <v>1</v>
      </c>
      <c r="G176">
        <v>35973048</v>
      </c>
      <c r="H176">
        <v>1</v>
      </c>
      <c r="I176" t="s">
        <v>1228</v>
      </c>
      <c r="J176" t="s">
        <v>3</v>
      </c>
      <c r="K176" t="s">
        <v>1229</v>
      </c>
      <c r="L176">
        <v>1191</v>
      </c>
      <c r="N176">
        <v>1013</v>
      </c>
      <c r="O176" t="s">
        <v>1230</v>
      </c>
      <c r="P176" t="s">
        <v>1230</v>
      </c>
      <c r="Q176">
        <v>1</v>
      </c>
      <c r="X176">
        <v>2.31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1</v>
      </c>
      <c r="AE176">
        <v>1</v>
      </c>
      <c r="AF176" t="s">
        <v>21</v>
      </c>
      <c r="AG176">
        <v>2.6564999999999999</v>
      </c>
      <c r="AH176">
        <v>2</v>
      </c>
      <c r="AI176">
        <v>42939416</v>
      </c>
      <c r="AJ176">
        <v>181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</row>
    <row r="177" spans="1:44" x14ac:dyDescent="0.2">
      <c r="A177">
        <f>ROW(Source!A251)</f>
        <v>251</v>
      </c>
      <c r="B177">
        <v>42939419</v>
      </c>
      <c r="C177">
        <v>42939417</v>
      </c>
      <c r="D177">
        <v>35973053</v>
      </c>
      <c r="E177">
        <v>35973048</v>
      </c>
      <c r="F177">
        <v>1</v>
      </c>
      <c r="G177">
        <v>35973048</v>
      </c>
      <c r="H177">
        <v>1</v>
      </c>
      <c r="I177" t="s">
        <v>1228</v>
      </c>
      <c r="J177" t="s">
        <v>3</v>
      </c>
      <c r="K177" t="s">
        <v>1229</v>
      </c>
      <c r="L177">
        <v>1191</v>
      </c>
      <c r="N177">
        <v>1013</v>
      </c>
      <c r="O177" t="s">
        <v>1230</v>
      </c>
      <c r="P177" t="s">
        <v>1230</v>
      </c>
      <c r="Q177">
        <v>1</v>
      </c>
      <c r="X177">
        <v>27.7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1</v>
      </c>
      <c r="AE177">
        <v>1</v>
      </c>
      <c r="AF177" t="s">
        <v>21</v>
      </c>
      <c r="AG177">
        <v>31.854999999999997</v>
      </c>
      <c r="AH177">
        <v>2</v>
      </c>
      <c r="AI177">
        <v>42939419</v>
      </c>
      <c r="AJ177">
        <v>182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</row>
    <row r="178" spans="1:44" x14ac:dyDescent="0.2">
      <c r="A178">
        <f>ROW(Source!A251)</f>
        <v>251</v>
      </c>
      <c r="B178">
        <v>42939420</v>
      </c>
      <c r="C178">
        <v>42939417</v>
      </c>
      <c r="D178">
        <v>36044488</v>
      </c>
      <c r="E178">
        <v>1</v>
      </c>
      <c r="F178">
        <v>1</v>
      </c>
      <c r="G178">
        <v>35973048</v>
      </c>
      <c r="H178">
        <v>2</v>
      </c>
      <c r="I178" t="s">
        <v>1252</v>
      </c>
      <c r="J178" t="s">
        <v>1253</v>
      </c>
      <c r="K178" t="s">
        <v>1254</v>
      </c>
      <c r="L178">
        <v>1367</v>
      </c>
      <c r="N178">
        <v>1011</v>
      </c>
      <c r="O178" t="s">
        <v>738</v>
      </c>
      <c r="P178" t="s">
        <v>738</v>
      </c>
      <c r="Q178">
        <v>1</v>
      </c>
      <c r="X178">
        <v>2.52</v>
      </c>
      <c r="Y178">
        <v>0</v>
      </c>
      <c r="Z178">
        <v>161.49</v>
      </c>
      <c r="AA178">
        <v>17.7</v>
      </c>
      <c r="AB178">
        <v>0</v>
      </c>
      <c r="AC178">
        <v>0</v>
      </c>
      <c r="AD178">
        <v>1</v>
      </c>
      <c r="AE178">
        <v>0</v>
      </c>
      <c r="AF178" t="s">
        <v>20</v>
      </c>
      <c r="AG178">
        <v>3.15</v>
      </c>
      <c r="AH178">
        <v>2</v>
      </c>
      <c r="AI178">
        <v>42939420</v>
      </c>
      <c r="AJ178">
        <v>183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</row>
    <row r="179" spans="1:44" x14ac:dyDescent="0.2">
      <c r="A179">
        <f>ROW(Source!A251)</f>
        <v>251</v>
      </c>
      <c r="B179">
        <v>42939421</v>
      </c>
      <c r="C179">
        <v>42939417</v>
      </c>
      <c r="D179">
        <v>36044727</v>
      </c>
      <c r="E179">
        <v>1</v>
      </c>
      <c r="F179">
        <v>1</v>
      </c>
      <c r="G179">
        <v>35973048</v>
      </c>
      <c r="H179">
        <v>2</v>
      </c>
      <c r="I179" t="s">
        <v>1291</v>
      </c>
      <c r="J179" t="s">
        <v>1292</v>
      </c>
      <c r="K179" t="s">
        <v>1293</v>
      </c>
      <c r="L179">
        <v>1367</v>
      </c>
      <c r="N179">
        <v>1011</v>
      </c>
      <c r="O179" t="s">
        <v>738</v>
      </c>
      <c r="P179" t="s">
        <v>738</v>
      </c>
      <c r="Q179">
        <v>1</v>
      </c>
      <c r="X179">
        <v>1.02</v>
      </c>
      <c r="Y179">
        <v>0</v>
      </c>
      <c r="Z179">
        <v>258.24</v>
      </c>
      <c r="AA179">
        <v>17.34</v>
      </c>
      <c r="AB179">
        <v>0</v>
      </c>
      <c r="AC179">
        <v>0</v>
      </c>
      <c r="AD179">
        <v>1</v>
      </c>
      <c r="AE179">
        <v>0</v>
      </c>
      <c r="AF179" t="s">
        <v>20</v>
      </c>
      <c r="AG179">
        <v>1.2749999999999999</v>
      </c>
      <c r="AH179">
        <v>2</v>
      </c>
      <c r="AI179">
        <v>42939421</v>
      </c>
      <c r="AJ179">
        <v>184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</row>
    <row r="180" spans="1:44" x14ac:dyDescent="0.2">
      <c r="A180">
        <f>ROW(Source!A251)</f>
        <v>251</v>
      </c>
      <c r="B180">
        <v>42939422</v>
      </c>
      <c r="C180">
        <v>42939417</v>
      </c>
      <c r="D180">
        <v>35986151</v>
      </c>
      <c r="E180">
        <v>35973048</v>
      </c>
      <c r="F180">
        <v>1</v>
      </c>
      <c r="G180">
        <v>35973048</v>
      </c>
      <c r="H180">
        <v>3</v>
      </c>
      <c r="I180" t="s">
        <v>1471</v>
      </c>
      <c r="J180" t="s">
        <v>3</v>
      </c>
      <c r="K180" t="s">
        <v>1472</v>
      </c>
      <c r="L180">
        <v>1330</v>
      </c>
      <c r="N180">
        <v>1005</v>
      </c>
      <c r="O180" t="s">
        <v>1473</v>
      </c>
      <c r="P180" t="s">
        <v>1473</v>
      </c>
      <c r="Q180">
        <v>10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 t="s">
        <v>3</v>
      </c>
      <c r="AG180">
        <v>0</v>
      </c>
      <c r="AH180">
        <v>3</v>
      </c>
      <c r="AI180">
        <v>-1</v>
      </c>
      <c r="AJ180" t="s">
        <v>3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</row>
    <row r="181" spans="1:44" x14ac:dyDescent="0.2">
      <c r="A181">
        <f>ROW(Source!A251)</f>
        <v>251</v>
      </c>
      <c r="B181">
        <v>42939423</v>
      </c>
      <c r="C181">
        <v>42939417</v>
      </c>
      <c r="D181">
        <v>35994366</v>
      </c>
      <c r="E181">
        <v>35973048</v>
      </c>
      <c r="F181">
        <v>1</v>
      </c>
      <c r="G181">
        <v>35973048</v>
      </c>
      <c r="H181">
        <v>3</v>
      </c>
      <c r="I181" t="s">
        <v>1294</v>
      </c>
      <c r="J181" t="s">
        <v>3</v>
      </c>
      <c r="K181" t="s">
        <v>1295</v>
      </c>
      <c r="L181">
        <v>1344</v>
      </c>
      <c r="N181">
        <v>1008</v>
      </c>
      <c r="O181" t="s">
        <v>1245</v>
      </c>
      <c r="P181" t="s">
        <v>1245</v>
      </c>
      <c r="Q181">
        <v>1</v>
      </c>
      <c r="X181">
        <v>0.49</v>
      </c>
      <c r="Y181">
        <v>1</v>
      </c>
      <c r="Z181">
        <v>0</v>
      </c>
      <c r="AA181">
        <v>0</v>
      </c>
      <c r="AB181">
        <v>0</v>
      </c>
      <c r="AC181">
        <v>0</v>
      </c>
      <c r="AD181">
        <v>1</v>
      </c>
      <c r="AE181">
        <v>0</v>
      </c>
      <c r="AF181" t="s">
        <v>3</v>
      </c>
      <c r="AG181">
        <v>0.49</v>
      </c>
      <c r="AH181">
        <v>2</v>
      </c>
      <c r="AI181">
        <v>42939423</v>
      </c>
      <c r="AJ181">
        <v>186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</row>
    <row r="182" spans="1:44" x14ac:dyDescent="0.2">
      <c r="A182">
        <f>ROW(Source!A253)</f>
        <v>253</v>
      </c>
      <c r="B182">
        <v>42939432</v>
      </c>
      <c r="C182">
        <v>42939427</v>
      </c>
      <c r="D182">
        <v>35973053</v>
      </c>
      <c r="E182">
        <v>35973048</v>
      </c>
      <c r="F182">
        <v>1</v>
      </c>
      <c r="G182">
        <v>35973048</v>
      </c>
      <c r="H182">
        <v>1</v>
      </c>
      <c r="I182" t="s">
        <v>1228</v>
      </c>
      <c r="J182" t="s">
        <v>3</v>
      </c>
      <c r="K182" t="s">
        <v>1229</v>
      </c>
      <c r="L182">
        <v>1191</v>
      </c>
      <c r="N182">
        <v>1013</v>
      </c>
      <c r="O182" t="s">
        <v>1230</v>
      </c>
      <c r="P182" t="s">
        <v>1230</v>
      </c>
      <c r="Q182">
        <v>1</v>
      </c>
      <c r="X182">
        <v>7.65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1</v>
      </c>
      <c r="AE182">
        <v>1</v>
      </c>
      <c r="AF182" t="s">
        <v>21</v>
      </c>
      <c r="AG182">
        <v>8.7974999999999994</v>
      </c>
      <c r="AH182">
        <v>2</v>
      </c>
      <c r="AI182">
        <v>42939428</v>
      </c>
      <c r="AJ182">
        <v>187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</row>
    <row r="183" spans="1:44" x14ac:dyDescent="0.2">
      <c r="A183">
        <f>ROW(Source!A253)</f>
        <v>253</v>
      </c>
      <c r="B183">
        <v>42939433</v>
      </c>
      <c r="C183">
        <v>42939427</v>
      </c>
      <c r="D183">
        <v>35973762</v>
      </c>
      <c r="E183">
        <v>35973048</v>
      </c>
      <c r="F183">
        <v>1</v>
      </c>
      <c r="G183">
        <v>35973048</v>
      </c>
      <c r="H183">
        <v>2</v>
      </c>
      <c r="I183" t="s">
        <v>1243</v>
      </c>
      <c r="J183" t="s">
        <v>3</v>
      </c>
      <c r="K183" t="s">
        <v>1244</v>
      </c>
      <c r="L183">
        <v>1344</v>
      </c>
      <c r="N183">
        <v>1008</v>
      </c>
      <c r="O183" t="s">
        <v>1245</v>
      </c>
      <c r="P183" t="s">
        <v>1245</v>
      </c>
      <c r="Q183">
        <v>1</v>
      </c>
      <c r="X183">
        <v>5.96</v>
      </c>
      <c r="Y183">
        <v>0</v>
      </c>
      <c r="Z183">
        <v>1</v>
      </c>
      <c r="AA183">
        <v>0</v>
      </c>
      <c r="AB183">
        <v>0</v>
      </c>
      <c r="AC183">
        <v>0</v>
      </c>
      <c r="AD183">
        <v>1</v>
      </c>
      <c r="AE183">
        <v>0</v>
      </c>
      <c r="AF183" t="s">
        <v>20</v>
      </c>
      <c r="AG183">
        <v>7.45</v>
      </c>
      <c r="AH183">
        <v>2</v>
      </c>
      <c r="AI183">
        <v>42939429</v>
      </c>
      <c r="AJ183">
        <v>188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</row>
    <row r="184" spans="1:44" x14ac:dyDescent="0.2">
      <c r="A184">
        <f>ROW(Source!A253)</f>
        <v>253</v>
      </c>
      <c r="B184">
        <v>42939434</v>
      </c>
      <c r="C184">
        <v>42939427</v>
      </c>
      <c r="D184">
        <v>36020428</v>
      </c>
      <c r="E184">
        <v>1</v>
      </c>
      <c r="F184">
        <v>1</v>
      </c>
      <c r="G184">
        <v>35973048</v>
      </c>
      <c r="H184">
        <v>3</v>
      </c>
      <c r="I184" t="s">
        <v>372</v>
      </c>
      <c r="J184" t="s">
        <v>374</v>
      </c>
      <c r="K184" t="s">
        <v>373</v>
      </c>
      <c r="L184">
        <v>1348</v>
      </c>
      <c r="N184">
        <v>1009</v>
      </c>
      <c r="O184" t="s">
        <v>104</v>
      </c>
      <c r="P184" t="s">
        <v>104</v>
      </c>
      <c r="Q184">
        <v>1000</v>
      </c>
      <c r="X184">
        <v>4.2000000000000002E-4</v>
      </c>
      <c r="Y184">
        <v>6521.42</v>
      </c>
      <c r="Z184">
        <v>0</v>
      </c>
      <c r="AA184">
        <v>0</v>
      </c>
      <c r="AB184">
        <v>0</v>
      </c>
      <c r="AC184">
        <v>0</v>
      </c>
      <c r="AD184">
        <v>1</v>
      </c>
      <c r="AE184">
        <v>0</v>
      </c>
      <c r="AF184" t="s">
        <v>3</v>
      </c>
      <c r="AG184">
        <v>4.2000000000000002E-4</v>
      </c>
      <c r="AH184">
        <v>2</v>
      </c>
      <c r="AI184">
        <v>42939430</v>
      </c>
      <c r="AJ184">
        <v>189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</row>
    <row r="185" spans="1:44" x14ac:dyDescent="0.2">
      <c r="A185">
        <f>ROW(Source!A253)</f>
        <v>253</v>
      </c>
      <c r="B185">
        <v>42939435</v>
      </c>
      <c r="C185">
        <v>42939427</v>
      </c>
      <c r="D185">
        <v>35986137</v>
      </c>
      <c r="E185">
        <v>35973048</v>
      </c>
      <c r="F185">
        <v>1</v>
      </c>
      <c r="G185">
        <v>35973048</v>
      </c>
      <c r="H185">
        <v>3</v>
      </c>
      <c r="I185" t="s">
        <v>1490</v>
      </c>
      <c r="J185" t="s">
        <v>3</v>
      </c>
      <c r="K185" t="s">
        <v>1491</v>
      </c>
      <c r="L185">
        <v>1301</v>
      </c>
      <c r="N185">
        <v>1003</v>
      </c>
      <c r="O185" t="s">
        <v>136</v>
      </c>
      <c r="P185" t="s">
        <v>136</v>
      </c>
      <c r="Q185">
        <v>1</v>
      </c>
      <c r="X185">
        <v>105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 t="s">
        <v>3</v>
      </c>
      <c r="AG185">
        <v>105</v>
      </c>
      <c r="AH185">
        <v>3</v>
      </c>
      <c r="AI185">
        <v>-1</v>
      </c>
      <c r="AJ185" t="s">
        <v>3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</row>
    <row r="186" spans="1:44" x14ac:dyDescent="0.2">
      <c r="A186">
        <f>ROW(Source!A253)</f>
        <v>253</v>
      </c>
      <c r="B186">
        <v>42939436</v>
      </c>
      <c r="C186">
        <v>42939427</v>
      </c>
      <c r="D186">
        <v>35994366</v>
      </c>
      <c r="E186">
        <v>35973048</v>
      </c>
      <c r="F186">
        <v>1</v>
      </c>
      <c r="G186">
        <v>35973048</v>
      </c>
      <c r="H186">
        <v>3</v>
      </c>
      <c r="I186" t="s">
        <v>1294</v>
      </c>
      <c r="J186" t="s">
        <v>3</v>
      </c>
      <c r="K186" t="s">
        <v>1295</v>
      </c>
      <c r="L186">
        <v>1344</v>
      </c>
      <c r="N186">
        <v>1008</v>
      </c>
      <c r="O186" t="s">
        <v>1245</v>
      </c>
      <c r="P186" t="s">
        <v>1245</v>
      </c>
      <c r="Q186">
        <v>1</v>
      </c>
      <c r="X186">
        <v>2.1</v>
      </c>
      <c r="Y186">
        <v>1</v>
      </c>
      <c r="Z186">
        <v>0</v>
      </c>
      <c r="AA186">
        <v>0</v>
      </c>
      <c r="AB186">
        <v>0</v>
      </c>
      <c r="AC186">
        <v>0</v>
      </c>
      <c r="AD186">
        <v>1</v>
      </c>
      <c r="AE186">
        <v>0</v>
      </c>
      <c r="AF186" t="s">
        <v>3</v>
      </c>
      <c r="AG186">
        <v>2.1</v>
      </c>
      <c r="AH186">
        <v>3</v>
      </c>
      <c r="AI186">
        <v>-1</v>
      </c>
      <c r="AJ186" t="s">
        <v>3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</row>
    <row r="187" spans="1:44" x14ac:dyDescent="0.2">
      <c r="A187">
        <f>ROW(Source!A257)</f>
        <v>257</v>
      </c>
      <c r="B187">
        <v>43143114</v>
      </c>
      <c r="C187">
        <v>43143088</v>
      </c>
      <c r="D187">
        <v>35973053</v>
      </c>
      <c r="E187">
        <v>35973048</v>
      </c>
      <c r="F187">
        <v>1</v>
      </c>
      <c r="G187">
        <v>35973048</v>
      </c>
      <c r="H187">
        <v>1</v>
      </c>
      <c r="I187" t="s">
        <v>1228</v>
      </c>
      <c r="J187" t="s">
        <v>3</v>
      </c>
      <c r="K187" t="s">
        <v>1229</v>
      </c>
      <c r="L187">
        <v>1191</v>
      </c>
      <c r="N187">
        <v>1013</v>
      </c>
      <c r="O187" t="s">
        <v>1230</v>
      </c>
      <c r="P187" t="s">
        <v>1230</v>
      </c>
      <c r="Q187">
        <v>1</v>
      </c>
      <c r="X187">
        <v>94.8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1</v>
      </c>
      <c r="AE187">
        <v>1</v>
      </c>
      <c r="AF187" t="s">
        <v>21</v>
      </c>
      <c r="AG187">
        <v>109.01999999999998</v>
      </c>
      <c r="AH187">
        <v>2</v>
      </c>
      <c r="AI187">
        <v>43143114</v>
      </c>
      <c r="AJ187">
        <v>192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</row>
    <row r="188" spans="1:44" x14ac:dyDescent="0.2">
      <c r="A188">
        <f>ROW(Source!A257)</f>
        <v>257</v>
      </c>
      <c r="B188">
        <v>43143115</v>
      </c>
      <c r="C188">
        <v>43143088</v>
      </c>
      <c r="D188">
        <v>35973762</v>
      </c>
      <c r="E188">
        <v>35973048</v>
      </c>
      <c r="F188">
        <v>1</v>
      </c>
      <c r="G188">
        <v>35973048</v>
      </c>
      <c r="H188">
        <v>2</v>
      </c>
      <c r="I188" t="s">
        <v>1243</v>
      </c>
      <c r="J188" t="s">
        <v>3</v>
      </c>
      <c r="K188" t="s">
        <v>1244</v>
      </c>
      <c r="L188">
        <v>1344</v>
      </c>
      <c r="N188">
        <v>1008</v>
      </c>
      <c r="O188" t="s">
        <v>1245</v>
      </c>
      <c r="P188" t="s">
        <v>1245</v>
      </c>
      <c r="Q188">
        <v>1</v>
      </c>
      <c r="X188">
        <v>296.83</v>
      </c>
      <c r="Y188">
        <v>0</v>
      </c>
      <c r="Z188">
        <v>1</v>
      </c>
      <c r="AA188">
        <v>0</v>
      </c>
      <c r="AB188">
        <v>0</v>
      </c>
      <c r="AC188">
        <v>0</v>
      </c>
      <c r="AD188">
        <v>1</v>
      </c>
      <c r="AE188">
        <v>0</v>
      </c>
      <c r="AF188" t="s">
        <v>20</v>
      </c>
      <c r="AG188">
        <v>371.03749999999997</v>
      </c>
      <c r="AH188">
        <v>2</v>
      </c>
      <c r="AI188">
        <v>43143115</v>
      </c>
      <c r="AJ188">
        <v>193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</row>
    <row r="189" spans="1:44" x14ac:dyDescent="0.2">
      <c r="A189">
        <f>ROW(Source!A257)</f>
        <v>257</v>
      </c>
      <c r="B189">
        <v>43143116</v>
      </c>
      <c r="C189">
        <v>43143088</v>
      </c>
      <c r="D189">
        <v>36020974</v>
      </c>
      <c r="E189">
        <v>1</v>
      </c>
      <c r="F189">
        <v>1</v>
      </c>
      <c r="G189">
        <v>35973048</v>
      </c>
      <c r="H189">
        <v>3</v>
      </c>
      <c r="I189" t="s">
        <v>91</v>
      </c>
      <c r="J189" t="s">
        <v>93</v>
      </c>
      <c r="K189" t="s">
        <v>92</v>
      </c>
      <c r="L189">
        <v>1339</v>
      </c>
      <c r="N189">
        <v>1007</v>
      </c>
      <c r="O189" t="s">
        <v>84</v>
      </c>
      <c r="P189" t="s">
        <v>84</v>
      </c>
      <c r="Q189">
        <v>1</v>
      </c>
      <c r="X189">
        <v>0.43</v>
      </c>
      <c r="Y189">
        <v>104.99</v>
      </c>
      <c r="Z189">
        <v>0</v>
      </c>
      <c r="AA189">
        <v>0</v>
      </c>
      <c r="AB189">
        <v>0</v>
      </c>
      <c r="AC189">
        <v>0</v>
      </c>
      <c r="AD189">
        <v>1</v>
      </c>
      <c r="AE189">
        <v>0</v>
      </c>
      <c r="AF189" t="s">
        <v>3</v>
      </c>
      <c r="AG189">
        <v>0.43</v>
      </c>
      <c r="AH189">
        <v>2</v>
      </c>
      <c r="AI189">
        <v>43143116</v>
      </c>
      <c r="AJ189">
        <v>194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</row>
    <row r="190" spans="1:44" x14ac:dyDescent="0.2">
      <c r="A190">
        <f>ROW(Source!A257)</f>
        <v>257</v>
      </c>
      <c r="B190">
        <v>43143117</v>
      </c>
      <c r="C190">
        <v>43143088</v>
      </c>
      <c r="D190">
        <v>35988686</v>
      </c>
      <c r="E190">
        <v>35973048</v>
      </c>
      <c r="F190">
        <v>1</v>
      </c>
      <c r="G190">
        <v>35973048</v>
      </c>
      <c r="H190">
        <v>3</v>
      </c>
      <c r="I190" t="s">
        <v>1492</v>
      </c>
      <c r="J190" t="s">
        <v>3</v>
      </c>
      <c r="K190" t="s">
        <v>1493</v>
      </c>
      <c r="L190">
        <v>1327</v>
      </c>
      <c r="N190">
        <v>1005</v>
      </c>
      <c r="O190" t="s">
        <v>120</v>
      </c>
      <c r="P190" t="s">
        <v>120</v>
      </c>
      <c r="Q190">
        <v>1</v>
      </c>
      <c r="X190">
        <v>100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 t="s">
        <v>3</v>
      </c>
      <c r="AG190">
        <v>100</v>
      </c>
      <c r="AH190">
        <v>3</v>
      </c>
      <c r="AI190">
        <v>-1</v>
      </c>
      <c r="AJ190" t="s">
        <v>3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</row>
    <row r="191" spans="1:44" x14ac:dyDescent="0.2">
      <c r="A191">
        <f>ROW(Source!A259)</f>
        <v>259</v>
      </c>
      <c r="B191">
        <v>42939516</v>
      </c>
      <c r="C191">
        <v>42939514</v>
      </c>
      <c r="D191">
        <v>35973762</v>
      </c>
      <c r="E191">
        <v>35973048</v>
      </c>
      <c r="F191">
        <v>1</v>
      </c>
      <c r="G191">
        <v>35973048</v>
      </c>
      <c r="H191">
        <v>2</v>
      </c>
      <c r="I191" t="s">
        <v>1243</v>
      </c>
      <c r="J191" t="s">
        <v>3</v>
      </c>
      <c r="K191" t="s">
        <v>1244</v>
      </c>
      <c r="L191">
        <v>1344</v>
      </c>
      <c r="N191">
        <v>1008</v>
      </c>
      <c r="O191" t="s">
        <v>1245</v>
      </c>
      <c r="P191" t="s">
        <v>1245</v>
      </c>
      <c r="Q191">
        <v>1</v>
      </c>
      <c r="X191">
        <v>8.86</v>
      </c>
      <c r="Y191">
        <v>0</v>
      </c>
      <c r="Z191">
        <v>1</v>
      </c>
      <c r="AA191">
        <v>0</v>
      </c>
      <c r="AB191">
        <v>0</v>
      </c>
      <c r="AC191">
        <v>0</v>
      </c>
      <c r="AD191">
        <v>1</v>
      </c>
      <c r="AE191">
        <v>0</v>
      </c>
      <c r="AF191" t="s">
        <v>3</v>
      </c>
      <c r="AG191">
        <v>8.86</v>
      </c>
      <c r="AH191">
        <v>2</v>
      </c>
      <c r="AI191">
        <v>42939515</v>
      </c>
      <c r="AJ191">
        <v>196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</row>
    <row r="192" spans="1:44" x14ac:dyDescent="0.2">
      <c r="A192">
        <f>ROW(Source!A260)</f>
        <v>260</v>
      </c>
      <c r="B192">
        <v>42939519</v>
      </c>
      <c r="C192">
        <v>42939517</v>
      </c>
      <c r="D192">
        <v>36759507</v>
      </c>
      <c r="E192">
        <v>1</v>
      </c>
      <c r="F192">
        <v>1</v>
      </c>
      <c r="G192">
        <v>35973048</v>
      </c>
      <c r="H192">
        <v>2</v>
      </c>
      <c r="I192" t="s">
        <v>1329</v>
      </c>
      <c r="J192" t="s">
        <v>1330</v>
      </c>
      <c r="K192" t="s">
        <v>1331</v>
      </c>
      <c r="L192">
        <v>1367</v>
      </c>
      <c r="N192">
        <v>1011</v>
      </c>
      <c r="O192" t="s">
        <v>738</v>
      </c>
      <c r="P192" t="s">
        <v>738</v>
      </c>
      <c r="Q192">
        <v>1</v>
      </c>
      <c r="X192">
        <v>1</v>
      </c>
      <c r="Y192">
        <v>0</v>
      </c>
      <c r="Z192">
        <v>115.66</v>
      </c>
      <c r="AA192">
        <v>14.4</v>
      </c>
      <c r="AB192">
        <v>0</v>
      </c>
      <c r="AC192">
        <v>0</v>
      </c>
      <c r="AD192">
        <v>1</v>
      </c>
      <c r="AE192">
        <v>0</v>
      </c>
      <c r="AF192" t="s">
        <v>3</v>
      </c>
      <c r="AG192">
        <v>1</v>
      </c>
      <c r="AH192">
        <v>2</v>
      </c>
      <c r="AI192">
        <v>42939518</v>
      </c>
      <c r="AJ192">
        <v>197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</row>
    <row r="193" spans="1:44" x14ac:dyDescent="0.2">
      <c r="A193">
        <f>ROW(Source!A261)</f>
        <v>261</v>
      </c>
      <c r="B193">
        <v>43136970</v>
      </c>
      <c r="C193">
        <v>43136968</v>
      </c>
      <c r="D193">
        <v>36759504</v>
      </c>
      <c r="E193">
        <v>1</v>
      </c>
      <c r="F193">
        <v>1</v>
      </c>
      <c r="G193">
        <v>35973048</v>
      </c>
      <c r="H193">
        <v>2</v>
      </c>
      <c r="I193" t="s">
        <v>1332</v>
      </c>
      <c r="J193" t="s">
        <v>1333</v>
      </c>
      <c r="K193" t="s">
        <v>1334</v>
      </c>
      <c r="L193">
        <v>1367</v>
      </c>
      <c r="N193">
        <v>1011</v>
      </c>
      <c r="O193" t="s">
        <v>738</v>
      </c>
      <c r="P193" t="s">
        <v>738</v>
      </c>
      <c r="Q193">
        <v>1</v>
      </c>
      <c r="X193">
        <v>1</v>
      </c>
      <c r="Y193">
        <v>0</v>
      </c>
      <c r="Z193">
        <v>100.09</v>
      </c>
      <c r="AA193">
        <v>13.81</v>
      </c>
      <c r="AB193">
        <v>0</v>
      </c>
      <c r="AC193">
        <v>0</v>
      </c>
      <c r="AD193">
        <v>1</v>
      </c>
      <c r="AE193">
        <v>0</v>
      </c>
      <c r="AF193" t="s">
        <v>3</v>
      </c>
      <c r="AG193">
        <v>1</v>
      </c>
      <c r="AH193">
        <v>2</v>
      </c>
      <c r="AI193">
        <v>43136970</v>
      </c>
      <c r="AJ193">
        <v>198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</row>
    <row r="194" spans="1:44" x14ac:dyDescent="0.2">
      <c r="A194">
        <f>ROW(Source!A262)</f>
        <v>262</v>
      </c>
      <c r="B194">
        <v>43136971</v>
      </c>
      <c r="C194">
        <v>43136969</v>
      </c>
      <c r="D194">
        <v>35973762</v>
      </c>
      <c r="E194">
        <v>35973048</v>
      </c>
      <c r="F194">
        <v>1</v>
      </c>
      <c r="G194">
        <v>35973048</v>
      </c>
      <c r="H194">
        <v>2</v>
      </c>
      <c r="I194" t="s">
        <v>1243</v>
      </c>
      <c r="J194" t="s">
        <v>3</v>
      </c>
      <c r="K194" t="s">
        <v>1244</v>
      </c>
      <c r="L194">
        <v>1344</v>
      </c>
      <c r="N194">
        <v>1008</v>
      </c>
      <c r="O194" t="s">
        <v>1245</v>
      </c>
      <c r="P194" t="s">
        <v>1245</v>
      </c>
      <c r="Q194">
        <v>1</v>
      </c>
      <c r="X194">
        <v>12.61</v>
      </c>
      <c r="Y194">
        <v>0</v>
      </c>
      <c r="Z194">
        <v>1</v>
      </c>
      <c r="AA194">
        <v>0</v>
      </c>
      <c r="AB194">
        <v>0</v>
      </c>
      <c r="AC194">
        <v>0</v>
      </c>
      <c r="AD194">
        <v>1</v>
      </c>
      <c r="AE194">
        <v>0</v>
      </c>
      <c r="AF194" t="s">
        <v>3</v>
      </c>
      <c r="AG194">
        <v>12.61</v>
      </c>
      <c r="AH194">
        <v>2</v>
      </c>
      <c r="AI194">
        <v>43136971</v>
      </c>
      <c r="AJ194">
        <v>199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</row>
    <row r="195" spans="1:44" x14ac:dyDescent="0.2">
      <c r="A195">
        <f>ROW(Source!A298)</f>
        <v>298</v>
      </c>
      <c r="B195">
        <v>43137342</v>
      </c>
      <c r="C195">
        <v>42939523</v>
      </c>
      <c r="D195">
        <v>35973053</v>
      </c>
      <c r="E195">
        <v>35973048</v>
      </c>
      <c r="F195">
        <v>1</v>
      </c>
      <c r="G195">
        <v>35973048</v>
      </c>
      <c r="H195">
        <v>1</v>
      </c>
      <c r="I195" t="s">
        <v>1228</v>
      </c>
      <c r="J195" t="s">
        <v>3</v>
      </c>
      <c r="K195" t="s">
        <v>1229</v>
      </c>
      <c r="L195">
        <v>1191</v>
      </c>
      <c r="N195">
        <v>1013</v>
      </c>
      <c r="O195" t="s">
        <v>1230</v>
      </c>
      <c r="P195" t="s">
        <v>1230</v>
      </c>
      <c r="Q195">
        <v>1</v>
      </c>
      <c r="X195">
        <v>188.73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1</v>
      </c>
      <c r="AE195">
        <v>1</v>
      </c>
      <c r="AF195" t="s">
        <v>443</v>
      </c>
      <c r="AG195">
        <v>62.280900000000003</v>
      </c>
      <c r="AH195">
        <v>2</v>
      </c>
      <c r="AI195">
        <v>43137342</v>
      </c>
      <c r="AJ195">
        <v>200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</row>
    <row r="196" spans="1:44" x14ac:dyDescent="0.2">
      <c r="A196">
        <f>ROW(Source!A298)</f>
        <v>298</v>
      </c>
      <c r="B196">
        <v>43137343</v>
      </c>
      <c r="C196">
        <v>42939523</v>
      </c>
      <c r="D196">
        <v>36044926</v>
      </c>
      <c r="E196">
        <v>1</v>
      </c>
      <c r="F196">
        <v>1</v>
      </c>
      <c r="G196">
        <v>35973048</v>
      </c>
      <c r="H196">
        <v>2</v>
      </c>
      <c r="I196" t="s">
        <v>1352</v>
      </c>
      <c r="J196" t="s">
        <v>1353</v>
      </c>
      <c r="K196" t="s">
        <v>1354</v>
      </c>
      <c r="L196">
        <v>1367</v>
      </c>
      <c r="N196">
        <v>1011</v>
      </c>
      <c r="O196" t="s">
        <v>738</v>
      </c>
      <c r="P196" t="s">
        <v>738</v>
      </c>
      <c r="Q196">
        <v>1</v>
      </c>
      <c r="X196">
        <v>7.79</v>
      </c>
      <c r="Y196">
        <v>0</v>
      </c>
      <c r="Z196">
        <v>41.62</v>
      </c>
      <c r="AA196">
        <v>13.33</v>
      </c>
      <c r="AB196">
        <v>0</v>
      </c>
      <c r="AC196">
        <v>0</v>
      </c>
      <c r="AD196">
        <v>1</v>
      </c>
      <c r="AE196">
        <v>0</v>
      </c>
      <c r="AF196" t="s">
        <v>3</v>
      </c>
      <c r="AG196">
        <v>7.79</v>
      </c>
      <c r="AH196">
        <v>2</v>
      </c>
      <c r="AI196">
        <v>43137343</v>
      </c>
      <c r="AJ196">
        <v>201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</row>
    <row r="197" spans="1:44" x14ac:dyDescent="0.2">
      <c r="A197">
        <f>ROW(Source!A298)</f>
        <v>298</v>
      </c>
      <c r="B197">
        <v>43137344</v>
      </c>
      <c r="C197">
        <v>42939523</v>
      </c>
      <c r="D197">
        <v>36045386</v>
      </c>
      <c r="E197">
        <v>1</v>
      </c>
      <c r="F197">
        <v>1</v>
      </c>
      <c r="G197">
        <v>35973048</v>
      </c>
      <c r="H197">
        <v>2</v>
      </c>
      <c r="I197" t="s">
        <v>1355</v>
      </c>
      <c r="J197" t="s">
        <v>1356</v>
      </c>
      <c r="K197" t="s">
        <v>1357</v>
      </c>
      <c r="L197">
        <v>1367</v>
      </c>
      <c r="N197">
        <v>1011</v>
      </c>
      <c r="O197" t="s">
        <v>738</v>
      </c>
      <c r="P197" t="s">
        <v>738</v>
      </c>
      <c r="Q197">
        <v>1</v>
      </c>
      <c r="X197">
        <v>7.79</v>
      </c>
      <c r="Y197">
        <v>0</v>
      </c>
      <c r="Z197">
        <v>3.16</v>
      </c>
      <c r="AA197">
        <v>0.04</v>
      </c>
      <c r="AB197">
        <v>0</v>
      </c>
      <c r="AC197">
        <v>0</v>
      </c>
      <c r="AD197">
        <v>1</v>
      </c>
      <c r="AE197">
        <v>0</v>
      </c>
      <c r="AF197" t="s">
        <v>3</v>
      </c>
      <c r="AG197">
        <v>7.79</v>
      </c>
      <c r="AH197">
        <v>2</v>
      </c>
      <c r="AI197">
        <v>43137344</v>
      </c>
      <c r="AJ197">
        <v>202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</row>
    <row r="198" spans="1:44" x14ac:dyDescent="0.2">
      <c r="A198">
        <f>ROW(Source!A298)</f>
        <v>298</v>
      </c>
      <c r="B198">
        <v>43137345</v>
      </c>
      <c r="C198">
        <v>42939523</v>
      </c>
      <c r="D198">
        <v>35973762</v>
      </c>
      <c r="E198">
        <v>35973048</v>
      </c>
      <c r="F198">
        <v>1</v>
      </c>
      <c r="G198">
        <v>35973048</v>
      </c>
      <c r="H198">
        <v>2</v>
      </c>
      <c r="I198" t="s">
        <v>1243</v>
      </c>
      <c r="J198" t="s">
        <v>3</v>
      </c>
      <c r="K198" t="s">
        <v>1244</v>
      </c>
      <c r="L198">
        <v>1344</v>
      </c>
      <c r="N198">
        <v>1008</v>
      </c>
      <c r="O198" t="s">
        <v>1245</v>
      </c>
      <c r="P198" t="s">
        <v>1245</v>
      </c>
      <c r="Q198">
        <v>1</v>
      </c>
      <c r="X198">
        <v>162.80000000000001</v>
      </c>
      <c r="Y198">
        <v>0</v>
      </c>
      <c r="Z198">
        <v>1</v>
      </c>
      <c r="AA198">
        <v>0</v>
      </c>
      <c r="AB198">
        <v>0</v>
      </c>
      <c r="AC198">
        <v>0</v>
      </c>
      <c r="AD198">
        <v>1</v>
      </c>
      <c r="AE198">
        <v>0</v>
      </c>
      <c r="AF198" t="s">
        <v>3</v>
      </c>
      <c r="AG198">
        <v>162.80000000000001</v>
      </c>
      <c r="AH198">
        <v>2</v>
      </c>
      <c r="AI198">
        <v>43137345</v>
      </c>
      <c r="AJ198">
        <v>203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</row>
    <row r="199" spans="1:44" x14ac:dyDescent="0.2">
      <c r="A199">
        <f>ROW(Source!A298)</f>
        <v>298</v>
      </c>
      <c r="B199">
        <v>43137346</v>
      </c>
      <c r="C199">
        <v>42939523</v>
      </c>
      <c r="D199">
        <v>35994352</v>
      </c>
      <c r="E199">
        <v>35973048</v>
      </c>
      <c r="F199">
        <v>1</v>
      </c>
      <c r="G199">
        <v>35973048</v>
      </c>
      <c r="H199">
        <v>3</v>
      </c>
      <c r="I199" t="s">
        <v>1350</v>
      </c>
      <c r="J199" t="s">
        <v>3</v>
      </c>
      <c r="K199" t="s">
        <v>1351</v>
      </c>
      <c r="L199">
        <v>1348</v>
      </c>
      <c r="N199">
        <v>1009</v>
      </c>
      <c r="O199" t="s">
        <v>104</v>
      </c>
      <c r="P199" t="s">
        <v>104</v>
      </c>
      <c r="Q199">
        <v>1000</v>
      </c>
      <c r="X199">
        <v>22.64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1</v>
      </c>
      <c r="AE199">
        <v>0</v>
      </c>
      <c r="AF199" t="s">
        <v>3</v>
      </c>
      <c r="AG199">
        <v>22.64</v>
      </c>
      <c r="AH199">
        <v>2</v>
      </c>
      <c r="AI199">
        <v>43137346</v>
      </c>
      <c r="AJ199">
        <v>204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</row>
    <row r="200" spans="1:44" x14ac:dyDescent="0.2">
      <c r="A200">
        <f>ROW(Source!A299)</f>
        <v>299</v>
      </c>
      <c r="B200">
        <v>43137381</v>
      </c>
      <c r="C200">
        <v>43137380</v>
      </c>
      <c r="D200">
        <v>35973053</v>
      </c>
      <c r="E200">
        <v>35973048</v>
      </c>
      <c r="F200">
        <v>1</v>
      </c>
      <c r="G200">
        <v>35973048</v>
      </c>
      <c r="H200">
        <v>1</v>
      </c>
      <c r="I200" t="s">
        <v>1228</v>
      </c>
      <c r="J200" t="s">
        <v>3</v>
      </c>
      <c r="K200" t="s">
        <v>1229</v>
      </c>
      <c r="L200">
        <v>1191</v>
      </c>
      <c r="N200">
        <v>1013</v>
      </c>
      <c r="O200" t="s">
        <v>1230</v>
      </c>
      <c r="P200" t="s">
        <v>1230</v>
      </c>
      <c r="Q200">
        <v>1</v>
      </c>
      <c r="X200">
        <v>49.5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1</v>
      </c>
      <c r="AE200">
        <v>1</v>
      </c>
      <c r="AF200" t="s">
        <v>3</v>
      </c>
      <c r="AG200">
        <v>49.5</v>
      </c>
      <c r="AH200">
        <v>2</v>
      </c>
      <c r="AI200">
        <v>43137381</v>
      </c>
      <c r="AJ200">
        <v>205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</row>
    <row r="201" spans="1:44" x14ac:dyDescent="0.2">
      <c r="A201">
        <f>ROW(Source!A299)</f>
        <v>299</v>
      </c>
      <c r="B201">
        <v>43137382</v>
      </c>
      <c r="C201">
        <v>43137380</v>
      </c>
      <c r="D201">
        <v>36044487</v>
      </c>
      <c r="E201">
        <v>1</v>
      </c>
      <c r="F201">
        <v>1</v>
      </c>
      <c r="G201">
        <v>35973048</v>
      </c>
      <c r="H201">
        <v>2</v>
      </c>
      <c r="I201" t="s">
        <v>769</v>
      </c>
      <c r="J201" t="s">
        <v>771</v>
      </c>
      <c r="K201" t="s">
        <v>770</v>
      </c>
      <c r="L201">
        <v>1367</v>
      </c>
      <c r="N201">
        <v>1011</v>
      </c>
      <c r="O201" t="s">
        <v>738</v>
      </c>
      <c r="P201" t="s">
        <v>738</v>
      </c>
      <c r="Q201">
        <v>1</v>
      </c>
      <c r="X201">
        <v>2.87</v>
      </c>
      <c r="Y201">
        <v>0</v>
      </c>
      <c r="Z201">
        <v>163.47999999999999</v>
      </c>
      <c r="AA201">
        <v>15.47</v>
      </c>
      <c r="AB201">
        <v>0</v>
      </c>
      <c r="AC201">
        <v>0</v>
      </c>
      <c r="AD201">
        <v>1</v>
      </c>
      <c r="AE201">
        <v>0</v>
      </c>
      <c r="AF201" t="s">
        <v>3</v>
      </c>
      <c r="AG201">
        <v>2.87</v>
      </c>
      <c r="AH201">
        <v>2</v>
      </c>
      <c r="AI201">
        <v>43137382</v>
      </c>
      <c r="AJ201">
        <v>206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</row>
    <row r="202" spans="1:44" x14ac:dyDescent="0.2">
      <c r="A202">
        <f>ROW(Source!A299)</f>
        <v>299</v>
      </c>
      <c r="B202">
        <v>43137383</v>
      </c>
      <c r="C202">
        <v>43137380</v>
      </c>
      <c r="D202">
        <v>36044464</v>
      </c>
      <c r="E202">
        <v>1</v>
      </c>
      <c r="F202">
        <v>1</v>
      </c>
      <c r="G202">
        <v>35973048</v>
      </c>
      <c r="H202">
        <v>2</v>
      </c>
      <c r="I202" t="s">
        <v>1240</v>
      </c>
      <c r="J202" t="s">
        <v>1241</v>
      </c>
      <c r="K202" t="s">
        <v>1242</v>
      </c>
      <c r="L202">
        <v>1367</v>
      </c>
      <c r="N202">
        <v>1011</v>
      </c>
      <c r="O202" t="s">
        <v>738</v>
      </c>
      <c r="P202" t="s">
        <v>738</v>
      </c>
      <c r="Q202">
        <v>1</v>
      </c>
      <c r="X202">
        <v>7.86</v>
      </c>
      <c r="Y202">
        <v>0</v>
      </c>
      <c r="Z202">
        <v>220.27</v>
      </c>
      <c r="AA202">
        <v>18.3</v>
      </c>
      <c r="AB202">
        <v>0</v>
      </c>
      <c r="AC202">
        <v>0</v>
      </c>
      <c r="AD202">
        <v>1</v>
      </c>
      <c r="AE202">
        <v>0</v>
      </c>
      <c r="AF202" t="s">
        <v>3</v>
      </c>
      <c r="AG202">
        <v>7.86</v>
      </c>
      <c r="AH202">
        <v>2</v>
      </c>
      <c r="AI202">
        <v>43137383</v>
      </c>
      <c r="AJ202">
        <v>207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</row>
    <row r="203" spans="1:44" x14ac:dyDescent="0.2">
      <c r="A203">
        <f>ROW(Source!A299)</f>
        <v>299</v>
      </c>
      <c r="B203">
        <v>43137384</v>
      </c>
      <c r="C203">
        <v>43137380</v>
      </c>
      <c r="D203">
        <v>35973762</v>
      </c>
      <c r="E203">
        <v>35973048</v>
      </c>
      <c r="F203">
        <v>1</v>
      </c>
      <c r="G203">
        <v>35973048</v>
      </c>
      <c r="H203">
        <v>2</v>
      </c>
      <c r="I203" t="s">
        <v>1243</v>
      </c>
      <c r="J203" t="s">
        <v>3</v>
      </c>
      <c r="K203" t="s">
        <v>1244</v>
      </c>
      <c r="L203">
        <v>1344</v>
      </c>
      <c r="N203">
        <v>1008</v>
      </c>
      <c r="O203" t="s">
        <v>1245</v>
      </c>
      <c r="P203" t="s">
        <v>1245</v>
      </c>
      <c r="Q203">
        <v>1</v>
      </c>
      <c r="X203">
        <v>5.21</v>
      </c>
      <c r="Y203">
        <v>0</v>
      </c>
      <c r="Z203">
        <v>1</v>
      </c>
      <c r="AA203">
        <v>0</v>
      </c>
      <c r="AB203">
        <v>0</v>
      </c>
      <c r="AC203">
        <v>0</v>
      </c>
      <c r="AD203">
        <v>1</v>
      </c>
      <c r="AE203">
        <v>0</v>
      </c>
      <c r="AF203" t="s">
        <v>3</v>
      </c>
      <c r="AG203">
        <v>5.21</v>
      </c>
      <c r="AH203">
        <v>2</v>
      </c>
      <c r="AI203">
        <v>43137384</v>
      </c>
      <c r="AJ203">
        <v>208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</row>
    <row r="204" spans="1:44" x14ac:dyDescent="0.2">
      <c r="A204">
        <f>ROW(Source!A300)</f>
        <v>300</v>
      </c>
      <c r="B204">
        <v>42939642</v>
      </c>
      <c r="C204">
        <v>42939555</v>
      </c>
      <c r="D204">
        <v>36044716</v>
      </c>
      <c r="E204">
        <v>1</v>
      </c>
      <c r="F204">
        <v>1</v>
      </c>
      <c r="G204">
        <v>35973048</v>
      </c>
      <c r="H204">
        <v>2</v>
      </c>
      <c r="I204" t="s">
        <v>1246</v>
      </c>
      <c r="J204" t="s">
        <v>1247</v>
      </c>
      <c r="K204" t="s">
        <v>1248</v>
      </c>
      <c r="L204">
        <v>1367</v>
      </c>
      <c r="N204">
        <v>1011</v>
      </c>
      <c r="O204" t="s">
        <v>738</v>
      </c>
      <c r="P204" t="s">
        <v>738</v>
      </c>
      <c r="Q204">
        <v>1</v>
      </c>
      <c r="X204">
        <v>0.65</v>
      </c>
      <c r="Y204">
        <v>0</v>
      </c>
      <c r="Z204">
        <v>92.32</v>
      </c>
      <c r="AA204">
        <v>18</v>
      </c>
      <c r="AB204">
        <v>0</v>
      </c>
      <c r="AC204">
        <v>0</v>
      </c>
      <c r="AD204">
        <v>1</v>
      </c>
      <c r="AE204">
        <v>0</v>
      </c>
      <c r="AF204" t="s">
        <v>3</v>
      </c>
      <c r="AG204">
        <v>0.65</v>
      </c>
      <c r="AH204">
        <v>2</v>
      </c>
      <c r="AI204">
        <v>42939642</v>
      </c>
      <c r="AJ204">
        <v>209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</row>
    <row r="205" spans="1:44" x14ac:dyDescent="0.2">
      <c r="A205">
        <f>ROW(Source!A301)</f>
        <v>301</v>
      </c>
      <c r="B205">
        <v>42939536</v>
      </c>
      <c r="C205">
        <v>42939534</v>
      </c>
      <c r="D205">
        <v>35973762</v>
      </c>
      <c r="E205">
        <v>35973048</v>
      </c>
      <c r="F205">
        <v>1</v>
      </c>
      <c r="G205">
        <v>35973048</v>
      </c>
      <c r="H205">
        <v>2</v>
      </c>
      <c r="I205" t="s">
        <v>1243</v>
      </c>
      <c r="J205" t="s">
        <v>3</v>
      </c>
      <c r="K205" t="s">
        <v>1244</v>
      </c>
      <c r="L205">
        <v>1344</v>
      </c>
      <c r="N205">
        <v>1008</v>
      </c>
      <c r="O205" t="s">
        <v>1245</v>
      </c>
      <c r="P205" t="s">
        <v>1245</v>
      </c>
      <c r="Q205">
        <v>1</v>
      </c>
      <c r="X205">
        <v>8.86</v>
      </c>
      <c r="Y205">
        <v>0</v>
      </c>
      <c r="Z205">
        <v>1</v>
      </c>
      <c r="AA205">
        <v>0</v>
      </c>
      <c r="AB205">
        <v>0</v>
      </c>
      <c r="AC205">
        <v>0</v>
      </c>
      <c r="AD205">
        <v>1</v>
      </c>
      <c r="AE205">
        <v>0</v>
      </c>
      <c r="AF205" t="s">
        <v>3</v>
      </c>
      <c r="AG205">
        <v>8.86</v>
      </c>
      <c r="AH205">
        <v>2</v>
      </c>
      <c r="AI205">
        <v>42939535</v>
      </c>
      <c r="AJ205">
        <v>210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</row>
    <row r="206" spans="1:44" x14ac:dyDescent="0.2">
      <c r="A206">
        <f>ROW(Source!A302)</f>
        <v>302</v>
      </c>
      <c r="B206">
        <v>42939539</v>
      </c>
      <c r="C206">
        <v>42939537</v>
      </c>
      <c r="D206">
        <v>36759507</v>
      </c>
      <c r="E206">
        <v>1</v>
      </c>
      <c r="F206">
        <v>1</v>
      </c>
      <c r="G206">
        <v>35973048</v>
      </c>
      <c r="H206">
        <v>2</v>
      </c>
      <c r="I206" t="s">
        <v>1329</v>
      </c>
      <c r="J206" t="s">
        <v>1330</v>
      </c>
      <c r="K206" t="s">
        <v>1331</v>
      </c>
      <c r="L206">
        <v>1367</v>
      </c>
      <c r="N206">
        <v>1011</v>
      </c>
      <c r="O206" t="s">
        <v>738</v>
      </c>
      <c r="P206" t="s">
        <v>738</v>
      </c>
      <c r="Q206">
        <v>1</v>
      </c>
      <c r="X206">
        <v>1</v>
      </c>
      <c r="Y206">
        <v>0</v>
      </c>
      <c r="Z206">
        <v>115.66</v>
      </c>
      <c r="AA206">
        <v>14.4</v>
      </c>
      <c r="AB206">
        <v>0</v>
      </c>
      <c r="AC206">
        <v>0</v>
      </c>
      <c r="AD206">
        <v>1</v>
      </c>
      <c r="AE206">
        <v>0</v>
      </c>
      <c r="AF206" t="s">
        <v>3</v>
      </c>
      <c r="AG206">
        <v>1</v>
      </c>
      <c r="AH206">
        <v>2</v>
      </c>
      <c r="AI206">
        <v>42939538</v>
      </c>
      <c r="AJ206">
        <v>211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</row>
    <row r="207" spans="1:44" x14ac:dyDescent="0.2">
      <c r="A207">
        <f>ROW(Source!A303)</f>
        <v>303</v>
      </c>
      <c r="B207">
        <v>43137350</v>
      </c>
      <c r="C207">
        <v>43137347</v>
      </c>
      <c r="D207">
        <v>35973762</v>
      </c>
      <c r="E207">
        <v>35973048</v>
      </c>
      <c r="F207">
        <v>1</v>
      </c>
      <c r="G207">
        <v>35973048</v>
      </c>
      <c r="H207">
        <v>2</v>
      </c>
      <c r="I207" t="s">
        <v>1243</v>
      </c>
      <c r="J207" t="s">
        <v>3</v>
      </c>
      <c r="K207" t="s">
        <v>1244</v>
      </c>
      <c r="L207">
        <v>1344</v>
      </c>
      <c r="N207">
        <v>1008</v>
      </c>
      <c r="O207" t="s">
        <v>1245</v>
      </c>
      <c r="P207" t="s">
        <v>1245</v>
      </c>
      <c r="Q207">
        <v>1</v>
      </c>
      <c r="X207">
        <v>21.71</v>
      </c>
      <c r="Y207">
        <v>0</v>
      </c>
      <c r="Z207">
        <v>1</v>
      </c>
      <c r="AA207">
        <v>0</v>
      </c>
      <c r="AB207">
        <v>0</v>
      </c>
      <c r="AC207">
        <v>0</v>
      </c>
      <c r="AD207">
        <v>1</v>
      </c>
      <c r="AE207">
        <v>0</v>
      </c>
      <c r="AF207" t="s">
        <v>3</v>
      </c>
      <c r="AG207">
        <v>21.71</v>
      </c>
      <c r="AH207">
        <v>2</v>
      </c>
      <c r="AI207">
        <v>43137350</v>
      </c>
      <c r="AJ207">
        <v>212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</row>
    <row r="208" spans="1:44" x14ac:dyDescent="0.2">
      <c r="A208">
        <f>ROW(Source!A340)</f>
        <v>340</v>
      </c>
      <c r="B208">
        <v>42939852</v>
      </c>
      <c r="C208">
        <v>42939707</v>
      </c>
      <c r="D208">
        <v>35973053</v>
      </c>
      <c r="E208">
        <v>35973048</v>
      </c>
      <c r="F208">
        <v>1</v>
      </c>
      <c r="G208">
        <v>35973048</v>
      </c>
      <c r="H208">
        <v>1</v>
      </c>
      <c r="I208" t="s">
        <v>1228</v>
      </c>
      <c r="J208" t="s">
        <v>3</v>
      </c>
      <c r="K208" t="s">
        <v>1229</v>
      </c>
      <c r="L208">
        <v>1191</v>
      </c>
      <c r="N208">
        <v>1013</v>
      </c>
      <c r="O208" t="s">
        <v>1230</v>
      </c>
      <c r="P208" t="s">
        <v>1230</v>
      </c>
      <c r="Q208">
        <v>1</v>
      </c>
      <c r="X208">
        <v>133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1</v>
      </c>
      <c r="AE208">
        <v>1</v>
      </c>
      <c r="AF208" t="s">
        <v>21</v>
      </c>
      <c r="AG208">
        <v>152.94999999999999</v>
      </c>
      <c r="AH208">
        <v>2</v>
      </c>
      <c r="AI208">
        <v>42939852</v>
      </c>
      <c r="AJ208">
        <v>213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</row>
    <row r="209" spans="1:44" x14ac:dyDescent="0.2">
      <c r="A209">
        <f>ROW(Source!A340)</f>
        <v>340</v>
      </c>
      <c r="B209">
        <v>42939853</v>
      </c>
      <c r="C209">
        <v>42939707</v>
      </c>
      <c r="D209">
        <v>35973762</v>
      </c>
      <c r="E209">
        <v>35973048</v>
      </c>
      <c r="F209">
        <v>1</v>
      </c>
      <c r="G209">
        <v>35973048</v>
      </c>
      <c r="H209">
        <v>2</v>
      </c>
      <c r="I209" t="s">
        <v>1243</v>
      </c>
      <c r="J209" t="s">
        <v>3</v>
      </c>
      <c r="K209" t="s">
        <v>1244</v>
      </c>
      <c r="L209">
        <v>1344</v>
      </c>
      <c r="N209">
        <v>1008</v>
      </c>
      <c r="O209" t="s">
        <v>1245</v>
      </c>
      <c r="P209" t="s">
        <v>1245</v>
      </c>
      <c r="Q209">
        <v>1</v>
      </c>
      <c r="X209">
        <v>267.05</v>
      </c>
      <c r="Y209">
        <v>0</v>
      </c>
      <c r="Z209">
        <v>1</v>
      </c>
      <c r="AA209">
        <v>0</v>
      </c>
      <c r="AB209">
        <v>0</v>
      </c>
      <c r="AC209">
        <v>0</v>
      </c>
      <c r="AD209">
        <v>1</v>
      </c>
      <c r="AE209">
        <v>0</v>
      </c>
      <c r="AF209" t="s">
        <v>20</v>
      </c>
      <c r="AG209">
        <v>333.8125</v>
      </c>
      <c r="AH209">
        <v>2</v>
      </c>
      <c r="AI209">
        <v>42939853</v>
      </c>
      <c r="AJ209">
        <v>214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</row>
    <row r="210" spans="1:44" x14ac:dyDescent="0.2">
      <c r="A210">
        <f>ROW(Source!A340)</f>
        <v>340</v>
      </c>
      <c r="B210">
        <v>42939854</v>
      </c>
      <c r="C210">
        <v>42939707</v>
      </c>
      <c r="D210">
        <v>35994277</v>
      </c>
      <c r="E210">
        <v>35973048</v>
      </c>
      <c r="F210">
        <v>1</v>
      </c>
      <c r="G210">
        <v>35973048</v>
      </c>
      <c r="H210">
        <v>3</v>
      </c>
      <c r="I210" t="s">
        <v>1494</v>
      </c>
      <c r="J210" t="s">
        <v>3</v>
      </c>
      <c r="K210" t="s">
        <v>470</v>
      </c>
      <c r="L210">
        <v>1339</v>
      </c>
      <c r="N210">
        <v>1007</v>
      </c>
      <c r="O210" t="s">
        <v>84</v>
      </c>
      <c r="P210" t="s">
        <v>84</v>
      </c>
      <c r="Q210">
        <v>1</v>
      </c>
      <c r="X210">
        <v>0.18228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 t="s">
        <v>3</v>
      </c>
      <c r="AG210">
        <v>0.18228</v>
      </c>
      <c r="AH210">
        <v>3</v>
      </c>
      <c r="AI210">
        <v>-1</v>
      </c>
      <c r="AJ210" t="s">
        <v>3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</row>
    <row r="211" spans="1:44" x14ac:dyDescent="0.2">
      <c r="A211">
        <f>ROW(Source!A340)</f>
        <v>340</v>
      </c>
      <c r="B211">
        <v>42939855</v>
      </c>
      <c r="C211">
        <v>42939707</v>
      </c>
      <c r="D211">
        <v>36021213</v>
      </c>
      <c r="E211">
        <v>1</v>
      </c>
      <c r="F211">
        <v>1</v>
      </c>
      <c r="G211">
        <v>35973048</v>
      </c>
      <c r="H211">
        <v>3</v>
      </c>
      <c r="I211" t="s">
        <v>1358</v>
      </c>
      <c r="J211" t="s">
        <v>1359</v>
      </c>
      <c r="K211" t="s">
        <v>1360</v>
      </c>
      <c r="L211">
        <v>1327</v>
      </c>
      <c r="N211">
        <v>1005</v>
      </c>
      <c r="O211" t="s">
        <v>120</v>
      </c>
      <c r="P211" t="s">
        <v>120</v>
      </c>
      <c r="Q211">
        <v>1</v>
      </c>
      <c r="X211">
        <v>108</v>
      </c>
      <c r="Y211">
        <v>33.56</v>
      </c>
      <c r="Z211">
        <v>0</v>
      </c>
      <c r="AA211">
        <v>0</v>
      </c>
      <c r="AB211">
        <v>0</v>
      </c>
      <c r="AC211">
        <v>0</v>
      </c>
      <c r="AD211">
        <v>1</v>
      </c>
      <c r="AE211">
        <v>0</v>
      </c>
      <c r="AF211" t="s">
        <v>3</v>
      </c>
      <c r="AG211">
        <v>108</v>
      </c>
      <c r="AH211">
        <v>2</v>
      </c>
      <c r="AI211">
        <v>42939855</v>
      </c>
      <c r="AJ211">
        <v>215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</row>
    <row r="212" spans="1:44" x14ac:dyDescent="0.2">
      <c r="A212">
        <f>ROW(Source!A340)</f>
        <v>340</v>
      </c>
      <c r="B212">
        <v>42939856</v>
      </c>
      <c r="C212">
        <v>42939707</v>
      </c>
      <c r="D212">
        <v>36020528</v>
      </c>
      <c r="E212">
        <v>1</v>
      </c>
      <c r="F212">
        <v>1</v>
      </c>
      <c r="G212">
        <v>35973048</v>
      </c>
      <c r="H212">
        <v>3</v>
      </c>
      <c r="I212" t="s">
        <v>1361</v>
      </c>
      <c r="J212" t="s">
        <v>1362</v>
      </c>
      <c r="K212" t="s">
        <v>1363</v>
      </c>
      <c r="L212">
        <v>1348</v>
      </c>
      <c r="N212">
        <v>1009</v>
      </c>
      <c r="O212" t="s">
        <v>104</v>
      </c>
      <c r="P212" t="s">
        <v>104</v>
      </c>
      <c r="Q212">
        <v>1000</v>
      </c>
      <c r="X212">
        <v>2.5000000000000001E-3</v>
      </c>
      <c r="Y212">
        <v>20166.439999999999</v>
      </c>
      <c r="Z212">
        <v>0</v>
      </c>
      <c r="AA212">
        <v>0</v>
      </c>
      <c r="AB212">
        <v>0</v>
      </c>
      <c r="AC212">
        <v>0</v>
      </c>
      <c r="AD212">
        <v>1</v>
      </c>
      <c r="AE212">
        <v>0</v>
      </c>
      <c r="AF212" t="s">
        <v>3</v>
      </c>
      <c r="AG212">
        <v>2.5000000000000001E-3</v>
      </c>
      <c r="AH212">
        <v>2</v>
      </c>
      <c r="AI212">
        <v>42939856</v>
      </c>
      <c r="AJ212">
        <v>217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</row>
    <row r="213" spans="1:44" x14ac:dyDescent="0.2">
      <c r="A213">
        <f>ROW(Source!A340)</f>
        <v>340</v>
      </c>
      <c r="B213">
        <v>42939857</v>
      </c>
      <c r="C213">
        <v>42939707</v>
      </c>
      <c r="D213">
        <v>36020955</v>
      </c>
      <c r="E213">
        <v>1</v>
      </c>
      <c r="F213">
        <v>1</v>
      </c>
      <c r="G213">
        <v>35973048</v>
      </c>
      <c r="H213">
        <v>3</v>
      </c>
      <c r="I213" t="s">
        <v>1364</v>
      </c>
      <c r="J213" t="s">
        <v>1365</v>
      </c>
      <c r="K213" t="s">
        <v>1366</v>
      </c>
      <c r="L213">
        <v>1346</v>
      </c>
      <c r="N213">
        <v>1009</v>
      </c>
      <c r="O213" t="s">
        <v>131</v>
      </c>
      <c r="P213" t="s">
        <v>131</v>
      </c>
      <c r="Q213">
        <v>1</v>
      </c>
      <c r="X213">
        <v>12</v>
      </c>
      <c r="Y213">
        <v>9.86</v>
      </c>
      <c r="Z213">
        <v>0</v>
      </c>
      <c r="AA213">
        <v>0</v>
      </c>
      <c r="AB213">
        <v>0</v>
      </c>
      <c r="AC213">
        <v>0</v>
      </c>
      <c r="AD213">
        <v>1</v>
      </c>
      <c r="AE213">
        <v>0</v>
      </c>
      <c r="AF213" t="s">
        <v>3</v>
      </c>
      <c r="AG213">
        <v>12</v>
      </c>
      <c r="AH213">
        <v>2</v>
      </c>
      <c r="AI213">
        <v>42939857</v>
      </c>
      <c r="AJ213">
        <v>218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</row>
    <row r="214" spans="1:44" x14ac:dyDescent="0.2">
      <c r="A214">
        <f>ROW(Source!A340)</f>
        <v>340</v>
      </c>
      <c r="B214">
        <v>42939858</v>
      </c>
      <c r="C214">
        <v>42939707</v>
      </c>
      <c r="D214">
        <v>35988999</v>
      </c>
      <c r="E214">
        <v>35973048</v>
      </c>
      <c r="F214">
        <v>1</v>
      </c>
      <c r="G214">
        <v>35973048</v>
      </c>
      <c r="H214">
        <v>3</v>
      </c>
      <c r="I214" t="s">
        <v>1495</v>
      </c>
      <c r="J214" t="s">
        <v>3</v>
      </c>
      <c r="K214" t="s">
        <v>1496</v>
      </c>
      <c r="L214">
        <v>1348</v>
      </c>
      <c r="N214">
        <v>1009</v>
      </c>
      <c r="O214" t="s">
        <v>104</v>
      </c>
      <c r="P214" t="s">
        <v>104</v>
      </c>
      <c r="Q214">
        <v>1000</v>
      </c>
      <c r="X214">
        <v>1.0416000000000001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 t="s">
        <v>3</v>
      </c>
      <c r="AG214">
        <v>1.0416000000000001</v>
      </c>
      <c r="AH214">
        <v>3</v>
      </c>
      <c r="AI214">
        <v>-1</v>
      </c>
      <c r="AJ214" t="s">
        <v>3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</row>
    <row r="215" spans="1:44" x14ac:dyDescent="0.2">
      <c r="A215">
        <f>ROW(Source!A340)</f>
        <v>340</v>
      </c>
      <c r="B215">
        <v>42939859</v>
      </c>
      <c r="C215">
        <v>42939707</v>
      </c>
      <c r="D215">
        <v>35989003</v>
      </c>
      <c r="E215">
        <v>35973048</v>
      </c>
      <c r="F215">
        <v>1</v>
      </c>
      <c r="G215">
        <v>35973048</v>
      </c>
      <c r="H215">
        <v>3</v>
      </c>
      <c r="I215" t="s">
        <v>1497</v>
      </c>
      <c r="J215" t="s">
        <v>3</v>
      </c>
      <c r="K215" t="s">
        <v>1498</v>
      </c>
      <c r="L215">
        <v>1339</v>
      </c>
      <c r="N215">
        <v>1007</v>
      </c>
      <c r="O215" t="s">
        <v>84</v>
      </c>
      <c r="P215" t="s">
        <v>84</v>
      </c>
      <c r="Q215">
        <v>1</v>
      </c>
      <c r="X215">
        <v>2.6040000000000001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 t="s">
        <v>3</v>
      </c>
      <c r="AG215">
        <v>2.6040000000000001</v>
      </c>
      <c r="AH215">
        <v>3</v>
      </c>
      <c r="AI215">
        <v>-1</v>
      </c>
      <c r="AJ215" t="s">
        <v>3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</row>
    <row r="216" spans="1:44" x14ac:dyDescent="0.2">
      <c r="A216">
        <f>ROW(Source!A340)</f>
        <v>340</v>
      </c>
      <c r="B216">
        <v>42939860</v>
      </c>
      <c r="C216">
        <v>42939707</v>
      </c>
      <c r="D216">
        <v>35994366</v>
      </c>
      <c r="E216">
        <v>35973048</v>
      </c>
      <c r="F216">
        <v>1</v>
      </c>
      <c r="G216">
        <v>35973048</v>
      </c>
      <c r="H216">
        <v>3</v>
      </c>
      <c r="I216" t="s">
        <v>1294</v>
      </c>
      <c r="J216" t="s">
        <v>3</v>
      </c>
      <c r="K216" t="s">
        <v>1295</v>
      </c>
      <c r="L216">
        <v>1344</v>
      </c>
      <c r="N216">
        <v>1008</v>
      </c>
      <c r="O216" t="s">
        <v>1245</v>
      </c>
      <c r="P216" t="s">
        <v>1245</v>
      </c>
      <c r="Q216">
        <v>1</v>
      </c>
      <c r="X216">
        <v>3</v>
      </c>
      <c r="Y216">
        <v>1</v>
      </c>
      <c r="Z216">
        <v>0</v>
      </c>
      <c r="AA216">
        <v>0</v>
      </c>
      <c r="AB216">
        <v>0</v>
      </c>
      <c r="AC216">
        <v>0</v>
      </c>
      <c r="AD216">
        <v>1</v>
      </c>
      <c r="AE216">
        <v>0</v>
      </c>
      <c r="AF216" t="s">
        <v>3</v>
      </c>
      <c r="AG216">
        <v>3</v>
      </c>
      <c r="AH216">
        <v>2</v>
      </c>
      <c r="AI216">
        <v>42939860</v>
      </c>
      <c r="AJ216">
        <v>220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</row>
    <row r="217" spans="1:44" x14ac:dyDescent="0.2">
      <c r="A217">
        <f>ROW(Source!A343)</f>
        <v>343</v>
      </c>
      <c r="B217">
        <v>42939988</v>
      </c>
      <c r="C217">
        <v>42939646</v>
      </c>
      <c r="D217">
        <v>35973053</v>
      </c>
      <c r="E217">
        <v>35973048</v>
      </c>
      <c r="F217">
        <v>1</v>
      </c>
      <c r="G217">
        <v>35973048</v>
      </c>
      <c r="H217">
        <v>1</v>
      </c>
      <c r="I217" t="s">
        <v>1228</v>
      </c>
      <c r="J217" t="s">
        <v>3</v>
      </c>
      <c r="K217" t="s">
        <v>1229</v>
      </c>
      <c r="L217">
        <v>1191</v>
      </c>
      <c r="N217">
        <v>1013</v>
      </c>
      <c r="O217" t="s">
        <v>1230</v>
      </c>
      <c r="P217" t="s">
        <v>1230</v>
      </c>
      <c r="Q217">
        <v>1</v>
      </c>
      <c r="X217">
        <v>46.8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1</v>
      </c>
      <c r="AE217">
        <v>1</v>
      </c>
      <c r="AF217" t="s">
        <v>482</v>
      </c>
      <c r="AG217">
        <v>107.63999999999999</v>
      </c>
      <c r="AH217">
        <v>2</v>
      </c>
      <c r="AI217">
        <v>42939988</v>
      </c>
      <c r="AJ217">
        <v>221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</row>
    <row r="218" spans="1:44" x14ac:dyDescent="0.2">
      <c r="A218">
        <f>ROW(Source!A343)</f>
        <v>343</v>
      </c>
      <c r="B218">
        <v>42939989</v>
      </c>
      <c r="C218">
        <v>42939646</v>
      </c>
      <c r="D218">
        <v>35973762</v>
      </c>
      <c r="E218">
        <v>35973048</v>
      </c>
      <c r="F218">
        <v>1</v>
      </c>
      <c r="G218">
        <v>35973048</v>
      </c>
      <c r="H218">
        <v>2</v>
      </c>
      <c r="I218" t="s">
        <v>1243</v>
      </c>
      <c r="J218" t="s">
        <v>3</v>
      </c>
      <c r="K218" t="s">
        <v>1244</v>
      </c>
      <c r="L218">
        <v>1344</v>
      </c>
      <c r="N218">
        <v>1008</v>
      </c>
      <c r="O218" t="s">
        <v>1245</v>
      </c>
      <c r="P218" t="s">
        <v>1245</v>
      </c>
      <c r="Q218">
        <v>1</v>
      </c>
      <c r="X218">
        <v>26.05</v>
      </c>
      <c r="Y218">
        <v>0</v>
      </c>
      <c r="Z218">
        <v>1</v>
      </c>
      <c r="AA218">
        <v>0</v>
      </c>
      <c r="AB218">
        <v>0</v>
      </c>
      <c r="AC218">
        <v>0</v>
      </c>
      <c r="AD218">
        <v>1</v>
      </c>
      <c r="AE218">
        <v>0</v>
      </c>
      <c r="AF218" t="s">
        <v>481</v>
      </c>
      <c r="AG218">
        <v>65.125</v>
      </c>
      <c r="AH218">
        <v>2</v>
      </c>
      <c r="AI218">
        <v>42939989</v>
      </c>
      <c r="AJ218">
        <v>222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</row>
    <row r="219" spans="1:44" x14ac:dyDescent="0.2">
      <c r="A219">
        <f>ROW(Source!A343)</f>
        <v>343</v>
      </c>
      <c r="B219">
        <v>42939990</v>
      </c>
      <c r="C219">
        <v>42939646</v>
      </c>
      <c r="D219">
        <v>35990424</v>
      </c>
      <c r="E219">
        <v>35973048</v>
      </c>
      <c r="F219">
        <v>1</v>
      </c>
      <c r="G219">
        <v>35973048</v>
      </c>
      <c r="H219">
        <v>3</v>
      </c>
      <c r="I219" t="s">
        <v>1499</v>
      </c>
      <c r="J219" t="s">
        <v>3</v>
      </c>
      <c r="K219" t="s">
        <v>1500</v>
      </c>
      <c r="L219">
        <v>1348</v>
      </c>
      <c r="N219">
        <v>1009</v>
      </c>
      <c r="O219" t="s">
        <v>104</v>
      </c>
      <c r="P219" t="s">
        <v>104</v>
      </c>
      <c r="Q219">
        <v>1000</v>
      </c>
      <c r="X219">
        <v>5.0700000000000002E-2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 t="s">
        <v>480</v>
      </c>
      <c r="AG219">
        <v>0.1014</v>
      </c>
      <c r="AH219">
        <v>3</v>
      </c>
      <c r="AI219">
        <v>-1</v>
      </c>
      <c r="AJ219" t="s">
        <v>3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</row>
    <row r="220" spans="1:44" x14ac:dyDescent="0.2">
      <c r="A220">
        <f>ROW(Source!A343)</f>
        <v>343</v>
      </c>
      <c r="B220">
        <v>42939991</v>
      </c>
      <c r="C220">
        <v>42939646</v>
      </c>
      <c r="D220">
        <v>35988016</v>
      </c>
      <c r="E220">
        <v>35973048</v>
      </c>
      <c r="F220">
        <v>1</v>
      </c>
      <c r="G220">
        <v>35973048</v>
      </c>
      <c r="H220">
        <v>3</v>
      </c>
      <c r="I220" t="s">
        <v>1501</v>
      </c>
      <c r="J220" t="s">
        <v>3</v>
      </c>
      <c r="K220" t="s">
        <v>1502</v>
      </c>
      <c r="L220">
        <v>1348</v>
      </c>
      <c r="N220">
        <v>1009</v>
      </c>
      <c r="O220" t="s">
        <v>104</v>
      </c>
      <c r="P220" t="s">
        <v>104</v>
      </c>
      <c r="Q220">
        <v>1000</v>
      </c>
      <c r="X220">
        <v>2.5100000000000001E-2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 t="s">
        <v>480</v>
      </c>
      <c r="AG220">
        <v>5.0200000000000002E-2</v>
      </c>
      <c r="AH220">
        <v>3</v>
      </c>
      <c r="AI220">
        <v>-1</v>
      </c>
      <c r="AJ220" t="s">
        <v>3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</row>
    <row r="221" spans="1:44" x14ac:dyDescent="0.2">
      <c r="A221">
        <f>ROW(Source!A343)</f>
        <v>343</v>
      </c>
      <c r="B221">
        <v>42939992</v>
      </c>
      <c r="C221">
        <v>42939646</v>
      </c>
      <c r="D221">
        <v>35989678</v>
      </c>
      <c r="E221">
        <v>35973048</v>
      </c>
      <c r="F221">
        <v>1</v>
      </c>
      <c r="G221">
        <v>35973048</v>
      </c>
      <c r="H221">
        <v>3</v>
      </c>
      <c r="I221" t="s">
        <v>1503</v>
      </c>
      <c r="J221" t="s">
        <v>3</v>
      </c>
      <c r="K221" t="s">
        <v>1504</v>
      </c>
      <c r="L221">
        <v>1346</v>
      </c>
      <c r="N221">
        <v>1009</v>
      </c>
      <c r="O221" t="s">
        <v>131</v>
      </c>
      <c r="P221" t="s">
        <v>131</v>
      </c>
      <c r="Q221">
        <v>1</v>
      </c>
      <c r="X221">
        <v>12.8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 t="s">
        <v>480</v>
      </c>
      <c r="AG221">
        <v>25.6</v>
      </c>
      <c r="AH221">
        <v>3</v>
      </c>
      <c r="AI221">
        <v>-1</v>
      </c>
      <c r="AJ221" t="s">
        <v>3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</row>
    <row r="222" spans="1:44" x14ac:dyDescent="0.2">
      <c r="A222">
        <f>ROW(Source!A343)</f>
        <v>343</v>
      </c>
      <c r="B222">
        <v>42939993</v>
      </c>
      <c r="C222">
        <v>42939646</v>
      </c>
      <c r="D222">
        <v>35994366</v>
      </c>
      <c r="E222">
        <v>35973048</v>
      </c>
      <c r="F222">
        <v>1</v>
      </c>
      <c r="G222">
        <v>35973048</v>
      </c>
      <c r="H222">
        <v>3</v>
      </c>
      <c r="I222" t="s">
        <v>1294</v>
      </c>
      <c r="J222" t="s">
        <v>3</v>
      </c>
      <c r="K222" t="s">
        <v>1295</v>
      </c>
      <c r="L222">
        <v>1344</v>
      </c>
      <c r="N222">
        <v>1008</v>
      </c>
      <c r="O222" t="s">
        <v>1245</v>
      </c>
      <c r="P222" t="s">
        <v>1245</v>
      </c>
      <c r="Q222">
        <v>1</v>
      </c>
      <c r="X222">
        <v>4.34</v>
      </c>
      <c r="Y222">
        <v>1</v>
      </c>
      <c r="Z222">
        <v>0</v>
      </c>
      <c r="AA222">
        <v>0</v>
      </c>
      <c r="AB222">
        <v>0</v>
      </c>
      <c r="AC222">
        <v>0</v>
      </c>
      <c r="AD222">
        <v>1</v>
      </c>
      <c r="AE222">
        <v>0</v>
      </c>
      <c r="AF222" t="s">
        <v>480</v>
      </c>
      <c r="AG222">
        <v>8.68</v>
      </c>
      <c r="AH222">
        <v>2</v>
      </c>
      <c r="AI222">
        <v>42939993</v>
      </c>
      <c r="AJ222">
        <v>225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</row>
    <row r="223" spans="1:44" x14ac:dyDescent="0.2">
      <c r="A223">
        <f>ROW(Source!A382)</f>
        <v>382</v>
      </c>
      <c r="B223">
        <v>43135325</v>
      </c>
      <c r="C223">
        <v>43135324</v>
      </c>
      <c r="D223">
        <v>35973053</v>
      </c>
      <c r="E223">
        <v>35973048</v>
      </c>
      <c r="F223">
        <v>1</v>
      </c>
      <c r="G223">
        <v>35973048</v>
      </c>
      <c r="H223">
        <v>1</v>
      </c>
      <c r="I223" t="s">
        <v>1228</v>
      </c>
      <c r="J223" t="s">
        <v>3</v>
      </c>
      <c r="K223" t="s">
        <v>1229</v>
      </c>
      <c r="L223">
        <v>1191</v>
      </c>
      <c r="N223">
        <v>1013</v>
      </c>
      <c r="O223" t="s">
        <v>1230</v>
      </c>
      <c r="P223" t="s">
        <v>1230</v>
      </c>
      <c r="Q223">
        <v>1</v>
      </c>
      <c r="X223">
        <v>1.38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1</v>
      </c>
      <c r="AE223">
        <v>1</v>
      </c>
      <c r="AF223" t="s">
        <v>21</v>
      </c>
      <c r="AG223">
        <v>1.5869999999999997</v>
      </c>
      <c r="AH223">
        <v>2</v>
      </c>
      <c r="AI223">
        <v>43135325</v>
      </c>
      <c r="AJ223">
        <v>227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</row>
    <row r="224" spans="1:44" x14ac:dyDescent="0.2">
      <c r="A224">
        <f>ROW(Source!A382)</f>
        <v>382</v>
      </c>
      <c r="B224">
        <v>43135326</v>
      </c>
      <c r="C224">
        <v>43135324</v>
      </c>
      <c r="D224">
        <v>36044463</v>
      </c>
      <c r="E224">
        <v>1</v>
      </c>
      <c r="F224">
        <v>1</v>
      </c>
      <c r="G224">
        <v>35973048</v>
      </c>
      <c r="H224">
        <v>2</v>
      </c>
      <c r="I224" t="s">
        <v>1249</v>
      </c>
      <c r="J224" t="s">
        <v>1250</v>
      </c>
      <c r="K224" t="s">
        <v>1251</v>
      </c>
      <c r="L224">
        <v>1367</v>
      </c>
      <c r="N224">
        <v>1011</v>
      </c>
      <c r="O224" t="s">
        <v>738</v>
      </c>
      <c r="P224" t="s">
        <v>738</v>
      </c>
      <c r="Q224">
        <v>1</v>
      </c>
      <c r="X224">
        <v>3.9874999999999998</v>
      </c>
      <c r="Y224">
        <v>0</v>
      </c>
      <c r="Z224">
        <v>180.72</v>
      </c>
      <c r="AA224">
        <v>17.510000000000002</v>
      </c>
      <c r="AB224">
        <v>0</v>
      </c>
      <c r="AC224">
        <v>0</v>
      </c>
      <c r="AD224">
        <v>1</v>
      </c>
      <c r="AE224">
        <v>0</v>
      </c>
      <c r="AF224" t="s">
        <v>20</v>
      </c>
      <c r="AG224">
        <v>4.984375</v>
      </c>
      <c r="AH224">
        <v>2</v>
      </c>
      <c r="AI224">
        <v>43135326</v>
      </c>
      <c r="AJ224">
        <v>228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</row>
    <row r="225" spans="1:44" x14ac:dyDescent="0.2">
      <c r="A225">
        <f>ROW(Source!A382)</f>
        <v>382</v>
      </c>
      <c r="B225">
        <v>43135327</v>
      </c>
      <c r="C225">
        <v>43135324</v>
      </c>
      <c r="D225">
        <v>36044488</v>
      </c>
      <c r="E225">
        <v>1</v>
      </c>
      <c r="F225">
        <v>1</v>
      </c>
      <c r="G225">
        <v>35973048</v>
      </c>
      <c r="H225">
        <v>2</v>
      </c>
      <c r="I225" t="s">
        <v>1252</v>
      </c>
      <c r="J225" t="s">
        <v>1253</v>
      </c>
      <c r="K225" t="s">
        <v>1254</v>
      </c>
      <c r="L225">
        <v>1367</v>
      </c>
      <c r="N225">
        <v>1011</v>
      </c>
      <c r="O225" t="s">
        <v>738</v>
      </c>
      <c r="P225" t="s">
        <v>738</v>
      </c>
      <c r="Q225">
        <v>1</v>
      </c>
      <c r="X225">
        <v>0.997</v>
      </c>
      <c r="Y225">
        <v>0</v>
      </c>
      <c r="Z225">
        <v>161.49</v>
      </c>
      <c r="AA225">
        <v>17.7</v>
      </c>
      <c r="AB225">
        <v>0</v>
      </c>
      <c r="AC225">
        <v>0</v>
      </c>
      <c r="AD225">
        <v>1</v>
      </c>
      <c r="AE225">
        <v>0</v>
      </c>
      <c r="AF225" t="s">
        <v>20</v>
      </c>
      <c r="AG225">
        <v>1.2462500000000001</v>
      </c>
      <c r="AH225">
        <v>2</v>
      </c>
      <c r="AI225">
        <v>43135327</v>
      </c>
      <c r="AJ225">
        <v>229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</row>
    <row r="226" spans="1:44" x14ac:dyDescent="0.2">
      <c r="A226">
        <f>ROW(Source!A383)</f>
        <v>383</v>
      </c>
      <c r="B226">
        <v>43159357</v>
      </c>
      <c r="C226">
        <v>43135800</v>
      </c>
      <c r="D226">
        <v>35973053</v>
      </c>
      <c r="E226">
        <v>35973048</v>
      </c>
      <c r="F226">
        <v>1</v>
      </c>
      <c r="G226">
        <v>35973048</v>
      </c>
      <c r="H226">
        <v>1</v>
      </c>
      <c r="I226" t="s">
        <v>1228</v>
      </c>
      <c r="J226" t="s">
        <v>3</v>
      </c>
      <c r="K226" t="s">
        <v>1229</v>
      </c>
      <c r="L226">
        <v>1191</v>
      </c>
      <c r="N226">
        <v>1013</v>
      </c>
      <c r="O226" t="s">
        <v>1230</v>
      </c>
      <c r="P226" t="s">
        <v>1230</v>
      </c>
      <c r="Q226">
        <v>1</v>
      </c>
      <c r="X226">
        <v>10.199999999999999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1</v>
      </c>
      <c r="AE226">
        <v>1</v>
      </c>
      <c r="AF226" t="s">
        <v>21</v>
      </c>
      <c r="AG226">
        <v>11.729999999999999</v>
      </c>
      <c r="AH226">
        <v>2</v>
      </c>
      <c r="AI226">
        <v>43159357</v>
      </c>
      <c r="AJ226">
        <v>230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</row>
    <row r="227" spans="1:44" x14ac:dyDescent="0.2">
      <c r="A227">
        <f>ROW(Source!A383)</f>
        <v>383</v>
      </c>
      <c r="B227">
        <v>43159358</v>
      </c>
      <c r="C227">
        <v>43135800</v>
      </c>
      <c r="D227">
        <v>36044648</v>
      </c>
      <c r="E227">
        <v>1</v>
      </c>
      <c r="F227">
        <v>1</v>
      </c>
      <c r="G227">
        <v>35973048</v>
      </c>
      <c r="H227">
        <v>2</v>
      </c>
      <c r="I227" t="s">
        <v>1270</v>
      </c>
      <c r="J227" t="s">
        <v>1271</v>
      </c>
      <c r="K227" t="s">
        <v>1272</v>
      </c>
      <c r="L227">
        <v>1367</v>
      </c>
      <c r="N227">
        <v>1011</v>
      </c>
      <c r="O227" t="s">
        <v>738</v>
      </c>
      <c r="P227" t="s">
        <v>738</v>
      </c>
      <c r="Q227">
        <v>1</v>
      </c>
      <c r="X227">
        <v>0.47</v>
      </c>
      <c r="Y227">
        <v>0</v>
      </c>
      <c r="Z227">
        <v>73</v>
      </c>
      <c r="AA227">
        <v>16.899999999999999</v>
      </c>
      <c r="AB227">
        <v>0</v>
      </c>
      <c r="AC227">
        <v>0</v>
      </c>
      <c r="AD227">
        <v>1</v>
      </c>
      <c r="AE227">
        <v>0</v>
      </c>
      <c r="AF227" t="s">
        <v>20</v>
      </c>
      <c r="AG227">
        <v>0.58749999999999991</v>
      </c>
      <c r="AH227">
        <v>2</v>
      </c>
      <c r="AI227">
        <v>43159358</v>
      </c>
      <c r="AJ227">
        <v>231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</row>
    <row r="228" spans="1:44" x14ac:dyDescent="0.2">
      <c r="A228">
        <f>ROW(Source!A383)</f>
        <v>383</v>
      </c>
      <c r="B228">
        <v>43159359</v>
      </c>
      <c r="C228">
        <v>43135800</v>
      </c>
      <c r="D228">
        <v>35988599</v>
      </c>
      <c r="E228">
        <v>35973048</v>
      </c>
      <c r="F228">
        <v>1</v>
      </c>
      <c r="G228">
        <v>35973048</v>
      </c>
      <c r="H228">
        <v>3</v>
      </c>
      <c r="I228" t="s">
        <v>1505</v>
      </c>
      <c r="J228" t="s">
        <v>3</v>
      </c>
      <c r="K228" t="s">
        <v>1506</v>
      </c>
      <c r="L228">
        <v>1339</v>
      </c>
      <c r="N228">
        <v>1007</v>
      </c>
      <c r="O228" t="s">
        <v>84</v>
      </c>
      <c r="P228" t="s">
        <v>84</v>
      </c>
      <c r="Q228">
        <v>1</v>
      </c>
      <c r="X228">
        <v>12.5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 t="s">
        <v>3</v>
      </c>
      <c r="AG228">
        <v>12.5</v>
      </c>
      <c r="AH228">
        <v>3</v>
      </c>
      <c r="AI228">
        <v>-1</v>
      </c>
      <c r="AJ228" t="s">
        <v>3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</row>
    <row r="229" spans="1:44" x14ac:dyDescent="0.2">
      <c r="A229">
        <f>ROW(Source!A385)</f>
        <v>385</v>
      </c>
      <c r="B229">
        <v>43143179</v>
      </c>
      <c r="C229">
        <v>43135350</v>
      </c>
      <c r="D229">
        <v>35973053</v>
      </c>
      <c r="E229">
        <v>35973048</v>
      </c>
      <c r="F229">
        <v>1</v>
      </c>
      <c r="G229">
        <v>35973048</v>
      </c>
      <c r="H229">
        <v>1</v>
      </c>
      <c r="I229" t="s">
        <v>1228</v>
      </c>
      <c r="J229" t="s">
        <v>3</v>
      </c>
      <c r="K229" t="s">
        <v>1229</v>
      </c>
      <c r="L229">
        <v>1191</v>
      </c>
      <c r="N229">
        <v>1013</v>
      </c>
      <c r="O229" t="s">
        <v>1230</v>
      </c>
      <c r="P229" t="s">
        <v>1230</v>
      </c>
      <c r="Q229">
        <v>1</v>
      </c>
      <c r="X229">
        <v>10.199999999999999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1</v>
      </c>
      <c r="AE229">
        <v>1</v>
      </c>
      <c r="AF229" t="s">
        <v>21</v>
      </c>
      <c r="AG229">
        <v>11.729999999999999</v>
      </c>
      <c r="AH229">
        <v>2</v>
      </c>
      <c r="AI229">
        <v>43143179</v>
      </c>
      <c r="AJ229">
        <v>233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</row>
    <row r="230" spans="1:44" x14ac:dyDescent="0.2">
      <c r="A230">
        <f>ROW(Source!A385)</f>
        <v>385</v>
      </c>
      <c r="B230">
        <v>43143180</v>
      </c>
      <c r="C230">
        <v>43135350</v>
      </c>
      <c r="D230">
        <v>36044648</v>
      </c>
      <c r="E230">
        <v>1</v>
      </c>
      <c r="F230">
        <v>1</v>
      </c>
      <c r="G230">
        <v>35973048</v>
      </c>
      <c r="H230">
        <v>2</v>
      </c>
      <c r="I230" t="s">
        <v>1270</v>
      </c>
      <c r="J230" t="s">
        <v>1271</v>
      </c>
      <c r="K230" t="s">
        <v>1272</v>
      </c>
      <c r="L230">
        <v>1367</v>
      </c>
      <c r="N230">
        <v>1011</v>
      </c>
      <c r="O230" t="s">
        <v>738</v>
      </c>
      <c r="P230" t="s">
        <v>738</v>
      </c>
      <c r="Q230">
        <v>1</v>
      </c>
      <c r="X230">
        <v>0.32</v>
      </c>
      <c r="Y230">
        <v>0</v>
      </c>
      <c r="Z230">
        <v>73</v>
      </c>
      <c r="AA230">
        <v>16.899999999999999</v>
      </c>
      <c r="AB230">
        <v>0</v>
      </c>
      <c r="AC230">
        <v>0</v>
      </c>
      <c r="AD230">
        <v>1</v>
      </c>
      <c r="AE230">
        <v>0</v>
      </c>
      <c r="AF230" t="s">
        <v>20</v>
      </c>
      <c r="AG230">
        <v>0.4</v>
      </c>
      <c r="AH230">
        <v>2</v>
      </c>
      <c r="AI230">
        <v>43143180</v>
      </c>
      <c r="AJ230">
        <v>234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</row>
    <row r="231" spans="1:44" x14ac:dyDescent="0.2">
      <c r="A231">
        <f>ROW(Source!A385)</f>
        <v>385</v>
      </c>
      <c r="B231">
        <v>43143181</v>
      </c>
      <c r="C231">
        <v>43135350</v>
      </c>
      <c r="D231">
        <v>35995212</v>
      </c>
      <c r="E231">
        <v>35973048</v>
      </c>
      <c r="F231">
        <v>1</v>
      </c>
      <c r="G231">
        <v>35973048</v>
      </c>
      <c r="H231">
        <v>3</v>
      </c>
      <c r="I231" t="s">
        <v>1465</v>
      </c>
      <c r="J231" t="s">
        <v>3</v>
      </c>
      <c r="K231" t="s">
        <v>1507</v>
      </c>
      <c r="L231">
        <v>1339</v>
      </c>
      <c r="N231">
        <v>1007</v>
      </c>
      <c r="O231" t="s">
        <v>84</v>
      </c>
      <c r="P231" t="s">
        <v>84</v>
      </c>
      <c r="Q231">
        <v>1</v>
      </c>
      <c r="X231">
        <v>11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 t="s">
        <v>3</v>
      </c>
      <c r="AG231">
        <v>11</v>
      </c>
      <c r="AH231">
        <v>3</v>
      </c>
      <c r="AI231">
        <v>-1</v>
      </c>
      <c r="AJ231" t="s">
        <v>3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</row>
    <row r="232" spans="1:44" x14ac:dyDescent="0.2">
      <c r="A232">
        <f>ROW(Source!A387)</f>
        <v>387</v>
      </c>
      <c r="B232">
        <v>43135466</v>
      </c>
      <c r="C232">
        <v>43135328</v>
      </c>
      <c r="D232">
        <v>35973053</v>
      </c>
      <c r="E232">
        <v>35973048</v>
      </c>
      <c r="F232">
        <v>1</v>
      </c>
      <c r="G232">
        <v>35973048</v>
      </c>
      <c r="H232">
        <v>1</v>
      </c>
      <c r="I232" t="s">
        <v>1228</v>
      </c>
      <c r="J232" t="s">
        <v>3</v>
      </c>
      <c r="K232" t="s">
        <v>1229</v>
      </c>
      <c r="L232">
        <v>1191</v>
      </c>
      <c r="N232">
        <v>1013</v>
      </c>
      <c r="O232" t="s">
        <v>1230</v>
      </c>
      <c r="P232" t="s">
        <v>1230</v>
      </c>
      <c r="Q232">
        <v>1</v>
      </c>
      <c r="X232">
        <v>17.96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1</v>
      </c>
      <c r="AE232">
        <v>1</v>
      </c>
      <c r="AF232" t="s">
        <v>21</v>
      </c>
      <c r="AG232">
        <v>20.654</v>
      </c>
      <c r="AH232">
        <v>2</v>
      </c>
      <c r="AI232">
        <v>43135466</v>
      </c>
      <c r="AJ232">
        <v>236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</row>
    <row r="233" spans="1:44" x14ac:dyDescent="0.2">
      <c r="A233">
        <f>ROW(Source!A387)</f>
        <v>387</v>
      </c>
      <c r="B233">
        <v>43135467</v>
      </c>
      <c r="C233">
        <v>43135328</v>
      </c>
      <c r="D233">
        <v>36044992</v>
      </c>
      <c r="E233">
        <v>1</v>
      </c>
      <c r="F233">
        <v>1</v>
      </c>
      <c r="G233">
        <v>35973048</v>
      </c>
      <c r="H233">
        <v>2</v>
      </c>
      <c r="I233" t="s">
        <v>1367</v>
      </c>
      <c r="J233" t="s">
        <v>1368</v>
      </c>
      <c r="K233" t="s">
        <v>1369</v>
      </c>
      <c r="L233">
        <v>1367</v>
      </c>
      <c r="N233">
        <v>1011</v>
      </c>
      <c r="O233" t="s">
        <v>738</v>
      </c>
      <c r="P233" t="s">
        <v>738</v>
      </c>
      <c r="Q233">
        <v>1</v>
      </c>
      <c r="X233">
        <v>3.5</v>
      </c>
      <c r="Y233">
        <v>0</v>
      </c>
      <c r="Z233">
        <v>8.1199999999999992</v>
      </c>
      <c r="AA233">
        <v>0.28999999999999998</v>
      </c>
      <c r="AB233">
        <v>0</v>
      </c>
      <c r="AC233">
        <v>0</v>
      </c>
      <c r="AD233">
        <v>1</v>
      </c>
      <c r="AE233">
        <v>0</v>
      </c>
      <c r="AF233" t="s">
        <v>20</v>
      </c>
      <c r="AG233">
        <v>4.375</v>
      </c>
      <c r="AH233">
        <v>2</v>
      </c>
      <c r="AI233">
        <v>43135467</v>
      </c>
      <c r="AJ233">
        <v>237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</row>
    <row r="234" spans="1:44" x14ac:dyDescent="0.2">
      <c r="A234">
        <f>ROW(Source!A387)</f>
        <v>387</v>
      </c>
      <c r="B234">
        <v>43135468</v>
      </c>
      <c r="C234">
        <v>43135328</v>
      </c>
      <c r="D234">
        <v>36044705</v>
      </c>
      <c r="E234">
        <v>1</v>
      </c>
      <c r="F234">
        <v>1</v>
      </c>
      <c r="G234">
        <v>35973048</v>
      </c>
      <c r="H234">
        <v>2</v>
      </c>
      <c r="I234" t="s">
        <v>1370</v>
      </c>
      <c r="J234" t="s">
        <v>1371</v>
      </c>
      <c r="K234" t="s">
        <v>1372</v>
      </c>
      <c r="L234">
        <v>1367</v>
      </c>
      <c r="N234">
        <v>1011</v>
      </c>
      <c r="O234" t="s">
        <v>738</v>
      </c>
      <c r="P234" t="s">
        <v>738</v>
      </c>
      <c r="Q234">
        <v>1</v>
      </c>
      <c r="X234">
        <v>0.05</v>
      </c>
      <c r="Y234">
        <v>0</v>
      </c>
      <c r="Z234">
        <v>56.31</v>
      </c>
      <c r="AA234">
        <v>15.4</v>
      </c>
      <c r="AB234">
        <v>0</v>
      </c>
      <c r="AC234">
        <v>0</v>
      </c>
      <c r="AD234">
        <v>1</v>
      </c>
      <c r="AE234">
        <v>0</v>
      </c>
      <c r="AF234" t="s">
        <v>20</v>
      </c>
      <c r="AG234">
        <v>6.25E-2</v>
      </c>
      <c r="AH234">
        <v>2</v>
      </c>
      <c r="AI234">
        <v>43135468</v>
      </c>
      <c r="AJ234">
        <v>238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</row>
    <row r="235" spans="1:44" x14ac:dyDescent="0.2">
      <c r="A235">
        <f>ROW(Source!A387)</f>
        <v>387</v>
      </c>
      <c r="B235">
        <v>43135469</v>
      </c>
      <c r="C235">
        <v>43135328</v>
      </c>
      <c r="D235">
        <v>36020415</v>
      </c>
      <c r="E235">
        <v>1</v>
      </c>
      <c r="F235">
        <v>1</v>
      </c>
      <c r="G235">
        <v>35973048</v>
      </c>
      <c r="H235">
        <v>3</v>
      </c>
      <c r="I235" t="s">
        <v>469</v>
      </c>
      <c r="J235" t="s">
        <v>471</v>
      </c>
      <c r="K235" t="s">
        <v>470</v>
      </c>
      <c r="L235">
        <v>1339</v>
      </c>
      <c r="N235">
        <v>1007</v>
      </c>
      <c r="O235" t="s">
        <v>84</v>
      </c>
      <c r="P235" t="s">
        <v>84</v>
      </c>
      <c r="Q235">
        <v>1</v>
      </c>
      <c r="X235">
        <v>0.1963</v>
      </c>
      <c r="Y235">
        <v>7.07</v>
      </c>
      <c r="Z235">
        <v>0</v>
      </c>
      <c r="AA235">
        <v>0</v>
      </c>
      <c r="AB235">
        <v>0</v>
      </c>
      <c r="AC235">
        <v>0</v>
      </c>
      <c r="AD235">
        <v>1</v>
      </c>
      <c r="AE235">
        <v>0</v>
      </c>
      <c r="AF235" t="s">
        <v>3</v>
      </c>
      <c r="AG235">
        <v>0.1963</v>
      </c>
      <c r="AH235">
        <v>2</v>
      </c>
      <c r="AI235">
        <v>43135469</v>
      </c>
      <c r="AJ235">
        <v>239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</row>
    <row r="236" spans="1:44" x14ac:dyDescent="0.2">
      <c r="A236">
        <f>ROW(Source!A387)</f>
        <v>387</v>
      </c>
      <c r="B236">
        <v>43135470</v>
      </c>
      <c r="C236">
        <v>43135328</v>
      </c>
      <c r="D236">
        <v>41283220</v>
      </c>
      <c r="E236">
        <v>35973048</v>
      </c>
      <c r="F236">
        <v>1</v>
      </c>
      <c r="G236">
        <v>35973048</v>
      </c>
      <c r="H236">
        <v>3</v>
      </c>
      <c r="I236" t="s">
        <v>1508</v>
      </c>
      <c r="J236" t="s">
        <v>3</v>
      </c>
      <c r="K236" t="s">
        <v>1509</v>
      </c>
      <c r="L236">
        <v>1301</v>
      </c>
      <c r="N236">
        <v>1003</v>
      </c>
      <c r="O236" t="s">
        <v>136</v>
      </c>
      <c r="P236" t="s">
        <v>136</v>
      </c>
      <c r="Q236">
        <v>1</v>
      </c>
      <c r="X236">
        <v>102.5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 t="s">
        <v>3</v>
      </c>
      <c r="AG236">
        <v>102.5</v>
      </c>
      <c r="AH236">
        <v>3</v>
      </c>
      <c r="AI236">
        <v>-1</v>
      </c>
      <c r="AJ236" t="s">
        <v>3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</row>
    <row r="237" spans="1:44" x14ac:dyDescent="0.2">
      <c r="A237">
        <f>ROW(Source!A388)</f>
        <v>388</v>
      </c>
      <c r="B237">
        <v>43136993</v>
      </c>
      <c r="C237">
        <v>43135377</v>
      </c>
      <c r="D237">
        <v>36759504</v>
      </c>
      <c r="E237">
        <v>1</v>
      </c>
      <c r="F237">
        <v>1</v>
      </c>
      <c r="G237">
        <v>35973048</v>
      </c>
      <c r="H237">
        <v>2</v>
      </c>
      <c r="I237" t="s">
        <v>1332</v>
      </c>
      <c r="J237" t="s">
        <v>1333</v>
      </c>
      <c r="K237" t="s">
        <v>1334</v>
      </c>
      <c r="L237">
        <v>1367</v>
      </c>
      <c r="N237">
        <v>1011</v>
      </c>
      <c r="O237" t="s">
        <v>738</v>
      </c>
      <c r="P237" t="s">
        <v>738</v>
      </c>
      <c r="Q237">
        <v>1</v>
      </c>
      <c r="X237">
        <v>1</v>
      </c>
      <c r="Y237">
        <v>0</v>
      </c>
      <c r="Z237">
        <v>100.09</v>
      </c>
      <c r="AA237">
        <v>13.81</v>
      </c>
      <c r="AB237">
        <v>0</v>
      </c>
      <c r="AC237">
        <v>0</v>
      </c>
      <c r="AD237">
        <v>1</v>
      </c>
      <c r="AE237">
        <v>0</v>
      </c>
      <c r="AF237" t="s">
        <v>3</v>
      </c>
      <c r="AG237">
        <v>1</v>
      </c>
      <c r="AH237">
        <v>2</v>
      </c>
      <c r="AI237">
        <v>43136993</v>
      </c>
      <c r="AJ237">
        <v>240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</row>
    <row r="238" spans="1:44" x14ac:dyDescent="0.2">
      <c r="A238">
        <f>ROW(Source!A389)</f>
        <v>389</v>
      </c>
      <c r="B238">
        <v>43136995</v>
      </c>
      <c r="C238">
        <v>43136994</v>
      </c>
      <c r="D238">
        <v>35973762</v>
      </c>
      <c r="E238">
        <v>35973048</v>
      </c>
      <c r="F238">
        <v>1</v>
      </c>
      <c r="G238">
        <v>35973048</v>
      </c>
      <c r="H238">
        <v>2</v>
      </c>
      <c r="I238" t="s">
        <v>1243</v>
      </c>
      <c r="J238" t="s">
        <v>3</v>
      </c>
      <c r="K238" t="s">
        <v>1244</v>
      </c>
      <c r="L238">
        <v>1344</v>
      </c>
      <c r="N238">
        <v>1008</v>
      </c>
      <c r="O238" t="s">
        <v>1245</v>
      </c>
      <c r="P238" t="s">
        <v>1245</v>
      </c>
      <c r="Q238">
        <v>1</v>
      </c>
      <c r="X238">
        <v>12.61</v>
      </c>
      <c r="Y238">
        <v>0</v>
      </c>
      <c r="Z238">
        <v>1</v>
      </c>
      <c r="AA238">
        <v>0</v>
      </c>
      <c r="AB238">
        <v>0</v>
      </c>
      <c r="AC238">
        <v>0</v>
      </c>
      <c r="AD238">
        <v>1</v>
      </c>
      <c r="AE238">
        <v>0</v>
      </c>
      <c r="AF238" t="s">
        <v>3</v>
      </c>
      <c r="AG238">
        <v>12.61</v>
      </c>
      <c r="AH238">
        <v>2</v>
      </c>
      <c r="AI238">
        <v>43136995</v>
      </c>
      <c r="AJ238">
        <v>241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</row>
    <row r="239" spans="1:44" x14ac:dyDescent="0.2">
      <c r="A239">
        <f>ROW(Source!A390)</f>
        <v>390</v>
      </c>
      <c r="B239">
        <v>43135866</v>
      </c>
      <c r="C239">
        <v>43135861</v>
      </c>
      <c r="D239">
        <v>35973053</v>
      </c>
      <c r="E239">
        <v>35973048</v>
      </c>
      <c r="F239">
        <v>1</v>
      </c>
      <c r="G239">
        <v>35973048</v>
      </c>
      <c r="H239">
        <v>1</v>
      </c>
      <c r="I239" t="s">
        <v>1228</v>
      </c>
      <c r="J239" t="s">
        <v>3</v>
      </c>
      <c r="K239" t="s">
        <v>1229</v>
      </c>
      <c r="L239">
        <v>1191</v>
      </c>
      <c r="N239">
        <v>1013</v>
      </c>
      <c r="O239" t="s">
        <v>1230</v>
      </c>
      <c r="P239" t="s">
        <v>1230</v>
      </c>
      <c r="Q239">
        <v>1</v>
      </c>
      <c r="X239">
        <v>7.65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1</v>
      </c>
      <c r="AE239">
        <v>1</v>
      </c>
      <c r="AF239" t="s">
        <v>21</v>
      </c>
      <c r="AG239">
        <v>8.7974999999999994</v>
      </c>
      <c r="AH239">
        <v>2</v>
      </c>
      <c r="AI239">
        <v>43135862</v>
      </c>
      <c r="AJ239">
        <v>242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</row>
    <row r="240" spans="1:44" x14ac:dyDescent="0.2">
      <c r="A240">
        <f>ROW(Source!A390)</f>
        <v>390</v>
      </c>
      <c r="B240">
        <v>43135867</v>
      </c>
      <c r="C240">
        <v>43135861</v>
      </c>
      <c r="D240">
        <v>35973762</v>
      </c>
      <c r="E240">
        <v>35973048</v>
      </c>
      <c r="F240">
        <v>1</v>
      </c>
      <c r="G240">
        <v>35973048</v>
      </c>
      <c r="H240">
        <v>2</v>
      </c>
      <c r="I240" t="s">
        <v>1243</v>
      </c>
      <c r="J240" t="s">
        <v>3</v>
      </c>
      <c r="K240" t="s">
        <v>1244</v>
      </c>
      <c r="L240">
        <v>1344</v>
      </c>
      <c r="N240">
        <v>1008</v>
      </c>
      <c r="O240" t="s">
        <v>1245</v>
      </c>
      <c r="P240" t="s">
        <v>1245</v>
      </c>
      <c r="Q240">
        <v>1</v>
      </c>
      <c r="X240">
        <v>5.96</v>
      </c>
      <c r="Y240">
        <v>0</v>
      </c>
      <c r="Z240">
        <v>1</v>
      </c>
      <c r="AA240">
        <v>0</v>
      </c>
      <c r="AB240">
        <v>0</v>
      </c>
      <c r="AC240">
        <v>0</v>
      </c>
      <c r="AD240">
        <v>1</v>
      </c>
      <c r="AE240">
        <v>0</v>
      </c>
      <c r="AF240" t="s">
        <v>20</v>
      </c>
      <c r="AG240">
        <v>7.45</v>
      </c>
      <c r="AH240">
        <v>2</v>
      </c>
      <c r="AI240">
        <v>43135863</v>
      </c>
      <c r="AJ240">
        <v>243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</row>
    <row r="241" spans="1:44" x14ac:dyDescent="0.2">
      <c r="A241">
        <f>ROW(Source!A390)</f>
        <v>390</v>
      </c>
      <c r="B241">
        <v>43135868</v>
      </c>
      <c r="C241">
        <v>43135861</v>
      </c>
      <c r="D241">
        <v>36020428</v>
      </c>
      <c r="E241">
        <v>1</v>
      </c>
      <c r="F241">
        <v>1</v>
      </c>
      <c r="G241">
        <v>35973048</v>
      </c>
      <c r="H241">
        <v>3</v>
      </c>
      <c r="I241" t="s">
        <v>372</v>
      </c>
      <c r="J241" t="s">
        <v>374</v>
      </c>
      <c r="K241" t="s">
        <v>373</v>
      </c>
      <c r="L241">
        <v>1348</v>
      </c>
      <c r="N241">
        <v>1009</v>
      </c>
      <c r="O241" t="s">
        <v>104</v>
      </c>
      <c r="P241" t="s">
        <v>104</v>
      </c>
      <c r="Q241">
        <v>1000</v>
      </c>
      <c r="X241">
        <v>4.2000000000000002E-4</v>
      </c>
      <c r="Y241">
        <v>6521.42</v>
      </c>
      <c r="Z241">
        <v>0</v>
      </c>
      <c r="AA241">
        <v>0</v>
      </c>
      <c r="AB241">
        <v>0</v>
      </c>
      <c r="AC241">
        <v>0</v>
      </c>
      <c r="AD241">
        <v>1</v>
      </c>
      <c r="AE241">
        <v>0</v>
      </c>
      <c r="AF241" t="s">
        <v>3</v>
      </c>
      <c r="AG241">
        <v>4.2000000000000002E-4</v>
      </c>
      <c r="AH241">
        <v>2</v>
      </c>
      <c r="AI241">
        <v>43135864</v>
      </c>
      <c r="AJ241">
        <v>244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</row>
    <row r="242" spans="1:44" x14ac:dyDescent="0.2">
      <c r="A242">
        <f>ROW(Source!A390)</f>
        <v>390</v>
      </c>
      <c r="B242">
        <v>43135869</v>
      </c>
      <c r="C242">
        <v>43135861</v>
      </c>
      <c r="D242">
        <v>35986137</v>
      </c>
      <c r="E242">
        <v>35973048</v>
      </c>
      <c r="F242">
        <v>1</v>
      </c>
      <c r="G242">
        <v>35973048</v>
      </c>
      <c r="H242">
        <v>3</v>
      </c>
      <c r="I242" t="s">
        <v>1490</v>
      </c>
      <c r="J242" t="s">
        <v>3</v>
      </c>
      <c r="K242" t="s">
        <v>1491</v>
      </c>
      <c r="L242">
        <v>1301</v>
      </c>
      <c r="N242">
        <v>1003</v>
      </c>
      <c r="O242" t="s">
        <v>136</v>
      </c>
      <c r="P242" t="s">
        <v>136</v>
      </c>
      <c r="Q242">
        <v>1</v>
      </c>
      <c r="X242">
        <v>105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 t="s">
        <v>3</v>
      </c>
      <c r="AG242">
        <v>105</v>
      </c>
      <c r="AH242">
        <v>3</v>
      </c>
      <c r="AI242">
        <v>-1</v>
      </c>
      <c r="AJ242" t="s">
        <v>3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</row>
    <row r="243" spans="1:44" x14ac:dyDescent="0.2">
      <c r="A243">
        <f>ROW(Source!A390)</f>
        <v>390</v>
      </c>
      <c r="B243">
        <v>43135870</v>
      </c>
      <c r="C243">
        <v>43135861</v>
      </c>
      <c r="D243">
        <v>35994366</v>
      </c>
      <c r="E243">
        <v>35973048</v>
      </c>
      <c r="F243">
        <v>1</v>
      </c>
      <c r="G243">
        <v>35973048</v>
      </c>
      <c r="H243">
        <v>3</v>
      </c>
      <c r="I243" t="s">
        <v>1294</v>
      </c>
      <c r="J243" t="s">
        <v>3</v>
      </c>
      <c r="K243" t="s">
        <v>1295</v>
      </c>
      <c r="L243">
        <v>1344</v>
      </c>
      <c r="N243">
        <v>1008</v>
      </c>
      <c r="O243" t="s">
        <v>1245</v>
      </c>
      <c r="P243" t="s">
        <v>1245</v>
      </c>
      <c r="Q243">
        <v>1</v>
      </c>
      <c r="X243">
        <v>2.1</v>
      </c>
      <c r="Y243">
        <v>1</v>
      </c>
      <c r="Z243">
        <v>0</v>
      </c>
      <c r="AA243">
        <v>0</v>
      </c>
      <c r="AB243">
        <v>0</v>
      </c>
      <c r="AC243">
        <v>0</v>
      </c>
      <c r="AD243">
        <v>1</v>
      </c>
      <c r="AE243">
        <v>0</v>
      </c>
      <c r="AF243" t="s">
        <v>3</v>
      </c>
      <c r="AG243">
        <v>2.1</v>
      </c>
      <c r="AH243">
        <v>3</v>
      </c>
      <c r="AI243">
        <v>-1</v>
      </c>
      <c r="AJ243" t="s">
        <v>3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</row>
    <row r="244" spans="1:44" x14ac:dyDescent="0.2">
      <c r="A244">
        <f>ROW(Source!A393)</f>
        <v>393</v>
      </c>
      <c r="B244">
        <v>43135497</v>
      </c>
      <c r="C244">
        <v>43135496</v>
      </c>
      <c r="D244">
        <v>35973053</v>
      </c>
      <c r="E244">
        <v>35973048</v>
      </c>
      <c r="F244">
        <v>1</v>
      </c>
      <c r="G244">
        <v>35973048</v>
      </c>
      <c r="H244">
        <v>1</v>
      </c>
      <c r="I244" t="s">
        <v>1228</v>
      </c>
      <c r="J244" t="s">
        <v>3</v>
      </c>
      <c r="K244" t="s">
        <v>1229</v>
      </c>
      <c r="L244">
        <v>1191</v>
      </c>
      <c r="N244">
        <v>1013</v>
      </c>
      <c r="O244" t="s">
        <v>1230</v>
      </c>
      <c r="P244" t="s">
        <v>1230</v>
      </c>
      <c r="Q244">
        <v>1</v>
      </c>
      <c r="X244">
        <v>13.4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1</v>
      </c>
      <c r="AE244">
        <v>1</v>
      </c>
      <c r="AF244" t="s">
        <v>21</v>
      </c>
      <c r="AG244">
        <v>15.409999999999998</v>
      </c>
      <c r="AH244">
        <v>2</v>
      </c>
      <c r="AI244">
        <v>43135497</v>
      </c>
      <c r="AJ244">
        <v>246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</row>
    <row r="245" spans="1:44" x14ac:dyDescent="0.2">
      <c r="A245">
        <f>ROW(Source!A393)</f>
        <v>393</v>
      </c>
      <c r="B245">
        <v>43135498</v>
      </c>
      <c r="C245">
        <v>43135496</v>
      </c>
      <c r="D245">
        <v>36045308</v>
      </c>
      <c r="E245">
        <v>1</v>
      </c>
      <c r="F245">
        <v>1</v>
      </c>
      <c r="G245">
        <v>35973048</v>
      </c>
      <c r="H245">
        <v>2</v>
      </c>
      <c r="I245" t="s">
        <v>1231</v>
      </c>
      <c r="J245" t="s">
        <v>1232</v>
      </c>
      <c r="K245" t="s">
        <v>1233</v>
      </c>
      <c r="L245">
        <v>1367</v>
      </c>
      <c r="N245">
        <v>1011</v>
      </c>
      <c r="O245" t="s">
        <v>738</v>
      </c>
      <c r="P245" t="s">
        <v>738</v>
      </c>
      <c r="Q245">
        <v>1</v>
      </c>
      <c r="X245">
        <v>0.16</v>
      </c>
      <c r="Y245">
        <v>0</v>
      </c>
      <c r="Z245">
        <v>76.81</v>
      </c>
      <c r="AA245">
        <v>14.36</v>
      </c>
      <c r="AB245">
        <v>0</v>
      </c>
      <c r="AC245">
        <v>0</v>
      </c>
      <c r="AD245">
        <v>1</v>
      </c>
      <c r="AE245">
        <v>0</v>
      </c>
      <c r="AF245" t="s">
        <v>20</v>
      </c>
      <c r="AG245">
        <v>0.2</v>
      </c>
      <c r="AH245">
        <v>2</v>
      </c>
      <c r="AI245">
        <v>43135498</v>
      </c>
      <c r="AJ245">
        <v>247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</row>
    <row r="246" spans="1:44" x14ac:dyDescent="0.2">
      <c r="A246">
        <f>ROW(Source!A393)</f>
        <v>393</v>
      </c>
      <c r="B246">
        <v>43135499</v>
      </c>
      <c r="C246">
        <v>43135496</v>
      </c>
      <c r="D246">
        <v>36044555</v>
      </c>
      <c r="E246">
        <v>1</v>
      </c>
      <c r="F246">
        <v>1</v>
      </c>
      <c r="G246">
        <v>35973048</v>
      </c>
      <c r="H246">
        <v>2</v>
      </c>
      <c r="I246" t="s">
        <v>1267</v>
      </c>
      <c r="J246" t="s">
        <v>1268</v>
      </c>
      <c r="K246" t="s">
        <v>1269</v>
      </c>
      <c r="L246">
        <v>1367</v>
      </c>
      <c r="N246">
        <v>1011</v>
      </c>
      <c r="O246" t="s">
        <v>738</v>
      </c>
      <c r="P246" t="s">
        <v>738</v>
      </c>
      <c r="Q246">
        <v>1</v>
      </c>
      <c r="X246">
        <v>0.11</v>
      </c>
      <c r="Y246">
        <v>0</v>
      </c>
      <c r="Z246">
        <v>190.93</v>
      </c>
      <c r="AA246">
        <v>18.149999999999999</v>
      </c>
      <c r="AB246">
        <v>0</v>
      </c>
      <c r="AC246">
        <v>0</v>
      </c>
      <c r="AD246">
        <v>1</v>
      </c>
      <c r="AE246">
        <v>0</v>
      </c>
      <c r="AF246" t="s">
        <v>20</v>
      </c>
      <c r="AG246">
        <v>0.13750000000000001</v>
      </c>
      <c r="AH246">
        <v>2</v>
      </c>
      <c r="AI246">
        <v>43135499</v>
      </c>
      <c r="AJ246">
        <v>248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</row>
    <row r="247" spans="1:44" x14ac:dyDescent="0.2">
      <c r="A247">
        <f>ROW(Source!A393)</f>
        <v>393</v>
      </c>
      <c r="B247">
        <v>43135500</v>
      </c>
      <c r="C247">
        <v>43135496</v>
      </c>
      <c r="D247">
        <v>36020415</v>
      </c>
      <c r="E247">
        <v>1</v>
      </c>
      <c r="F247">
        <v>1</v>
      </c>
      <c r="G247">
        <v>35973048</v>
      </c>
      <c r="H247">
        <v>3</v>
      </c>
      <c r="I247" t="s">
        <v>469</v>
      </c>
      <c r="J247" t="s">
        <v>471</v>
      </c>
      <c r="K247" t="s">
        <v>470</v>
      </c>
      <c r="L247">
        <v>1339</v>
      </c>
      <c r="N247">
        <v>1007</v>
      </c>
      <c r="O247" t="s">
        <v>84</v>
      </c>
      <c r="P247" t="s">
        <v>84</v>
      </c>
      <c r="Q247">
        <v>1</v>
      </c>
      <c r="X247">
        <v>2.52</v>
      </c>
      <c r="Y247">
        <v>7.07</v>
      </c>
      <c r="Z247">
        <v>0</v>
      </c>
      <c r="AA247">
        <v>0</v>
      </c>
      <c r="AB247">
        <v>0</v>
      </c>
      <c r="AC247">
        <v>0</v>
      </c>
      <c r="AD247">
        <v>1</v>
      </c>
      <c r="AE247">
        <v>0</v>
      </c>
      <c r="AF247" t="s">
        <v>3</v>
      </c>
      <c r="AG247">
        <v>2.52</v>
      </c>
      <c r="AH247">
        <v>2</v>
      </c>
      <c r="AI247">
        <v>43135500</v>
      </c>
      <c r="AJ247">
        <v>249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</row>
    <row r="248" spans="1:44" x14ac:dyDescent="0.2">
      <c r="A248">
        <f>ROW(Source!A393)</f>
        <v>393</v>
      </c>
      <c r="B248">
        <v>43135501</v>
      </c>
      <c r="C248">
        <v>43135496</v>
      </c>
      <c r="D248">
        <v>36022529</v>
      </c>
      <c r="E248">
        <v>1</v>
      </c>
      <c r="F248">
        <v>1</v>
      </c>
      <c r="G248">
        <v>35973048</v>
      </c>
      <c r="H248">
        <v>3</v>
      </c>
      <c r="I248" t="s">
        <v>1373</v>
      </c>
      <c r="J248" t="s">
        <v>1374</v>
      </c>
      <c r="K248" t="s">
        <v>1375</v>
      </c>
      <c r="L248">
        <v>1346</v>
      </c>
      <c r="N248">
        <v>1009</v>
      </c>
      <c r="O248" t="s">
        <v>131</v>
      </c>
      <c r="P248" t="s">
        <v>131</v>
      </c>
      <c r="Q248">
        <v>1</v>
      </c>
      <c r="X248">
        <v>0.02</v>
      </c>
      <c r="Y248">
        <v>38</v>
      </c>
      <c r="Z248">
        <v>0</v>
      </c>
      <c r="AA248">
        <v>0</v>
      </c>
      <c r="AB248">
        <v>0</v>
      </c>
      <c r="AC248">
        <v>0</v>
      </c>
      <c r="AD248">
        <v>1</v>
      </c>
      <c r="AE248">
        <v>0</v>
      </c>
      <c r="AF248" t="s">
        <v>3</v>
      </c>
      <c r="AG248">
        <v>0.02</v>
      </c>
      <c r="AH248">
        <v>2</v>
      </c>
      <c r="AI248">
        <v>43135501</v>
      </c>
      <c r="AJ248">
        <v>250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</row>
    <row r="249" spans="1:44" x14ac:dyDescent="0.2">
      <c r="A249">
        <f>ROW(Source!A393)</f>
        <v>393</v>
      </c>
      <c r="B249">
        <v>43135502</v>
      </c>
      <c r="C249">
        <v>43135496</v>
      </c>
      <c r="D249">
        <v>36020746</v>
      </c>
      <c r="E249">
        <v>1</v>
      </c>
      <c r="F249">
        <v>1</v>
      </c>
      <c r="G249">
        <v>35973048</v>
      </c>
      <c r="H249">
        <v>3</v>
      </c>
      <c r="I249" t="s">
        <v>1376</v>
      </c>
      <c r="J249" t="s">
        <v>1377</v>
      </c>
      <c r="K249" t="s">
        <v>1378</v>
      </c>
      <c r="L249">
        <v>1348</v>
      </c>
      <c r="N249">
        <v>1009</v>
      </c>
      <c r="O249" t="s">
        <v>104</v>
      </c>
      <c r="P249" t="s">
        <v>104</v>
      </c>
      <c r="Q249">
        <v>1000</v>
      </c>
      <c r="X249">
        <v>5.0000000000000002E-5</v>
      </c>
      <c r="Y249">
        <v>16222.39</v>
      </c>
      <c r="Z249">
        <v>0</v>
      </c>
      <c r="AA249">
        <v>0</v>
      </c>
      <c r="AB249">
        <v>0</v>
      </c>
      <c r="AC249">
        <v>0</v>
      </c>
      <c r="AD249">
        <v>1</v>
      </c>
      <c r="AE249">
        <v>0</v>
      </c>
      <c r="AF249" t="s">
        <v>3</v>
      </c>
      <c r="AG249">
        <v>5.0000000000000002E-5</v>
      </c>
      <c r="AH249">
        <v>2</v>
      </c>
      <c r="AI249">
        <v>43135502</v>
      </c>
      <c r="AJ249">
        <v>251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</row>
    <row r="250" spans="1:44" x14ac:dyDescent="0.2">
      <c r="A250">
        <f>ROW(Source!A393)</f>
        <v>393</v>
      </c>
      <c r="B250">
        <v>43135503</v>
      </c>
      <c r="C250">
        <v>43135496</v>
      </c>
      <c r="D250">
        <v>36020948</v>
      </c>
      <c r="E250">
        <v>1</v>
      </c>
      <c r="F250">
        <v>1</v>
      </c>
      <c r="G250">
        <v>35973048</v>
      </c>
      <c r="H250">
        <v>3</v>
      </c>
      <c r="I250" t="s">
        <v>490</v>
      </c>
      <c r="J250" t="s">
        <v>492</v>
      </c>
      <c r="K250" t="s">
        <v>491</v>
      </c>
      <c r="L250">
        <v>1346</v>
      </c>
      <c r="N250">
        <v>1009</v>
      </c>
      <c r="O250" t="s">
        <v>131</v>
      </c>
      <c r="P250" t="s">
        <v>131</v>
      </c>
      <c r="Q250">
        <v>1</v>
      </c>
      <c r="X250">
        <v>6.0000000000000001E-3</v>
      </c>
      <c r="Y250">
        <v>20.190000000000001</v>
      </c>
      <c r="Z250">
        <v>0</v>
      </c>
      <c r="AA250">
        <v>0</v>
      </c>
      <c r="AB250">
        <v>0</v>
      </c>
      <c r="AC250">
        <v>0</v>
      </c>
      <c r="AD250">
        <v>1</v>
      </c>
      <c r="AE250">
        <v>0</v>
      </c>
      <c r="AF250" t="s">
        <v>3</v>
      </c>
      <c r="AG250">
        <v>6.0000000000000001E-3</v>
      </c>
      <c r="AH250">
        <v>2</v>
      </c>
      <c r="AI250">
        <v>43135503</v>
      </c>
      <c r="AJ250">
        <v>252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</row>
    <row r="251" spans="1:44" x14ac:dyDescent="0.2">
      <c r="A251">
        <f>ROW(Source!A393)</f>
        <v>393</v>
      </c>
      <c r="B251">
        <v>43135504</v>
      </c>
      <c r="C251">
        <v>43135496</v>
      </c>
      <c r="D251">
        <v>35987804</v>
      </c>
      <c r="E251">
        <v>35973048</v>
      </c>
      <c r="F251">
        <v>1</v>
      </c>
      <c r="G251">
        <v>35973048</v>
      </c>
      <c r="H251">
        <v>3</v>
      </c>
      <c r="I251" t="s">
        <v>1510</v>
      </c>
      <c r="J251" t="s">
        <v>3</v>
      </c>
      <c r="K251" t="s">
        <v>1511</v>
      </c>
      <c r="L251">
        <v>1354</v>
      </c>
      <c r="N251">
        <v>1010</v>
      </c>
      <c r="O251" t="s">
        <v>169</v>
      </c>
      <c r="P251" t="s">
        <v>169</v>
      </c>
      <c r="Q251">
        <v>1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 t="s">
        <v>3</v>
      </c>
      <c r="AG251">
        <v>0</v>
      </c>
      <c r="AH251">
        <v>3</v>
      </c>
      <c r="AI251">
        <v>-1</v>
      </c>
      <c r="AJ251" t="s">
        <v>3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</row>
    <row r="252" spans="1:44" x14ac:dyDescent="0.2">
      <c r="A252">
        <f>ROW(Source!A393)</f>
        <v>393</v>
      </c>
      <c r="B252">
        <v>43135505</v>
      </c>
      <c r="C252">
        <v>43135496</v>
      </c>
      <c r="D252">
        <v>35987797</v>
      </c>
      <c r="E252">
        <v>35973048</v>
      </c>
      <c r="F252">
        <v>1</v>
      </c>
      <c r="G252">
        <v>35973048</v>
      </c>
      <c r="H252">
        <v>3</v>
      </c>
      <c r="I252" t="s">
        <v>1512</v>
      </c>
      <c r="J252" t="s">
        <v>3</v>
      </c>
      <c r="K252" t="s">
        <v>1513</v>
      </c>
      <c r="L252">
        <v>1354</v>
      </c>
      <c r="N252">
        <v>1010</v>
      </c>
      <c r="O252" t="s">
        <v>169</v>
      </c>
      <c r="P252" t="s">
        <v>169</v>
      </c>
      <c r="Q252">
        <v>1</v>
      </c>
      <c r="X252">
        <v>1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 t="s">
        <v>3</v>
      </c>
      <c r="AG252">
        <v>1</v>
      </c>
      <c r="AH252">
        <v>3</v>
      </c>
      <c r="AI252">
        <v>-1</v>
      </c>
      <c r="AJ252" t="s">
        <v>3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</row>
    <row r="253" spans="1:44" x14ac:dyDescent="0.2">
      <c r="A253">
        <f>ROW(Source!A394)</f>
        <v>394</v>
      </c>
      <c r="B253">
        <v>43135553</v>
      </c>
      <c r="C253">
        <v>43135549</v>
      </c>
      <c r="D253">
        <v>35973053</v>
      </c>
      <c r="E253">
        <v>35973048</v>
      </c>
      <c r="F253">
        <v>1</v>
      </c>
      <c r="G253">
        <v>35973048</v>
      </c>
      <c r="H253">
        <v>1</v>
      </c>
      <c r="I253" t="s">
        <v>1228</v>
      </c>
      <c r="J253" t="s">
        <v>3</v>
      </c>
      <c r="K253" t="s">
        <v>1229</v>
      </c>
      <c r="L253">
        <v>1191</v>
      </c>
      <c r="N253">
        <v>1013</v>
      </c>
      <c r="O253" t="s">
        <v>1230</v>
      </c>
      <c r="P253" t="s">
        <v>1230</v>
      </c>
      <c r="Q253">
        <v>1</v>
      </c>
      <c r="X253">
        <v>0.75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1</v>
      </c>
      <c r="AE253">
        <v>1</v>
      </c>
      <c r="AF253" t="s">
        <v>21</v>
      </c>
      <c r="AG253">
        <v>0.86249999999999993</v>
      </c>
      <c r="AH253">
        <v>2</v>
      </c>
      <c r="AI253">
        <v>43135553</v>
      </c>
      <c r="AJ253">
        <v>253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</row>
    <row r="254" spans="1:44" x14ac:dyDescent="0.2">
      <c r="A254">
        <f>ROW(Source!A394)</f>
        <v>394</v>
      </c>
      <c r="B254">
        <v>43135554</v>
      </c>
      <c r="C254">
        <v>43135549</v>
      </c>
      <c r="D254">
        <v>36045025</v>
      </c>
      <c r="E254">
        <v>1</v>
      </c>
      <c r="F254">
        <v>1</v>
      </c>
      <c r="G254">
        <v>35973048</v>
      </c>
      <c r="H254">
        <v>2</v>
      </c>
      <c r="I254" t="s">
        <v>1261</v>
      </c>
      <c r="J254" t="s">
        <v>1262</v>
      </c>
      <c r="K254" t="s">
        <v>1263</v>
      </c>
      <c r="L254">
        <v>1367</v>
      </c>
      <c r="N254">
        <v>1011</v>
      </c>
      <c r="O254" t="s">
        <v>738</v>
      </c>
      <c r="P254" t="s">
        <v>738</v>
      </c>
      <c r="Q254">
        <v>1</v>
      </c>
      <c r="X254">
        <v>0.24</v>
      </c>
      <c r="Y254">
        <v>0</v>
      </c>
      <c r="Z254">
        <v>6.15</v>
      </c>
      <c r="AA254">
        <v>0.02</v>
      </c>
      <c r="AB254">
        <v>0</v>
      </c>
      <c r="AC254">
        <v>0</v>
      </c>
      <c r="AD254">
        <v>1</v>
      </c>
      <c r="AE254">
        <v>0</v>
      </c>
      <c r="AF254" t="s">
        <v>20</v>
      </c>
      <c r="AG254">
        <v>0.3</v>
      </c>
      <c r="AH254">
        <v>2</v>
      </c>
      <c r="AI254">
        <v>43135554</v>
      </c>
      <c r="AJ254">
        <v>254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</row>
    <row r="255" spans="1:44" x14ac:dyDescent="0.2">
      <c r="A255">
        <f>ROW(Source!A394)</f>
        <v>394</v>
      </c>
      <c r="B255">
        <v>43135555</v>
      </c>
      <c r="C255">
        <v>43135549</v>
      </c>
      <c r="D255">
        <v>36045308</v>
      </c>
      <c r="E255">
        <v>1</v>
      </c>
      <c r="F255">
        <v>1</v>
      </c>
      <c r="G255">
        <v>35973048</v>
      </c>
      <c r="H255">
        <v>2</v>
      </c>
      <c r="I255" t="s">
        <v>1231</v>
      </c>
      <c r="J255" t="s">
        <v>1232</v>
      </c>
      <c r="K255" t="s">
        <v>1233</v>
      </c>
      <c r="L255">
        <v>1367</v>
      </c>
      <c r="N255">
        <v>1011</v>
      </c>
      <c r="O255" t="s">
        <v>738</v>
      </c>
      <c r="P255" t="s">
        <v>738</v>
      </c>
      <c r="Q255">
        <v>1</v>
      </c>
      <c r="X255">
        <v>3.2000000000000001E-2</v>
      </c>
      <c r="Y255">
        <v>0</v>
      </c>
      <c r="Z255">
        <v>76.81</v>
      </c>
      <c r="AA255">
        <v>14.36</v>
      </c>
      <c r="AB255">
        <v>0</v>
      </c>
      <c r="AC255">
        <v>0</v>
      </c>
      <c r="AD255">
        <v>1</v>
      </c>
      <c r="AE255">
        <v>0</v>
      </c>
      <c r="AF255" t="s">
        <v>20</v>
      </c>
      <c r="AG255">
        <v>0.04</v>
      </c>
      <c r="AH255">
        <v>2</v>
      </c>
      <c r="AI255">
        <v>43135555</v>
      </c>
      <c r="AJ255">
        <v>255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</row>
    <row r="256" spans="1:44" x14ac:dyDescent="0.2">
      <c r="A256">
        <f>ROW(Source!A394)</f>
        <v>394</v>
      </c>
      <c r="B256">
        <v>43135556</v>
      </c>
      <c r="C256">
        <v>43135549</v>
      </c>
      <c r="D256">
        <v>36044555</v>
      </c>
      <c r="E256">
        <v>1</v>
      </c>
      <c r="F256">
        <v>1</v>
      </c>
      <c r="G256">
        <v>35973048</v>
      </c>
      <c r="H256">
        <v>2</v>
      </c>
      <c r="I256" t="s">
        <v>1267</v>
      </c>
      <c r="J256" t="s">
        <v>1268</v>
      </c>
      <c r="K256" t="s">
        <v>1269</v>
      </c>
      <c r="L256">
        <v>1367</v>
      </c>
      <c r="N256">
        <v>1011</v>
      </c>
      <c r="O256" t="s">
        <v>738</v>
      </c>
      <c r="P256" t="s">
        <v>738</v>
      </c>
      <c r="Q256">
        <v>1</v>
      </c>
      <c r="X256">
        <v>1E-3</v>
      </c>
      <c r="Y256">
        <v>0</v>
      </c>
      <c r="Z256">
        <v>190.93</v>
      </c>
      <c r="AA256">
        <v>18.149999999999999</v>
      </c>
      <c r="AB256">
        <v>0</v>
      </c>
      <c r="AC256">
        <v>0</v>
      </c>
      <c r="AD256">
        <v>1</v>
      </c>
      <c r="AE256">
        <v>0</v>
      </c>
      <c r="AF256" t="s">
        <v>20</v>
      </c>
      <c r="AG256">
        <v>1.25E-3</v>
      </c>
      <c r="AH256">
        <v>2</v>
      </c>
      <c r="AI256">
        <v>43135556</v>
      </c>
      <c r="AJ256">
        <v>256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</row>
    <row r="257" spans="1:44" x14ac:dyDescent="0.2">
      <c r="A257">
        <f>ROW(Source!A394)</f>
        <v>394</v>
      </c>
      <c r="B257">
        <v>43135557</v>
      </c>
      <c r="C257">
        <v>43135549</v>
      </c>
      <c r="D257">
        <v>35973762</v>
      </c>
      <c r="E257">
        <v>35973048</v>
      </c>
      <c r="F257">
        <v>1</v>
      </c>
      <c r="G257">
        <v>35973048</v>
      </c>
      <c r="H257">
        <v>2</v>
      </c>
      <c r="I257" t="s">
        <v>1243</v>
      </c>
      <c r="J257" t="s">
        <v>3</v>
      </c>
      <c r="K257" t="s">
        <v>1244</v>
      </c>
      <c r="L257">
        <v>1344</v>
      </c>
      <c r="N257">
        <v>1008</v>
      </c>
      <c r="O257" t="s">
        <v>1245</v>
      </c>
      <c r="P257" t="s">
        <v>1245</v>
      </c>
      <c r="Q257">
        <v>1</v>
      </c>
      <c r="X257">
        <v>0.01</v>
      </c>
      <c r="Y257">
        <v>0</v>
      </c>
      <c r="Z257">
        <v>1</v>
      </c>
      <c r="AA257">
        <v>0</v>
      </c>
      <c r="AB257">
        <v>0</v>
      </c>
      <c r="AC257">
        <v>0</v>
      </c>
      <c r="AD257">
        <v>1</v>
      </c>
      <c r="AE257">
        <v>0</v>
      </c>
      <c r="AF257" t="s">
        <v>20</v>
      </c>
      <c r="AG257">
        <v>1.2500000000000001E-2</v>
      </c>
      <c r="AH257">
        <v>2</v>
      </c>
      <c r="AI257">
        <v>43135557</v>
      </c>
      <c r="AJ257">
        <v>257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</row>
    <row r="258" spans="1:44" x14ac:dyDescent="0.2">
      <c r="A258">
        <f>ROW(Source!A394)</f>
        <v>394</v>
      </c>
      <c r="B258">
        <v>43135558</v>
      </c>
      <c r="C258">
        <v>43135549</v>
      </c>
      <c r="D258">
        <v>36021727</v>
      </c>
      <c r="E258">
        <v>1</v>
      </c>
      <c r="F258">
        <v>1</v>
      </c>
      <c r="G258">
        <v>35973048</v>
      </c>
      <c r="H258">
        <v>3</v>
      </c>
      <c r="I258" t="s">
        <v>1276</v>
      </c>
      <c r="J258" t="s">
        <v>1277</v>
      </c>
      <c r="K258" t="s">
        <v>1278</v>
      </c>
      <c r="L258">
        <v>1348</v>
      </c>
      <c r="N258">
        <v>1009</v>
      </c>
      <c r="O258" t="s">
        <v>104</v>
      </c>
      <c r="P258" t="s">
        <v>104</v>
      </c>
      <c r="Q258">
        <v>1000</v>
      </c>
      <c r="X258">
        <v>6.9999999999999994E-5</v>
      </c>
      <c r="Y258">
        <v>7191.81</v>
      </c>
      <c r="Z258">
        <v>0</v>
      </c>
      <c r="AA258">
        <v>0</v>
      </c>
      <c r="AB258">
        <v>0</v>
      </c>
      <c r="AC258">
        <v>0</v>
      </c>
      <c r="AD258">
        <v>1</v>
      </c>
      <c r="AE258">
        <v>0</v>
      </c>
      <c r="AF258" t="s">
        <v>3</v>
      </c>
      <c r="AG258">
        <v>6.9999999999999994E-5</v>
      </c>
      <c r="AH258">
        <v>2</v>
      </c>
      <c r="AI258">
        <v>43135558</v>
      </c>
      <c r="AJ258">
        <v>258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</row>
    <row r="259" spans="1:44" x14ac:dyDescent="0.2">
      <c r="A259">
        <f>ROW(Source!A394)</f>
        <v>394</v>
      </c>
      <c r="B259">
        <v>43135559</v>
      </c>
      <c r="C259">
        <v>43135549</v>
      </c>
      <c r="D259">
        <v>35995112</v>
      </c>
      <c r="E259">
        <v>35973048</v>
      </c>
      <c r="F259">
        <v>1</v>
      </c>
      <c r="G259">
        <v>35973048</v>
      </c>
      <c r="H259">
        <v>3</v>
      </c>
      <c r="I259" t="s">
        <v>1514</v>
      </c>
      <c r="J259" t="s">
        <v>3</v>
      </c>
      <c r="K259" t="s">
        <v>1515</v>
      </c>
      <c r="L259">
        <v>1354</v>
      </c>
      <c r="N259">
        <v>1010</v>
      </c>
      <c r="O259" t="s">
        <v>169</v>
      </c>
      <c r="P259" t="s">
        <v>169</v>
      </c>
      <c r="Q259">
        <v>1</v>
      </c>
      <c r="X259">
        <v>1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 t="s">
        <v>3</v>
      </c>
      <c r="AG259">
        <v>1</v>
      </c>
      <c r="AH259">
        <v>3</v>
      </c>
      <c r="AI259">
        <v>-1</v>
      </c>
      <c r="AJ259" t="s">
        <v>3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</row>
    <row r="260" spans="1:44" x14ac:dyDescent="0.2">
      <c r="A260">
        <f>ROW(Source!A395)</f>
        <v>395</v>
      </c>
      <c r="B260">
        <v>43135561</v>
      </c>
      <c r="C260">
        <v>43135550</v>
      </c>
      <c r="D260">
        <v>35973053</v>
      </c>
      <c r="E260">
        <v>35973048</v>
      </c>
      <c r="F260">
        <v>1</v>
      </c>
      <c r="G260">
        <v>35973048</v>
      </c>
      <c r="H260">
        <v>1</v>
      </c>
      <c r="I260" t="s">
        <v>1228</v>
      </c>
      <c r="J260" t="s">
        <v>3</v>
      </c>
      <c r="K260" t="s">
        <v>1229</v>
      </c>
      <c r="L260">
        <v>1191</v>
      </c>
      <c r="N260">
        <v>1013</v>
      </c>
      <c r="O260" t="s">
        <v>1230</v>
      </c>
      <c r="P260" t="s">
        <v>1230</v>
      </c>
      <c r="Q260">
        <v>1</v>
      </c>
      <c r="X260">
        <v>13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1</v>
      </c>
      <c r="AE260">
        <v>1</v>
      </c>
      <c r="AF260" t="s">
        <v>21</v>
      </c>
      <c r="AG260">
        <v>14.95</v>
      </c>
      <c r="AH260">
        <v>2</v>
      </c>
      <c r="AI260">
        <v>43135561</v>
      </c>
      <c r="AJ260">
        <v>259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</row>
    <row r="261" spans="1:44" x14ac:dyDescent="0.2">
      <c r="A261">
        <f>ROW(Source!A395)</f>
        <v>395</v>
      </c>
      <c r="B261">
        <v>43135562</v>
      </c>
      <c r="C261">
        <v>43135550</v>
      </c>
      <c r="D261">
        <v>35973762</v>
      </c>
      <c r="E261">
        <v>35973048</v>
      </c>
      <c r="F261">
        <v>1</v>
      </c>
      <c r="G261">
        <v>35973048</v>
      </c>
      <c r="H261">
        <v>2</v>
      </c>
      <c r="I261" t="s">
        <v>1243</v>
      </c>
      <c r="J261" t="s">
        <v>3</v>
      </c>
      <c r="K261" t="s">
        <v>1244</v>
      </c>
      <c r="L261">
        <v>1344</v>
      </c>
      <c r="N261">
        <v>1008</v>
      </c>
      <c r="O261" t="s">
        <v>1245</v>
      </c>
      <c r="P261" t="s">
        <v>1245</v>
      </c>
      <c r="Q261">
        <v>1</v>
      </c>
      <c r="X261">
        <v>15.26</v>
      </c>
      <c r="Y261">
        <v>0</v>
      </c>
      <c r="Z261">
        <v>1</v>
      </c>
      <c r="AA261">
        <v>0</v>
      </c>
      <c r="AB261">
        <v>0</v>
      </c>
      <c r="AC261">
        <v>0</v>
      </c>
      <c r="AD261">
        <v>1</v>
      </c>
      <c r="AE261">
        <v>0</v>
      </c>
      <c r="AF261" t="s">
        <v>20</v>
      </c>
      <c r="AG261">
        <v>19.074999999999999</v>
      </c>
      <c r="AH261">
        <v>2</v>
      </c>
      <c r="AI261">
        <v>43135562</v>
      </c>
      <c r="AJ261">
        <v>260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</row>
    <row r="262" spans="1:44" x14ac:dyDescent="0.2">
      <c r="A262">
        <f>ROW(Source!A395)</f>
        <v>395</v>
      </c>
      <c r="B262">
        <v>43135563</v>
      </c>
      <c r="C262">
        <v>43135550</v>
      </c>
      <c r="D262">
        <v>36027633</v>
      </c>
      <c r="E262">
        <v>1</v>
      </c>
      <c r="F262">
        <v>1</v>
      </c>
      <c r="G262">
        <v>35973048</v>
      </c>
      <c r="H262">
        <v>3</v>
      </c>
      <c r="I262" t="s">
        <v>1379</v>
      </c>
      <c r="J262" t="s">
        <v>1380</v>
      </c>
      <c r="K262" t="s">
        <v>1381</v>
      </c>
      <c r="L262">
        <v>1354</v>
      </c>
      <c r="N262">
        <v>1010</v>
      </c>
      <c r="O262" t="s">
        <v>169</v>
      </c>
      <c r="P262" t="s">
        <v>169</v>
      </c>
      <c r="Q262">
        <v>1</v>
      </c>
      <c r="X262">
        <v>1</v>
      </c>
      <c r="Y262">
        <v>37.630000000000003</v>
      </c>
      <c r="Z262">
        <v>0</v>
      </c>
      <c r="AA262">
        <v>0</v>
      </c>
      <c r="AB262">
        <v>0</v>
      </c>
      <c r="AC262">
        <v>0</v>
      </c>
      <c r="AD262">
        <v>1</v>
      </c>
      <c r="AE262">
        <v>0</v>
      </c>
      <c r="AF262" t="s">
        <v>3</v>
      </c>
      <c r="AG262">
        <v>1</v>
      </c>
      <c r="AH262">
        <v>2</v>
      </c>
      <c r="AI262">
        <v>43135563</v>
      </c>
      <c r="AJ262">
        <v>261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</row>
    <row r="263" spans="1:44" x14ac:dyDescent="0.2">
      <c r="A263">
        <f>ROW(Source!A395)</f>
        <v>395</v>
      </c>
      <c r="B263">
        <v>43135564</v>
      </c>
      <c r="C263">
        <v>43135550</v>
      </c>
      <c r="D263">
        <v>36027634</v>
      </c>
      <c r="E263">
        <v>1</v>
      </c>
      <c r="F263">
        <v>1</v>
      </c>
      <c r="G263">
        <v>35973048</v>
      </c>
      <c r="H263">
        <v>3</v>
      </c>
      <c r="I263" t="s">
        <v>1382</v>
      </c>
      <c r="J263" t="s">
        <v>1383</v>
      </c>
      <c r="K263" t="s">
        <v>1384</v>
      </c>
      <c r="L263">
        <v>1354</v>
      </c>
      <c r="N263">
        <v>1010</v>
      </c>
      <c r="O263" t="s">
        <v>169</v>
      </c>
      <c r="P263" t="s">
        <v>169</v>
      </c>
      <c r="Q263">
        <v>1</v>
      </c>
      <c r="X263">
        <v>1</v>
      </c>
      <c r="Y263">
        <v>45.95</v>
      </c>
      <c r="Z263">
        <v>0</v>
      </c>
      <c r="AA263">
        <v>0</v>
      </c>
      <c r="AB263">
        <v>0</v>
      </c>
      <c r="AC263">
        <v>0</v>
      </c>
      <c r="AD263">
        <v>1</v>
      </c>
      <c r="AE263">
        <v>0</v>
      </c>
      <c r="AF263" t="s">
        <v>3</v>
      </c>
      <c r="AG263">
        <v>1</v>
      </c>
      <c r="AH263">
        <v>2</v>
      </c>
      <c r="AI263">
        <v>43135564</v>
      </c>
      <c r="AJ263">
        <v>262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</row>
    <row r="264" spans="1:44" x14ac:dyDescent="0.2">
      <c r="A264">
        <f>ROW(Source!A395)</f>
        <v>395</v>
      </c>
      <c r="B264">
        <v>43135565</v>
      </c>
      <c r="C264">
        <v>43135550</v>
      </c>
      <c r="D264">
        <v>35987825</v>
      </c>
      <c r="E264">
        <v>35973048</v>
      </c>
      <c r="F264">
        <v>1</v>
      </c>
      <c r="G264">
        <v>35973048</v>
      </c>
      <c r="H264">
        <v>3</v>
      </c>
      <c r="I264" t="s">
        <v>1516</v>
      </c>
      <c r="J264" t="s">
        <v>3</v>
      </c>
      <c r="K264" t="s">
        <v>1517</v>
      </c>
      <c r="L264">
        <v>1354</v>
      </c>
      <c r="N264">
        <v>1010</v>
      </c>
      <c r="O264" t="s">
        <v>169</v>
      </c>
      <c r="P264" t="s">
        <v>169</v>
      </c>
      <c r="Q264">
        <v>1</v>
      </c>
      <c r="X264">
        <v>1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 t="s">
        <v>3</v>
      </c>
      <c r="AG264">
        <v>1</v>
      </c>
      <c r="AH264">
        <v>3</v>
      </c>
      <c r="AI264">
        <v>-1</v>
      </c>
      <c r="AJ264" t="s">
        <v>3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</row>
    <row r="265" spans="1:44" x14ac:dyDescent="0.2">
      <c r="A265">
        <f>ROW(Source!A395)</f>
        <v>395</v>
      </c>
      <c r="B265">
        <v>43135566</v>
      </c>
      <c r="C265">
        <v>43135550</v>
      </c>
      <c r="D265">
        <v>35994366</v>
      </c>
      <c r="E265">
        <v>35973048</v>
      </c>
      <c r="F265">
        <v>1</v>
      </c>
      <c r="G265">
        <v>35973048</v>
      </c>
      <c r="H265">
        <v>3</v>
      </c>
      <c r="I265" t="s">
        <v>1294</v>
      </c>
      <c r="J265" t="s">
        <v>3</v>
      </c>
      <c r="K265" t="s">
        <v>1295</v>
      </c>
      <c r="L265">
        <v>1344</v>
      </c>
      <c r="N265">
        <v>1008</v>
      </c>
      <c r="O265" t="s">
        <v>1245</v>
      </c>
      <c r="P265" t="s">
        <v>1245</v>
      </c>
      <c r="Q265">
        <v>1</v>
      </c>
      <c r="X265">
        <v>19.18</v>
      </c>
      <c r="Y265">
        <v>1</v>
      </c>
      <c r="Z265">
        <v>0</v>
      </c>
      <c r="AA265">
        <v>0</v>
      </c>
      <c r="AB265">
        <v>0</v>
      </c>
      <c r="AC265">
        <v>0</v>
      </c>
      <c r="AD265">
        <v>1</v>
      </c>
      <c r="AE265">
        <v>0</v>
      </c>
      <c r="AF265" t="s">
        <v>3</v>
      </c>
      <c r="AG265">
        <v>19.18</v>
      </c>
      <c r="AH265">
        <v>2</v>
      </c>
      <c r="AI265">
        <v>43135566</v>
      </c>
      <c r="AJ265">
        <v>263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</row>
    <row r="266" spans="1:44" x14ac:dyDescent="0.2">
      <c r="A266">
        <f>ROW(Source!A396)</f>
        <v>396</v>
      </c>
      <c r="B266">
        <v>43135589</v>
      </c>
      <c r="C266">
        <v>43135552</v>
      </c>
      <c r="D266">
        <v>35973053</v>
      </c>
      <c r="E266">
        <v>35973048</v>
      </c>
      <c r="F266">
        <v>1</v>
      </c>
      <c r="G266">
        <v>35973048</v>
      </c>
      <c r="H266">
        <v>1</v>
      </c>
      <c r="I266" t="s">
        <v>1228</v>
      </c>
      <c r="J266" t="s">
        <v>3</v>
      </c>
      <c r="K266" t="s">
        <v>1229</v>
      </c>
      <c r="L266">
        <v>1191</v>
      </c>
      <c r="N266">
        <v>1013</v>
      </c>
      <c r="O266" t="s">
        <v>1230</v>
      </c>
      <c r="P266" t="s">
        <v>1230</v>
      </c>
      <c r="Q266">
        <v>1</v>
      </c>
      <c r="X266">
        <v>2.06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1</v>
      </c>
      <c r="AE266">
        <v>1</v>
      </c>
      <c r="AF266" t="s">
        <v>3</v>
      </c>
      <c r="AG266">
        <v>2.06</v>
      </c>
      <c r="AH266">
        <v>2</v>
      </c>
      <c r="AI266">
        <v>43135589</v>
      </c>
      <c r="AJ266">
        <v>264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</row>
    <row r="267" spans="1:44" x14ac:dyDescent="0.2">
      <c r="A267">
        <f>ROW(Source!A397)</f>
        <v>397</v>
      </c>
      <c r="B267">
        <v>43135593</v>
      </c>
      <c r="C267">
        <v>43135591</v>
      </c>
      <c r="D267">
        <v>35973053</v>
      </c>
      <c r="E267">
        <v>35973048</v>
      </c>
      <c r="F267">
        <v>1</v>
      </c>
      <c r="G267">
        <v>35973048</v>
      </c>
      <c r="H267">
        <v>1</v>
      </c>
      <c r="I267" t="s">
        <v>1228</v>
      </c>
      <c r="J267" t="s">
        <v>3</v>
      </c>
      <c r="K267" t="s">
        <v>1229</v>
      </c>
      <c r="L267">
        <v>1191</v>
      </c>
      <c r="N267">
        <v>1013</v>
      </c>
      <c r="O267" t="s">
        <v>1230</v>
      </c>
      <c r="P267" t="s">
        <v>1230</v>
      </c>
      <c r="Q267">
        <v>1</v>
      </c>
      <c r="X267">
        <v>15.45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1</v>
      </c>
      <c r="AE267">
        <v>1</v>
      </c>
      <c r="AF267" t="s">
        <v>3</v>
      </c>
      <c r="AG267">
        <v>15.45</v>
      </c>
      <c r="AH267">
        <v>2</v>
      </c>
      <c r="AI267">
        <v>43135593</v>
      </c>
      <c r="AJ267">
        <v>265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</row>
    <row r="268" spans="1:44" x14ac:dyDescent="0.2">
      <c r="A268">
        <f>ROW(Source!A398)</f>
        <v>398</v>
      </c>
      <c r="B268">
        <v>43135598</v>
      </c>
      <c r="C268">
        <v>43135596</v>
      </c>
      <c r="D268">
        <v>35973053</v>
      </c>
      <c r="E268">
        <v>35973048</v>
      </c>
      <c r="F268">
        <v>1</v>
      </c>
      <c r="G268">
        <v>35973048</v>
      </c>
      <c r="H268">
        <v>1</v>
      </c>
      <c r="I268" t="s">
        <v>1228</v>
      </c>
      <c r="J268" t="s">
        <v>3</v>
      </c>
      <c r="K268" t="s">
        <v>1229</v>
      </c>
      <c r="L268">
        <v>1191</v>
      </c>
      <c r="N268">
        <v>1013</v>
      </c>
      <c r="O268" t="s">
        <v>1230</v>
      </c>
      <c r="P268" t="s">
        <v>1230</v>
      </c>
      <c r="Q268">
        <v>1</v>
      </c>
      <c r="X268">
        <v>1.34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1</v>
      </c>
      <c r="AE268">
        <v>1</v>
      </c>
      <c r="AF268" t="s">
        <v>566</v>
      </c>
      <c r="AG268">
        <v>1.0720000000000001</v>
      </c>
      <c r="AH268">
        <v>2</v>
      </c>
      <c r="AI268">
        <v>43135598</v>
      </c>
      <c r="AJ268">
        <v>266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</row>
    <row r="269" spans="1:44" x14ac:dyDescent="0.2">
      <c r="A269">
        <f>ROW(Source!A399)</f>
        <v>399</v>
      </c>
      <c r="B269">
        <v>43135595</v>
      </c>
      <c r="C269">
        <v>43135592</v>
      </c>
      <c r="D269">
        <v>35973053</v>
      </c>
      <c r="E269">
        <v>35973048</v>
      </c>
      <c r="F269">
        <v>1</v>
      </c>
      <c r="G269">
        <v>35973048</v>
      </c>
      <c r="H269">
        <v>1</v>
      </c>
      <c r="I269" t="s">
        <v>1228</v>
      </c>
      <c r="J269" t="s">
        <v>3</v>
      </c>
      <c r="K269" t="s">
        <v>1229</v>
      </c>
      <c r="L269">
        <v>1191</v>
      </c>
      <c r="N269">
        <v>1013</v>
      </c>
      <c r="O269" t="s">
        <v>1230</v>
      </c>
      <c r="P269" t="s">
        <v>1230</v>
      </c>
      <c r="Q269">
        <v>1</v>
      </c>
      <c r="X269">
        <v>27.47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1</v>
      </c>
      <c r="AE269">
        <v>1</v>
      </c>
      <c r="AF269" t="s">
        <v>3</v>
      </c>
      <c r="AG269">
        <v>27.47</v>
      </c>
      <c r="AH269">
        <v>2</v>
      </c>
      <c r="AI269">
        <v>43135595</v>
      </c>
      <c r="AJ269">
        <v>267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</row>
    <row r="270" spans="1:44" x14ac:dyDescent="0.2">
      <c r="A270">
        <f>ROW(Source!A400)</f>
        <v>400</v>
      </c>
      <c r="B270">
        <v>43135778</v>
      </c>
      <c r="C270">
        <v>43135669</v>
      </c>
      <c r="D270">
        <v>35973053</v>
      </c>
      <c r="E270">
        <v>35973048</v>
      </c>
      <c r="F270">
        <v>1</v>
      </c>
      <c r="G270">
        <v>35973048</v>
      </c>
      <c r="H270">
        <v>1</v>
      </c>
      <c r="I270" t="s">
        <v>1228</v>
      </c>
      <c r="J270" t="s">
        <v>3</v>
      </c>
      <c r="K270" t="s">
        <v>1229</v>
      </c>
      <c r="L270">
        <v>1191</v>
      </c>
      <c r="N270">
        <v>1013</v>
      </c>
      <c r="O270" t="s">
        <v>1230</v>
      </c>
      <c r="P270" t="s">
        <v>1230</v>
      </c>
      <c r="Q270">
        <v>1</v>
      </c>
      <c r="X270">
        <v>15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1</v>
      </c>
      <c r="AE270">
        <v>1</v>
      </c>
      <c r="AF270" t="s">
        <v>3</v>
      </c>
      <c r="AG270">
        <v>15</v>
      </c>
      <c r="AH270">
        <v>2</v>
      </c>
      <c r="AI270">
        <v>43135778</v>
      </c>
      <c r="AJ270">
        <v>268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</row>
    <row r="271" spans="1:44" x14ac:dyDescent="0.2">
      <c r="A271">
        <f>ROW(Source!A400)</f>
        <v>400</v>
      </c>
      <c r="B271">
        <v>43135779</v>
      </c>
      <c r="C271">
        <v>43135669</v>
      </c>
      <c r="D271">
        <v>35986612</v>
      </c>
      <c r="E271">
        <v>35973048</v>
      </c>
      <c r="F271">
        <v>1</v>
      </c>
      <c r="G271">
        <v>35973048</v>
      </c>
      <c r="H271">
        <v>3</v>
      </c>
      <c r="I271" t="s">
        <v>1518</v>
      </c>
      <c r="J271" t="s">
        <v>3</v>
      </c>
      <c r="K271" t="s">
        <v>1519</v>
      </c>
      <c r="L271">
        <v>1301</v>
      </c>
      <c r="N271">
        <v>1003</v>
      </c>
      <c r="O271" t="s">
        <v>136</v>
      </c>
      <c r="P271" t="s">
        <v>136</v>
      </c>
      <c r="Q271">
        <v>1</v>
      </c>
      <c r="X271">
        <v>102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 t="s">
        <v>3</v>
      </c>
      <c r="AG271">
        <v>102</v>
      </c>
      <c r="AH271">
        <v>3</v>
      </c>
      <c r="AI271">
        <v>-1</v>
      </c>
      <c r="AJ271" t="s">
        <v>3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</row>
    <row r="272" spans="1:44" x14ac:dyDescent="0.2">
      <c r="A272">
        <f>ROW(Source!A400)</f>
        <v>400</v>
      </c>
      <c r="B272">
        <v>43135780</v>
      </c>
      <c r="C272">
        <v>43135669</v>
      </c>
      <c r="D272">
        <v>35986613</v>
      </c>
      <c r="E272">
        <v>35973048</v>
      </c>
      <c r="F272">
        <v>1</v>
      </c>
      <c r="G272">
        <v>35973048</v>
      </c>
      <c r="H272">
        <v>3</v>
      </c>
      <c r="I272" t="s">
        <v>1520</v>
      </c>
      <c r="J272" t="s">
        <v>3</v>
      </c>
      <c r="K272" t="s">
        <v>1521</v>
      </c>
      <c r="L272">
        <v>1354</v>
      </c>
      <c r="N272">
        <v>1010</v>
      </c>
      <c r="O272" t="s">
        <v>169</v>
      </c>
      <c r="P272" t="s">
        <v>169</v>
      </c>
      <c r="Q272">
        <v>1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 t="s">
        <v>3</v>
      </c>
      <c r="AG272">
        <v>0</v>
      </c>
      <c r="AH272">
        <v>3</v>
      </c>
      <c r="AI272">
        <v>-1</v>
      </c>
      <c r="AJ272" t="s">
        <v>3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</row>
    <row r="273" spans="1:44" x14ac:dyDescent="0.2">
      <c r="A273">
        <f>ROW(Source!A400)</f>
        <v>400</v>
      </c>
      <c r="B273">
        <v>43135781</v>
      </c>
      <c r="C273">
        <v>43135669</v>
      </c>
      <c r="D273">
        <v>35986504</v>
      </c>
      <c r="E273">
        <v>35973048</v>
      </c>
      <c r="F273">
        <v>1</v>
      </c>
      <c r="G273">
        <v>35973048</v>
      </c>
      <c r="H273">
        <v>3</v>
      </c>
      <c r="I273" t="s">
        <v>1522</v>
      </c>
      <c r="J273" t="s">
        <v>3</v>
      </c>
      <c r="K273" t="s">
        <v>1523</v>
      </c>
      <c r="L273">
        <v>1354</v>
      </c>
      <c r="N273">
        <v>1010</v>
      </c>
      <c r="O273" t="s">
        <v>169</v>
      </c>
      <c r="P273" t="s">
        <v>169</v>
      </c>
      <c r="Q273">
        <v>1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 t="s">
        <v>3</v>
      </c>
      <c r="AG273">
        <v>0</v>
      </c>
      <c r="AH273">
        <v>3</v>
      </c>
      <c r="AI273">
        <v>-1</v>
      </c>
      <c r="AJ273" t="s">
        <v>3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</row>
    <row r="274" spans="1:44" x14ac:dyDescent="0.2">
      <c r="A274">
        <f>ROW(Source!A401)</f>
        <v>401</v>
      </c>
      <c r="B274">
        <v>43135698</v>
      </c>
      <c r="C274">
        <v>43135697</v>
      </c>
      <c r="D274">
        <v>35973053</v>
      </c>
      <c r="E274">
        <v>35973048</v>
      </c>
      <c r="F274">
        <v>1</v>
      </c>
      <c r="G274">
        <v>35973048</v>
      </c>
      <c r="H274">
        <v>1</v>
      </c>
      <c r="I274" t="s">
        <v>1228</v>
      </c>
      <c r="J274" t="s">
        <v>3</v>
      </c>
      <c r="K274" t="s">
        <v>1229</v>
      </c>
      <c r="L274">
        <v>1191</v>
      </c>
      <c r="N274">
        <v>1013</v>
      </c>
      <c r="O274" t="s">
        <v>1230</v>
      </c>
      <c r="P274" t="s">
        <v>1230</v>
      </c>
      <c r="Q274">
        <v>1</v>
      </c>
      <c r="X274">
        <v>6.18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1</v>
      </c>
      <c r="AE274">
        <v>1</v>
      </c>
      <c r="AF274" t="s">
        <v>3</v>
      </c>
      <c r="AG274">
        <v>6.18</v>
      </c>
      <c r="AH274">
        <v>2</v>
      </c>
      <c r="AI274">
        <v>43135698</v>
      </c>
      <c r="AJ274">
        <v>269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</row>
    <row r="275" spans="1:44" x14ac:dyDescent="0.2">
      <c r="A275">
        <f>ROW(Source!A402)</f>
        <v>402</v>
      </c>
      <c r="B275">
        <v>43135896</v>
      </c>
      <c r="C275">
        <v>43135895</v>
      </c>
      <c r="D275">
        <v>35973053</v>
      </c>
      <c r="E275">
        <v>35973048</v>
      </c>
      <c r="F275">
        <v>1</v>
      </c>
      <c r="G275">
        <v>35973048</v>
      </c>
      <c r="H275">
        <v>1</v>
      </c>
      <c r="I275" t="s">
        <v>1228</v>
      </c>
      <c r="J275" t="s">
        <v>3</v>
      </c>
      <c r="K275" t="s">
        <v>1229</v>
      </c>
      <c r="L275">
        <v>1191</v>
      </c>
      <c r="N275">
        <v>1013</v>
      </c>
      <c r="O275" t="s">
        <v>1230</v>
      </c>
      <c r="P275" t="s">
        <v>1230</v>
      </c>
      <c r="Q275">
        <v>1</v>
      </c>
      <c r="X275">
        <v>179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1</v>
      </c>
      <c r="AE275">
        <v>1</v>
      </c>
      <c r="AF275" t="s">
        <v>21</v>
      </c>
      <c r="AG275">
        <v>205.85</v>
      </c>
      <c r="AH275">
        <v>2</v>
      </c>
      <c r="AI275">
        <v>43135896</v>
      </c>
      <c r="AJ275">
        <v>270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</row>
    <row r="276" spans="1:44" x14ac:dyDescent="0.2">
      <c r="A276">
        <f>ROW(Source!A402)</f>
        <v>402</v>
      </c>
      <c r="B276">
        <v>43135897</v>
      </c>
      <c r="C276">
        <v>43135895</v>
      </c>
      <c r="D276">
        <v>36045025</v>
      </c>
      <c r="E276">
        <v>1</v>
      </c>
      <c r="F276">
        <v>1</v>
      </c>
      <c r="G276">
        <v>35973048</v>
      </c>
      <c r="H276">
        <v>2</v>
      </c>
      <c r="I276" t="s">
        <v>1261</v>
      </c>
      <c r="J276" t="s">
        <v>1262</v>
      </c>
      <c r="K276" t="s">
        <v>1263</v>
      </c>
      <c r="L276">
        <v>1367</v>
      </c>
      <c r="N276">
        <v>1011</v>
      </c>
      <c r="O276" t="s">
        <v>738</v>
      </c>
      <c r="P276" t="s">
        <v>738</v>
      </c>
      <c r="Q276">
        <v>1</v>
      </c>
      <c r="X276">
        <v>120</v>
      </c>
      <c r="Y276">
        <v>0</v>
      </c>
      <c r="Z276">
        <v>6.15</v>
      </c>
      <c r="AA276">
        <v>0.02</v>
      </c>
      <c r="AB276">
        <v>0</v>
      </c>
      <c r="AC276">
        <v>0</v>
      </c>
      <c r="AD276">
        <v>1</v>
      </c>
      <c r="AE276">
        <v>0</v>
      </c>
      <c r="AF276" t="s">
        <v>20</v>
      </c>
      <c r="AG276">
        <v>150</v>
      </c>
      <c r="AH276">
        <v>2</v>
      </c>
      <c r="AI276">
        <v>43135897</v>
      </c>
      <c r="AJ276">
        <v>271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</row>
    <row r="277" spans="1:44" x14ac:dyDescent="0.2">
      <c r="A277">
        <f>ROW(Source!A402)</f>
        <v>402</v>
      </c>
      <c r="B277">
        <v>43135898</v>
      </c>
      <c r="C277">
        <v>43135895</v>
      </c>
      <c r="D277">
        <v>36045308</v>
      </c>
      <c r="E277">
        <v>1</v>
      </c>
      <c r="F277">
        <v>1</v>
      </c>
      <c r="G277">
        <v>35973048</v>
      </c>
      <c r="H277">
        <v>2</v>
      </c>
      <c r="I277" t="s">
        <v>1231</v>
      </c>
      <c r="J277" t="s">
        <v>1232</v>
      </c>
      <c r="K277" t="s">
        <v>1233</v>
      </c>
      <c r="L277">
        <v>1367</v>
      </c>
      <c r="N277">
        <v>1011</v>
      </c>
      <c r="O277" t="s">
        <v>738</v>
      </c>
      <c r="P277" t="s">
        <v>738</v>
      </c>
      <c r="Q277">
        <v>1</v>
      </c>
      <c r="X277">
        <v>1.35</v>
      </c>
      <c r="Y277">
        <v>0</v>
      </c>
      <c r="Z277">
        <v>76.81</v>
      </c>
      <c r="AA277">
        <v>14.36</v>
      </c>
      <c r="AB277">
        <v>0</v>
      </c>
      <c r="AC277">
        <v>0</v>
      </c>
      <c r="AD277">
        <v>1</v>
      </c>
      <c r="AE277">
        <v>0</v>
      </c>
      <c r="AF277" t="s">
        <v>20</v>
      </c>
      <c r="AG277">
        <v>1.6875</v>
      </c>
      <c r="AH277">
        <v>2</v>
      </c>
      <c r="AI277">
        <v>43135898</v>
      </c>
      <c r="AJ277">
        <v>272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</row>
    <row r="278" spans="1:44" x14ac:dyDescent="0.2">
      <c r="A278">
        <f>ROW(Source!A402)</f>
        <v>402</v>
      </c>
      <c r="B278">
        <v>43135900</v>
      </c>
      <c r="C278">
        <v>43135895</v>
      </c>
      <c r="D278">
        <v>36045361</v>
      </c>
      <c r="E278">
        <v>1</v>
      </c>
      <c r="F278">
        <v>1</v>
      </c>
      <c r="G278">
        <v>35973048</v>
      </c>
      <c r="H278">
        <v>2</v>
      </c>
      <c r="I278" t="s">
        <v>1264</v>
      </c>
      <c r="J278" t="s">
        <v>1265</v>
      </c>
      <c r="K278" t="s">
        <v>1266</v>
      </c>
      <c r="L278">
        <v>1367</v>
      </c>
      <c r="N278">
        <v>1011</v>
      </c>
      <c r="O278" t="s">
        <v>738</v>
      </c>
      <c r="P278" t="s">
        <v>738</v>
      </c>
      <c r="Q278">
        <v>1</v>
      </c>
      <c r="X278">
        <v>0.1</v>
      </c>
      <c r="Y278">
        <v>0</v>
      </c>
      <c r="Z278">
        <v>0.53</v>
      </c>
      <c r="AA278">
        <v>0.04</v>
      </c>
      <c r="AB278">
        <v>0</v>
      </c>
      <c r="AC278">
        <v>0</v>
      </c>
      <c r="AD278">
        <v>1</v>
      </c>
      <c r="AE278">
        <v>0</v>
      </c>
      <c r="AF278" t="s">
        <v>20</v>
      </c>
      <c r="AG278">
        <v>0.125</v>
      </c>
      <c r="AH278">
        <v>2</v>
      </c>
      <c r="AI278">
        <v>43135900</v>
      </c>
      <c r="AJ278">
        <v>273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</row>
    <row r="279" spans="1:44" x14ac:dyDescent="0.2">
      <c r="A279">
        <f>ROW(Source!A402)</f>
        <v>402</v>
      </c>
      <c r="B279">
        <v>43135899</v>
      </c>
      <c r="C279">
        <v>43135895</v>
      </c>
      <c r="D279">
        <v>36044555</v>
      </c>
      <c r="E279">
        <v>1</v>
      </c>
      <c r="F279">
        <v>1</v>
      </c>
      <c r="G279">
        <v>35973048</v>
      </c>
      <c r="H279">
        <v>2</v>
      </c>
      <c r="I279" t="s">
        <v>1267</v>
      </c>
      <c r="J279" t="s">
        <v>1268</v>
      </c>
      <c r="K279" t="s">
        <v>1269</v>
      </c>
      <c r="L279">
        <v>1367</v>
      </c>
      <c r="N279">
        <v>1011</v>
      </c>
      <c r="O279" t="s">
        <v>738</v>
      </c>
      <c r="P279" t="s">
        <v>738</v>
      </c>
      <c r="Q279">
        <v>1</v>
      </c>
      <c r="X279">
        <v>0.9</v>
      </c>
      <c r="Y279">
        <v>0</v>
      </c>
      <c r="Z279">
        <v>190.93</v>
      </c>
      <c r="AA279">
        <v>18.149999999999999</v>
      </c>
      <c r="AB279">
        <v>0</v>
      </c>
      <c r="AC279">
        <v>0</v>
      </c>
      <c r="AD279">
        <v>1</v>
      </c>
      <c r="AE279">
        <v>0</v>
      </c>
      <c r="AF279" t="s">
        <v>20</v>
      </c>
      <c r="AG279">
        <v>1.125</v>
      </c>
      <c r="AH279">
        <v>2</v>
      </c>
      <c r="AI279">
        <v>43135899</v>
      </c>
      <c r="AJ279">
        <v>274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</row>
    <row r="280" spans="1:44" x14ac:dyDescent="0.2">
      <c r="A280">
        <f>ROW(Source!A402)</f>
        <v>402</v>
      </c>
      <c r="B280">
        <v>43135901</v>
      </c>
      <c r="C280">
        <v>43135895</v>
      </c>
      <c r="D280">
        <v>36044648</v>
      </c>
      <c r="E280">
        <v>1</v>
      </c>
      <c r="F280">
        <v>1</v>
      </c>
      <c r="G280">
        <v>35973048</v>
      </c>
      <c r="H280">
        <v>2</v>
      </c>
      <c r="I280" t="s">
        <v>1270</v>
      </c>
      <c r="J280" t="s">
        <v>1271</v>
      </c>
      <c r="K280" t="s">
        <v>1272</v>
      </c>
      <c r="L280">
        <v>1367</v>
      </c>
      <c r="N280">
        <v>1011</v>
      </c>
      <c r="O280" t="s">
        <v>738</v>
      </c>
      <c r="P280" t="s">
        <v>738</v>
      </c>
      <c r="Q280">
        <v>1</v>
      </c>
      <c r="X280">
        <v>0.25</v>
      </c>
      <c r="Y280">
        <v>0</v>
      </c>
      <c r="Z280">
        <v>73</v>
      </c>
      <c r="AA280">
        <v>16.899999999999999</v>
      </c>
      <c r="AB280">
        <v>0</v>
      </c>
      <c r="AC280">
        <v>0</v>
      </c>
      <c r="AD280">
        <v>1</v>
      </c>
      <c r="AE280">
        <v>0</v>
      </c>
      <c r="AF280" t="s">
        <v>20</v>
      </c>
      <c r="AG280">
        <v>0.3125</v>
      </c>
      <c r="AH280">
        <v>2</v>
      </c>
      <c r="AI280">
        <v>43135901</v>
      </c>
      <c r="AJ280">
        <v>275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</row>
    <row r="281" spans="1:44" x14ac:dyDescent="0.2">
      <c r="A281">
        <f>ROW(Source!A402)</f>
        <v>402</v>
      </c>
      <c r="B281">
        <v>43135902</v>
      </c>
      <c r="C281">
        <v>43135895</v>
      </c>
      <c r="D281">
        <v>36044839</v>
      </c>
      <c r="E281">
        <v>1</v>
      </c>
      <c r="F281">
        <v>1</v>
      </c>
      <c r="G281">
        <v>35973048</v>
      </c>
      <c r="H281">
        <v>2</v>
      </c>
      <c r="I281" t="s">
        <v>1273</v>
      </c>
      <c r="J281" t="s">
        <v>1274</v>
      </c>
      <c r="K281" t="s">
        <v>1275</v>
      </c>
      <c r="L281">
        <v>1367</v>
      </c>
      <c r="N281">
        <v>1011</v>
      </c>
      <c r="O281" t="s">
        <v>738</v>
      </c>
      <c r="P281" t="s">
        <v>738</v>
      </c>
      <c r="Q281">
        <v>1</v>
      </c>
      <c r="X281">
        <v>9</v>
      </c>
      <c r="Y281">
        <v>0</v>
      </c>
      <c r="Z281">
        <v>2.06</v>
      </c>
      <c r="AA281">
        <v>0.09</v>
      </c>
      <c r="AB281">
        <v>0</v>
      </c>
      <c r="AC281">
        <v>0</v>
      </c>
      <c r="AD281">
        <v>1</v>
      </c>
      <c r="AE281">
        <v>0</v>
      </c>
      <c r="AF281" t="s">
        <v>20</v>
      </c>
      <c r="AG281">
        <v>11.25</v>
      </c>
      <c r="AH281">
        <v>2</v>
      </c>
      <c r="AI281">
        <v>43135902</v>
      </c>
      <c r="AJ281">
        <v>276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</row>
    <row r="282" spans="1:44" x14ac:dyDescent="0.2">
      <c r="A282">
        <f>ROW(Source!A402)</f>
        <v>402</v>
      </c>
      <c r="B282">
        <v>43135903</v>
      </c>
      <c r="C282">
        <v>43135895</v>
      </c>
      <c r="D282">
        <v>35989090</v>
      </c>
      <c r="E282">
        <v>35973048</v>
      </c>
      <c r="F282">
        <v>1</v>
      </c>
      <c r="G282">
        <v>35973048</v>
      </c>
      <c r="H282">
        <v>3</v>
      </c>
      <c r="I282" t="s">
        <v>1467</v>
      </c>
      <c r="J282" t="s">
        <v>3</v>
      </c>
      <c r="K282" t="s">
        <v>1468</v>
      </c>
      <c r="L282">
        <v>1348</v>
      </c>
      <c r="N282">
        <v>1009</v>
      </c>
      <c r="O282" t="s">
        <v>104</v>
      </c>
      <c r="P282" t="s">
        <v>104</v>
      </c>
      <c r="Q282">
        <v>1000</v>
      </c>
      <c r="X282">
        <v>8.1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 t="s">
        <v>3</v>
      </c>
      <c r="AG282">
        <v>8.1</v>
      </c>
      <c r="AH282">
        <v>3</v>
      </c>
      <c r="AI282">
        <v>-1</v>
      </c>
      <c r="AJ282" t="s">
        <v>3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</row>
    <row r="283" spans="1:44" x14ac:dyDescent="0.2">
      <c r="A283">
        <f>ROW(Source!A402)</f>
        <v>402</v>
      </c>
      <c r="B283">
        <v>43135904</v>
      </c>
      <c r="C283">
        <v>43135895</v>
      </c>
      <c r="D283">
        <v>36020415</v>
      </c>
      <c r="E283">
        <v>1</v>
      </c>
      <c r="F283">
        <v>1</v>
      </c>
      <c r="G283">
        <v>35973048</v>
      </c>
      <c r="H283">
        <v>3</v>
      </c>
      <c r="I283" t="s">
        <v>469</v>
      </c>
      <c r="J283" t="s">
        <v>471</v>
      </c>
      <c r="K283" t="s">
        <v>470</v>
      </c>
      <c r="L283">
        <v>1339</v>
      </c>
      <c r="N283">
        <v>1007</v>
      </c>
      <c r="O283" t="s">
        <v>84</v>
      </c>
      <c r="P283" t="s">
        <v>84</v>
      </c>
      <c r="Q283">
        <v>1</v>
      </c>
      <c r="X283">
        <v>0.73</v>
      </c>
      <c r="Y283">
        <v>7.07</v>
      </c>
      <c r="Z283">
        <v>0</v>
      </c>
      <c r="AA283">
        <v>0</v>
      </c>
      <c r="AB283">
        <v>0</v>
      </c>
      <c r="AC283">
        <v>0</v>
      </c>
      <c r="AD283">
        <v>1</v>
      </c>
      <c r="AE283">
        <v>0</v>
      </c>
      <c r="AF283" t="s">
        <v>3</v>
      </c>
      <c r="AG283">
        <v>0.73</v>
      </c>
      <c r="AH283">
        <v>2</v>
      </c>
      <c r="AI283">
        <v>43135904</v>
      </c>
      <c r="AJ283">
        <v>277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</row>
    <row r="284" spans="1:44" x14ac:dyDescent="0.2">
      <c r="A284">
        <f>ROW(Source!A402)</f>
        <v>402</v>
      </c>
      <c r="B284">
        <v>43135905</v>
      </c>
      <c r="C284">
        <v>43135895</v>
      </c>
      <c r="D284">
        <v>36020428</v>
      </c>
      <c r="E284">
        <v>1</v>
      </c>
      <c r="F284">
        <v>1</v>
      </c>
      <c r="G284">
        <v>35973048</v>
      </c>
      <c r="H284">
        <v>3</v>
      </c>
      <c r="I284" t="s">
        <v>372</v>
      </c>
      <c r="J284" t="s">
        <v>374</v>
      </c>
      <c r="K284" t="s">
        <v>373</v>
      </c>
      <c r="L284">
        <v>1348</v>
      </c>
      <c r="N284">
        <v>1009</v>
      </c>
      <c r="O284" t="s">
        <v>104</v>
      </c>
      <c r="P284" t="s">
        <v>104</v>
      </c>
      <c r="Q284">
        <v>1000</v>
      </c>
      <c r="X284">
        <v>2E-3</v>
      </c>
      <c r="Y284">
        <v>6521.42</v>
      </c>
      <c r="Z284">
        <v>0</v>
      </c>
      <c r="AA284">
        <v>0</v>
      </c>
      <c r="AB284">
        <v>0</v>
      </c>
      <c r="AC284">
        <v>0</v>
      </c>
      <c r="AD284">
        <v>1</v>
      </c>
      <c r="AE284">
        <v>0</v>
      </c>
      <c r="AF284" t="s">
        <v>3</v>
      </c>
      <c r="AG284">
        <v>2E-3</v>
      </c>
      <c r="AH284">
        <v>2</v>
      </c>
      <c r="AI284">
        <v>43135905</v>
      </c>
      <c r="AJ284">
        <v>278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</row>
    <row r="285" spans="1:44" x14ac:dyDescent="0.2">
      <c r="A285">
        <f>ROW(Source!A402)</f>
        <v>402</v>
      </c>
      <c r="B285">
        <v>43135906</v>
      </c>
      <c r="C285">
        <v>43135895</v>
      </c>
      <c r="D285">
        <v>36021727</v>
      </c>
      <c r="E285">
        <v>1</v>
      </c>
      <c r="F285">
        <v>1</v>
      </c>
      <c r="G285">
        <v>35973048</v>
      </c>
      <c r="H285">
        <v>3</v>
      </c>
      <c r="I285" t="s">
        <v>1276</v>
      </c>
      <c r="J285" t="s">
        <v>1277</v>
      </c>
      <c r="K285" t="s">
        <v>1278</v>
      </c>
      <c r="L285">
        <v>1348</v>
      </c>
      <c r="N285">
        <v>1009</v>
      </c>
      <c r="O285" t="s">
        <v>104</v>
      </c>
      <c r="P285" t="s">
        <v>104</v>
      </c>
      <c r="Q285">
        <v>1000</v>
      </c>
      <c r="X285">
        <v>0.16</v>
      </c>
      <c r="Y285">
        <v>7191.81</v>
      </c>
      <c r="Z285">
        <v>0</v>
      </c>
      <c r="AA285">
        <v>0</v>
      </c>
      <c r="AB285">
        <v>0</v>
      </c>
      <c r="AC285">
        <v>0</v>
      </c>
      <c r="AD285">
        <v>1</v>
      </c>
      <c r="AE285">
        <v>0</v>
      </c>
      <c r="AF285" t="s">
        <v>3</v>
      </c>
      <c r="AG285">
        <v>0.16</v>
      </c>
      <c r="AH285">
        <v>2</v>
      </c>
      <c r="AI285">
        <v>43135906</v>
      </c>
      <c r="AJ285">
        <v>279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</row>
    <row r="286" spans="1:44" x14ac:dyDescent="0.2">
      <c r="A286">
        <f>ROW(Source!A402)</f>
        <v>402</v>
      </c>
      <c r="B286">
        <v>43135907</v>
      </c>
      <c r="C286">
        <v>43135895</v>
      </c>
      <c r="D286">
        <v>36020519</v>
      </c>
      <c r="E286">
        <v>1</v>
      </c>
      <c r="F286">
        <v>1</v>
      </c>
      <c r="G286">
        <v>35973048</v>
      </c>
      <c r="H286">
        <v>3</v>
      </c>
      <c r="I286" t="s">
        <v>1279</v>
      </c>
      <c r="J286" t="s">
        <v>1280</v>
      </c>
      <c r="K286" t="s">
        <v>1281</v>
      </c>
      <c r="L286">
        <v>1339</v>
      </c>
      <c r="N286">
        <v>1007</v>
      </c>
      <c r="O286" t="s">
        <v>84</v>
      </c>
      <c r="P286" t="s">
        <v>84</v>
      </c>
      <c r="Q286">
        <v>1</v>
      </c>
      <c r="X286">
        <v>0.04</v>
      </c>
      <c r="Y286">
        <v>1828.56</v>
      </c>
      <c r="Z286">
        <v>0</v>
      </c>
      <c r="AA286">
        <v>0</v>
      </c>
      <c r="AB286">
        <v>0</v>
      </c>
      <c r="AC286">
        <v>0</v>
      </c>
      <c r="AD286">
        <v>1</v>
      </c>
      <c r="AE286">
        <v>0</v>
      </c>
      <c r="AF286" t="s">
        <v>3</v>
      </c>
      <c r="AG286">
        <v>0.04</v>
      </c>
      <c r="AH286">
        <v>2</v>
      </c>
      <c r="AI286">
        <v>43135907</v>
      </c>
      <c r="AJ286">
        <v>280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</row>
    <row r="287" spans="1:44" x14ac:dyDescent="0.2">
      <c r="A287">
        <f>ROW(Source!A402)</f>
        <v>402</v>
      </c>
      <c r="B287">
        <v>43135908</v>
      </c>
      <c r="C287">
        <v>43135895</v>
      </c>
      <c r="D287">
        <v>36020546</v>
      </c>
      <c r="E287">
        <v>1</v>
      </c>
      <c r="F287">
        <v>1</v>
      </c>
      <c r="G287">
        <v>35973048</v>
      </c>
      <c r="H287">
        <v>3</v>
      </c>
      <c r="I287" t="s">
        <v>1282</v>
      </c>
      <c r="J287" t="s">
        <v>1283</v>
      </c>
      <c r="K287" t="s">
        <v>1284</v>
      </c>
      <c r="L287">
        <v>1348</v>
      </c>
      <c r="N287">
        <v>1009</v>
      </c>
      <c r="O287" t="s">
        <v>104</v>
      </c>
      <c r="P287" t="s">
        <v>104</v>
      </c>
      <c r="Q287">
        <v>1000</v>
      </c>
      <c r="X287">
        <v>0.01</v>
      </c>
      <c r="Y287">
        <v>1260.72</v>
      </c>
      <c r="Z287">
        <v>0</v>
      </c>
      <c r="AA287">
        <v>0</v>
      </c>
      <c r="AB287">
        <v>0</v>
      </c>
      <c r="AC287">
        <v>0</v>
      </c>
      <c r="AD287">
        <v>1</v>
      </c>
      <c r="AE287">
        <v>0</v>
      </c>
      <c r="AF287" t="s">
        <v>3</v>
      </c>
      <c r="AG287">
        <v>0.01</v>
      </c>
      <c r="AH287">
        <v>2</v>
      </c>
      <c r="AI287">
        <v>43135908</v>
      </c>
      <c r="AJ287">
        <v>281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</row>
    <row r="288" spans="1:44" x14ac:dyDescent="0.2">
      <c r="A288">
        <f>ROW(Source!A402)</f>
        <v>402</v>
      </c>
      <c r="B288">
        <v>43135909</v>
      </c>
      <c r="C288">
        <v>43135895</v>
      </c>
      <c r="D288">
        <v>36020898</v>
      </c>
      <c r="E288">
        <v>1</v>
      </c>
      <c r="F288">
        <v>1</v>
      </c>
      <c r="G288">
        <v>35973048</v>
      </c>
      <c r="H288">
        <v>3</v>
      </c>
      <c r="I288" t="s">
        <v>1285</v>
      </c>
      <c r="J288" t="s">
        <v>1286</v>
      </c>
      <c r="K288" t="s">
        <v>1287</v>
      </c>
      <c r="L288">
        <v>1327</v>
      </c>
      <c r="N288">
        <v>1005</v>
      </c>
      <c r="O288" t="s">
        <v>120</v>
      </c>
      <c r="P288" t="s">
        <v>120</v>
      </c>
      <c r="Q288">
        <v>1</v>
      </c>
      <c r="X288">
        <v>30</v>
      </c>
      <c r="Y288">
        <v>7.39</v>
      </c>
      <c r="Z288">
        <v>0</v>
      </c>
      <c r="AA288">
        <v>0</v>
      </c>
      <c r="AB288">
        <v>0</v>
      </c>
      <c r="AC288">
        <v>0</v>
      </c>
      <c r="AD288">
        <v>1</v>
      </c>
      <c r="AE288">
        <v>0</v>
      </c>
      <c r="AF288" t="s">
        <v>3</v>
      </c>
      <c r="AG288">
        <v>30</v>
      </c>
      <c r="AH288">
        <v>2</v>
      </c>
      <c r="AI288">
        <v>43135909</v>
      </c>
      <c r="AJ288">
        <v>282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</row>
    <row r="289" spans="1:44" x14ac:dyDescent="0.2">
      <c r="A289">
        <f>ROW(Source!A402)</f>
        <v>402</v>
      </c>
      <c r="B289">
        <v>43135910</v>
      </c>
      <c r="C289">
        <v>43135895</v>
      </c>
      <c r="D289">
        <v>36044236</v>
      </c>
      <c r="E289">
        <v>1</v>
      </c>
      <c r="F289">
        <v>1</v>
      </c>
      <c r="G289">
        <v>35973048</v>
      </c>
      <c r="H289">
        <v>3</v>
      </c>
      <c r="I289" t="s">
        <v>1288</v>
      </c>
      <c r="J289" t="s">
        <v>1289</v>
      </c>
      <c r="K289" t="s">
        <v>1290</v>
      </c>
      <c r="L289">
        <v>1327</v>
      </c>
      <c r="N289">
        <v>1005</v>
      </c>
      <c r="O289" t="s">
        <v>120</v>
      </c>
      <c r="P289" t="s">
        <v>120</v>
      </c>
      <c r="Q289">
        <v>1</v>
      </c>
      <c r="X289">
        <v>3.6</v>
      </c>
      <c r="Y289">
        <v>90.15</v>
      </c>
      <c r="Z289">
        <v>0</v>
      </c>
      <c r="AA289">
        <v>0</v>
      </c>
      <c r="AB289">
        <v>0</v>
      </c>
      <c r="AC289">
        <v>0</v>
      </c>
      <c r="AD289">
        <v>1</v>
      </c>
      <c r="AE289">
        <v>0</v>
      </c>
      <c r="AF289" t="s">
        <v>3</v>
      </c>
      <c r="AG289">
        <v>3.6</v>
      </c>
      <c r="AH289">
        <v>2</v>
      </c>
      <c r="AI289">
        <v>43135910</v>
      </c>
      <c r="AJ289">
        <v>285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</row>
    <row r="290" spans="1:44" x14ac:dyDescent="0.2">
      <c r="A290">
        <f>ROW(Source!A402)</f>
        <v>402</v>
      </c>
      <c r="B290">
        <v>43135911</v>
      </c>
      <c r="C290">
        <v>43135895</v>
      </c>
      <c r="D290">
        <v>35986636</v>
      </c>
      <c r="E290">
        <v>35973048</v>
      </c>
      <c r="F290">
        <v>1</v>
      </c>
      <c r="G290">
        <v>35973048</v>
      </c>
      <c r="H290">
        <v>3</v>
      </c>
      <c r="I290" t="s">
        <v>1469</v>
      </c>
      <c r="J290" t="s">
        <v>3</v>
      </c>
      <c r="K290" t="s">
        <v>1470</v>
      </c>
      <c r="L290">
        <v>1339</v>
      </c>
      <c r="N290">
        <v>1007</v>
      </c>
      <c r="O290" t="s">
        <v>84</v>
      </c>
      <c r="P290" t="s">
        <v>84</v>
      </c>
      <c r="Q290">
        <v>1</v>
      </c>
      <c r="X290">
        <v>101.5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 t="s">
        <v>3</v>
      </c>
      <c r="AG290">
        <v>101.5</v>
      </c>
      <c r="AH290">
        <v>3</v>
      </c>
      <c r="AI290">
        <v>-1</v>
      </c>
      <c r="AJ290" t="s">
        <v>3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</row>
    <row r="291" spans="1:44" x14ac:dyDescent="0.2">
      <c r="A291">
        <f>ROW(Source!A477)</f>
        <v>477</v>
      </c>
      <c r="B291">
        <v>43136998</v>
      </c>
      <c r="C291">
        <v>43136996</v>
      </c>
      <c r="D291">
        <v>35973053</v>
      </c>
      <c r="E291">
        <v>35973048</v>
      </c>
      <c r="F291">
        <v>1</v>
      </c>
      <c r="G291">
        <v>35973048</v>
      </c>
      <c r="H291">
        <v>1</v>
      </c>
      <c r="I291" t="s">
        <v>1228</v>
      </c>
      <c r="J291" t="s">
        <v>3</v>
      </c>
      <c r="K291" t="s">
        <v>1229</v>
      </c>
      <c r="L291">
        <v>1191</v>
      </c>
      <c r="N291">
        <v>1013</v>
      </c>
      <c r="O291" t="s">
        <v>1230</v>
      </c>
      <c r="P291" t="s">
        <v>1230</v>
      </c>
      <c r="Q291">
        <v>1</v>
      </c>
      <c r="X291">
        <v>0.3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1</v>
      </c>
      <c r="AE291">
        <v>1</v>
      </c>
      <c r="AF291" t="s">
        <v>3</v>
      </c>
      <c r="AG291">
        <v>0.3</v>
      </c>
      <c r="AH291">
        <v>2</v>
      </c>
      <c r="AI291">
        <v>43136998</v>
      </c>
      <c r="AJ291">
        <v>286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</row>
    <row r="292" spans="1:44" x14ac:dyDescent="0.2">
      <c r="A292">
        <f>ROW(Source!A478)</f>
        <v>478</v>
      </c>
      <c r="B292">
        <v>43136999</v>
      </c>
      <c r="C292">
        <v>43136997</v>
      </c>
      <c r="D292">
        <v>35973053</v>
      </c>
      <c r="E292">
        <v>35973048</v>
      </c>
      <c r="F292">
        <v>1</v>
      </c>
      <c r="G292">
        <v>35973048</v>
      </c>
      <c r="H292">
        <v>1</v>
      </c>
      <c r="I292" t="s">
        <v>1228</v>
      </c>
      <c r="J292" t="s">
        <v>3</v>
      </c>
      <c r="K292" t="s">
        <v>1229</v>
      </c>
      <c r="L292">
        <v>1191</v>
      </c>
      <c r="N292">
        <v>1013</v>
      </c>
      <c r="O292" t="s">
        <v>1230</v>
      </c>
      <c r="P292" t="s">
        <v>1230</v>
      </c>
      <c r="Q292">
        <v>1</v>
      </c>
      <c r="X292">
        <v>0.12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1</v>
      </c>
      <c r="AE292">
        <v>1</v>
      </c>
      <c r="AF292" t="s">
        <v>3</v>
      </c>
      <c r="AG292">
        <v>0.12</v>
      </c>
      <c r="AH292">
        <v>2</v>
      </c>
      <c r="AI292">
        <v>43136999</v>
      </c>
      <c r="AJ292">
        <v>287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</row>
    <row r="293" spans="1:44" x14ac:dyDescent="0.2">
      <c r="A293">
        <f>ROW(Source!A480)</f>
        <v>480</v>
      </c>
      <c r="B293">
        <v>43159370</v>
      </c>
      <c r="C293">
        <v>43143356</v>
      </c>
      <c r="D293">
        <v>35973053</v>
      </c>
      <c r="E293">
        <v>35973048</v>
      </c>
      <c r="F293">
        <v>1</v>
      </c>
      <c r="G293">
        <v>35973048</v>
      </c>
      <c r="H293">
        <v>1</v>
      </c>
      <c r="I293" t="s">
        <v>1228</v>
      </c>
      <c r="J293" t="s">
        <v>3</v>
      </c>
      <c r="K293" t="s">
        <v>1229</v>
      </c>
      <c r="L293">
        <v>1191</v>
      </c>
      <c r="N293">
        <v>1013</v>
      </c>
      <c r="O293" t="s">
        <v>1230</v>
      </c>
      <c r="P293" t="s">
        <v>1230</v>
      </c>
      <c r="Q293">
        <v>1</v>
      </c>
      <c r="X293">
        <v>188.73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1</v>
      </c>
      <c r="AE293">
        <v>1</v>
      </c>
      <c r="AF293" t="s">
        <v>443</v>
      </c>
      <c r="AG293">
        <v>62.280900000000003</v>
      </c>
      <c r="AH293">
        <v>2</v>
      </c>
      <c r="AI293">
        <v>43159370</v>
      </c>
      <c r="AJ293">
        <v>289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</row>
    <row r="294" spans="1:44" x14ac:dyDescent="0.2">
      <c r="A294">
        <f>ROW(Source!A480)</f>
        <v>480</v>
      </c>
      <c r="B294">
        <v>43159371</v>
      </c>
      <c r="C294">
        <v>43143356</v>
      </c>
      <c r="D294">
        <v>36044926</v>
      </c>
      <c r="E294">
        <v>1</v>
      </c>
      <c r="F294">
        <v>1</v>
      </c>
      <c r="G294">
        <v>35973048</v>
      </c>
      <c r="H294">
        <v>2</v>
      </c>
      <c r="I294" t="s">
        <v>1352</v>
      </c>
      <c r="J294" t="s">
        <v>1353</v>
      </c>
      <c r="K294" t="s">
        <v>1354</v>
      </c>
      <c r="L294">
        <v>1367</v>
      </c>
      <c r="N294">
        <v>1011</v>
      </c>
      <c r="O294" t="s">
        <v>738</v>
      </c>
      <c r="P294" t="s">
        <v>738</v>
      </c>
      <c r="Q294">
        <v>1</v>
      </c>
      <c r="X294">
        <v>7.79</v>
      </c>
      <c r="Y294">
        <v>0</v>
      </c>
      <c r="Z294">
        <v>41.62</v>
      </c>
      <c r="AA294">
        <v>13.33</v>
      </c>
      <c r="AB294">
        <v>0</v>
      </c>
      <c r="AC294">
        <v>0</v>
      </c>
      <c r="AD294">
        <v>1</v>
      </c>
      <c r="AE294">
        <v>0</v>
      </c>
      <c r="AF294" t="s">
        <v>3</v>
      </c>
      <c r="AG294">
        <v>7.79</v>
      </c>
      <c r="AH294">
        <v>2</v>
      </c>
      <c r="AI294">
        <v>43159371</v>
      </c>
      <c r="AJ294">
        <v>290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</row>
    <row r="295" spans="1:44" x14ac:dyDescent="0.2">
      <c r="A295">
        <f>ROW(Source!A480)</f>
        <v>480</v>
      </c>
      <c r="B295">
        <v>43159372</v>
      </c>
      <c r="C295">
        <v>43143356</v>
      </c>
      <c r="D295">
        <v>36045386</v>
      </c>
      <c r="E295">
        <v>1</v>
      </c>
      <c r="F295">
        <v>1</v>
      </c>
      <c r="G295">
        <v>35973048</v>
      </c>
      <c r="H295">
        <v>2</v>
      </c>
      <c r="I295" t="s">
        <v>1355</v>
      </c>
      <c r="J295" t="s">
        <v>1356</v>
      </c>
      <c r="K295" t="s">
        <v>1357</v>
      </c>
      <c r="L295">
        <v>1367</v>
      </c>
      <c r="N295">
        <v>1011</v>
      </c>
      <c r="O295" t="s">
        <v>738</v>
      </c>
      <c r="P295" t="s">
        <v>738</v>
      </c>
      <c r="Q295">
        <v>1</v>
      </c>
      <c r="X295">
        <v>7.79</v>
      </c>
      <c r="Y295">
        <v>0</v>
      </c>
      <c r="Z295">
        <v>3.16</v>
      </c>
      <c r="AA295">
        <v>0.04</v>
      </c>
      <c r="AB295">
        <v>0</v>
      </c>
      <c r="AC295">
        <v>0</v>
      </c>
      <c r="AD295">
        <v>1</v>
      </c>
      <c r="AE295">
        <v>0</v>
      </c>
      <c r="AF295" t="s">
        <v>3</v>
      </c>
      <c r="AG295">
        <v>7.79</v>
      </c>
      <c r="AH295">
        <v>2</v>
      </c>
      <c r="AI295">
        <v>43159372</v>
      </c>
      <c r="AJ295">
        <v>291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</row>
    <row r="296" spans="1:44" x14ac:dyDescent="0.2">
      <c r="A296">
        <f>ROW(Source!A480)</f>
        <v>480</v>
      </c>
      <c r="B296">
        <v>43159373</v>
      </c>
      <c r="C296">
        <v>43143356</v>
      </c>
      <c r="D296">
        <v>35973762</v>
      </c>
      <c r="E296">
        <v>35973048</v>
      </c>
      <c r="F296">
        <v>1</v>
      </c>
      <c r="G296">
        <v>35973048</v>
      </c>
      <c r="H296">
        <v>2</v>
      </c>
      <c r="I296" t="s">
        <v>1243</v>
      </c>
      <c r="J296" t="s">
        <v>3</v>
      </c>
      <c r="K296" t="s">
        <v>1244</v>
      </c>
      <c r="L296">
        <v>1344</v>
      </c>
      <c r="N296">
        <v>1008</v>
      </c>
      <c r="O296" t="s">
        <v>1245</v>
      </c>
      <c r="P296" t="s">
        <v>1245</v>
      </c>
      <c r="Q296">
        <v>1</v>
      </c>
      <c r="X296">
        <v>162.80000000000001</v>
      </c>
      <c r="Y296">
        <v>0</v>
      </c>
      <c r="Z296">
        <v>1</v>
      </c>
      <c r="AA296">
        <v>0</v>
      </c>
      <c r="AB296">
        <v>0</v>
      </c>
      <c r="AC296">
        <v>0</v>
      </c>
      <c r="AD296">
        <v>1</v>
      </c>
      <c r="AE296">
        <v>0</v>
      </c>
      <c r="AF296" t="s">
        <v>3</v>
      </c>
      <c r="AG296">
        <v>162.80000000000001</v>
      </c>
      <c r="AH296">
        <v>2</v>
      </c>
      <c r="AI296">
        <v>43159373</v>
      </c>
      <c r="AJ296">
        <v>292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</row>
    <row r="297" spans="1:44" x14ac:dyDescent="0.2">
      <c r="A297">
        <f>ROW(Source!A480)</f>
        <v>480</v>
      </c>
      <c r="B297">
        <v>43159374</v>
      </c>
      <c r="C297">
        <v>43143356</v>
      </c>
      <c r="D297">
        <v>35994352</v>
      </c>
      <c r="E297">
        <v>35973048</v>
      </c>
      <c r="F297">
        <v>1</v>
      </c>
      <c r="G297">
        <v>35973048</v>
      </c>
      <c r="H297">
        <v>3</v>
      </c>
      <c r="I297" t="s">
        <v>1350</v>
      </c>
      <c r="J297" t="s">
        <v>3</v>
      </c>
      <c r="K297" t="s">
        <v>1351</v>
      </c>
      <c r="L297">
        <v>1348</v>
      </c>
      <c r="N297">
        <v>1009</v>
      </c>
      <c r="O297" t="s">
        <v>104</v>
      </c>
      <c r="P297" t="s">
        <v>104</v>
      </c>
      <c r="Q297">
        <v>1000</v>
      </c>
      <c r="X297">
        <v>22.64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1</v>
      </c>
      <c r="AE297">
        <v>0</v>
      </c>
      <c r="AF297" t="s">
        <v>3</v>
      </c>
      <c r="AG297">
        <v>22.64</v>
      </c>
      <c r="AH297">
        <v>2</v>
      </c>
      <c r="AI297">
        <v>43159374</v>
      </c>
      <c r="AJ297">
        <v>293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</row>
    <row r="298" spans="1:44" x14ac:dyDescent="0.2">
      <c r="A298">
        <f>ROW(Source!A481)</f>
        <v>481</v>
      </c>
      <c r="B298">
        <v>43159398</v>
      </c>
      <c r="C298">
        <v>43159397</v>
      </c>
      <c r="D298">
        <v>35973053</v>
      </c>
      <c r="E298">
        <v>35973048</v>
      </c>
      <c r="F298">
        <v>1</v>
      </c>
      <c r="G298">
        <v>35973048</v>
      </c>
      <c r="H298">
        <v>1</v>
      </c>
      <c r="I298" t="s">
        <v>1228</v>
      </c>
      <c r="J298" t="s">
        <v>3</v>
      </c>
      <c r="K298" t="s">
        <v>1229</v>
      </c>
      <c r="L298">
        <v>1191</v>
      </c>
      <c r="N298">
        <v>1013</v>
      </c>
      <c r="O298" t="s">
        <v>1230</v>
      </c>
      <c r="P298" t="s">
        <v>1230</v>
      </c>
      <c r="Q298">
        <v>1</v>
      </c>
      <c r="X298">
        <v>7.2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1</v>
      </c>
      <c r="AE298">
        <v>1</v>
      </c>
      <c r="AF298" t="s">
        <v>3</v>
      </c>
      <c r="AG298">
        <v>7.2</v>
      </c>
      <c r="AH298">
        <v>2</v>
      </c>
      <c r="AI298">
        <v>43159398</v>
      </c>
      <c r="AJ298">
        <v>294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</row>
    <row r="299" spans="1:44" x14ac:dyDescent="0.2">
      <c r="A299">
        <f>ROW(Source!A481)</f>
        <v>481</v>
      </c>
      <c r="B299">
        <v>43159399</v>
      </c>
      <c r="C299">
        <v>43159397</v>
      </c>
      <c r="D299">
        <v>35973762</v>
      </c>
      <c r="E299">
        <v>35973048</v>
      </c>
      <c r="F299">
        <v>1</v>
      </c>
      <c r="G299">
        <v>35973048</v>
      </c>
      <c r="H299">
        <v>2</v>
      </c>
      <c r="I299" t="s">
        <v>1243</v>
      </c>
      <c r="J299" t="s">
        <v>3</v>
      </c>
      <c r="K299" t="s">
        <v>1244</v>
      </c>
      <c r="L299">
        <v>1344</v>
      </c>
      <c r="N299">
        <v>1008</v>
      </c>
      <c r="O299" t="s">
        <v>1245</v>
      </c>
      <c r="P299" t="s">
        <v>1245</v>
      </c>
      <c r="Q299">
        <v>1</v>
      </c>
      <c r="X299">
        <v>56.42</v>
      </c>
      <c r="Y299">
        <v>0</v>
      </c>
      <c r="Z299">
        <v>1</v>
      </c>
      <c r="AA299">
        <v>0</v>
      </c>
      <c r="AB299">
        <v>0</v>
      </c>
      <c r="AC299">
        <v>0</v>
      </c>
      <c r="AD299">
        <v>1</v>
      </c>
      <c r="AE299">
        <v>0</v>
      </c>
      <c r="AF299" t="s">
        <v>3</v>
      </c>
      <c r="AG299">
        <v>56.42</v>
      </c>
      <c r="AH299">
        <v>2</v>
      </c>
      <c r="AI299">
        <v>43159399</v>
      </c>
      <c r="AJ299">
        <v>295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</row>
    <row r="300" spans="1:44" x14ac:dyDescent="0.2">
      <c r="A300">
        <f>ROW(Source!A481)</f>
        <v>481</v>
      </c>
      <c r="B300">
        <v>43159400</v>
      </c>
      <c r="C300">
        <v>43159397</v>
      </c>
      <c r="D300">
        <v>35994352</v>
      </c>
      <c r="E300">
        <v>35973048</v>
      </c>
      <c r="F300">
        <v>1</v>
      </c>
      <c r="G300">
        <v>35973048</v>
      </c>
      <c r="H300">
        <v>3</v>
      </c>
      <c r="I300" t="s">
        <v>1350</v>
      </c>
      <c r="J300" t="s">
        <v>3</v>
      </c>
      <c r="K300" t="s">
        <v>1351</v>
      </c>
      <c r="L300">
        <v>1348</v>
      </c>
      <c r="N300">
        <v>1009</v>
      </c>
      <c r="O300" t="s">
        <v>104</v>
      </c>
      <c r="P300" t="s">
        <v>104</v>
      </c>
      <c r="Q300">
        <v>1000</v>
      </c>
      <c r="X300">
        <v>2.35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1</v>
      </c>
      <c r="AE300">
        <v>0</v>
      </c>
      <c r="AF300" t="s">
        <v>3</v>
      </c>
      <c r="AG300">
        <v>2.35</v>
      </c>
      <c r="AH300">
        <v>2</v>
      </c>
      <c r="AI300">
        <v>43159400</v>
      </c>
      <c r="AJ300">
        <v>296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</row>
    <row r="301" spans="1:44" x14ac:dyDescent="0.2">
      <c r="A301">
        <f>ROW(Source!A482)</f>
        <v>482</v>
      </c>
      <c r="B301">
        <v>43143405</v>
      </c>
      <c r="C301">
        <v>43143402</v>
      </c>
      <c r="D301">
        <v>35973053</v>
      </c>
      <c r="E301">
        <v>35973048</v>
      </c>
      <c r="F301">
        <v>1</v>
      </c>
      <c r="G301">
        <v>35973048</v>
      </c>
      <c r="H301">
        <v>1</v>
      </c>
      <c r="I301" t="s">
        <v>1228</v>
      </c>
      <c r="J301" t="s">
        <v>3</v>
      </c>
      <c r="K301" t="s">
        <v>1229</v>
      </c>
      <c r="L301">
        <v>1191</v>
      </c>
      <c r="N301">
        <v>1013</v>
      </c>
      <c r="O301" t="s">
        <v>1230</v>
      </c>
      <c r="P301" t="s">
        <v>1230</v>
      </c>
      <c r="Q301">
        <v>1</v>
      </c>
      <c r="X301">
        <v>1.38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1</v>
      </c>
      <c r="AE301">
        <v>1</v>
      </c>
      <c r="AF301" t="s">
        <v>627</v>
      </c>
      <c r="AG301">
        <v>1.1902499999999998</v>
      </c>
      <c r="AH301">
        <v>2</v>
      </c>
      <c r="AI301">
        <v>43143405</v>
      </c>
      <c r="AJ301">
        <v>297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</row>
    <row r="302" spans="1:44" x14ac:dyDescent="0.2">
      <c r="A302">
        <f>ROW(Source!A482)</f>
        <v>482</v>
      </c>
      <c r="B302">
        <v>43143406</v>
      </c>
      <c r="C302">
        <v>43143402</v>
      </c>
      <c r="D302">
        <v>36044463</v>
      </c>
      <c r="E302">
        <v>1</v>
      </c>
      <c r="F302">
        <v>1</v>
      </c>
      <c r="G302">
        <v>35973048</v>
      </c>
      <c r="H302">
        <v>2</v>
      </c>
      <c r="I302" t="s">
        <v>1249</v>
      </c>
      <c r="J302" t="s">
        <v>1250</v>
      </c>
      <c r="K302" t="s">
        <v>1251</v>
      </c>
      <c r="L302">
        <v>1367</v>
      </c>
      <c r="N302">
        <v>1011</v>
      </c>
      <c r="O302" t="s">
        <v>738</v>
      </c>
      <c r="P302" t="s">
        <v>738</v>
      </c>
      <c r="Q302">
        <v>1</v>
      </c>
      <c r="X302">
        <v>3.9874999999999998</v>
      </c>
      <c r="Y302">
        <v>0</v>
      </c>
      <c r="Z302">
        <v>180.72</v>
      </c>
      <c r="AA302">
        <v>17.510000000000002</v>
      </c>
      <c r="AB302">
        <v>0</v>
      </c>
      <c r="AC302">
        <v>0</v>
      </c>
      <c r="AD302">
        <v>1</v>
      </c>
      <c r="AE302">
        <v>0</v>
      </c>
      <c r="AF302" t="s">
        <v>626</v>
      </c>
      <c r="AG302">
        <v>3.73828125</v>
      </c>
      <c r="AH302">
        <v>2</v>
      </c>
      <c r="AI302">
        <v>43143406</v>
      </c>
      <c r="AJ302">
        <v>298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</row>
    <row r="303" spans="1:44" x14ac:dyDescent="0.2">
      <c r="A303">
        <f>ROW(Source!A482)</f>
        <v>482</v>
      </c>
      <c r="B303">
        <v>43143407</v>
      </c>
      <c r="C303">
        <v>43143402</v>
      </c>
      <c r="D303">
        <v>36044488</v>
      </c>
      <c r="E303">
        <v>1</v>
      </c>
      <c r="F303">
        <v>1</v>
      </c>
      <c r="G303">
        <v>35973048</v>
      </c>
      <c r="H303">
        <v>2</v>
      </c>
      <c r="I303" t="s">
        <v>1252</v>
      </c>
      <c r="J303" t="s">
        <v>1253</v>
      </c>
      <c r="K303" t="s">
        <v>1254</v>
      </c>
      <c r="L303">
        <v>1367</v>
      </c>
      <c r="N303">
        <v>1011</v>
      </c>
      <c r="O303" t="s">
        <v>738</v>
      </c>
      <c r="P303" t="s">
        <v>738</v>
      </c>
      <c r="Q303">
        <v>1</v>
      </c>
      <c r="X303">
        <v>0.997</v>
      </c>
      <c r="Y303">
        <v>0</v>
      </c>
      <c r="Z303">
        <v>161.49</v>
      </c>
      <c r="AA303">
        <v>17.7</v>
      </c>
      <c r="AB303">
        <v>0</v>
      </c>
      <c r="AC303">
        <v>0</v>
      </c>
      <c r="AD303">
        <v>1</v>
      </c>
      <c r="AE303">
        <v>0</v>
      </c>
      <c r="AF303" t="s">
        <v>626</v>
      </c>
      <c r="AG303">
        <v>0.93468750000000012</v>
      </c>
      <c r="AH303">
        <v>2</v>
      </c>
      <c r="AI303">
        <v>43143407</v>
      </c>
      <c r="AJ303">
        <v>299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</row>
    <row r="304" spans="1:44" x14ac:dyDescent="0.2">
      <c r="A304">
        <f>ROW(Source!A483)</f>
        <v>483</v>
      </c>
      <c r="B304">
        <v>43143410</v>
      </c>
      <c r="C304">
        <v>43143357</v>
      </c>
      <c r="D304">
        <v>35973053</v>
      </c>
      <c r="E304">
        <v>35973048</v>
      </c>
      <c r="F304">
        <v>1</v>
      </c>
      <c r="G304">
        <v>35973048</v>
      </c>
      <c r="H304">
        <v>1</v>
      </c>
      <c r="I304" t="s">
        <v>1228</v>
      </c>
      <c r="J304" t="s">
        <v>3</v>
      </c>
      <c r="K304" t="s">
        <v>1229</v>
      </c>
      <c r="L304">
        <v>1191</v>
      </c>
      <c r="N304">
        <v>1013</v>
      </c>
      <c r="O304" t="s">
        <v>1230</v>
      </c>
      <c r="P304" t="s">
        <v>1230</v>
      </c>
      <c r="Q304">
        <v>1</v>
      </c>
      <c r="X304">
        <v>192.7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1</v>
      </c>
      <c r="AE304">
        <v>1</v>
      </c>
      <c r="AF304" t="s">
        <v>629</v>
      </c>
      <c r="AG304">
        <v>55.40124999999999</v>
      </c>
      <c r="AH304">
        <v>2</v>
      </c>
      <c r="AI304">
        <v>43143410</v>
      </c>
      <c r="AJ304">
        <v>300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</row>
    <row r="305" spans="1:44" x14ac:dyDescent="0.2">
      <c r="A305">
        <f>ROW(Source!A484)</f>
        <v>484</v>
      </c>
      <c r="B305">
        <v>43143483</v>
      </c>
      <c r="C305">
        <v>43143482</v>
      </c>
      <c r="D305">
        <v>35973053</v>
      </c>
      <c r="E305">
        <v>35973048</v>
      </c>
      <c r="F305">
        <v>1</v>
      </c>
      <c r="G305">
        <v>35973048</v>
      </c>
      <c r="H305">
        <v>1</v>
      </c>
      <c r="I305" t="s">
        <v>1228</v>
      </c>
      <c r="J305" t="s">
        <v>3</v>
      </c>
      <c r="K305" t="s">
        <v>1229</v>
      </c>
      <c r="L305">
        <v>1191</v>
      </c>
      <c r="N305">
        <v>1013</v>
      </c>
      <c r="O305" t="s">
        <v>1230</v>
      </c>
      <c r="P305" t="s">
        <v>1230</v>
      </c>
      <c r="Q305">
        <v>1</v>
      </c>
      <c r="X305">
        <v>27.7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1</v>
      </c>
      <c r="AE305">
        <v>1</v>
      </c>
      <c r="AF305" t="s">
        <v>21</v>
      </c>
      <c r="AG305">
        <v>31.854999999999997</v>
      </c>
      <c r="AH305">
        <v>2</v>
      </c>
      <c r="AI305">
        <v>43143483</v>
      </c>
      <c r="AJ305">
        <v>301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</row>
    <row r="306" spans="1:44" x14ac:dyDescent="0.2">
      <c r="A306">
        <f>ROW(Source!A484)</f>
        <v>484</v>
      </c>
      <c r="B306">
        <v>43143484</v>
      </c>
      <c r="C306">
        <v>43143482</v>
      </c>
      <c r="D306">
        <v>36044488</v>
      </c>
      <c r="E306">
        <v>1</v>
      </c>
      <c r="F306">
        <v>1</v>
      </c>
      <c r="G306">
        <v>35973048</v>
      </c>
      <c r="H306">
        <v>2</v>
      </c>
      <c r="I306" t="s">
        <v>1252</v>
      </c>
      <c r="J306" t="s">
        <v>1253</v>
      </c>
      <c r="K306" t="s">
        <v>1254</v>
      </c>
      <c r="L306">
        <v>1367</v>
      </c>
      <c r="N306">
        <v>1011</v>
      </c>
      <c r="O306" t="s">
        <v>738</v>
      </c>
      <c r="P306" t="s">
        <v>738</v>
      </c>
      <c r="Q306">
        <v>1</v>
      </c>
      <c r="X306">
        <v>2.52</v>
      </c>
      <c r="Y306">
        <v>0</v>
      </c>
      <c r="Z306">
        <v>161.49</v>
      </c>
      <c r="AA306">
        <v>17.7</v>
      </c>
      <c r="AB306">
        <v>0</v>
      </c>
      <c r="AC306">
        <v>0</v>
      </c>
      <c r="AD306">
        <v>1</v>
      </c>
      <c r="AE306">
        <v>0</v>
      </c>
      <c r="AF306" t="s">
        <v>20</v>
      </c>
      <c r="AG306">
        <v>3.15</v>
      </c>
      <c r="AH306">
        <v>2</v>
      </c>
      <c r="AI306">
        <v>43143484</v>
      </c>
      <c r="AJ306">
        <v>302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</row>
    <row r="307" spans="1:44" x14ac:dyDescent="0.2">
      <c r="A307">
        <f>ROW(Source!A484)</f>
        <v>484</v>
      </c>
      <c r="B307">
        <v>43143485</v>
      </c>
      <c r="C307">
        <v>43143482</v>
      </c>
      <c r="D307">
        <v>36044727</v>
      </c>
      <c r="E307">
        <v>1</v>
      </c>
      <c r="F307">
        <v>1</v>
      </c>
      <c r="G307">
        <v>35973048</v>
      </c>
      <c r="H307">
        <v>2</v>
      </c>
      <c r="I307" t="s">
        <v>1291</v>
      </c>
      <c r="J307" t="s">
        <v>1292</v>
      </c>
      <c r="K307" t="s">
        <v>1293</v>
      </c>
      <c r="L307">
        <v>1367</v>
      </c>
      <c r="N307">
        <v>1011</v>
      </c>
      <c r="O307" t="s">
        <v>738</v>
      </c>
      <c r="P307" t="s">
        <v>738</v>
      </c>
      <c r="Q307">
        <v>1</v>
      </c>
      <c r="X307">
        <v>1.02</v>
      </c>
      <c r="Y307">
        <v>0</v>
      </c>
      <c r="Z307">
        <v>258.24</v>
      </c>
      <c r="AA307">
        <v>17.34</v>
      </c>
      <c r="AB307">
        <v>0</v>
      </c>
      <c r="AC307">
        <v>0</v>
      </c>
      <c r="AD307">
        <v>1</v>
      </c>
      <c r="AE307">
        <v>0</v>
      </c>
      <c r="AF307" t="s">
        <v>20</v>
      </c>
      <c r="AG307">
        <v>1.2749999999999999</v>
      </c>
      <c r="AH307">
        <v>2</v>
      </c>
      <c r="AI307">
        <v>43143485</v>
      </c>
      <c r="AJ307">
        <v>303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</row>
    <row r="308" spans="1:44" x14ac:dyDescent="0.2">
      <c r="A308">
        <f>ROW(Source!A484)</f>
        <v>484</v>
      </c>
      <c r="B308">
        <v>43143486</v>
      </c>
      <c r="C308">
        <v>43143482</v>
      </c>
      <c r="D308">
        <v>35986151</v>
      </c>
      <c r="E308">
        <v>35973048</v>
      </c>
      <c r="F308">
        <v>1</v>
      </c>
      <c r="G308">
        <v>35973048</v>
      </c>
      <c r="H308">
        <v>3</v>
      </c>
      <c r="I308" t="s">
        <v>1471</v>
      </c>
      <c r="J308" t="s">
        <v>3</v>
      </c>
      <c r="K308" t="s">
        <v>1472</v>
      </c>
      <c r="L308">
        <v>1330</v>
      </c>
      <c r="N308">
        <v>1005</v>
      </c>
      <c r="O308" t="s">
        <v>1473</v>
      </c>
      <c r="P308" t="s">
        <v>1473</v>
      </c>
      <c r="Q308">
        <v>10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 t="s">
        <v>3</v>
      </c>
      <c r="AG308">
        <v>0</v>
      </c>
      <c r="AH308">
        <v>3</v>
      </c>
      <c r="AI308">
        <v>-1</v>
      </c>
      <c r="AJ308" t="s">
        <v>3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</row>
    <row r="309" spans="1:44" x14ac:dyDescent="0.2">
      <c r="A309">
        <f>ROW(Source!A484)</f>
        <v>484</v>
      </c>
      <c r="B309">
        <v>43143487</v>
      </c>
      <c r="C309">
        <v>43143482</v>
      </c>
      <c r="D309">
        <v>35994366</v>
      </c>
      <c r="E309">
        <v>35973048</v>
      </c>
      <c r="F309">
        <v>1</v>
      </c>
      <c r="G309">
        <v>35973048</v>
      </c>
      <c r="H309">
        <v>3</v>
      </c>
      <c r="I309" t="s">
        <v>1294</v>
      </c>
      <c r="J309" t="s">
        <v>3</v>
      </c>
      <c r="K309" t="s">
        <v>1295</v>
      </c>
      <c r="L309">
        <v>1344</v>
      </c>
      <c r="N309">
        <v>1008</v>
      </c>
      <c r="O309" t="s">
        <v>1245</v>
      </c>
      <c r="P309" t="s">
        <v>1245</v>
      </c>
      <c r="Q309">
        <v>1</v>
      </c>
      <c r="X309">
        <v>0.49</v>
      </c>
      <c r="Y309">
        <v>1</v>
      </c>
      <c r="Z309">
        <v>0</v>
      </c>
      <c r="AA309">
        <v>0</v>
      </c>
      <c r="AB309">
        <v>0</v>
      </c>
      <c r="AC309">
        <v>0</v>
      </c>
      <c r="AD309">
        <v>1</v>
      </c>
      <c r="AE309">
        <v>0</v>
      </c>
      <c r="AF309" t="s">
        <v>3</v>
      </c>
      <c r="AG309">
        <v>0.49</v>
      </c>
      <c r="AH309">
        <v>2</v>
      </c>
      <c r="AI309">
        <v>43143487</v>
      </c>
      <c r="AJ309">
        <v>305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</row>
    <row r="310" spans="1:44" x14ac:dyDescent="0.2">
      <c r="A310">
        <f>ROW(Source!A489)</f>
        <v>489</v>
      </c>
      <c r="B310">
        <v>43159382</v>
      </c>
      <c r="C310">
        <v>43159381</v>
      </c>
      <c r="D310">
        <v>35973053</v>
      </c>
      <c r="E310">
        <v>35973048</v>
      </c>
      <c r="F310">
        <v>1</v>
      </c>
      <c r="G310">
        <v>35973048</v>
      </c>
      <c r="H310">
        <v>1</v>
      </c>
      <c r="I310" t="s">
        <v>1228</v>
      </c>
      <c r="J310" t="s">
        <v>3</v>
      </c>
      <c r="K310" t="s">
        <v>1229</v>
      </c>
      <c r="L310">
        <v>1191</v>
      </c>
      <c r="N310">
        <v>1013</v>
      </c>
      <c r="O310" t="s">
        <v>1230</v>
      </c>
      <c r="P310" t="s">
        <v>1230</v>
      </c>
      <c r="Q310">
        <v>1</v>
      </c>
      <c r="X310">
        <v>27.7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1</v>
      </c>
      <c r="AE310">
        <v>1</v>
      </c>
      <c r="AF310" t="s">
        <v>21</v>
      </c>
      <c r="AG310">
        <v>31.854999999999997</v>
      </c>
      <c r="AH310">
        <v>2</v>
      </c>
      <c r="AI310">
        <v>43159382</v>
      </c>
      <c r="AJ310">
        <v>309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</row>
    <row r="311" spans="1:44" x14ac:dyDescent="0.2">
      <c r="A311">
        <f>ROW(Source!A489)</f>
        <v>489</v>
      </c>
      <c r="B311">
        <v>43159383</v>
      </c>
      <c r="C311">
        <v>43159381</v>
      </c>
      <c r="D311">
        <v>36044488</v>
      </c>
      <c r="E311">
        <v>1</v>
      </c>
      <c r="F311">
        <v>1</v>
      </c>
      <c r="G311">
        <v>35973048</v>
      </c>
      <c r="H311">
        <v>2</v>
      </c>
      <c r="I311" t="s">
        <v>1252</v>
      </c>
      <c r="J311" t="s">
        <v>1253</v>
      </c>
      <c r="K311" t="s">
        <v>1254</v>
      </c>
      <c r="L311">
        <v>1367</v>
      </c>
      <c r="N311">
        <v>1011</v>
      </c>
      <c r="O311" t="s">
        <v>738</v>
      </c>
      <c r="P311" t="s">
        <v>738</v>
      </c>
      <c r="Q311">
        <v>1</v>
      </c>
      <c r="X311">
        <v>2.52</v>
      </c>
      <c r="Y311">
        <v>0</v>
      </c>
      <c r="Z311">
        <v>161.49</v>
      </c>
      <c r="AA311">
        <v>17.7</v>
      </c>
      <c r="AB311">
        <v>0</v>
      </c>
      <c r="AC311">
        <v>0</v>
      </c>
      <c r="AD311">
        <v>1</v>
      </c>
      <c r="AE311">
        <v>0</v>
      </c>
      <c r="AF311" t="s">
        <v>20</v>
      </c>
      <c r="AG311">
        <v>3.15</v>
      </c>
      <c r="AH311">
        <v>2</v>
      </c>
      <c r="AI311">
        <v>43159383</v>
      </c>
      <c r="AJ311">
        <v>310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</row>
    <row r="312" spans="1:44" x14ac:dyDescent="0.2">
      <c r="A312">
        <f>ROW(Source!A489)</f>
        <v>489</v>
      </c>
      <c r="B312">
        <v>43159384</v>
      </c>
      <c r="C312">
        <v>43159381</v>
      </c>
      <c r="D312">
        <v>36044727</v>
      </c>
      <c r="E312">
        <v>1</v>
      </c>
      <c r="F312">
        <v>1</v>
      </c>
      <c r="G312">
        <v>35973048</v>
      </c>
      <c r="H312">
        <v>2</v>
      </c>
      <c r="I312" t="s">
        <v>1291</v>
      </c>
      <c r="J312" t="s">
        <v>1292</v>
      </c>
      <c r="K312" t="s">
        <v>1293</v>
      </c>
      <c r="L312">
        <v>1367</v>
      </c>
      <c r="N312">
        <v>1011</v>
      </c>
      <c r="O312" t="s">
        <v>738</v>
      </c>
      <c r="P312" t="s">
        <v>738</v>
      </c>
      <c r="Q312">
        <v>1</v>
      </c>
      <c r="X312">
        <v>1.02</v>
      </c>
      <c r="Y312">
        <v>0</v>
      </c>
      <c r="Z312">
        <v>258.24</v>
      </c>
      <c r="AA312">
        <v>17.34</v>
      </c>
      <c r="AB312">
        <v>0</v>
      </c>
      <c r="AC312">
        <v>0</v>
      </c>
      <c r="AD312">
        <v>1</v>
      </c>
      <c r="AE312">
        <v>0</v>
      </c>
      <c r="AF312" t="s">
        <v>20</v>
      </c>
      <c r="AG312">
        <v>1.2749999999999999</v>
      </c>
      <c r="AH312">
        <v>2</v>
      </c>
      <c r="AI312">
        <v>43159384</v>
      </c>
      <c r="AJ312">
        <v>311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</row>
    <row r="313" spans="1:44" x14ac:dyDescent="0.2">
      <c r="A313">
        <f>ROW(Source!A489)</f>
        <v>489</v>
      </c>
      <c r="B313">
        <v>43159385</v>
      </c>
      <c r="C313">
        <v>43159381</v>
      </c>
      <c r="D313">
        <v>35986151</v>
      </c>
      <c r="E313">
        <v>35973048</v>
      </c>
      <c r="F313">
        <v>1</v>
      </c>
      <c r="G313">
        <v>35973048</v>
      </c>
      <c r="H313">
        <v>3</v>
      </c>
      <c r="I313" t="s">
        <v>1471</v>
      </c>
      <c r="J313" t="s">
        <v>3</v>
      </c>
      <c r="K313" t="s">
        <v>1472</v>
      </c>
      <c r="L313">
        <v>1330</v>
      </c>
      <c r="N313">
        <v>1005</v>
      </c>
      <c r="O313" t="s">
        <v>1473</v>
      </c>
      <c r="P313" t="s">
        <v>1473</v>
      </c>
      <c r="Q313">
        <v>10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 t="s">
        <v>3</v>
      </c>
      <c r="AG313">
        <v>0</v>
      </c>
      <c r="AH313">
        <v>3</v>
      </c>
      <c r="AI313">
        <v>-1</v>
      </c>
      <c r="AJ313" t="s">
        <v>3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</row>
    <row r="314" spans="1:44" x14ac:dyDescent="0.2">
      <c r="A314">
        <f>ROW(Source!A489)</f>
        <v>489</v>
      </c>
      <c r="B314">
        <v>43159386</v>
      </c>
      <c r="C314">
        <v>43159381</v>
      </c>
      <c r="D314">
        <v>35994366</v>
      </c>
      <c r="E314">
        <v>35973048</v>
      </c>
      <c r="F314">
        <v>1</v>
      </c>
      <c r="G314">
        <v>35973048</v>
      </c>
      <c r="H314">
        <v>3</v>
      </c>
      <c r="I314" t="s">
        <v>1294</v>
      </c>
      <c r="J314" t="s">
        <v>3</v>
      </c>
      <c r="K314" t="s">
        <v>1295</v>
      </c>
      <c r="L314">
        <v>1344</v>
      </c>
      <c r="N314">
        <v>1008</v>
      </c>
      <c r="O314" t="s">
        <v>1245</v>
      </c>
      <c r="P314" t="s">
        <v>1245</v>
      </c>
      <c r="Q314">
        <v>1</v>
      </c>
      <c r="X314">
        <v>0.49</v>
      </c>
      <c r="Y314">
        <v>1</v>
      </c>
      <c r="Z314">
        <v>0</v>
      </c>
      <c r="AA314">
        <v>0</v>
      </c>
      <c r="AB314">
        <v>0</v>
      </c>
      <c r="AC314">
        <v>0</v>
      </c>
      <c r="AD314">
        <v>1</v>
      </c>
      <c r="AE314">
        <v>0</v>
      </c>
      <c r="AF314" t="s">
        <v>3</v>
      </c>
      <c r="AG314">
        <v>0.49</v>
      </c>
      <c r="AH314">
        <v>2</v>
      </c>
      <c r="AI314">
        <v>43159386</v>
      </c>
      <c r="AJ314">
        <v>313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</row>
    <row r="315" spans="1:44" x14ac:dyDescent="0.2">
      <c r="A315">
        <f>ROW(Source!A491)</f>
        <v>491</v>
      </c>
      <c r="B315">
        <v>43159407</v>
      </c>
      <c r="C315">
        <v>43159406</v>
      </c>
      <c r="D315">
        <v>35973053</v>
      </c>
      <c r="E315">
        <v>35973048</v>
      </c>
      <c r="F315">
        <v>1</v>
      </c>
      <c r="G315">
        <v>35973048</v>
      </c>
      <c r="H315">
        <v>1</v>
      </c>
      <c r="I315" t="s">
        <v>1228</v>
      </c>
      <c r="J315" t="s">
        <v>3</v>
      </c>
      <c r="K315" t="s">
        <v>1229</v>
      </c>
      <c r="L315">
        <v>1191</v>
      </c>
      <c r="N315">
        <v>1013</v>
      </c>
      <c r="O315" t="s">
        <v>1230</v>
      </c>
      <c r="P315" t="s">
        <v>1230</v>
      </c>
      <c r="Q315">
        <v>1</v>
      </c>
      <c r="X315">
        <v>39.159999999999997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1</v>
      </c>
      <c r="AE315">
        <v>1</v>
      </c>
      <c r="AF315" t="s">
        <v>21</v>
      </c>
      <c r="AG315">
        <v>45.033999999999992</v>
      </c>
      <c r="AH315">
        <v>2</v>
      </c>
      <c r="AI315">
        <v>43159407</v>
      </c>
      <c r="AJ315">
        <v>314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</row>
    <row r="316" spans="1:44" x14ac:dyDescent="0.2">
      <c r="A316">
        <f>ROW(Source!A491)</f>
        <v>491</v>
      </c>
      <c r="B316">
        <v>43159408</v>
      </c>
      <c r="C316">
        <v>43159406</v>
      </c>
      <c r="D316">
        <v>36020428</v>
      </c>
      <c r="E316">
        <v>1</v>
      </c>
      <c r="F316">
        <v>1</v>
      </c>
      <c r="G316">
        <v>35973048</v>
      </c>
      <c r="H316">
        <v>3</v>
      </c>
      <c r="I316" t="s">
        <v>372</v>
      </c>
      <c r="J316" t="s">
        <v>374</v>
      </c>
      <c r="K316" t="s">
        <v>373</v>
      </c>
      <c r="L316">
        <v>1348</v>
      </c>
      <c r="N316">
        <v>1009</v>
      </c>
      <c r="O316" t="s">
        <v>104</v>
      </c>
      <c r="P316" t="s">
        <v>104</v>
      </c>
      <c r="Q316">
        <v>1000</v>
      </c>
      <c r="X316">
        <v>1E-3</v>
      </c>
      <c r="Y316">
        <v>6521.42</v>
      </c>
      <c r="Z316">
        <v>0</v>
      </c>
      <c r="AA316">
        <v>0</v>
      </c>
      <c r="AB316">
        <v>0</v>
      </c>
      <c r="AC316">
        <v>0</v>
      </c>
      <c r="AD316">
        <v>1</v>
      </c>
      <c r="AE316">
        <v>0</v>
      </c>
      <c r="AF316" t="s">
        <v>3</v>
      </c>
      <c r="AG316">
        <v>1E-3</v>
      </c>
      <c r="AH316">
        <v>2</v>
      </c>
      <c r="AI316">
        <v>43159408</v>
      </c>
      <c r="AJ316">
        <v>315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</row>
    <row r="317" spans="1:44" x14ac:dyDescent="0.2">
      <c r="A317">
        <f>ROW(Source!A491)</f>
        <v>491</v>
      </c>
      <c r="B317">
        <v>43159409</v>
      </c>
      <c r="C317">
        <v>43159406</v>
      </c>
      <c r="D317">
        <v>36020519</v>
      </c>
      <c r="E317">
        <v>1</v>
      </c>
      <c r="F317">
        <v>1</v>
      </c>
      <c r="G317">
        <v>35973048</v>
      </c>
      <c r="H317">
        <v>3</v>
      </c>
      <c r="I317" t="s">
        <v>1279</v>
      </c>
      <c r="J317" t="s">
        <v>1280</v>
      </c>
      <c r="K317" t="s">
        <v>1281</v>
      </c>
      <c r="L317">
        <v>1339</v>
      </c>
      <c r="N317">
        <v>1007</v>
      </c>
      <c r="O317" t="s">
        <v>84</v>
      </c>
      <c r="P317" t="s">
        <v>84</v>
      </c>
      <c r="Q317">
        <v>1</v>
      </c>
      <c r="X317">
        <v>0.02</v>
      </c>
      <c r="Y317">
        <v>1828.56</v>
      </c>
      <c r="Z317">
        <v>0</v>
      </c>
      <c r="AA317">
        <v>0</v>
      </c>
      <c r="AB317">
        <v>0</v>
      </c>
      <c r="AC317">
        <v>0</v>
      </c>
      <c r="AD317">
        <v>1</v>
      </c>
      <c r="AE317">
        <v>0</v>
      </c>
      <c r="AF317" t="s">
        <v>3</v>
      </c>
      <c r="AG317">
        <v>0.02</v>
      </c>
      <c r="AH317">
        <v>2</v>
      </c>
      <c r="AI317">
        <v>43159409</v>
      </c>
      <c r="AJ317">
        <v>316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</row>
    <row r="318" spans="1:44" x14ac:dyDescent="0.2">
      <c r="A318">
        <f>ROW(Source!A491)</f>
        <v>491</v>
      </c>
      <c r="B318">
        <v>43159410</v>
      </c>
      <c r="C318">
        <v>43159406</v>
      </c>
      <c r="D318">
        <v>36021143</v>
      </c>
      <c r="E318">
        <v>1</v>
      </c>
      <c r="F318">
        <v>1</v>
      </c>
      <c r="G318">
        <v>35973048</v>
      </c>
      <c r="H318">
        <v>3</v>
      </c>
      <c r="I318" t="s">
        <v>1385</v>
      </c>
      <c r="J318" t="s">
        <v>1386</v>
      </c>
      <c r="K318" t="s">
        <v>1387</v>
      </c>
      <c r="L318">
        <v>1348</v>
      </c>
      <c r="N318">
        <v>1009</v>
      </c>
      <c r="O318" t="s">
        <v>104</v>
      </c>
      <c r="P318" t="s">
        <v>104</v>
      </c>
      <c r="Q318">
        <v>1000</v>
      </c>
      <c r="X318">
        <v>1.0999999999999999E-2</v>
      </c>
      <c r="Y318">
        <v>4617.17</v>
      </c>
      <c r="Z318">
        <v>0</v>
      </c>
      <c r="AA318">
        <v>0</v>
      </c>
      <c r="AB318">
        <v>0</v>
      </c>
      <c r="AC318">
        <v>0</v>
      </c>
      <c r="AD318">
        <v>1</v>
      </c>
      <c r="AE318">
        <v>0</v>
      </c>
      <c r="AF318" t="s">
        <v>3</v>
      </c>
      <c r="AG318">
        <v>1.0999999999999999E-2</v>
      </c>
      <c r="AH318">
        <v>2</v>
      </c>
      <c r="AI318">
        <v>43159410</v>
      </c>
      <c r="AJ318">
        <v>317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</row>
    <row r="319" spans="1:44" x14ac:dyDescent="0.2">
      <c r="A319">
        <f>ROW(Source!A491)</f>
        <v>491</v>
      </c>
      <c r="B319">
        <v>43159411</v>
      </c>
      <c r="C319">
        <v>43159406</v>
      </c>
      <c r="D319">
        <v>35986299</v>
      </c>
      <c r="E319">
        <v>35973048</v>
      </c>
      <c r="F319">
        <v>1</v>
      </c>
      <c r="G319">
        <v>35973048</v>
      </c>
      <c r="H319">
        <v>3</v>
      </c>
      <c r="I319" t="s">
        <v>1524</v>
      </c>
      <c r="J319" t="s">
        <v>3</v>
      </c>
      <c r="K319" t="s">
        <v>1525</v>
      </c>
      <c r="L319">
        <v>1327</v>
      </c>
      <c r="N319">
        <v>1005</v>
      </c>
      <c r="O319" t="s">
        <v>120</v>
      </c>
      <c r="P319" t="s">
        <v>120</v>
      </c>
      <c r="Q319">
        <v>1</v>
      </c>
      <c r="X319">
        <v>110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 t="s">
        <v>3</v>
      </c>
      <c r="AG319">
        <v>110</v>
      </c>
      <c r="AH319">
        <v>3</v>
      </c>
      <c r="AI319">
        <v>-1</v>
      </c>
      <c r="AJ319" t="s">
        <v>3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</row>
    <row r="320" spans="1:44" x14ac:dyDescent="0.2">
      <c r="A320">
        <f>ROW(Source!A493)</f>
        <v>493</v>
      </c>
      <c r="B320">
        <v>43143507</v>
      </c>
      <c r="C320">
        <v>43143491</v>
      </c>
      <c r="D320">
        <v>35973053</v>
      </c>
      <c r="E320">
        <v>35973048</v>
      </c>
      <c r="F320">
        <v>1</v>
      </c>
      <c r="G320">
        <v>35973048</v>
      </c>
      <c r="H320">
        <v>1</v>
      </c>
      <c r="I320" t="s">
        <v>1228</v>
      </c>
      <c r="J320" t="s">
        <v>3</v>
      </c>
      <c r="K320" t="s">
        <v>1229</v>
      </c>
      <c r="L320">
        <v>1191</v>
      </c>
      <c r="N320">
        <v>1013</v>
      </c>
      <c r="O320" t="s">
        <v>1230</v>
      </c>
      <c r="P320" t="s">
        <v>1230</v>
      </c>
      <c r="Q320">
        <v>1</v>
      </c>
      <c r="X320">
        <v>36.119999999999997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1</v>
      </c>
      <c r="AE320">
        <v>1</v>
      </c>
      <c r="AF320" t="s">
        <v>21</v>
      </c>
      <c r="AG320">
        <v>41.537999999999997</v>
      </c>
      <c r="AH320">
        <v>2</v>
      </c>
      <c r="AI320">
        <v>43143507</v>
      </c>
      <c r="AJ320">
        <v>319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</row>
    <row r="321" spans="1:44" x14ac:dyDescent="0.2">
      <c r="A321">
        <f>ROW(Source!A493)</f>
        <v>493</v>
      </c>
      <c r="B321">
        <v>43143508</v>
      </c>
      <c r="C321">
        <v>43143491</v>
      </c>
      <c r="D321">
        <v>36045308</v>
      </c>
      <c r="E321">
        <v>1</v>
      </c>
      <c r="F321">
        <v>1</v>
      </c>
      <c r="G321">
        <v>35973048</v>
      </c>
      <c r="H321">
        <v>2</v>
      </c>
      <c r="I321" t="s">
        <v>1231</v>
      </c>
      <c r="J321" t="s">
        <v>1232</v>
      </c>
      <c r="K321" t="s">
        <v>1233</v>
      </c>
      <c r="L321">
        <v>1367</v>
      </c>
      <c r="N321">
        <v>1011</v>
      </c>
      <c r="O321" t="s">
        <v>738</v>
      </c>
      <c r="P321" t="s">
        <v>738</v>
      </c>
      <c r="Q321">
        <v>1</v>
      </c>
      <c r="X321">
        <v>1.4</v>
      </c>
      <c r="Y321">
        <v>0</v>
      </c>
      <c r="Z321">
        <v>76.81</v>
      </c>
      <c r="AA321">
        <v>14.36</v>
      </c>
      <c r="AB321">
        <v>0</v>
      </c>
      <c r="AC321">
        <v>0</v>
      </c>
      <c r="AD321">
        <v>1</v>
      </c>
      <c r="AE321">
        <v>0</v>
      </c>
      <c r="AF321" t="s">
        <v>20</v>
      </c>
      <c r="AG321">
        <v>1.75</v>
      </c>
      <c r="AH321">
        <v>2</v>
      </c>
      <c r="AI321">
        <v>43143508</v>
      </c>
      <c r="AJ321">
        <v>320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</row>
    <row r="322" spans="1:44" x14ac:dyDescent="0.2">
      <c r="A322">
        <f>ROW(Source!A493)</f>
        <v>493</v>
      </c>
      <c r="B322">
        <v>43143509</v>
      </c>
      <c r="C322">
        <v>43143491</v>
      </c>
      <c r="D322">
        <v>36044716</v>
      </c>
      <c r="E322">
        <v>1</v>
      </c>
      <c r="F322">
        <v>1</v>
      </c>
      <c r="G322">
        <v>35973048</v>
      </c>
      <c r="H322">
        <v>2</v>
      </c>
      <c r="I322" t="s">
        <v>1246</v>
      </c>
      <c r="J322" t="s">
        <v>1247</v>
      </c>
      <c r="K322" t="s">
        <v>1248</v>
      </c>
      <c r="L322">
        <v>1367</v>
      </c>
      <c r="N322">
        <v>1011</v>
      </c>
      <c r="O322" t="s">
        <v>738</v>
      </c>
      <c r="P322" t="s">
        <v>738</v>
      </c>
      <c r="Q322">
        <v>1</v>
      </c>
      <c r="X322">
        <v>21.7</v>
      </c>
      <c r="Y322">
        <v>0</v>
      </c>
      <c r="Z322">
        <v>92.32</v>
      </c>
      <c r="AA322">
        <v>18</v>
      </c>
      <c r="AB322">
        <v>0</v>
      </c>
      <c r="AC322">
        <v>0</v>
      </c>
      <c r="AD322">
        <v>1</v>
      </c>
      <c r="AE322">
        <v>0</v>
      </c>
      <c r="AF322" t="s">
        <v>20</v>
      </c>
      <c r="AG322">
        <v>27.125</v>
      </c>
      <c r="AH322">
        <v>2</v>
      </c>
      <c r="AI322">
        <v>43143509</v>
      </c>
      <c r="AJ322">
        <v>321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</row>
    <row r="323" spans="1:44" x14ac:dyDescent="0.2">
      <c r="A323">
        <f>ROW(Source!A493)</f>
        <v>493</v>
      </c>
      <c r="B323">
        <v>43143510</v>
      </c>
      <c r="C323">
        <v>43143491</v>
      </c>
      <c r="D323">
        <v>35986620</v>
      </c>
      <c r="E323">
        <v>35973048</v>
      </c>
      <c r="F323">
        <v>1</v>
      </c>
      <c r="G323">
        <v>35973048</v>
      </c>
      <c r="H323">
        <v>3</v>
      </c>
      <c r="I323" t="s">
        <v>1526</v>
      </c>
      <c r="J323" t="s">
        <v>3</v>
      </c>
      <c r="K323" t="s">
        <v>1527</v>
      </c>
      <c r="L323">
        <v>1339</v>
      </c>
      <c r="N323">
        <v>1007</v>
      </c>
      <c r="O323" t="s">
        <v>84</v>
      </c>
      <c r="P323" t="s">
        <v>84</v>
      </c>
      <c r="Q323">
        <v>1</v>
      </c>
      <c r="X323">
        <v>50.75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 t="s">
        <v>3</v>
      </c>
      <c r="AG323">
        <v>50.75</v>
      </c>
      <c r="AH323">
        <v>3</v>
      </c>
      <c r="AI323">
        <v>-1</v>
      </c>
      <c r="AJ323" t="s">
        <v>3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</row>
    <row r="324" spans="1:44" x14ac:dyDescent="0.2">
      <c r="A324">
        <f>ROW(Source!A493)</f>
        <v>493</v>
      </c>
      <c r="B324">
        <v>43143511</v>
      </c>
      <c r="C324">
        <v>43143491</v>
      </c>
      <c r="D324">
        <v>35994433</v>
      </c>
      <c r="E324">
        <v>35973048</v>
      </c>
      <c r="F324">
        <v>1</v>
      </c>
      <c r="G324">
        <v>35973048</v>
      </c>
      <c r="H324">
        <v>3</v>
      </c>
      <c r="I324" t="s">
        <v>1505</v>
      </c>
      <c r="J324" t="s">
        <v>3</v>
      </c>
      <c r="K324" t="s">
        <v>1528</v>
      </c>
      <c r="L324">
        <v>1339</v>
      </c>
      <c r="N324">
        <v>1007</v>
      </c>
      <c r="O324" t="s">
        <v>84</v>
      </c>
      <c r="P324" t="s">
        <v>84</v>
      </c>
      <c r="Q324">
        <v>1</v>
      </c>
      <c r="X324">
        <v>50.75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 t="s">
        <v>3</v>
      </c>
      <c r="AG324">
        <v>50.75</v>
      </c>
      <c r="AH324">
        <v>3</v>
      </c>
      <c r="AI324">
        <v>-1</v>
      </c>
      <c r="AJ324" t="s">
        <v>3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</row>
    <row r="325" spans="1:44" x14ac:dyDescent="0.2">
      <c r="A325">
        <f>ROW(Source!A497)</f>
        <v>497</v>
      </c>
      <c r="B325">
        <v>43143637</v>
      </c>
      <c r="C325">
        <v>43143636</v>
      </c>
      <c r="D325">
        <v>35973053</v>
      </c>
      <c r="E325">
        <v>35973048</v>
      </c>
      <c r="F325">
        <v>1</v>
      </c>
      <c r="G325">
        <v>35973048</v>
      </c>
      <c r="H325">
        <v>1</v>
      </c>
      <c r="I325" t="s">
        <v>1228</v>
      </c>
      <c r="J325" t="s">
        <v>3</v>
      </c>
      <c r="K325" t="s">
        <v>1229</v>
      </c>
      <c r="L325">
        <v>1191</v>
      </c>
      <c r="N325">
        <v>1013</v>
      </c>
      <c r="O325" t="s">
        <v>1230</v>
      </c>
      <c r="P325" t="s">
        <v>1230</v>
      </c>
      <c r="Q325">
        <v>1</v>
      </c>
      <c r="X325">
        <v>3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1</v>
      </c>
      <c r="AE325">
        <v>1</v>
      </c>
      <c r="AF325" t="s">
        <v>21</v>
      </c>
      <c r="AG325">
        <v>3.4499999999999997</v>
      </c>
      <c r="AH325">
        <v>2</v>
      </c>
      <c r="AI325">
        <v>43143637</v>
      </c>
      <c r="AJ325">
        <v>325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</row>
    <row r="326" spans="1:44" x14ac:dyDescent="0.2">
      <c r="A326">
        <f>ROW(Source!A497)</f>
        <v>497</v>
      </c>
      <c r="B326">
        <v>43143638</v>
      </c>
      <c r="C326">
        <v>43143636</v>
      </c>
      <c r="D326">
        <v>36045308</v>
      </c>
      <c r="E326">
        <v>1</v>
      </c>
      <c r="F326">
        <v>1</v>
      </c>
      <c r="G326">
        <v>35973048</v>
      </c>
      <c r="H326">
        <v>2</v>
      </c>
      <c r="I326" t="s">
        <v>1231</v>
      </c>
      <c r="J326" t="s">
        <v>1232</v>
      </c>
      <c r="K326" t="s">
        <v>1233</v>
      </c>
      <c r="L326">
        <v>1367</v>
      </c>
      <c r="N326">
        <v>1011</v>
      </c>
      <c r="O326" t="s">
        <v>738</v>
      </c>
      <c r="P326" t="s">
        <v>738</v>
      </c>
      <c r="Q326">
        <v>1</v>
      </c>
      <c r="X326">
        <v>0.32</v>
      </c>
      <c r="Y326">
        <v>0</v>
      </c>
      <c r="Z326">
        <v>76.81</v>
      </c>
      <c r="AA326">
        <v>14.36</v>
      </c>
      <c r="AB326">
        <v>0</v>
      </c>
      <c r="AC326">
        <v>0</v>
      </c>
      <c r="AD326">
        <v>1</v>
      </c>
      <c r="AE326">
        <v>0</v>
      </c>
      <c r="AF326" t="s">
        <v>20</v>
      </c>
      <c r="AG326">
        <v>0.4</v>
      </c>
      <c r="AH326">
        <v>2</v>
      </c>
      <c r="AI326">
        <v>43143638</v>
      </c>
      <c r="AJ326">
        <v>326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</row>
    <row r="327" spans="1:44" x14ac:dyDescent="0.2">
      <c r="A327">
        <f>ROW(Source!A497)</f>
        <v>497</v>
      </c>
      <c r="B327">
        <v>43143639</v>
      </c>
      <c r="C327">
        <v>43143636</v>
      </c>
      <c r="D327">
        <v>35987237</v>
      </c>
      <c r="E327">
        <v>35973048</v>
      </c>
      <c r="F327">
        <v>1</v>
      </c>
      <c r="G327">
        <v>35973048</v>
      </c>
      <c r="H327">
        <v>3</v>
      </c>
      <c r="I327" t="s">
        <v>1529</v>
      </c>
      <c r="J327" t="s">
        <v>3</v>
      </c>
      <c r="K327" t="s">
        <v>1530</v>
      </c>
      <c r="L327">
        <v>1339</v>
      </c>
      <c r="N327">
        <v>1007</v>
      </c>
      <c r="O327" t="s">
        <v>84</v>
      </c>
      <c r="P327" t="s">
        <v>84</v>
      </c>
      <c r="Q327">
        <v>1</v>
      </c>
      <c r="X327">
        <v>1.3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 t="s">
        <v>3</v>
      </c>
      <c r="AG327">
        <v>1.3</v>
      </c>
      <c r="AH327">
        <v>3</v>
      </c>
      <c r="AI327">
        <v>-1</v>
      </c>
      <c r="AJ327" t="s">
        <v>3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</row>
    <row r="328" spans="1:44" x14ac:dyDescent="0.2">
      <c r="A328">
        <f>ROW(Source!A499)</f>
        <v>499</v>
      </c>
      <c r="B328">
        <v>43143471</v>
      </c>
      <c r="C328">
        <v>43143470</v>
      </c>
      <c r="D328">
        <v>35973053</v>
      </c>
      <c r="E328">
        <v>35973048</v>
      </c>
      <c r="F328">
        <v>1</v>
      </c>
      <c r="G328">
        <v>35973048</v>
      </c>
      <c r="H328">
        <v>1</v>
      </c>
      <c r="I328" t="s">
        <v>1228</v>
      </c>
      <c r="J328" t="s">
        <v>3</v>
      </c>
      <c r="K328" t="s">
        <v>1229</v>
      </c>
      <c r="L328">
        <v>1191</v>
      </c>
      <c r="N328">
        <v>1013</v>
      </c>
      <c r="O328" t="s">
        <v>1230</v>
      </c>
      <c r="P328" t="s">
        <v>1230</v>
      </c>
      <c r="Q328">
        <v>1</v>
      </c>
      <c r="X328">
        <v>281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1</v>
      </c>
      <c r="AE328">
        <v>1</v>
      </c>
      <c r="AF328" t="s">
        <v>21</v>
      </c>
      <c r="AG328">
        <v>323.14999999999998</v>
      </c>
      <c r="AH328">
        <v>2</v>
      </c>
      <c r="AI328">
        <v>43143471</v>
      </c>
      <c r="AJ328">
        <v>328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</row>
    <row r="329" spans="1:44" x14ac:dyDescent="0.2">
      <c r="A329">
        <f>ROW(Source!A499)</f>
        <v>499</v>
      </c>
      <c r="B329">
        <v>43143472</v>
      </c>
      <c r="C329">
        <v>43143470</v>
      </c>
      <c r="D329">
        <v>35973762</v>
      </c>
      <c r="E329">
        <v>35973048</v>
      </c>
      <c r="F329">
        <v>1</v>
      </c>
      <c r="G329">
        <v>35973048</v>
      </c>
      <c r="H329">
        <v>2</v>
      </c>
      <c r="I329" t="s">
        <v>1243</v>
      </c>
      <c r="J329" t="s">
        <v>3</v>
      </c>
      <c r="K329" t="s">
        <v>1244</v>
      </c>
      <c r="L329">
        <v>1344</v>
      </c>
      <c r="N329">
        <v>1008</v>
      </c>
      <c r="O329" t="s">
        <v>1245</v>
      </c>
      <c r="P329" t="s">
        <v>1245</v>
      </c>
      <c r="Q329">
        <v>1</v>
      </c>
      <c r="X329">
        <v>8.2100000000000009</v>
      </c>
      <c r="Y329">
        <v>0</v>
      </c>
      <c r="Z329">
        <v>1</v>
      </c>
      <c r="AA329">
        <v>0</v>
      </c>
      <c r="AB329">
        <v>0</v>
      </c>
      <c r="AC329">
        <v>0</v>
      </c>
      <c r="AD329">
        <v>1</v>
      </c>
      <c r="AE329">
        <v>0</v>
      </c>
      <c r="AF329" t="s">
        <v>20</v>
      </c>
      <c r="AG329">
        <v>10.262500000000001</v>
      </c>
      <c r="AH329">
        <v>2</v>
      </c>
      <c r="AI329">
        <v>43143472</v>
      </c>
      <c r="AJ329">
        <v>329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</row>
    <row r="330" spans="1:44" x14ac:dyDescent="0.2">
      <c r="A330">
        <f>ROW(Source!A499)</f>
        <v>499</v>
      </c>
      <c r="B330">
        <v>43143473</v>
      </c>
      <c r="C330">
        <v>43143470</v>
      </c>
      <c r="D330">
        <v>35990271</v>
      </c>
      <c r="E330">
        <v>35973048</v>
      </c>
      <c r="F330">
        <v>1</v>
      </c>
      <c r="G330">
        <v>35973048</v>
      </c>
      <c r="H330">
        <v>3</v>
      </c>
      <c r="I330" t="s">
        <v>1531</v>
      </c>
      <c r="J330" t="s">
        <v>3</v>
      </c>
      <c r="K330" t="s">
        <v>1532</v>
      </c>
      <c r="L330">
        <v>1339</v>
      </c>
      <c r="N330">
        <v>1007</v>
      </c>
      <c r="O330" t="s">
        <v>84</v>
      </c>
      <c r="P330" t="s">
        <v>84</v>
      </c>
      <c r="Q330">
        <v>1</v>
      </c>
      <c r="X330">
        <v>101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 t="s">
        <v>3</v>
      </c>
      <c r="AG330">
        <v>101</v>
      </c>
      <c r="AH330">
        <v>3</v>
      </c>
      <c r="AI330">
        <v>-1</v>
      </c>
      <c r="AJ330" t="s">
        <v>3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</row>
    <row r="331" spans="1:44" x14ac:dyDescent="0.2">
      <c r="A331">
        <f>ROW(Source!A501)</f>
        <v>501</v>
      </c>
      <c r="B331">
        <v>43159575</v>
      </c>
      <c r="C331">
        <v>43159573</v>
      </c>
      <c r="D331">
        <v>35973762</v>
      </c>
      <c r="E331">
        <v>35973048</v>
      </c>
      <c r="F331">
        <v>1</v>
      </c>
      <c r="G331">
        <v>35973048</v>
      </c>
      <c r="H331">
        <v>2</v>
      </c>
      <c r="I331" t="s">
        <v>1243</v>
      </c>
      <c r="J331" t="s">
        <v>3</v>
      </c>
      <c r="K331" t="s">
        <v>1244</v>
      </c>
      <c r="L331">
        <v>1344</v>
      </c>
      <c r="N331">
        <v>1008</v>
      </c>
      <c r="O331" t="s">
        <v>1245</v>
      </c>
      <c r="P331" t="s">
        <v>1245</v>
      </c>
      <c r="Q331">
        <v>1</v>
      </c>
      <c r="X331">
        <v>8.86</v>
      </c>
      <c r="Y331">
        <v>0</v>
      </c>
      <c r="Z331">
        <v>1</v>
      </c>
      <c r="AA331">
        <v>0</v>
      </c>
      <c r="AB331">
        <v>0</v>
      </c>
      <c r="AC331">
        <v>0</v>
      </c>
      <c r="AD331">
        <v>1</v>
      </c>
      <c r="AE331">
        <v>0</v>
      </c>
      <c r="AF331" t="s">
        <v>3</v>
      </c>
      <c r="AG331">
        <v>8.86</v>
      </c>
      <c r="AH331">
        <v>2</v>
      </c>
      <c r="AI331">
        <v>43159575</v>
      </c>
      <c r="AJ331">
        <v>331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</row>
    <row r="332" spans="1:44" x14ac:dyDescent="0.2">
      <c r="A332">
        <f>ROW(Source!A502)</f>
        <v>502</v>
      </c>
      <c r="B332">
        <v>43159578</v>
      </c>
      <c r="C332">
        <v>43159576</v>
      </c>
      <c r="D332">
        <v>36759507</v>
      </c>
      <c r="E332">
        <v>1</v>
      </c>
      <c r="F332">
        <v>1</v>
      </c>
      <c r="G332">
        <v>35973048</v>
      </c>
      <c r="H332">
        <v>2</v>
      </c>
      <c r="I332" t="s">
        <v>1329</v>
      </c>
      <c r="J332" t="s">
        <v>1330</v>
      </c>
      <c r="K332" t="s">
        <v>1331</v>
      </c>
      <c r="L332">
        <v>1367</v>
      </c>
      <c r="N332">
        <v>1011</v>
      </c>
      <c r="O332" t="s">
        <v>738</v>
      </c>
      <c r="P332" t="s">
        <v>738</v>
      </c>
      <c r="Q332">
        <v>1</v>
      </c>
      <c r="X332">
        <v>1</v>
      </c>
      <c r="Y332">
        <v>0</v>
      </c>
      <c r="Z332">
        <v>115.66</v>
      </c>
      <c r="AA332">
        <v>14.4</v>
      </c>
      <c r="AB332">
        <v>0</v>
      </c>
      <c r="AC332">
        <v>0</v>
      </c>
      <c r="AD332">
        <v>1</v>
      </c>
      <c r="AE332">
        <v>0</v>
      </c>
      <c r="AF332" t="s">
        <v>3</v>
      </c>
      <c r="AG332">
        <v>1</v>
      </c>
      <c r="AH332">
        <v>2</v>
      </c>
      <c r="AI332">
        <v>43159578</v>
      </c>
      <c r="AJ332">
        <v>332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</row>
    <row r="333" spans="1:44" x14ac:dyDescent="0.2">
      <c r="A333">
        <f>ROW(Source!A503)</f>
        <v>503</v>
      </c>
      <c r="B333">
        <v>43159579</v>
      </c>
      <c r="C333">
        <v>43159577</v>
      </c>
      <c r="D333">
        <v>36759504</v>
      </c>
      <c r="E333">
        <v>1</v>
      </c>
      <c r="F333">
        <v>1</v>
      </c>
      <c r="G333">
        <v>35973048</v>
      </c>
      <c r="H333">
        <v>2</v>
      </c>
      <c r="I333" t="s">
        <v>1332</v>
      </c>
      <c r="J333" t="s">
        <v>1333</v>
      </c>
      <c r="K333" t="s">
        <v>1334</v>
      </c>
      <c r="L333">
        <v>1367</v>
      </c>
      <c r="N333">
        <v>1011</v>
      </c>
      <c r="O333" t="s">
        <v>738</v>
      </c>
      <c r="P333" t="s">
        <v>738</v>
      </c>
      <c r="Q333">
        <v>1</v>
      </c>
      <c r="X333">
        <v>1</v>
      </c>
      <c r="Y333">
        <v>0</v>
      </c>
      <c r="Z333">
        <v>100.09</v>
      </c>
      <c r="AA333">
        <v>13.81</v>
      </c>
      <c r="AB333">
        <v>0</v>
      </c>
      <c r="AC333">
        <v>0</v>
      </c>
      <c r="AD333">
        <v>1</v>
      </c>
      <c r="AE333">
        <v>0</v>
      </c>
      <c r="AF333" t="s">
        <v>3</v>
      </c>
      <c r="AG333">
        <v>1</v>
      </c>
      <c r="AH333">
        <v>2</v>
      </c>
      <c r="AI333">
        <v>43159579</v>
      </c>
      <c r="AJ333">
        <v>333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</row>
    <row r="334" spans="1:44" x14ac:dyDescent="0.2">
      <c r="A334">
        <f>ROW(Source!A504)</f>
        <v>504</v>
      </c>
      <c r="B334">
        <v>43159583</v>
      </c>
      <c r="C334">
        <v>43159574</v>
      </c>
      <c r="D334">
        <v>35973762</v>
      </c>
      <c r="E334">
        <v>35973048</v>
      </c>
      <c r="F334">
        <v>1</v>
      </c>
      <c r="G334">
        <v>35973048</v>
      </c>
      <c r="H334">
        <v>2</v>
      </c>
      <c r="I334" t="s">
        <v>1243</v>
      </c>
      <c r="J334" t="s">
        <v>3</v>
      </c>
      <c r="K334" t="s">
        <v>1244</v>
      </c>
      <c r="L334">
        <v>1344</v>
      </c>
      <c r="N334">
        <v>1008</v>
      </c>
      <c r="O334" t="s">
        <v>1245</v>
      </c>
      <c r="P334" t="s">
        <v>1245</v>
      </c>
      <c r="Q334">
        <v>1</v>
      </c>
      <c r="X334">
        <v>12.61</v>
      </c>
      <c r="Y334">
        <v>0</v>
      </c>
      <c r="Z334">
        <v>1</v>
      </c>
      <c r="AA334">
        <v>0</v>
      </c>
      <c r="AB334">
        <v>0</v>
      </c>
      <c r="AC334">
        <v>0</v>
      </c>
      <c r="AD334">
        <v>1</v>
      </c>
      <c r="AE334">
        <v>0</v>
      </c>
      <c r="AF334" t="s">
        <v>3</v>
      </c>
      <c r="AG334">
        <v>12.61</v>
      </c>
      <c r="AH334">
        <v>2</v>
      </c>
      <c r="AI334">
        <v>43159583</v>
      </c>
      <c r="AJ334">
        <v>334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</row>
    <row r="335" spans="1:44" x14ac:dyDescent="0.2">
      <c r="A335">
        <f>ROW(Source!A505)</f>
        <v>505</v>
      </c>
      <c r="B335">
        <v>43159655</v>
      </c>
      <c r="C335">
        <v>43159654</v>
      </c>
      <c r="D335">
        <v>35973762</v>
      </c>
      <c r="E335">
        <v>35973048</v>
      </c>
      <c r="F335">
        <v>1</v>
      </c>
      <c r="G335">
        <v>35973048</v>
      </c>
      <c r="H335">
        <v>2</v>
      </c>
      <c r="I335" t="s">
        <v>1243</v>
      </c>
      <c r="J335" t="s">
        <v>3</v>
      </c>
      <c r="K335" t="s">
        <v>1244</v>
      </c>
      <c r="L335">
        <v>1344</v>
      </c>
      <c r="N335">
        <v>1008</v>
      </c>
      <c r="O335" t="s">
        <v>1245</v>
      </c>
      <c r="P335" t="s">
        <v>1245</v>
      </c>
      <c r="Q335">
        <v>1</v>
      </c>
      <c r="X335">
        <v>17.84</v>
      </c>
      <c r="Y335">
        <v>0</v>
      </c>
      <c r="Z335">
        <v>1</v>
      </c>
      <c r="AA335">
        <v>0</v>
      </c>
      <c r="AB335">
        <v>0</v>
      </c>
      <c r="AC335">
        <v>0</v>
      </c>
      <c r="AD335">
        <v>1</v>
      </c>
      <c r="AE335">
        <v>0</v>
      </c>
      <c r="AF335" t="s">
        <v>3</v>
      </c>
      <c r="AG335">
        <v>17.84</v>
      </c>
      <c r="AH335">
        <v>2</v>
      </c>
      <c r="AI335">
        <v>43159655</v>
      </c>
      <c r="AJ335">
        <v>335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</row>
    <row r="336" spans="1:44" x14ac:dyDescent="0.2">
      <c r="A336">
        <f>ROW(Source!A541)</f>
        <v>541</v>
      </c>
      <c r="B336">
        <v>43159539</v>
      </c>
      <c r="C336">
        <v>43159537</v>
      </c>
      <c r="D336">
        <v>35973053</v>
      </c>
      <c r="E336">
        <v>35973048</v>
      </c>
      <c r="F336">
        <v>1</v>
      </c>
      <c r="G336">
        <v>35973048</v>
      </c>
      <c r="H336">
        <v>1</v>
      </c>
      <c r="I336" t="s">
        <v>1228</v>
      </c>
      <c r="J336" t="s">
        <v>3</v>
      </c>
      <c r="K336" t="s">
        <v>1229</v>
      </c>
      <c r="L336">
        <v>1191</v>
      </c>
      <c r="N336">
        <v>1013</v>
      </c>
      <c r="O336" t="s">
        <v>1230</v>
      </c>
      <c r="P336" t="s">
        <v>1230</v>
      </c>
      <c r="Q336">
        <v>1</v>
      </c>
      <c r="X336">
        <v>188.73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1</v>
      </c>
      <c r="AE336">
        <v>1</v>
      </c>
      <c r="AF336" t="s">
        <v>443</v>
      </c>
      <c r="AG336">
        <v>62.280900000000003</v>
      </c>
      <c r="AH336">
        <v>2</v>
      </c>
      <c r="AI336">
        <v>43159539</v>
      </c>
      <c r="AJ336">
        <v>336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</row>
    <row r="337" spans="1:44" x14ac:dyDescent="0.2">
      <c r="A337">
        <f>ROW(Source!A541)</f>
        <v>541</v>
      </c>
      <c r="B337">
        <v>43159540</v>
      </c>
      <c r="C337">
        <v>43159537</v>
      </c>
      <c r="D337">
        <v>36044926</v>
      </c>
      <c r="E337">
        <v>1</v>
      </c>
      <c r="F337">
        <v>1</v>
      </c>
      <c r="G337">
        <v>35973048</v>
      </c>
      <c r="H337">
        <v>2</v>
      </c>
      <c r="I337" t="s">
        <v>1352</v>
      </c>
      <c r="J337" t="s">
        <v>1353</v>
      </c>
      <c r="K337" t="s">
        <v>1354</v>
      </c>
      <c r="L337">
        <v>1367</v>
      </c>
      <c r="N337">
        <v>1011</v>
      </c>
      <c r="O337" t="s">
        <v>738</v>
      </c>
      <c r="P337" t="s">
        <v>738</v>
      </c>
      <c r="Q337">
        <v>1</v>
      </c>
      <c r="X337">
        <v>7.79</v>
      </c>
      <c r="Y337">
        <v>0</v>
      </c>
      <c r="Z337">
        <v>41.62</v>
      </c>
      <c r="AA337">
        <v>13.33</v>
      </c>
      <c r="AB337">
        <v>0</v>
      </c>
      <c r="AC337">
        <v>0</v>
      </c>
      <c r="AD337">
        <v>1</v>
      </c>
      <c r="AE337">
        <v>0</v>
      </c>
      <c r="AF337" t="s">
        <v>3</v>
      </c>
      <c r="AG337">
        <v>7.79</v>
      </c>
      <c r="AH337">
        <v>2</v>
      </c>
      <c r="AI337">
        <v>43159540</v>
      </c>
      <c r="AJ337">
        <v>337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</row>
    <row r="338" spans="1:44" x14ac:dyDescent="0.2">
      <c r="A338">
        <f>ROW(Source!A541)</f>
        <v>541</v>
      </c>
      <c r="B338">
        <v>43159541</v>
      </c>
      <c r="C338">
        <v>43159537</v>
      </c>
      <c r="D338">
        <v>36045386</v>
      </c>
      <c r="E338">
        <v>1</v>
      </c>
      <c r="F338">
        <v>1</v>
      </c>
      <c r="G338">
        <v>35973048</v>
      </c>
      <c r="H338">
        <v>2</v>
      </c>
      <c r="I338" t="s">
        <v>1355</v>
      </c>
      <c r="J338" t="s">
        <v>1356</v>
      </c>
      <c r="K338" t="s">
        <v>1357</v>
      </c>
      <c r="L338">
        <v>1367</v>
      </c>
      <c r="N338">
        <v>1011</v>
      </c>
      <c r="O338" t="s">
        <v>738</v>
      </c>
      <c r="P338" t="s">
        <v>738</v>
      </c>
      <c r="Q338">
        <v>1</v>
      </c>
      <c r="X338">
        <v>7.79</v>
      </c>
      <c r="Y338">
        <v>0</v>
      </c>
      <c r="Z338">
        <v>3.16</v>
      </c>
      <c r="AA338">
        <v>0.04</v>
      </c>
      <c r="AB338">
        <v>0</v>
      </c>
      <c r="AC338">
        <v>0</v>
      </c>
      <c r="AD338">
        <v>1</v>
      </c>
      <c r="AE338">
        <v>0</v>
      </c>
      <c r="AF338" t="s">
        <v>3</v>
      </c>
      <c r="AG338">
        <v>7.79</v>
      </c>
      <c r="AH338">
        <v>2</v>
      </c>
      <c r="AI338">
        <v>43159541</v>
      </c>
      <c r="AJ338">
        <v>338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</row>
    <row r="339" spans="1:44" x14ac:dyDescent="0.2">
      <c r="A339">
        <f>ROW(Source!A541)</f>
        <v>541</v>
      </c>
      <c r="B339">
        <v>43159542</v>
      </c>
      <c r="C339">
        <v>43159537</v>
      </c>
      <c r="D339">
        <v>35973762</v>
      </c>
      <c r="E339">
        <v>35973048</v>
      </c>
      <c r="F339">
        <v>1</v>
      </c>
      <c r="G339">
        <v>35973048</v>
      </c>
      <c r="H339">
        <v>2</v>
      </c>
      <c r="I339" t="s">
        <v>1243</v>
      </c>
      <c r="J339" t="s">
        <v>3</v>
      </c>
      <c r="K339" t="s">
        <v>1244</v>
      </c>
      <c r="L339">
        <v>1344</v>
      </c>
      <c r="N339">
        <v>1008</v>
      </c>
      <c r="O339" t="s">
        <v>1245</v>
      </c>
      <c r="P339" t="s">
        <v>1245</v>
      </c>
      <c r="Q339">
        <v>1</v>
      </c>
      <c r="X339">
        <v>162.80000000000001</v>
      </c>
      <c r="Y339">
        <v>0</v>
      </c>
      <c r="Z339">
        <v>1</v>
      </c>
      <c r="AA339">
        <v>0</v>
      </c>
      <c r="AB339">
        <v>0</v>
      </c>
      <c r="AC339">
        <v>0</v>
      </c>
      <c r="AD339">
        <v>1</v>
      </c>
      <c r="AE339">
        <v>0</v>
      </c>
      <c r="AF339" t="s">
        <v>3</v>
      </c>
      <c r="AG339">
        <v>162.80000000000001</v>
      </c>
      <c r="AH339">
        <v>2</v>
      </c>
      <c r="AI339">
        <v>43159542</v>
      </c>
      <c r="AJ339">
        <v>339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</row>
    <row r="340" spans="1:44" x14ac:dyDescent="0.2">
      <c r="A340">
        <f>ROW(Source!A541)</f>
        <v>541</v>
      </c>
      <c r="B340">
        <v>43159543</v>
      </c>
      <c r="C340">
        <v>43159537</v>
      </c>
      <c r="D340">
        <v>35994352</v>
      </c>
      <c r="E340">
        <v>35973048</v>
      </c>
      <c r="F340">
        <v>1</v>
      </c>
      <c r="G340">
        <v>35973048</v>
      </c>
      <c r="H340">
        <v>3</v>
      </c>
      <c r="I340" t="s">
        <v>1350</v>
      </c>
      <c r="J340" t="s">
        <v>3</v>
      </c>
      <c r="K340" t="s">
        <v>1351</v>
      </c>
      <c r="L340">
        <v>1348</v>
      </c>
      <c r="N340">
        <v>1009</v>
      </c>
      <c r="O340" t="s">
        <v>104</v>
      </c>
      <c r="P340" t="s">
        <v>104</v>
      </c>
      <c r="Q340">
        <v>1000</v>
      </c>
      <c r="X340">
        <v>22.64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1</v>
      </c>
      <c r="AE340">
        <v>0</v>
      </c>
      <c r="AF340" t="s">
        <v>3</v>
      </c>
      <c r="AG340">
        <v>22.64</v>
      </c>
      <c r="AH340">
        <v>2</v>
      </c>
      <c r="AI340">
        <v>43159543</v>
      </c>
      <c r="AJ340">
        <v>340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</row>
    <row r="341" spans="1:44" x14ac:dyDescent="0.2">
      <c r="A341">
        <f>ROW(Source!A542)</f>
        <v>542</v>
      </c>
      <c r="B341">
        <v>43159553</v>
      </c>
      <c r="C341">
        <v>43159538</v>
      </c>
      <c r="D341">
        <v>35973053</v>
      </c>
      <c r="E341">
        <v>35973048</v>
      </c>
      <c r="F341">
        <v>1</v>
      </c>
      <c r="G341">
        <v>35973048</v>
      </c>
      <c r="H341">
        <v>1</v>
      </c>
      <c r="I341" t="s">
        <v>1228</v>
      </c>
      <c r="J341" t="s">
        <v>3</v>
      </c>
      <c r="K341" t="s">
        <v>1229</v>
      </c>
      <c r="L341">
        <v>1191</v>
      </c>
      <c r="N341">
        <v>1013</v>
      </c>
      <c r="O341" t="s">
        <v>1230</v>
      </c>
      <c r="P341" t="s">
        <v>1230</v>
      </c>
      <c r="Q341">
        <v>1</v>
      </c>
      <c r="X341">
        <v>4.0199999999999996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1</v>
      </c>
      <c r="AE341">
        <v>1</v>
      </c>
      <c r="AF341" t="s">
        <v>21</v>
      </c>
      <c r="AG341">
        <v>4.6229999999999993</v>
      </c>
      <c r="AH341">
        <v>2</v>
      </c>
      <c r="AI341">
        <v>43159553</v>
      </c>
      <c r="AJ341">
        <v>341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</row>
    <row r="342" spans="1:44" x14ac:dyDescent="0.2">
      <c r="A342">
        <f>ROW(Source!A542)</f>
        <v>542</v>
      </c>
      <c r="B342">
        <v>43159554</v>
      </c>
      <c r="C342">
        <v>43159538</v>
      </c>
      <c r="D342">
        <v>36020415</v>
      </c>
      <c r="E342">
        <v>1</v>
      </c>
      <c r="F342">
        <v>1</v>
      </c>
      <c r="G342">
        <v>35973048</v>
      </c>
      <c r="H342">
        <v>3</v>
      </c>
      <c r="I342" t="s">
        <v>469</v>
      </c>
      <c r="J342" t="s">
        <v>471</v>
      </c>
      <c r="K342" t="s">
        <v>470</v>
      </c>
      <c r="L342">
        <v>1339</v>
      </c>
      <c r="N342">
        <v>1007</v>
      </c>
      <c r="O342" t="s">
        <v>84</v>
      </c>
      <c r="P342" t="s">
        <v>84</v>
      </c>
      <c r="Q342">
        <v>1</v>
      </c>
      <c r="X342">
        <v>0.1</v>
      </c>
      <c r="Y342">
        <v>7.07</v>
      </c>
      <c r="Z342">
        <v>0</v>
      </c>
      <c r="AA342">
        <v>0</v>
      </c>
      <c r="AB342">
        <v>0</v>
      </c>
      <c r="AC342">
        <v>0</v>
      </c>
      <c r="AD342">
        <v>1</v>
      </c>
      <c r="AE342">
        <v>0</v>
      </c>
      <c r="AF342" t="s">
        <v>3</v>
      </c>
      <c r="AG342">
        <v>0.1</v>
      </c>
      <c r="AH342">
        <v>2</v>
      </c>
      <c r="AI342">
        <v>43159554</v>
      </c>
      <c r="AJ342">
        <v>342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</row>
    <row r="343" spans="1:44" x14ac:dyDescent="0.2">
      <c r="A343">
        <f>ROW(Source!A542)</f>
        <v>542</v>
      </c>
      <c r="B343">
        <v>43159555</v>
      </c>
      <c r="C343">
        <v>43159538</v>
      </c>
      <c r="D343">
        <v>36020385</v>
      </c>
      <c r="E343">
        <v>1</v>
      </c>
      <c r="F343">
        <v>1</v>
      </c>
      <c r="G343">
        <v>35973048</v>
      </c>
      <c r="H343">
        <v>3</v>
      </c>
      <c r="I343" t="s">
        <v>1388</v>
      </c>
      <c r="J343" t="s">
        <v>1389</v>
      </c>
      <c r="K343" t="s">
        <v>1390</v>
      </c>
      <c r="L343">
        <v>1339</v>
      </c>
      <c r="N343">
        <v>1007</v>
      </c>
      <c r="O343" t="s">
        <v>84</v>
      </c>
      <c r="P343" t="s">
        <v>84</v>
      </c>
      <c r="Q343">
        <v>1</v>
      </c>
      <c r="X343">
        <v>5.0000000000000001E-4</v>
      </c>
      <c r="Y343">
        <v>2472.13</v>
      </c>
      <c r="Z343">
        <v>0</v>
      </c>
      <c r="AA343">
        <v>0</v>
      </c>
      <c r="AB343">
        <v>0</v>
      </c>
      <c r="AC343">
        <v>0</v>
      </c>
      <c r="AD343">
        <v>1</v>
      </c>
      <c r="AE343">
        <v>0</v>
      </c>
      <c r="AF343" t="s">
        <v>3</v>
      </c>
      <c r="AG343">
        <v>5.0000000000000001E-4</v>
      </c>
      <c r="AH343">
        <v>2</v>
      </c>
      <c r="AI343">
        <v>43159555</v>
      </c>
      <c r="AJ343">
        <v>343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</row>
    <row r="344" spans="1:44" x14ac:dyDescent="0.2">
      <c r="A344">
        <f>ROW(Source!A542)</f>
        <v>542</v>
      </c>
      <c r="B344">
        <v>43159556</v>
      </c>
      <c r="C344">
        <v>43159538</v>
      </c>
      <c r="D344">
        <v>36021115</v>
      </c>
      <c r="E344">
        <v>1</v>
      </c>
      <c r="F344">
        <v>1</v>
      </c>
      <c r="G344">
        <v>35973048</v>
      </c>
      <c r="H344">
        <v>3</v>
      </c>
      <c r="I344" t="s">
        <v>1391</v>
      </c>
      <c r="J344" t="s">
        <v>1392</v>
      </c>
      <c r="K344" t="s">
        <v>1393</v>
      </c>
      <c r="L344">
        <v>1348</v>
      </c>
      <c r="N344">
        <v>1009</v>
      </c>
      <c r="O344" t="s">
        <v>104</v>
      </c>
      <c r="P344" t="s">
        <v>104</v>
      </c>
      <c r="Q344">
        <v>1000</v>
      </c>
      <c r="X344">
        <v>8.9999999999999998E-4</v>
      </c>
      <c r="Y344">
        <v>6870.66</v>
      </c>
      <c r="Z344">
        <v>0</v>
      </c>
      <c r="AA344">
        <v>0</v>
      </c>
      <c r="AB344">
        <v>0</v>
      </c>
      <c r="AC344">
        <v>0</v>
      </c>
      <c r="AD344">
        <v>1</v>
      </c>
      <c r="AE344">
        <v>0</v>
      </c>
      <c r="AF344" t="s">
        <v>3</v>
      </c>
      <c r="AG344">
        <v>8.9999999999999998E-4</v>
      </c>
      <c r="AH344">
        <v>2</v>
      </c>
      <c r="AI344">
        <v>43159556</v>
      </c>
      <c r="AJ344">
        <v>344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</row>
    <row r="345" spans="1:44" x14ac:dyDescent="0.2">
      <c r="A345">
        <f>ROW(Source!A542)</f>
        <v>542</v>
      </c>
      <c r="B345">
        <v>43159557</v>
      </c>
      <c r="C345">
        <v>43159538</v>
      </c>
      <c r="D345">
        <v>35989013</v>
      </c>
      <c r="E345">
        <v>35973048</v>
      </c>
      <c r="F345">
        <v>1</v>
      </c>
      <c r="G345">
        <v>35973048</v>
      </c>
      <c r="H345">
        <v>3</v>
      </c>
      <c r="I345" t="s">
        <v>1533</v>
      </c>
      <c r="J345" t="s">
        <v>3</v>
      </c>
      <c r="K345" t="s">
        <v>1534</v>
      </c>
      <c r="L345">
        <v>1339</v>
      </c>
      <c r="N345">
        <v>1007</v>
      </c>
      <c r="O345" t="s">
        <v>84</v>
      </c>
      <c r="P345" t="s">
        <v>84</v>
      </c>
      <c r="Q345">
        <v>1</v>
      </c>
      <c r="X345">
        <v>0.93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 t="s">
        <v>3</v>
      </c>
      <c r="AG345">
        <v>0.93</v>
      </c>
      <c r="AH345">
        <v>3</v>
      </c>
      <c r="AI345">
        <v>-1</v>
      </c>
      <c r="AJ345" t="s">
        <v>3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</row>
    <row r="346" spans="1:44" x14ac:dyDescent="0.2">
      <c r="A346">
        <f>ROW(Source!A542)</f>
        <v>542</v>
      </c>
      <c r="B346">
        <v>43159558</v>
      </c>
      <c r="C346">
        <v>43159538</v>
      </c>
      <c r="D346">
        <v>35994874</v>
      </c>
      <c r="E346">
        <v>35973048</v>
      </c>
      <c r="F346">
        <v>1</v>
      </c>
      <c r="G346">
        <v>35973048</v>
      </c>
      <c r="H346">
        <v>3</v>
      </c>
      <c r="I346" t="s">
        <v>1497</v>
      </c>
      <c r="J346" t="s">
        <v>3</v>
      </c>
      <c r="K346" t="s">
        <v>1535</v>
      </c>
      <c r="L346">
        <v>1339</v>
      </c>
      <c r="N346">
        <v>1007</v>
      </c>
      <c r="O346" t="s">
        <v>84</v>
      </c>
      <c r="P346" t="s">
        <v>84</v>
      </c>
      <c r="Q346">
        <v>1</v>
      </c>
      <c r="X346">
        <v>7.0000000000000007E-2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 t="s">
        <v>3</v>
      </c>
      <c r="AG346">
        <v>7.0000000000000007E-2</v>
      </c>
      <c r="AH346">
        <v>3</v>
      </c>
      <c r="AI346">
        <v>-1</v>
      </c>
      <c r="AJ346" t="s">
        <v>3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</row>
    <row r="347" spans="1:44" x14ac:dyDescent="0.2">
      <c r="A347">
        <f>ROW(Source!A545)</f>
        <v>545</v>
      </c>
      <c r="B347">
        <v>43159611</v>
      </c>
      <c r="C347">
        <v>43159502</v>
      </c>
      <c r="D347">
        <v>35973053</v>
      </c>
      <c r="E347">
        <v>35973048</v>
      </c>
      <c r="F347">
        <v>1</v>
      </c>
      <c r="G347">
        <v>35973048</v>
      </c>
      <c r="H347">
        <v>1</v>
      </c>
      <c r="I347" t="s">
        <v>1228</v>
      </c>
      <c r="J347" t="s">
        <v>3</v>
      </c>
      <c r="K347" t="s">
        <v>1229</v>
      </c>
      <c r="L347">
        <v>1191</v>
      </c>
      <c r="N347">
        <v>1013</v>
      </c>
      <c r="O347" t="s">
        <v>1230</v>
      </c>
      <c r="P347" t="s">
        <v>1230</v>
      </c>
      <c r="Q347">
        <v>1</v>
      </c>
      <c r="X347">
        <v>148.12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1</v>
      </c>
      <c r="AE347">
        <v>1</v>
      </c>
      <c r="AF347" t="s">
        <v>3</v>
      </c>
      <c r="AG347">
        <v>148.12</v>
      </c>
      <c r="AH347">
        <v>2</v>
      </c>
      <c r="AI347">
        <v>43159611</v>
      </c>
      <c r="AJ347">
        <v>347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</row>
    <row r="348" spans="1:44" x14ac:dyDescent="0.2">
      <c r="A348">
        <f>ROW(Source!A545)</f>
        <v>545</v>
      </c>
      <c r="B348">
        <v>43159612</v>
      </c>
      <c r="C348">
        <v>43159502</v>
      </c>
      <c r="D348">
        <v>36044935</v>
      </c>
      <c r="E348">
        <v>1</v>
      </c>
      <c r="F348">
        <v>1</v>
      </c>
      <c r="G348">
        <v>35973048</v>
      </c>
      <c r="H348">
        <v>2</v>
      </c>
      <c r="I348" t="s">
        <v>1394</v>
      </c>
      <c r="J348" t="s">
        <v>1395</v>
      </c>
      <c r="K348" t="s">
        <v>1396</v>
      </c>
      <c r="L348">
        <v>1367</v>
      </c>
      <c r="N348">
        <v>1011</v>
      </c>
      <c r="O348" t="s">
        <v>738</v>
      </c>
      <c r="P348" t="s">
        <v>738</v>
      </c>
      <c r="Q348">
        <v>1</v>
      </c>
      <c r="X348">
        <v>4.67</v>
      </c>
      <c r="Y348">
        <v>0</v>
      </c>
      <c r="Z348">
        <v>16.11</v>
      </c>
      <c r="AA348">
        <v>1.39</v>
      </c>
      <c r="AB348">
        <v>0</v>
      </c>
      <c r="AC348">
        <v>0</v>
      </c>
      <c r="AD348">
        <v>1</v>
      </c>
      <c r="AE348">
        <v>0</v>
      </c>
      <c r="AF348" t="s">
        <v>3</v>
      </c>
      <c r="AG348">
        <v>4.67</v>
      </c>
      <c r="AH348">
        <v>2</v>
      </c>
      <c r="AI348">
        <v>43159612</v>
      </c>
      <c r="AJ348">
        <v>348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</row>
    <row r="349" spans="1:44" x14ac:dyDescent="0.2">
      <c r="A349">
        <f>ROW(Source!A545)</f>
        <v>545</v>
      </c>
      <c r="B349">
        <v>43159613</v>
      </c>
      <c r="C349">
        <v>43159502</v>
      </c>
      <c r="D349">
        <v>36045056</v>
      </c>
      <c r="E349">
        <v>1</v>
      </c>
      <c r="F349">
        <v>1</v>
      </c>
      <c r="G349">
        <v>35973048</v>
      </c>
      <c r="H349">
        <v>2</v>
      </c>
      <c r="I349" t="s">
        <v>1397</v>
      </c>
      <c r="J349" t="s">
        <v>1398</v>
      </c>
      <c r="K349" t="s">
        <v>1399</v>
      </c>
      <c r="L349">
        <v>1367</v>
      </c>
      <c r="N349">
        <v>1011</v>
      </c>
      <c r="O349" t="s">
        <v>738</v>
      </c>
      <c r="P349" t="s">
        <v>738</v>
      </c>
      <c r="Q349">
        <v>1</v>
      </c>
      <c r="X349">
        <v>27.1</v>
      </c>
      <c r="Y349">
        <v>0</v>
      </c>
      <c r="Z349">
        <v>8.65</v>
      </c>
      <c r="AA349">
        <v>0.81</v>
      </c>
      <c r="AB349">
        <v>0</v>
      </c>
      <c r="AC349">
        <v>0</v>
      </c>
      <c r="AD349">
        <v>1</v>
      </c>
      <c r="AE349">
        <v>0</v>
      </c>
      <c r="AF349" t="s">
        <v>3</v>
      </c>
      <c r="AG349">
        <v>27.1</v>
      </c>
      <c r="AH349">
        <v>2</v>
      </c>
      <c r="AI349">
        <v>43159613</v>
      </c>
      <c r="AJ349">
        <v>349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</row>
    <row r="350" spans="1:44" x14ac:dyDescent="0.2">
      <c r="A350">
        <f>ROW(Source!A545)</f>
        <v>545</v>
      </c>
      <c r="B350">
        <v>43159614</v>
      </c>
      <c r="C350">
        <v>43159502</v>
      </c>
      <c r="D350">
        <v>36045346</v>
      </c>
      <c r="E350">
        <v>1</v>
      </c>
      <c r="F350">
        <v>1</v>
      </c>
      <c r="G350">
        <v>35973048</v>
      </c>
      <c r="H350">
        <v>2</v>
      </c>
      <c r="I350" t="s">
        <v>1400</v>
      </c>
      <c r="J350" t="s">
        <v>1401</v>
      </c>
      <c r="K350" t="s">
        <v>1402</v>
      </c>
      <c r="L350">
        <v>1367</v>
      </c>
      <c r="N350">
        <v>1011</v>
      </c>
      <c r="O350" t="s">
        <v>738</v>
      </c>
      <c r="P350" t="s">
        <v>738</v>
      </c>
      <c r="Q350">
        <v>1</v>
      </c>
      <c r="X350">
        <v>36.270000000000003</v>
      </c>
      <c r="Y350">
        <v>0</v>
      </c>
      <c r="Z350">
        <v>1.59</v>
      </c>
      <c r="AA350">
        <v>0.09</v>
      </c>
      <c r="AB350">
        <v>0</v>
      </c>
      <c r="AC350">
        <v>0</v>
      </c>
      <c r="AD350">
        <v>1</v>
      </c>
      <c r="AE350">
        <v>0</v>
      </c>
      <c r="AF350" t="s">
        <v>3</v>
      </c>
      <c r="AG350">
        <v>36.270000000000003</v>
      </c>
      <c r="AH350">
        <v>2</v>
      </c>
      <c r="AI350">
        <v>43159614</v>
      </c>
      <c r="AJ350">
        <v>350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</row>
    <row r="351" spans="1:44" x14ac:dyDescent="0.2">
      <c r="A351">
        <f>ROW(Source!A545)</f>
        <v>545</v>
      </c>
      <c r="B351">
        <v>43159615</v>
      </c>
      <c r="C351">
        <v>43159502</v>
      </c>
      <c r="D351">
        <v>36045354</v>
      </c>
      <c r="E351">
        <v>1</v>
      </c>
      <c r="F351">
        <v>1</v>
      </c>
      <c r="G351">
        <v>35973048</v>
      </c>
      <c r="H351">
        <v>2</v>
      </c>
      <c r="I351" t="s">
        <v>1403</v>
      </c>
      <c r="J351" t="s">
        <v>1404</v>
      </c>
      <c r="K351" t="s">
        <v>1405</v>
      </c>
      <c r="L351">
        <v>1367</v>
      </c>
      <c r="N351">
        <v>1011</v>
      </c>
      <c r="O351" t="s">
        <v>738</v>
      </c>
      <c r="P351" t="s">
        <v>738</v>
      </c>
      <c r="Q351">
        <v>1</v>
      </c>
      <c r="X351">
        <v>13.6</v>
      </c>
      <c r="Y351">
        <v>0</v>
      </c>
      <c r="Z351">
        <v>0.44</v>
      </c>
      <c r="AA351">
        <v>0</v>
      </c>
      <c r="AB351">
        <v>0</v>
      </c>
      <c r="AC351">
        <v>0</v>
      </c>
      <c r="AD351">
        <v>1</v>
      </c>
      <c r="AE351">
        <v>0</v>
      </c>
      <c r="AF351" t="s">
        <v>3</v>
      </c>
      <c r="AG351">
        <v>13.6</v>
      </c>
      <c r="AH351">
        <v>2</v>
      </c>
      <c r="AI351">
        <v>43159615</v>
      </c>
      <c r="AJ351">
        <v>351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</row>
    <row r="352" spans="1:44" x14ac:dyDescent="0.2">
      <c r="A352">
        <f>ROW(Source!A545)</f>
        <v>545</v>
      </c>
      <c r="B352">
        <v>43159616</v>
      </c>
      <c r="C352">
        <v>43159502</v>
      </c>
      <c r="D352">
        <v>36044847</v>
      </c>
      <c r="E352">
        <v>1</v>
      </c>
      <c r="F352">
        <v>1</v>
      </c>
      <c r="G352">
        <v>35973048</v>
      </c>
      <c r="H352">
        <v>2</v>
      </c>
      <c r="I352" t="s">
        <v>1406</v>
      </c>
      <c r="J352" t="s">
        <v>1407</v>
      </c>
      <c r="K352" t="s">
        <v>1408</v>
      </c>
      <c r="L352">
        <v>1367</v>
      </c>
      <c r="N352">
        <v>1011</v>
      </c>
      <c r="O352" t="s">
        <v>738</v>
      </c>
      <c r="P352" t="s">
        <v>738</v>
      </c>
      <c r="Q352">
        <v>1</v>
      </c>
      <c r="X352">
        <v>31</v>
      </c>
      <c r="Y352">
        <v>0</v>
      </c>
      <c r="Z352">
        <v>2.23</v>
      </c>
      <c r="AA352">
        <v>7.0000000000000007E-2</v>
      </c>
      <c r="AB352">
        <v>0</v>
      </c>
      <c r="AC352">
        <v>0</v>
      </c>
      <c r="AD352">
        <v>1</v>
      </c>
      <c r="AE352">
        <v>0</v>
      </c>
      <c r="AF352" t="s">
        <v>3</v>
      </c>
      <c r="AG352">
        <v>31</v>
      </c>
      <c r="AH352">
        <v>2</v>
      </c>
      <c r="AI352">
        <v>43159616</v>
      </c>
      <c r="AJ352">
        <v>352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</row>
    <row r="353" spans="1:44" x14ac:dyDescent="0.2">
      <c r="A353">
        <f>ROW(Source!A545)</f>
        <v>545</v>
      </c>
      <c r="B353">
        <v>43159617</v>
      </c>
      <c r="C353">
        <v>43159502</v>
      </c>
      <c r="D353">
        <v>36020415</v>
      </c>
      <c r="E353">
        <v>1</v>
      </c>
      <c r="F353">
        <v>1</v>
      </c>
      <c r="G353">
        <v>35973048</v>
      </c>
      <c r="H353">
        <v>3</v>
      </c>
      <c r="I353" t="s">
        <v>469</v>
      </c>
      <c r="J353" t="s">
        <v>471</v>
      </c>
      <c r="K353" t="s">
        <v>470</v>
      </c>
      <c r="L353">
        <v>1339</v>
      </c>
      <c r="N353">
        <v>1007</v>
      </c>
      <c r="O353" t="s">
        <v>84</v>
      </c>
      <c r="P353" t="s">
        <v>84</v>
      </c>
      <c r="Q353">
        <v>1</v>
      </c>
      <c r="X353">
        <v>0.05</v>
      </c>
      <c r="Y353">
        <v>7.07</v>
      </c>
      <c r="Z353">
        <v>0</v>
      </c>
      <c r="AA353">
        <v>0</v>
      </c>
      <c r="AB353">
        <v>0</v>
      </c>
      <c r="AC353">
        <v>0</v>
      </c>
      <c r="AD353">
        <v>1</v>
      </c>
      <c r="AE353">
        <v>0</v>
      </c>
      <c r="AF353" t="s">
        <v>3</v>
      </c>
      <c r="AG353">
        <v>0.05</v>
      </c>
      <c r="AH353">
        <v>2</v>
      </c>
      <c r="AI353">
        <v>43159617</v>
      </c>
      <c r="AJ353">
        <v>353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</row>
    <row r="354" spans="1:44" x14ac:dyDescent="0.2">
      <c r="A354">
        <f>ROW(Source!A545)</f>
        <v>545</v>
      </c>
      <c r="B354">
        <v>43159618</v>
      </c>
      <c r="C354">
        <v>43159502</v>
      </c>
      <c r="D354">
        <v>36758318</v>
      </c>
      <c r="E354">
        <v>35973048</v>
      </c>
      <c r="F354">
        <v>1</v>
      </c>
      <c r="G354">
        <v>35973048</v>
      </c>
      <c r="H354">
        <v>3</v>
      </c>
      <c r="I354" t="s">
        <v>1536</v>
      </c>
      <c r="J354" t="s">
        <v>3</v>
      </c>
      <c r="K354" t="s">
        <v>1537</v>
      </c>
      <c r="L354">
        <v>1354</v>
      </c>
      <c r="N354">
        <v>1010</v>
      </c>
      <c r="O354" t="s">
        <v>169</v>
      </c>
      <c r="P354" t="s">
        <v>169</v>
      </c>
      <c r="Q354">
        <v>1</v>
      </c>
      <c r="X354">
        <v>666.7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 t="s">
        <v>3</v>
      </c>
      <c r="AG354">
        <v>666.7</v>
      </c>
      <c r="AH354">
        <v>3</v>
      </c>
      <c r="AI354">
        <v>-1</v>
      </c>
      <c r="AJ354" t="s">
        <v>3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</row>
    <row r="355" spans="1:44" x14ac:dyDescent="0.2">
      <c r="A355">
        <f>ROW(Source!A545)</f>
        <v>545</v>
      </c>
      <c r="B355">
        <v>43159619</v>
      </c>
      <c r="C355">
        <v>43159502</v>
      </c>
      <c r="D355">
        <v>35988677</v>
      </c>
      <c r="E355">
        <v>35973048</v>
      </c>
      <c r="F355">
        <v>1</v>
      </c>
      <c r="G355">
        <v>35973048</v>
      </c>
      <c r="H355">
        <v>3</v>
      </c>
      <c r="I355" t="s">
        <v>1538</v>
      </c>
      <c r="J355" t="s">
        <v>3</v>
      </c>
      <c r="K355" t="s">
        <v>1539</v>
      </c>
      <c r="L355">
        <v>1346</v>
      </c>
      <c r="N355">
        <v>1009</v>
      </c>
      <c r="O355" t="s">
        <v>131</v>
      </c>
      <c r="P355" t="s">
        <v>131</v>
      </c>
      <c r="Q355">
        <v>1</v>
      </c>
      <c r="X355">
        <v>342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 t="s">
        <v>3</v>
      </c>
      <c r="AG355">
        <v>342</v>
      </c>
      <c r="AH355">
        <v>3</v>
      </c>
      <c r="AI355">
        <v>-1</v>
      </c>
      <c r="AJ355" t="s">
        <v>3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</row>
    <row r="356" spans="1:44" x14ac:dyDescent="0.2">
      <c r="A356">
        <f>ROW(Source!A548)</f>
        <v>548</v>
      </c>
      <c r="B356">
        <v>43159664</v>
      </c>
      <c r="C356">
        <v>43159663</v>
      </c>
      <c r="D356">
        <v>35973762</v>
      </c>
      <c r="E356">
        <v>35973048</v>
      </c>
      <c r="F356">
        <v>1</v>
      </c>
      <c r="G356">
        <v>35973048</v>
      </c>
      <c r="H356">
        <v>2</v>
      </c>
      <c r="I356" t="s">
        <v>1243</v>
      </c>
      <c r="J356" t="s">
        <v>3</v>
      </c>
      <c r="K356" t="s">
        <v>1244</v>
      </c>
      <c r="L356">
        <v>1344</v>
      </c>
      <c r="N356">
        <v>1008</v>
      </c>
      <c r="O356" t="s">
        <v>1245</v>
      </c>
      <c r="P356" t="s">
        <v>1245</v>
      </c>
      <c r="Q356">
        <v>1</v>
      </c>
      <c r="X356">
        <v>8.86</v>
      </c>
      <c r="Y356">
        <v>0</v>
      </c>
      <c r="Z356">
        <v>1</v>
      </c>
      <c r="AA356">
        <v>0</v>
      </c>
      <c r="AB356">
        <v>0</v>
      </c>
      <c r="AC356">
        <v>0</v>
      </c>
      <c r="AD356">
        <v>1</v>
      </c>
      <c r="AE356">
        <v>0</v>
      </c>
      <c r="AF356" t="s">
        <v>3</v>
      </c>
      <c r="AG356">
        <v>8.86</v>
      </c>
      <c r="AH356">
        <v>2</v>
      </c>
      <c r="AI356">
        <v>43159664</v>
      </c>
      <c r="AJ356">
        <v>356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</row>
    <row r="357" spans="1:44" x14ac:dyDescent="0.2">
      <c r="A357">
        <f>ROW(Source!A549)</f>
        <v>549</v>
      </c>
      <c r="B357">
        <v>43159666</v>
      </c>
      <c r="C357">
        <v>43159665</v>
      </c>
      <c r="D357">
        <v>36759507</v>
      </c>
      <c r="E357">
        <v>1</v>
      </c>
      <c r="F357">
        <v>1</v>
      </c>
      <c r="G357">
        <v>35973048</v>
      </c>
      <c r="H357">
        <v>2</v>
      </c>
      <c r="I357" t="s">
        <v>1329</v>
      </c>
      <c r="J357" t="s">
        <v>1330</v>
      </c>
      <c r="K357" t="s">
        <v>1331</v>
      </c>
      <c r="L357">
        <v>1367</v>
      </c>
      <c r="N357">
        <v>1011</v>
      </c>
      <c r="O357" t="s">
        <v>738</v>
      </c>
      <c r="P357" t="s">
        <v>738</v>
      </c>
      <c r="Q357">
        <v>1</v>
      </c>
      <c r="X357">
        <v>1</v>
      </c>
      <c r="Y357">
        <v>0</v>
      </c>
      <c r="Z357">
        <v>115.66</v>
      </c>
      <c r="AA357">
        <v>14.4</v>
      </c>
      <c r="AB357">
        <v>0</v>
      </c>
      <c r="AC357">
        <v>0</v>
      </c>
      <c r="AD357">
        <v>1</v>
      </c>
      <c r="AE357">
        <v>0</v>
      </c>
      <c r="AF357" t="s">
        <v>3</v>
      </c>
      <c r="AG357">
        <v>1</v>
      </c>
      <c r="AH357">
        <v>2</v>
      </c>
      <c r="AI357">
        <v>43159666</v>
      </c>
      <c r="AJ357">
        <v>357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</row>
    <row r="358" spans="1:44" x14ac:dyDescent="0.2">
      <c r="A358">
        <f>ROW(Source!A550)</f>
        <v>550</v>
      </c>
      <c r="B358">
        <v>43159668</v>
      </c>
      <c r="C358">
        <v>43159667</v>
      </c>
      <c r="D358">
        <v>35973762</v>
      </c>
      <c r="E358">
        <v>35973048</v>
      </c>
      <c r="F358">
        <v>1</v>
      </c>
      <c r="G358">
        <v>35973048</v>
      </c>
      <c r="H358">
        <v>2</v>
      </c>
      <c r="I358" t="s">
        <v>1243</v>
      </c>
      <c r="J358" t="s">
        <v>3</v>
      </c>
      <c r="K358" t="s">
        <v>1244</v>
      </c>
      <c r="L358">
        <v>1344</v>
      </c>
      <c r="N358">
        <v>1008</v>
      </c>
      <c r="O358" t="s">
        <v>1245</v>
      </c>
      <c r="P358" t="s">
        <v>1245</v>
      </c>
      <c r="Q358">
        <v>1</v>
      </c>
      <c r="X358">
        <v>17.84</v>
      </c>
      <c r="Y358">
        <v>0</v>
      </c>
      <c r="Z358">
        <v>1</v>
      </c>
      <c r="AA358">
        <v>0</v>
      </c>
      <c r="AB358">
        <v>0</v>
      </c>
      <c r="AC358">
        <v>0</v>
      </c>
      <c r="AD358">
        <v>1</v>
      </c>
      <c r="AE358">
        <v>0</v>
      </c>
      <c r="AF358" t="s">
        <v>3</v>
      </c>
      <c r="AG358">
        <v>17.84</v>
      </c>
      <c r="AH358">
        <v>2</v>
      </c>
      <c r="AI358">
        <v>43159668</v>
      </c>
      <c r="AJ358">
        <v>358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</row>
    <row r="359" spans="1:44" x14ac:dyDescent="0.2">
      <c r="A359">
        <f>ROW(Source!A590)</f>
        <v>590</v>
      </c>
      <c r="B359">
        <v>43143783</v>
      </c>
      <c r="C359">
        <v>43143643</v>
      </c>
      <c r="D359">
        <v>35973053</v>
      </c>
      <c r="E359">
        <v>35973048</v>
      </c>
      <c r="F359">
        <v>1</v>
      </c>
      <c r="G359">
        <v>35973048</v>
      </c>
      <c r="H359">
        <v>1</v>
      </c>
      <c r="I359" t="s">
        <v>1228</v>
      </c>
      <c r="J359" t="s">
        <v>3</v>
      </c>
      <c r="K359" t="s">
        <v>1229</v>
      </c>
      <c r="L359">
        <v>1191</v>
      </c>
      <c r="N359">
        <v>1013</v>
      </c>
      <c r="O359" t="s">
        <v>1230</v>
      </c>
      <c r="P359" t="s">
        <v>1230</v>
      </c>
      <c r="Q359">
        <v>1</v>
      </c>
      <c r="X359">
        <v>26.08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1</v>
      </c>
      <c r="AE359">
        <v>1</v>
      </c>
      <c r="AF359" t="s">
        <v>21</v>
      </c>
      <c r="AG359">
        <v>29.991999999999997</v>
      </c>
      <c r="AH359">
        <v>2</v>
      </c>
      <c r="AI359">
        <v>43143783</v>
      </c>
      <c r="AJ359">
        <v>359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</row>
    <row r="360" spans="1:44" x14ac:dyDescent="0.2">
      <c r="A360">
        <f>ROW(Source!A590)</f>
        <v>590</v>
      </c>
      <c r="B360">
        <v>43143784</v>
      </c>
      <c r="C360">
        <v>43143643</v>
      </c>
      <c r="D360">
        <v>36044486</v>
      </c>
      <c r="E360">
        <v>1</v>
      </c>
      <c r="F360">
        <v>1</v>
      </c>
      <c r="G360">
        <v>35973048</v>
      </c>
      <c r="H360">
        <v>2</v>
      </c>
      <c r="I360" t="s">
        <v>1296</v>
      </c>
      <c r="J360" t="s">
        <v>1297</v>
      </c>
      <c r="K360" t="s">
        <v>1298</v>
      </c>
      <c r="L360">
        <v>1367</v>
      </c>
      <c r="N360">
        <v>1011</v>
      </c>
      <c r="O360" t="s">
        <v>738</v>
      </c>
      <c r="P360" t="s">
        <v>738</v>
      </c>
      <c r="Q360">
        <v>1</v>
      </c>
      <c r="X360">
        <v>0.19</v>
      </c>
      <c r="Y360">
        <v>0</v>
      </c>
      <c r="Z360">
        <v>73.45</v>
      </c>
      <c r="AA360">
        <v>12.83</v>
      </c>
      <c r="AB360">
        <v>0</v>
      </c>
      <c r="AC360">
        <v>0</v>
      </c>
      <c r="AD360">
        <v>1</v>
      </c>
      <c r="AE360">
        <v>0</v>
      </c>
      <c r="AF360" t="s">
        <v>20</v>
      </c>
      <c r="AG360">
        <v>0.23749999999999999</v>
      </c>
      <c r="AH360">
        <v>2</v>
      </c>
      <c r="AI360">
        <v>43143784</v>
      </c>
      <c r="AJ360">
        <v>360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</row>
    <row r="361" spans="1:44" x14ac:dyDescent="0.2">
      <c r="A361">
        <f>ROW(Source!A590)</f>
        <v>590</v>
      </c>
      <c r="B361">
        <v>43143785</v>
      </c>
      <c r="C361">
        <v>43143643</v>
      </c>
      <c r="D361">
        <v>36045308</v>
      </c>
      <c r="E361">
        <v>1</v>
      </c>
      <c r="F361">
        <v>1</v>
      </c>
      <c r="G361">
        <v>35973048</v>
      </c>
      <c r="H361">
        <v>2</v>
      </c>
      <c r="I361" t="s">
        <v>1231</v>
      </c>
      <c r="J361" t="s">
        <v>1232</v>
      </c>
      <c r="K361" t="s">
        <v>1233</v>
      </c>
      <c r="L361">
        <v>1367</v>
      </c>
      <c r="N361">
        <v>1011</v>
      </c>
      <c r="O361" t="s">
        <v>738</v>
      </c>
      <c r="P361" t="s">
        <v>738</v>
      </c>
      <c r="Q361">
        <v>1</v>
      </c>
      <c r="X361">
        <v>0.03</v>
      </c>
      <c r="Y361">
        <v>0</v>
      </c>
      <c r="Z361">
        <v>76.81</v>
      </c>
      <c r="AA361">
        <v>14.36</v>
      </c>
      <c r="AB361">
        <v>0</v>
      </c>
      <c r="AC361">
        <v>0</v>
      </c>
      <c r="AD361">
        <v>1</v>
      </c>
      <c r="AE361">
        <v>0</v>
      </c>
      <c r="AF361" t="s">
        <v>20</v>
      </c>
      <c r="AG361">
        <v>3.7499999999999999E-2</v>
      </c>
      <c r="AH361">
        <v>2</v>
      </c>
      <c r="AI361">
        <v>43143785</v>
      </c>
      <c r="AJ361">
        <v>361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</row>
    <row r="362" spans="1:44" x14ac:dyDescent="0.2">
      <c r="A362">
        <f>ROW(Source!A590)</f>
        <v>590</v>
      </c>
      <c r="B362">
        <v>43143787</v>
      </c>
      <c r="C362">
        <v>43143643</v>
      </c>
      <c r="D362">
        <v>36045337</v>
      </c>
      <c r="E362">
        <v>1</v>
      </c>
      <c r="F362">
        <v>1</v>
      </c>
      <c r="G362">
        <v>35973048</v>
      </c>
      <c r="H362">
        <v>2</v>
      </c>
      <c r="I362" t="s">
        <v>1299</v>
      </c>
      <c r="J362" t="s">
        <v>1300</v>
      </c>
      <c r="K362" t="s">
        <v>1301</v>
      </c>
      <c r="L362">
        <v>1367</v>
      </c>
      <c r="N362">
        <v>1011</v>
      </c>
      <c r="O362" t="s">
        <v>738</v>
      </c>
      <c r="P362" t="s">
        <v>738</v>
      </c>
      <c r="Q362">
        <v>1</v>
      </c>
      <c r="X362">
        <v>0.78</v>
      </c>
      <c r="Y362">
        <v>0</v>
      </c>
      <c r="Z362">
        <v>0.56000000000000005</v>
      </c>
      <c r="AA362">
        <v>0.09</v>
      </c>
      <c r="AB362">
        <v>0</v>
      </c>
      <c r="AC362">
        <v>0</v>
      </c>
      <c r="AD362">
        <v>1</v>
      </c>
      <c r="AE362">
        <v>0</v>
      </c>
      <c r="AF362" t="s">
        <v>20</v>
      </c>
      <c r="AG362">
        <v>0.97500000000000009</v>
      </c>
      <c r="AH362">
        <v>2</v>
      </c>
      <c r="AI362">
        <v>43143787</v>
      </c>
      <c r="AJ362">
        <v>362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</row>
    <row r="363" spans="1:44" x14ac:dyDescent="0.2">
      <c r="A363">
        <f>ROW(Source!A590)</f>
        <v>590</v>
      </c>
      <c r="B363">
        <v>43143786</v>
      </c>
      <c r="C363">
        <v>43143643</v>
      </c>
      <c r="D363">
        <v>36044555</v>
      </c>
      <c r="E363">
        <v>1</v>
      </c>
      <c r="F363">
        <v>1</v>
      </c>
      <c r="G363">
        <v>35973048</v>
      </c>
      <c r="H363">
        <v>2</v>
      </c>
      <c r="I363" t="s">
        <v>1267</v>
      </c>
      <c r="J363" t="s">
        <v>1268</v>
      </c>
      <c r="K363" t="s">
        <v>1269</v>
      </c>
      <c r="L363">
        <v>1367</v>
      </c>
      <c r="N363">
        <v>1011</v>
      </c>
      <c r="O363" t="s">
        <v>738</v>
      </c>
      <c r="P363" t="s">
        <v>738</v>
      </c>
      <c r="Q363">
        <v>1</v>
      </c>
      <c r="X363">
        <v>0.03</v>
      </c>
      <c r="Y363">
        <v>0</v>
      </c>
      <c r="Z363">
        <v>190.93</v>
      </c>
      <c r="AA363">
        <v>18.149999999999999</v>
      </c>
      <c r="AB363">
        <v>0</v>
      </c>
      <c r="AC363">
        <v>0</v>
      </c>
      <c r="AD363">
        <v>1</v>
      </c>
      <c r="AE363">
        <v>0</v>
      </c>
      <c r="AF363" t="s">
        <v>20</v>
      </c>
      <c r="AG363">
        <v>3.7499999999999999E-2</v>
      </c>
      <c r="AH363">
        <v>2</v>
      </c>
      <c r="AI363">
        <v>43143786</v>
      </c>
      <c r="AJ363">
        <v>363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</row>
    <row r="364" spans="1:44" x14ac:dyDescent="0.2">
      <c r="A364">
        <f>ROW(Source!A590)</f>
        <v>590</v>
      </c>
      <c r="B364">
        <v>43143788</v>
      </c>
      <c r="C364">
        <v>43143643</v>
      </c>
      <c r="D364">
        <v>35973762</v>
      </c>
      <c r="E364">
        <v>35973048</v>
      </c>
      <c r="F364">
        <v>1</v>
      </c>
      <c r="G364">
        <v>35973048</v>
      </c>
      <c r="H364">
        <v>2</v>
      </c>
      <c r="I364" t="s">
        <v>1243</v>
      </c>
      <c r="J364" t="s">
        <v>3</v>
      </c>
      <c r="K364" t="s">
        <v>1244</v>
      </c>
      <c r="L364">
        <v>1344</v>
      </c>
      <c r="N364">
        <v>1008</v>
      </c>
      <c r="O364" t="s">
        <v>1245</v>
      </c>
      <c r="P364" t="s">
        <v>1245</v>
      </c>
      <c r="Q364">
        <v>1</v>
      </c>
      <c r="X364">
        <v>0.01</v>
      </c>
      <c r="Y364">
        <v>0</v>
      </c>
      <c r="Z364">
        <v>1</v>
      </c>
      <c r="AA364">
        <v>0</v>
      </c>
      <c r="AB364">
        <v>0</v>
      </c>
      <c r="AC364">
        <v>0</v>
      </c>
      <c r="AD364">
        <v>1</v>
      </c>
      <c r="AE364">
        <v>0</v>
      </c>
      <c r="AF364" t="s">
        <v>20</v>
      </c>
      <c r="AG364">
        <v>1.2500000000000001E-2</v>
      </c>
      <c r="AH364">
        <v>2</v>
      </c>
      <c r="AI364">
        <v>43143788</v>
      </c>
      <c r="AJ364">
        <v>364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</row>
    <row r="365" spans="1:44" x14ac:dyDescent="0.2">
      <c r="A365">
        <f>ROW(Source!A590)</f>
        <v>590</v>
      </c>
      <c r="B365">
        <v>43143789</v>
      </c>
      <c r="C365">
        <v>43143643</v>
      </c>
      <c r="D365">
        <v>36021690</v>
      </c>
      <c r="E365">
        <v>1</v>
      </c>
      <c r="F365">
        <v>1</v>
      </c>
      <c r="G365">
        <v>35973048</v>
      </c>
      <c r="H365">
        <v>3</v>
      </c>
      <c r="I365" t="s">
        <v>1302</v>
      </c>
      <c r="J365" t="s">
        <v>1303</v>
      </c>
      <c r="K365" t="s">
        <v>1304</v>
      </c>
      <c r="L365">
        <v>1339</v>
      </c>
      <c r="N365">
        <v>1007</v>
      </c>
      <c r="O365" t="s">
        <v>84</v>
      </c>
      <c r="P365" t="s">
        <v>84</v>
      </c>
      <c r="Q365">
        <v>1</v>
      </c>
      <c r="X365">
        <v>20</v>
      </c>
      <c r="Y365">
        <v>230.95</v>
      </c>
      <c r="Z365">
        <v>0</v>
      </c>
      <c r="AA365">
        <v>0</v>
      </c>
      <c r="AB365">
        <v>0</v>
      </c>
      <c r="AC365">
        <v>0</v>
      </c>
      <c r="AD365">
        <v>1</v>
      </c>
      <c r="AE365">
        <v>0</v>
      </c>
      <c r="AF365" t="s">
        <v>3</v>
      </c>
      <c r="AG365">
        <v>20</v>
      </c>
      <c r="AH365">
        <v>2</v>
      </c>
      <c r="AI365">
        <v>43143789</v>
      </c>
      <c r="AJ365">
        <v>365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</row>
    <row r="366" spans="1:44" x14ac:dyDescent="0.2">
      <c r="A366">
        <f>ROW(Source!A590)</f>
        <v>590</v>
      </c>
      <c r="B366">
        <v>43143790</v>
      </c>
      <c r="C366">
        <v>43143643</v>
      </c>
      <c r="D366">
        <v>36022065</v>
      </c>
      <c r="E366">
        <v>1</v>
      </c>
      <c r="F366">
        <v>1</v>
      </c>
      <c r="G366">
        <v>35973048</v>
      </c>
      <c r="H366">
        <v>3</v>
      </c>
      <c r="I366" t="s">
        <v>1305</v>
      </c>
      <c r="J366" t="s">
        <v>1306</v>
      </c>
      <c r="K366" t="s">
        <v>1307</v>
      </c>
      <c r="L366">
        <v>1327</v>
      </c>
      <c r="N366">
        <v>1005</v>
      </c>
      <c r="O366" t="s">
        <v>120</v>
      </c>
      <c r="P366" t="s">
        <v>120</v>
      </c>
      <c r="Q366">
        <v>1</v>
      </c>
      <c r="X366">
        <v>270</v>
      </c>
      <c r="Y366">
        <v>16.559999999999999</v>
      </c>
      <c r="Z366">
        <v>0</v>
      </c>
      <c r="AA366">
        <v>0</v>
      </c>
      <c r="AB366">
        <v>0</v>
      </c>
      <c r="AC366">
        <v>0</v>
      </c>
      <c r="AD366">
        <v>1</v>
      </c>
      <c r="AE366">
        <v>0</v>
      </c>
      <c r="AF366" t="s">
        <v>3</v>
      </c>
      <c r="AG366">
        <v>270</v>
      </c>
      <c r="AH366">
        <v>2</v>
      </c>
      <c r="AI366">
        <v>43143790</v>
      </c>
      <c r="AJ366">
        <v>366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</row>
    <row r="367" spans="1:44" x14ac:dyDescent="0.2">
      <c r="A367">
        <f>ROW(Source!A590)</f>
        <v>590</v>
      </c>
      <c r="B367">
        <v>43143791</v>
      </c>
      <c r="C367">
        <v>43143643</v>
      </c>
      <c r="D367">
        <v>36020974</v>
      </c>
      <c r="E367">
        <v>1</v>
      </c>
      <c r="F367">
        <v>1</v>
      </c>
      <c r="G367">
        <v>35973048</v>
      </c>
      <c r="H367">
        <v>3</v>
      </c>
      <c r="I367" t="s">
        <v>91</v>
      </c>
      <c r="J367" t="s">
        <v>93</v>
      </c>
      <c r="K367" t="s">
        <v>92</v>
      </c>
      <c r="L367">
        <v>1339</v>
      </c>
      <c r="N367">
        <v>1007</v>
      </c>
      <c r="O367" t="s">
        <v>84</v>
      </c>
      <c r="P367" t="s">
        <v>84</v>
      </c>
      <c r="Q367">
        <v>1</v>
      </c>
      <c r="X367">
        <v>28</v>
      </c>
      <c r="Y367">
        <v>104.99</v>
      </c>
      <c r="Z367">
        <v>0</v>
      </c>
      <c r="AA367">
        <v>0</v>
      </c>
      <c r="AB367">
        <v>0</v>
      </c>
      <c r="AC367">
        <v>0</v>
      </c>
      <c r="AD367">
        <v>1</v>
      </c>
      <c r="AE367">
        <v>0</v>
      </c>
      <c r="AF367" t="s">
        <v>3</v>
      </c>
      <c r="AG367">
        <v>28</v>
      </c>
      <c r="AH367">
        <v>2</v>
      </c>
      <c r="AI367">
        <v>43143791</v>
      </c>
      <c r="AJ367">
        <v>367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</row>
    <row r="368" spans="1:44" x14ac:dyDescent="0.2">
      <c r="A368">
        <f>ROW(Source!A590)</f>
        <v>590</v>
      </c>
      <c r="B368">
        <v>43143792</v>
      </c>
      <c r="C368">
        <v>43143643</v>
      </c>
      <c r="D368">
        <v>35987915</v>
      </c>
      <c r="E368">
        <v>35973048</v>
      </c>
      <c r="F368">
        <v>1</v>
      </c>
      <c r="G368">
        <v>35973048</v>
      </c>
      <c r="H368">
        <v>3</v>
      </c>
      <c r="I368" t="s">
        <v>1474</v>
      </c>
      <c r="J368" t="s">
        <v>3</v>
      </c>
      <c r="K368" t="s">
        <v>1475</v>
      </c>
      <c r="L368">
        <v>1301</v>
      </c>
      <c r="N368">
        <v>1003</v>
      </c>
      <c r="O368" t="s">
        <v>136</v>
      </c>
      <c r="P368" t="s">
        <v>136</v>
      </c>
      <c r="Q368">
        <v>1</v>
      </c>
      <c r="X368">
        <v>100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 t="s">
        <v>3</v>
      </c>
      <c r="AG368">
        <v>100</v>
      </c>
      <c r="AH368">
        <v>3</v>
      </c>
      <c r="AI368">
        <v>-1</v>
      </c>
      <c r="AJ368" t="s">
        <v>3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</row>
    <row r="369" spans="1:44" x14ac:dyDescent="0.2">
      <c r="A369">
        <f>ROW(Source!A590)</f>
        <v>590</v>
      </c>
      <c r="B369">
        <v>43143793</v>
      </c>
      <c r="C369">
        <v>43143643</v>
      </c>
      <c r="D369">
        <v>35987921</v>
      </c>
      <c r="E369">
        <v>35973048</v>
      </c>
      <c r="F369">
        <v>1</v>
      </c>
      <c r="G369">
        <v>35973048</v>
      </c>
      <c r="H369">
        <v>3</v>
      </c>
      <c r="I369" t="s">
        <v>1476</v>
      </c>
      <c r="J369" t="s">
        <v>3</v>
      </c>
      <c r="K369" t="s">
        <v>1477</v>
      </c>
      <c r="L369">
        <v>1354</v>
      </c>
      <c r="N369">
        <v>1010</v>
      </c>
      <c r="O369" t="s">
        <v>169</v>
      </c>
      <c r="P369" t="s">
        <v>169</v>
      </c>
      <c r="Q369">
        <v>1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 t="s">
        <v>3</v>
      </c>
      <c r="AG369">
        <v>0</v>
      </c>
      <c r="AH369">
        <v>3</v>
      </c>
      <c r="AI369">
        <v>-1</v>
      </c>
      <c r="AJ369" t="s">
        <v>3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</row>
    <row r="370" spans="1:44" x14ac:dyDescent="0.2">
      <c r="A370">
        <f>ROW(Source!A592)</f>
        <v>592</v>
      </c>
      <c r="B370">
        <v>43143810</v>
      </c>
      <c r="C370">
        <v>43143686</v>
      </c>
      <c r="D370">
        <v>35973053</v>
      </c>
      <c r="E370">
        <v>35973048</v>
      </c>
      <c r="F370">
        <v>1</v>
      </c>
      <c r="G370">
        <v>35973048</v>
      </c>
      <c r="H370">
        <v>1</v>
      </c>
      <c r="I370" t="s">
        <v>1228</v>
      </c>
      <c r="J370" t="s">
        <v>3</v>
      </c>
      <c r="K370" t="s">
        <v>1229</v>
      </c>
      <c r="L370">
        <v>1191</v>
      </c>
      <c r="N370">
        <v>1013</v>
      </c>
      <c r="O370" t="s">
        <v>1230</v>
      </c>
      <c r="P370" t="s">
        <v>1230</v>
      </c>
      <c r="Q370">
        <v>1</v>
      </c>
      <c r="X370">
        <v>14.4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1</v>
      </c>
      <c r="AE370">
        <v>1</v>
      </c>
      <c r="AF370" t="s">
        <v>21</v>
      </c>
      <c r="AG370">
        <v>16.559999999999999</v>
      </c>
      <c r="AH370">
        <v>2</v>
      </c>
      <c r="AI370">
        <v>43143810</v>
      </c>
      <c r="AJ370">
        <v>369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</row>
    <row r="371" spans="1:44" x14ac:dyDescent="0.2">
      <c r="A371">
        <f>ROW(Source!A592)</f>
        <v>592</v>
      </c>
      <c r="B371">
        <v>43143811</v>
      </c>
      <c r="C371">
        <v>43143686</v>
      </c>
      <c r="D371">
        <v>36044508</v>
      </c>
      <c r="E371">
        <v>1</v>
      </c>
      <c r="F371">
        <v>1</v>
      </c>
      <c r="G371">
        <v>35973048</v>
      </c>
      <c r="H371">
        <v>2</v>
      </c>
      <c r="I371" t="s">
        <v>1258</v>
      </c>
      <c r="J371" t="s">
        <v>1259</v>
      </c>
      <c r="K371" t="s">
        <v>1260</v>
      </c>
      <c r="L371">
        <v>1367</v>
      </c>
      <c r="N371">
        <v>1011</v>
      </c>
      <c r="O371" t="s">
        <v>738</v>
      </c>
      <c r="P371" t="s">
        <v>738</v>
      </c>
      <c r="Q371">
        <v>1</v>
      </c>
      <c r="X371">
        <v>1.66</v>
      </c>
      <c r="Y371">
        <v>0</v>
      </c>
      <c r="Z371">
        <v>116.89</v>
      </c>
      <c r="AA371">
        <v>23.41</v>
      </c>
      <c r="AB371">
        <v>0</v>
      </c>
      <c r="AC371">
        <v>0</v>
      </c>
      <c r="AD371">
        <v>1</v>
      </c>
      <c r="AE371">
        <v>0</v>
      </c>
      <c r="AF371" t="s">
        <v>20</v>
      </c>
      <c r="AG371">
        <v>2.0749999999999997</v>
      </c>
      <c r="AH371">
        <v>2</v>
      </c>
      <c r="AI371">
        <v>43143811</v>
      </c>
      <c r="AJ371">
        <v>370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</row>
    <row r="372" spans="1:44" x14ac:dyDescent="0.2">
      <c r="A372">
        <f>ROW(Source!A592)</f>
        <v>592</v>
      </c>
      <c r="B372">
        <v>43143812</v>
      </c>
      <c r="C372">
        <v>43143686</v>
      </c>
      <c r="D372">
        <v>36044731</v>
      </c>
      <c r="E372">
        <v>1</v>
      </c>
      <c r="F372">
        <v>1</v>
      </c>
      <c r="G372">
        <v>35973048</v>
      </c>
      <c r="H372">
        <v>2</v>
      </c>
      <c r="I372" t="s">
        <v>749</v>
      </c>
      <c r="J372" t="s">
        <v>751</v>
      </c>
      <c r="K372" t="s">
        <v>750</v>
      </c>
      <c r="L372">
        <v>1367</v>
      </c>
      <c r="N372">
        <v>1011</v>
      </c>
      <c r="O372" t="s">
        <v>738</v>
      </c>
      <c r="P372" t="s">
        <v>738</v>
      </c>
      <c r="Q372">
        <v>1</v>
      </c>
      <c r="X372">
        <v>1.66</v>
      </c>
      <c r="Y372">
        <v>0</v>
      </c>
      <c r="Z372">
        <v>62.97</v>
      </c>
      <c r="AA372">
        <v>6.64</v>
      </c>
      <c r="AB372">
        <v>0</v>
      </c>
      <c r="AC372">
        <v>0</v>
      </c>
      <c r="AD372">
        <v>1</v>
      </c>
      <c r="AE372">
        <v>0</v>
      </c>
      <c r="AF372" t="s">
        <v>20</v>
      </c>
      <c r="AG372">
        <v>2.0749999999999997</v>
      </c>
      <c r="AH372">
        <v>2</v>
      </c>
      <c r="AI372">
        <v>43143812</v>
      </c>
      <c r="AJ372">
        <v>371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</row>
    <row r="373" spans="1:44" x14ac:dyDescent="0.2">
      <c r="A373">
        <f>ROW(Source!A592)</f>
        <v>592</v>
      </c>
      <c r="B373">
        <v>43143813</v>
      </c>
      <c r="C373">
        <v>43143686</v>
      </c>
      <c r="D373">
        <v>36044734</v>
      </c>
      <c r="E373">
        <v>1</v>
      </c>
      <c r="F373">
        <v>1</v>
      </c>
      <c r="G373">
        <v>35973048</v>
      </c>
      <c r="H373">
        <v>2</v>
      </c>
      <c r="I373" t="s">
        <v>745</v>
      </c>
      <c r="J373" t="s">
        <v>747</v>
      </c>
      <c r="K373" t="s">
        <v>746</v>
      </c>
      <c r="L373">
        <v>1367</v>
      </c>
      <c r="N373">
        <v>1011</v>
      </c>
      <c r="O373" t="s">
        <v>738</v>
      </c>
      <c r="P373" t="s">
        <v>738</v>
      </c>
      <c r="Q373">
        <v>1</v>
      </c>
      <c r="X373">
        <v>0.65</v>
      </c>
      <c r="Y373">
        <v>0</v>
      </c>
      <c r="Z373">
        <v>246.68</v>
      </c>
      <c r="AA373">
        <v>13.37</v>
      </c>
      <c r="AB373">
        <v>0</v>
      </c>
      <c r="AC373">
        <v>0</v>
      </c>
      <c r="AD373">
        <v>1</v>
      </c>
      <c r="AE373">
        <v>0</v>
      </c>
      <c r="AF373" t="s">
        <v>20</v>
      </c>
      <c r="AG373">
        <v>0.8125</v>
      </c>
      <c r="AH373">
        <v>2</v>
      </c>
      <c r="AI373">
        <v>43143813</v>
      </c>
      <c r="AJ373">
        <v>372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</row>
    <row r="374" spans="1:44" x14ac:dyDescent="0.2">
      <c r="A374">
        <f>ROW(Source!A592)</f>
        <v>592</v>
      </c>
      <c r="B374">
        <v>43143814</v>
      </c>
      <c r="C374">
        <v>43143686</v>
      </c>
      <c r="D374">
        <v>36044762</v>
      </c>
      <c r="E374">
        <v>1</v>
      </c>
      <c r="F374">
        <v>1</v>
      </c>
      <c r="G374">
        <v>35973048</v>
      </c>
      <c r="H374">
        <v>2</v>
      </c>
      <c r="I374" t="s">
        <v>736</v>
      </c>
      <c r="J374" t="s">
        <v>739</v>
      </c>
      <c r="K374" t="s">
        <v>737</v>
      </c>
      <c r="L374">
        <v>1367</v>
      </c>
      <c r="N374">
        <v>1011</v>
      </c>
      <c r="O374" t="s">
        <v>738</v>
      </c>
      <c r="P374" t="s">
        <v>738</v>
      </c>
      <c r="Q374">
        <v>1</v>
      </c>
      <c r="X374">
        <v>1.55</v>
      </c>
      <c r="Y374">
        <v>0</v>
      </c>
      <c r="Z374">
        <v>125.13</v>
      </c>
      <c r="AA374">
        <v>24.74</v>
      </c>
      <c r="AB374">
        <v>0</v>
      </c>
      <c r="AC374">
        <v>0</v>
      </c>
      <c r="AD374">
        <v>1</v>
      </c>
      <c r="AE374">
        <v>0</v>
      </c>
      <c r="AF374" t="s">
        <v>20</v>
      </c>
      <c r="AG374">
        <v>1.9375</v>
      </c>
      <c r="AH374">
        <v>2</v>
      </c>
      <c r="AI374">
        <v>43143814</v>
      </c>
      <c r="AJ374">
        <v>373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</row>
    <row r="375" spans="1:44" x14ac:dyDescent="0.2">
      <c r="A375">
        <f>ROW(Source!A592)</f>
        <v>592</v>
      </c>
      <c r="B375">
        <v>43143815</v>
      </c>
      <c r="C375">
        <v>43143686</v>
      </c>
      <c r="D375">
        <v>36044724</v>
      </c>
      <c r="E375">
        <v>1</v>
      </c>
      <c r="F375">
        <v>1</v>
      </c>
      <c r="G375">
        <v>35973048</v>
      </c>
      <c r="H375">
        <v>2</v>
      </c>
      <c r="I375" t="s">
        <v>741</v>
      </c>
      <c r="J375" t="s">
        <v>743</v>
      </c>
      <c r="K375" t="s">
        <v>742</v>
      </c>
      <c r="L375">
        <v>1367</v>
      </c>
      <c r="N375">
        <v>1011</v>
      </c>
      <c r="O375" t="s">
        <v>738</v>
      </c>
      <c r="P375" t="s">
        <v>738</v>
      </c>
      <c r="Q375">
        <v>1</v>
      </c>
      <c r="X375">
        <v>0.52</v>
      </c>
      <c r="Y375">
        <v>0</v>
      </c>
      <c r="Z375">
        <v>177.54</v>
      </c>
      <c r="AA375">
        <v>17.420000000000002</v>
      </c>
      <c r="AB375">
        <v>0</v>
      </c>
      <c r="AC375">
        <v>0</v>
      </c>
      <c r="AD375">
        <v>1</v>
      </c>
      <c r="AE375">
        <v>0</v>
      </c>
      <c r="AF375" t="s">
        <v>20</v>
      </c>
      <c r="AG375">
        <v>0.65</v>
      </c>
      <c r="AH375">
        <v>2</v>
      </c>
      <c r="AI375">
        <v>43143815</v>
      </c>
      <c r="AJ375">
        <v>374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</row>
    <row r="376" spans="1:44" x14ac:dyDescent="0.2">
      <c r="A376">
        <f>ROW(Source!A592)</f>
        <v>592</v>
      </c>
      <c r="B376">
        <v>43143816</v>
      </c>
      <c r="C376">
        <v>43143686</v>
      </c>
      <c r="D376">
        <v>36020415</v>
      </c>
      <c r="E376">
        <v>1</v>
      </c>
      <c r="F376">
        <v>1</v>
      </c>
      <c r="G376">
        <v>35973048</v>
      </c>
      <c r="H376">
        <v>3</v>
      </c>
      <c r="I376" t="s">
        <v>469</v>
      </c>
      <c r="J376" t="s">
        <v>471</v>
      </c>
      <c r="K376" t="s">
        <v>470</v>
      </c>
      <c r="L376">
        <v>1339</v>
      </c>
      <c r="N376">
        <v>1007</v>
      </c>
      <c r="O376" t="s">
        <v>84</v>
      </c>
      <c r="P376" t="s">
        <v>84</v>
      </c>
      <c r="Q376">
        <v>1</v>
      </c>
      <c r="X376">
        <v>5</v>
      </c>
      <c r="Y376">
        <v>7.07</v>
      </c>
      <c r="Z376">
        <v>0</v>
      </c>
      <c r="AA376">
        <v>0</v>
      </c>
      <c r="AB376">
        <v>0</v>
      </c>
      <c r="AC376">
        <v>0</v>
      </c>
      <c r="AD376">
        <v>1</v>
      </c>
      <c r="AE376">
        <v>0</v>
      </c>
      <c r="AF376" t="s">
        <v>3</v>
      </c>
      <c r="AG376">
        <v>5</v>
      </c>
      <c r="AH376">
        <v>2</v>
      </c>
      <c r="AI376">
        <v>43143816</v>
      </c>
      <c r="AJ376">
        <v>375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</row>
    <row r="377" spans="1:44" x14ac:dyDescent="0.2">
      <c r="A377">
        <f>ROW(Source!A592)</f>
        <v>592</v>
      </c>
      <c r="B377">
        <v>43143817</v>
      </c>
      <c r="C377">
        <v>43143686</v>
      </c>
      <c r="D377">
        <v>35985843</v>
      </c>
      <c r="E377">
        <v>35973048</v>
      </c>
      <c r="F377">
        <v>1</v>
      </c>
      <c r="G377">
        <v>35973048</v>
      </c>
      <c r="H377">
        <v>3</v>
      </c>
      <c r="I377" t="s">
        <v>1465</v>
      </c>
      <c r="J377" t="s">
        <v>3</v>
      </c>
      <c r="K377" t="s">
        <v>1466</v>
      </c>
      <c r="L377">
        <v>1339</v>
      </c>
      <c r="N377">
        <v>1007</v>
      </c>
      <c r="O377" t="s">
        <v>84</v>
      </c>
      <c r="P377" t="s">
        <v>84</v>
      </c>
      <c r="Q377">
        <v>1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 t="s">
        <v>3</v>
      </c>
      <c r="AG377">
        <v>0</v>
      </c>
      <c r="AH377">
        <v>3</v>
      </c>
      <c r="AI377">
        <v>-1</v>
      </c>
      <c r="AJ377" t="s">
        <v>3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</row>
    <row r="378" spans="1:44" x14ac:dyDescent="0.2">
      <c r="A378">
        <f>ROW(Source!A598)</f>
        <v>598</v>
      </c>
      <c r="B378">
        <v>43143826</v>
      </c>
      <c r="C378">
        <v>43143687</v>
      </c>
      <c r="D378">
        <v>35973053</v>
      </c>
      <c r="E378">
        <v>35973048</v>
      </c>
      <c r="F378">
        <v>1</v>
      </c>
      <c r="G378">
        <v>35973048</v>
      </c>
      <c r="H378">
        <v>1</v>
      </c>
      <c r="I378" t="s">
        <v>1228</v>
      </c>
      <c r="J378" t="s">
        <v>3</v>
      </c>
      <c r="K378" t="s">
        <v>1229</v>
      </c>
      <c r="L378">
        <v>1191</v>
      </c>
      <c r="N378">
        <v>1013</v>
      </c>
      <c r="O378" t="s">
        <v>1230</v>
      </c>
      <c r="P378" t="s">
        <v>1230</v>
      </c>
      <c r="Q378">
        <v>1</v>
      </c>
      <c r="X378">
        <v>21.6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1</v>
      </c>
      <c r="AE378">
        <v>1</v>
      </c>
      <c r="AF378" t="s">
        <v>21</v>
      </c>
      <c r="AG378">
        <v>24.84</v>
      </c>
      <c r="AH378">
        <v>2</v>
      </c>
      <c r="AI378">
        <v>43143826</v>
      </c>
      <c r="AJ378">
        <v>377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</row>
    <row r="379" spans="1:44" x14ac:dyDescent="0.2">
      <c r="A379">
        <f>ROW(Source!A598)</f>
        <v>598</v>
      </c>
      <c r="B379">
        <v>43143827</v>
      </c>
      <c r="C379">
        <v>43143687</v>
      </c>
      <c r="D379">
        <v>36044487</v>
      </c>
      <c r="E379">
        <v>1</v>
      </c>
      <c r="F379">
        <v>1</v>
      </c>
      <c r="G379">
        <v>35973048</v>
      </c>
      <c r="H379">
        <v>2</v>
      </c>
      <c r="I379" t="s">
        <v>769</v>
      </c>
      <c r="J379" t="s">
        <v>771</v>
      </c>
      <c r="K379" t="s">
        <v>770</v>
      </c>
      <c r="L379">
        <v>1367</v>
      </c>
      <c r="N379">
        <v>1011</v>
      </c>
      <c r="O379" t="s">
        <v>738</v>
      </c>
      <c r="P379" t="s">
        <v>738</v>
      </c>
      <c r="Q379">
        <v>1</v>
      </c>
      <c r="X379">
        <v>2.35</v>
      </c>
      <c r="Y379">
        <v>0</v>
      </c>
      <c r="Z379">
        <v>163.47999999999999</v>
      </c>
      <c r="AA379">
        <v>15.47</v>
      </c>
      <c r="AB379">
        <v>0</v>
      </c>
      <c r="AC379">
        <v>0</v>
      </c>
      <c r="AD379">
        <v>1</v>
      </c>
      <c r="AE379">
        <v>0</v>
      </c>
      <c r="AF379" t="s">
        <v>20</v>
      </c>
      <c r="AG379">
        <v>2.9375</v>
      </c>
      <c r="AH379">
        <v>2</v>
      </c>
      <c r="AI379">
        <v>43143827</v>
      </c>
      <c r="AJ379">
        <v>378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</row>
    <row r="380" spans="1:44" x14ac:dyDescent="0.2">
      <c r="A380">
        <f>ROW(Source!A598)</f>
        <v>598</v>
      </c>
      <c r="B380">
        <v>43143828</v>
      </c>
      <c r="C380">
        <v>43143687</v>
      </c>
      <c r="D380">
        <v>36044734</v>
      </c>
      <c r="E380">
        <v>1</v>
      </c>
      <c r="F380">
        <v>1</v>
      </c>
      <c r="G380">
        <v>35973048</v>
      </c>
      <c r="H380">
        <v>2</v>
      </c>
      <c r="I380" t="s">
        <v>745</v>
      </c>
      <c r="J380" t="s">
        <v>747</v>
      </c>
      <c r="K380" t="s">
        <v>746</v>
      </c>
      <c r="L380">
        <v>1367</v>
      </c>
      <c r="N380">
        <v>1011</v>
      </c>
      <c r="O380" t="s">
        <v>738</v>
      </c>
      <c r="P380" t="s">
        <v>738</v>
      </c>
      <c r="Q380">
        <v>1</v>
      </c>
      <c r="X380">
        <v>0.91</v>
      </c>
      <c r="Y380">
        <v>0</v>
      </c>
      <c r="Z380">
        <v>246.68</v>
      </c>
      <c r="AA380">
        <v>13.37</v>
      </c>
      <c r="AB380">
        <v>0</v>
      </c>
      <c r="AC380">
        <v>0</v>
      </c>
      <c r="AD380">
        <v>1</v>
      </c>
      <c r="AE380">
        <v>0</v>
      </c>
      <c r="AF380" t="s">
        <v>20</v>
      </c>
      <c r="AG380">
        <v>1.1375</v>
      </c>
      <c r="AH380">
        <v>2</v>
      </c>
      <c r="AI380">
        <v>43143828</v>
      </c>
      <c r="AJ380">
        <v>379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</row>
    <row r="381" spans="1:44" x14ac:dyDescent="0.2">
      <c r="A381">
        <f>ROW(Source!A598)</f>
        <v>598</v>
      </c>
      <c r="B381">
        <v>43143829</v>
      </c>
      <c r="C381">
        <v>43143687</v>
      </c>
      <c r="D381">
        <v>36044719</v>
      </c>
      <c r="E381">
        <v>1</v>
      </c>
      <c r="F381">
        <v>1</v>
      </c>
      <c r="G381">
        <v>35973048</v>
      </c>
      <c r="H381">
        <v>2</v>
      </c>
      <c r="I381" t="s">
        <v>1255</v>
      </c>
      <c r="J381" t="s">
        <v>1256</v>
      </c>
      <c r="K381" t="s">
        <v>1257</v>
      </c>
      <c r="L381">
        <v>1367</v>
      </c>
      <c r="N381">
        <v>1011</v>
      </c>
      <c r="O381" t="s">
        <v>738</v>
      </c>
      <c r="P381" t="s">
        <v>738</v>
      </c>
      <c r="Q381">
        <v>1</v>
      </c>
      <c r="X381">
        <v>7.17</v>
      </c>
      <c r="Y381">
        <v>0</v>
      </c>
      <c r="Z381">
        <v>169.44</v>
      </c>
      <c r="AA381">
        <v>15.02</v>
      </c>
      <c r="AB381">
        <v>0</v>
      </c>
      <c r="AC381">
        <v>0</v>
      </c>
      <c r="AD381">
        <v>1</v>
      </c>
      <c r="AE381">
        <v>0</v>
      </c>
      <c r="AF381" t="s">
        <v>20</v>
      </c>
      <c r="AG381">
        <v>8.9625000000000004</v>
      </c>
      <c r="AH381">
        <v>2</v>
      </c>
      <c r="AI381">
        <v>43143829</v>
      </c>
      <c r="AJ381">
        <v>380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</row>
    <row r="382" spans="1:44" x14ac:dyDescent="0.2">
      <c r="A382">
        <f>ROW(Source!A598)</f>
        <v>598</v>
      </c>
      <c r="B382">
        <v>43143830</v>
      </c>
      <c r="C382">
        <v>43143687</v>
      </c>
      <c r="D382">
        <v>36044720</v>
      </c>
      <c r="E382">
        <v>1</v>
      </c>
      <c r="F382">
        <v>1</v>
      </c>
      <c r="G382">
        <v>35973048</v>
      </c>
      <c r="H382">
        <v>2</v>
      </c>
      <c r="I382" t="s">
        <v>765</v>
      </c>
      <c r="J382" t="s">
        <v>767</v>
      </c>
      <c r="K382" t="s">
        <v>766</v>
      </c>
      <c r="L382">
        <v>1367</v>
      </c>
      <c r="N382">
        <v>1011</v>
      </c>
      <c r="O382" t="s">
        <v>738</v>
      </c>
      <c r="P382" t="s">
        <v>738</v>
      </c>
      <c r="Q382">
        <v>1</v>
      </c>
      <c r="X382">
        <v>14.6</v>
      </c>
      <c r="Y382">
        <v>0</v>
      </c>
      <c r="Z382">
        <v>219.5</v>
      </c>
      <c r="AA382">
        <v>17.510000000000002</v>
      </c>
      <c r="AB382">
        <v>0</v>
      </c>
      <c r="AC382">
        <v>0</v>
      </c>
      <c r="AD382">
        <v>1</v>
      </c>
      <c r="AE382">
        <v>0</v>
      </c>
      <c r="AF382" t="s">
        <v>20</v>
      </c>
      <c r="AG382">
        <v>18.25</v>
      </c>
      <c r="AH382">
        <v>2</v>
      </c>
      <c r="AI382">
        <v>43143830</v>
      </c>
      <c r="AJ382">
        <v>381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</row>
    <row r="383" spans="1:44" x14ac:dyDescent="0.2">
      <c r="A383">
        <f>ROW(Source!A598)</f>
        <v>598</v>
      </c>
      <c r="B383">
        <v>43143831</v>
      </c>
      <c r="C383">
        <v>43143687</v>
      </c>
      <c r="D383">
        <v>36044762</v>
      </c>
      <c r="E383">
        <v>1</v>
      </c>
      <c r="F383">
        <v>1</v>
      </c>
      <c r="G383">
        <v>35973048</v>
      </c>
      <c r="H383">
        <v>2</v>
      </c>
      <c r="I383" t="s">
        <v>736</v>
      </c>
      <c r="J383" t="s">
        <v>739</v>
      </c>
      <c r="K383" t="s">
        <v>737</v>
      </c>
      <c r="L383">
        <v>1367</v>
      </c>
      <c r="N383">
        <v>1011</v>
      </c>
      <c r="O383" t="s">
        <v>738</v>
      </c>
      <c r="P383" t="s">
        <v>738</v>
      </c>
      <c r="Q383">
        <v>1</v>
      </c>
      <c r="X383">
        <v>1.79</v>
      </c>
      <c r="Y383">
        <v>0</v>
      </c>
      <c r="Z383">
        <v>125.13</v>
      </c>
      <c r="AA383">
        <v>24.74</v>
      </c>
      <c r="AB383">
        <v>0</v>
      </c>
      <c r="AC383">
        <v>0</v>
      </c>
      <c r="AD383">
        <v>1</v>
      </c>
      <c r="AE383">
        <v>0</v>
      </c>
      <c r="AF383" t="s">
        <v>20</v>
      </c>
      <c r="AG383">
        <v>2.2374999999999998</v>
      </c>
      <c r="AH383">
        <v>2</v>
      </c>
      <c r="AI383">
        <v>43143831</v>
      </c>
      <c r="AJ383">
        <v>382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</row>
    <row r="384" spans="1:44" x14ac:dyDescent="0.2">
      <c r="A384">
        <f>ROW(Source!A598)</f>
        <v>598</v>
      </c>
      <c r="B384">
        <v>43143832</v>
      </c>
      <c r="C384">
        <v>43143687</v>
      </c>
      <c r="D384">
        <v>36044724</v>
      </c>
      <c r="E384">
        <v>1</v>
      </c>
      <c r="F384">
        <v>1</v>
      </c>
      <c r="G384">
        <v>35973048</v>
      </c>
      <c r="H384">
        <v>2</v>
      </c>
      <c r="I384" t="s">
        <v>741</v>
      </c>
      <c r="J384" t="s">
        <v>743</v>
      </c>
      <c r="K384" t="s">
        <v>742</v>
      </c>
      <c r="L384">
        <v>1367</v>
      </c>
      <c r="N384">
        <v>1011</v>
      </c>
      <c r="O384" t="s">
        <v>738</v>
      </c>
      <c r="P384" t="s">
        <v>738</v>
      </c>
      <c r="Q384">
        <v>1</v>
      </c>
      <c r="X384">
        <v>0.52</v>
      </c>
      <c r="Y384">
        <v>0</v>
      </c>
      <c r="Z384">
        <v>177.54</v>
      </c>
      <c r="AA384">
        <v>17.420000000000002</v>
      </c>
      <c r="AB384">
        <v>0</v>
      </c>
      <c r="AC384">
        <v>0</v>
      </c>
      <c r="AD384">
        <v>1</v>
      </c>
      <c r="AE384">
        <v>0</v>
      </c>
      <c r="AF384" t="s">
        <v>20</v>
      </c>
      <c r="AG384">
        <v>0.65</v>
      </c>
      <c r="AH384">
        <v>2</v>
      </c>
      <c r="AI384">
        <v>43143832</v>
      </c>
      <c r="AJ384">
        <v>383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</row>
    <row r="385" spans="1:44" x14ac:dyDescent="0.2">
      <c r="A385">
        <f>ROW(Source!A598)</f>
        <v>598</v>
      </c>
      <c r="B385">
        <v>43143833</v>
      </c>
      <c r="C385">
        <v>43143687</v>
      </c>
      <c r="D385">
        <v>36020415</v>
      </c>
      <c r="E385">
        <v>1</v>
      </c>
      <c r="F385">
        <v>1</v>
      </c>
      <c r="G385">
        <v>35973048</v>
      </c>
      <c r="H385">
        <v>3</v>
      </c>
      <c r="I385" t="s">
        <v>469</v>
      </c>
      <c r="J385" t="s">
        <v>471</v>
      </c>
      <c r="K385" t="s">
        <v>470</v>
      </c>
      <c r="L385">
        <v>1339</v>
      </c>
      <c r="N385">
        <v>1007</v>
      </c>
      <c r="O385" t="s">
        <v>84</v>
      </c>
      <c r="P385" t="s">
        <v>84</v>
      </c>
      <c r="Q385">
        <v>1</v>
      </c>
      <c r="X385">
        <v>7</v>
      </c>
      <c r="Y385">
        <v>7.07</v>
      </c>
      <c r="Z385">
        <v>0</v>
      </c>
      <c r="AA385">
        <v>0</v>
      </c>
      <c r="AB385">
        <v>0</v>
      </c>
      <c r="AC385">
        <v>0</v>
      </c>
      <c r="AD385">
        <v>1</v>
      </c>
      <c r="AE385">
        <v>0</v>
      </c>
      <c r="AF385" t="s">
        <v>3</v>
      </c>
      <c r="AG385">
        <v>7</v>
      </c>
      <c r="AH385">
        <v>2</v>
      </c>
      <c r="AI385">
        <v>43143833</v>
      </c>
      <c r="AJ385">
        <v>384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</row>
    <row r="386" spans="1:44" x14ac:dyDescent="0.2">
      <c r="A386">
        <f>ROW(Source!A598)</f>
        <v>598</v>
      </c>
      <c r="B386">
        <v>43143834</v>
      </c>
      <c r="C386">
        <v>43143687</v>
      </c>
      <c r="D386">
        <v>35990270</v>
      </c>
      <c r="E386">
        <v>35973048</v>
      </c>
      <c r="F386">
        <v>1</v>
      </c>
      <c r="G386">
        <v>35973048</v>
      </c>
      <c r="H386">
        <v>3</v>
      </c>
      <c r="I386" t="s">
        <v>1463</v>
      </c>
      <c r="J386" t="s">
        <v>3</v>
      </c>
      <c r="K386" t="s">
        <v>1464</v>
      </c>
      <c r="L386">
        <v>1339</v>
      </c>
      <c r="N386">
        <v>1007</v>
      </c>
      <c r="O386" t="s">
        <v>84</v>
      </c>
      <c r="P386" t="s">
        <v>84</v>
      </c>
      <c r="Q386">
        <v>1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 t="s">
        <v>3</v>
      </c>
      <c r="AG386">
        <v>0</v>
      </c>
      <c r="AH386">
        <v>3</v>
      </c>
      <c r="AI386">
        <v>-1</v>
      </c>
      <c r="AJ386" t="s">
        <v>3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</row>
    <row r="387" spans="1:44" x14ac:dyDescent="0.2">
      <c r="A387">
        <f>ROW(Source!A606)</f>
        <v>606</v>
      </c>
      <c r="B387">
        <v>43148783</v>
      </c>
      <c r="C387">
        <v>43143865</v>
      </c>
      <c r="D387">
        <v>35973053</v>
      </c>
      <c r="E387">
        <v>35973048</v>
      </c>
      <c r="F387">
        <v>1</v>
      </c>
      <c r="G387">
        <v>35973048</v>
      </c>
      <c r="H387">
        <v>1</v>
      </c>
      <c r="I387" t="s">
        <v>1228</v>
      </c>
      <c r="J387" t="s">
        <v>3</v>
      </c>
      <c r="K387" t="s">
        <v>1229</v>
      </c>
      <c r="L387">
        <v>1191</v>
      </c>
      <c r="N387">
        <v>1013</v>
      </c>
      <c r="O387" t="s">
        <v>1230</v>
      </c>
      <c r="P387" t="s">
        <v>1230</v>
      </c>
      <c r="Q387">
        <v>1</v>
      </c>
      <c r="X387">
        <v>7.32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1</v>
      </c>
      <c r="AE387">
        <v>1</v>
      </c>
      <c r="AF387" t="s">
        <v>21</v>
      </c>
      <c r="AG387">
        <v>8.4179999999999993</v>
      </c>
      <c r="AH387">
        <v>2</v>
      </c>
      <c r="AI387">
        <v>43148783</v>
      </c>
      <c r="AJ387">
        <v>387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</row>
    <row r="388" spans="1:44" x14ac:dyDescent="0.2">
      <c r="A388">
        <f>ROW(Source!A606)</f>
        <v>606</v>
      </c>
      <c r="B388">
        <v>43148784</v>
      </c>
      <c r="C388">
        <v>43143865</v>
      </c>
      <c r="D388">
        <v>36045311</v>
      </c>
      <c r="E388">
        <v>1</v>
      </c>
      <c r="F388">
        <v>1</v>
      </c>
      <c r="G388">
        <v>35973048</v>
      </c>
      <c r="H388">
        <v>2</v>
      </c>
      <c r="I388" t="s">
        <v>1308</v>
      </c>
      <c r="J388" t="s">
        <v>1309</v>
      </c>
      <c r="K388" t="s">
        <v>1310</v>
      </c>
      <c r="L388">
        <v>1367</v>
      </c>
      <c r="N388">
        <v>1011</v>
      </c>
      <c r="O388" t="s">
        <v>738</v>
      </c>
      <c r="P388" t="s">
        <v>738</v>
      </c>
      <c r="Q388">
        <v>1</v>
      </c>
      <c r="X388">
        <v>0.02</v>
      </c>
      <c r="Y388">
        <v>0</v>
      </c>
      <c r="Z388">
        <v>113.31</v>
      </c>
      <c r="AA388">
        <v>15.56</v>
      </c>
      <c r="AB388">
        <v>0</v>
      </c>
      <c r="AC388">
        <v>0</v>
      </c>
      <c r="AD388">
        <v>1</v>
      </c>
      <c r="AE388">
        <v>0</v>
      </c>
      <c r="AF388" t="s">
        <v>20</v>
      </c>
      <c r="AG388">
        <v>2.5000000000000001E-2</v>
      </c>
      <c r="AH388">
        <v>2</v>
      </c>
      <c r="AI388">
        <v>43148784</v>
      </c>
      <c r="AJ388">
        <v>388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</row>
    <row r="389" spans="1:44" x14ac:dyDescent="0.2">
      <c r="A389">
        <f>ROW(Source!A606)</f>
        <v>606</v>
      </c>
      <c r="B389">
        <v>43148786</v>
      </c>
      <c r="C389">
        <v>43143865</v>
      </c>
      <c r="D389">
        <v>36045430</v>
      </c>
      <c r="E389">
        <v>1</v>
      </c>
      <c r="F389">
        <v>1</v>
      </c>
      <c r="G389">
        <v>35973048</v>
      </c>
      <c r="H389">
        <v>2</v>
      </c>
      <c r="I389" t="s">
        <v>1311</v>
      </c>
      <c r="J389" t="s">
        <v>1312</v>
      </c>
      <c r="K389" t="s">
        <v>1313</v>
      </c>
      <c r="L389">
        <v>1367</v>
      </c>
      <c r="N389">
        <v>1011</v>
      </c>
      <c r="O389" t="s">
        <v>738</v>
      </c>
      <c r="P389" t="s">
        <v>738</v>
      </c>
      <c r="Q389">
        <v>1</v>
      </c>
      <c r="X389">
        <v>0.11</v>
      </c>
      <c r="Y389">
        <v>0</v>
      </c>
      <c r="Z389">
        <v>2.21</v>
      </c>
      <c r="AA389">
        <v>0.04</v>
      </c>
      <c r="AB389">
        <v>0</v>
      </c>
      <c r="AC389">
        <v>0</v>
      </c>
      <c r="AD389">
        <v>1</v>
      </c>
      <c r="AE389">
        <v>0</v>
      </c>
      <c r="AF389" t="s">
        <v>20</v>
      </c>
      <c r="AG389">
        <v>0.13750000000000001</v>
      </c>
      <c r="AH389">
        <v>2</v>
      </c>
      <c r="AI389">
        <v>43148786</v>
      </c>
      <c r="AJ389">
        <v>389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</row>
    <row r="390" spans="1:44" x14ac:dyDescent="0.2">
      <c r="A390">
        <f>ROW(Source!A606)</f>
        <v>606</v>
      </c>
      <c r="B390">
        <v>43148787</v>
      </c>
      <c r="C390">
        <v>43143865</v>
      </c>
      <c r="D390">
        <v>36045388</v>
      </c>
      <c r="E390">
        <v>1</v>
      </c>
      <c r="F390">
        <v>1</v>
      </c>
      <c r="G390">
        <v>35973048</v>
      </c>
      <c r="H390">
        <v>2</v>
      </c>
      <c r="I390" t="s">
        <v>1314</v>
      </c>
      <c r="J390" t="s">
        <v>1315</v>
      </c>
      <c r="K390" t="s">
        <v>1316</v>
      </c>
      <c r="L390">
        <v>1367</v>
      </c>
      <c r="N390">
        <v>1011</v>
      </c>
      <c r="O390" t="s">
        <v>738</v>
      </c>
      <c r="P390" t="s">
        <v>738</v>
      </c>
      <c r="Q390">
        <v>1</v>
      </c>
      <c r="X390">
        <v>0.03</v>
      </c>
      <c r="Y390">
        <v>0</v>
      </c>
      <c r="Z390">
        <v>0.64</v>
      </c>
      <c r="AA390">
        <v>0.04</v>
      </c>
      <c r="AB390">
        <v>0</v>
      </c>
      <c r="AC390">
        <v>0</v>
      </c>
      <c r="AD390">
        <v>1</v>
      </c>
      <c r="AE390">
        <v>0</v>
      </c>
      <c r="AF390" t="s">
        <v>20</v>
      </c>
      <c r="AG390">
        <v>3.7499999999999999E-2</v>
      </c>
      <c r="AH390">
        <v>2</v>
      </c>
      <c r="AI390">
        <v>43148787</v>
      </c>
      <c r="AJ390">
        <v>390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</row>
    <row r="391" spans="1:44" x14ac:dyDescent="0.2">
      <c r="A391">
        <f>ROW(Source!A606)</f>
        <v>606</v>
      </c>
      <c r="B391">
        <v>43148785</v>
      </c>
      <c r="C391">
        <v>43143865</v>
      </c>
      <c r="D391">
        <v>36044555</v>
      </c>
      <c r="E391">
        <v>1</v>
      </c>
      <c r="F391">
        <v>1</v>
      </c>
      <c r="G391">
        <v>35973048</v>
      </c>
      <c r="H391">
        <v>2</v>
      </c>
      <c r="I391" t="s">
        <v>1267</v>
      </c>
      <c r="J391" t="s">
        <v>1268</v>
      </c>
      <c r="K391" t="s">
        <v>1269</v>
      </c>
      <c r="L391">
        <v>1367</v>
      </c>
      <c r="N391">
        <v>1011</v>
      </c>
      <c r="O391" t="s">
        <v>738</v>
      </c>
      <c r="P391" t="s">
        <v>738</v>
      </c>
      <c r="Q391">
        <v>1</v>
      </c>
      <c r="X391">
        <v>0.02</v>
      </c>
      <c r="Y391">
        <v>0</v>
      </c>
      <c r="Z391">
        <v>190.93</v>
      </c>
      <c r="AA391">
        <v>18.149999999999999</v>
      </c>
      <c r="AB391">
        <v>0</v>
      </c>
      <c r="AC391">
        <v>0</v>
      </c>
      <c r="AD391">
        <v>1</v>
      </c>
      <c r="AE391">
        <v>0</v>
      </c>
      <c r="AF391" t="s">
        <v>20</v>
      </c>
      <c r="AG391">
        <v>2.5000000000000001E-2</v>
      </c>
      <c r="AH391">
        <v>2</v>
      </c>
      <c r="AI391">
        <v>43148785</v>
      </c>
      <c r="AJ391">
        <v>391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</row>
    <row r="392" spans="1:44" x14ac:dyDescent="0.2">
      <c r="A392">
        <f>ROW(Source!A606)</f>
        <v>606</v>
      </c>
      <c r="B392">
        <v>43148788</v>
      </c>
      <c r="C392">
        <v>43143865</v>
      </c>
      <c r="D392">
        <v>36020412</v>
      </c>
      <c r="E392">
        <v>1</v>
      </c>
      <c r="F392">
        <v>1</v>
      </c>
      <c r="G392">
        <v>35973048</v>
      </c>
      <c r="H392">
        <v>3</v>
      </c>
      <c r="I392" t="s">
        <v>1317</v>
      </c>
      <c r="J392" t="s">
        <v>1318</v>
      </c>
      <c r="K392" t="s">
        <v>1319</v>
      </c>
      <c r="L392">
        <v>1346</v>
      </c>
      <c r="N392">
        <v>1009</v>
      </c>
      <c r="O392" t="s">
        <v>131</v>
      </c>
      <c r="P392" t="s">
        <v>131</v>
      </c>
      <c r="Q392">
        <v>1</v>
      </c>
      <c r="X392">
        <v>0.5</v>
      </c>
      <c r="Y392">
        <v>1.61</v>
      </c>
      <c r="Z392">
        <v>0</v>
      </c>
      <c r="AA392">
        <v>0</v>
      </c>
      <c r="AB392">
        <v>0</v>
      </c>
      <c r="AC392">
        <v>0</v>
      </c>
      <c r="AD392">
        <v>1</v>
      </c>
      <c r="AE392">
        <v>0</v>
      </c>
      <c r="AF392" t="s">
        <v>3</v>
      </c>
      <c r="AG392">
        <v>0.5</v>
      </c>
      <c r="AH392">
        <v>2</v>
      </c>
      <c r="AI392">
        <v>43148788</v>
      </c>
      <c r="AJ392">
        <v>392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</row>
    <row r="393" spans="1:44" x14ac:dyDescent="0.2">
      <c r="A393">
        <f>ROW(Source!A606)</f>
        <v>606</v>
      </c>
      <c r="B393">
        <v>43148789</v>
      </c>
      <c r="C393">
        <v>43143865</v>
      </c>
      <c r="D393">
        <v>36020415</v>
      </c>
      <c r="E393">
        <v>1</v>
      </c>
      <c r="F393">
        <v>1</v>
      </c>
      <c r="G393">
        <v>35973048</v>
      </c>
      <c r="H393">
        <v>3</v>
      </c>
      <c r="I393" t="s">
        <v>469</v>
      </c>
      <c r="J393" t="s">
        <v>471</v>
      </c>
      <c r="K393" t="s">
        <v>470</v>
      </c>
      <c r="L393">
        <v>1339</v>
      </c>
      <c r="N393">
        <v>1007</v>
      </c>
      <c r="O393" t="s">
        <v>84</v>
      </c>
      <c r="P393" t="s">
        <v>84</v>
      </c>
      <c r="Q393">
        <v>1</v>
      </c>
      <c r="X393">
        <v>0.52600000000000002</v>
      </c>
      <c r="Y393">
        <v>7.07</v>
      </c>
      <c r="Z393">
        <v>0</v>
      </c>
      <c r="AA393">
        <v>0</v>
      </c>
      <c r="AB393">
        <v>0</v>
      </c>
      <c r="AC393">
        <v>0</v>
      </c>
      <c r="AD393">
        <v>1</v>
      </c>
      <c r="AE393">
        <v>0</v>
      </c>
      <c r="AF393" t="s">
        <v>3</v>
      </c>
      <c r="AG393">
        <v>0.52600000000000002</v>
      </c>
      <c r="AH393">
        <v>2</v>
      </c>
      <c r="AI393">
        <v>43148789</v>
      </c>
      <c r="AJ393">
        <v>393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</row>
    <row r="394" spans="1:44" x14ac:dyDescent="0.2">
      <c r="A394">
        <f>ROW(Source!A606)</f>
        <v>606</v>
      </c>
      <c r="B394">
        <v>43148790</v>
      </c>
      <c r="C394">
        <v>43143865</v>
      </c>
      <c r="D394">
        <v>36022664</v>
      </c>
      <c r="E394">
        <v>1</v>
      </c>
      <c r="F394">
        <v>1</v>
      </c>
      <c r="G394">
        <v>35973048</v>
      </c>
      <c r="H394">
        <v>3</v>
      </c>
      <c r="I394" t="s">
        <v>1320</v>
      </c>
      <c r="J394" t="s">
        <v>1321</v>
      </c>
      <c r="K394" t="s">
        <v>1322</v>
      </c>
      <c r="L394">
        <v>1346</v>
      </c>
      <c r="N394">
        <v>1009</v>
      </c>
      <c r="O394" t="s">
        <v>131</v>
      </c>
      <c r="P394" t="s">
        <v>131</v>
      </c>
      <c r="Q394">
        <v>1</v>
      </c>
      <c r="X394">
        <v>9.2799999999999994E-2</v>
      </c>
      <c r="Y394">
        <v>27.63</v>
      </c>
      <c r="Z394">
        <v>0</v>
      </c>
      <c r="AA394">
        <v>0</v>
      </c>
      <c r="AB394">
        <v>0</v>
      </c>
      <c r="AC394">
        <v>0</v>
      </c>
      <c r="AD394">
        <v>1</v>
      </c>
      <c r="AE394">
        <v>0</v>
      </c>
      <c r="AF394" t="s">
        <v>3</v>
      </c>
      <c r="AG394">
        <v>9.2799999999999994E-2</v>
      </c>
      <c r="AH394">
        <v>2</v>
      </c>
      <c r="AI394">
        <v>43148790</v>
      </c>
      <c r="AJ394">
        <v>394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</row>
    <row r="395" spans="1:44" x14ac:dyDescent="0.2">
      <c r="A395">
        <f>ROW(Source!A606)</f>
        <v>606</v>
      </c>
      <c r="B395">
        <v>43148791</v>
      </c>
      <c r="C395">
        <v>43143865</v>
      </c>
      <c r="D395">
        <v>36020901</v>
      </c>
      <c r="E395">
        <v>1</v>
      </c>
      <c r="F395">
        <v>1</v>
      </c>
      <c r="G395">
        <v>35973048</v>
      </c>
      <c r="H395">
        <v>3</v>
      </c>
      <c r="I395" t="s">
        <v>1323</v>
      </c>
      <c r="J395" t="s">
        <v>1324</v>
      </c>
      <c r="K395" t="s">
        <v>1325</v>
      </c>
      <c r="L395">
        <v>1348</v>
      </c>
      <c r="N395">
        <v>1009</v>
      </c>
      <c r="O395" t="s">
        <v>104</v>
      </c>
      <c r="P395" t="s">
        <v>104</v>
      </c>
      <c r="Q395">
        <v>1000</v>
      </c>
      <c r="X395">
        <v>3.5E-4</v>
      </c>
      <c r="Y395">
        <v>18054.14</v>
      </c>
      <c r="Z395">
        <v>0</v>
      </c>
      <c r="AA395">
        <v>0</v>
      </c>
      <c r="AB395">
        <v>0</v>
      </c>
      <c r="AC395">
        <v>0</v>
      </c>
      <c r="AD395">
        <v>1</v>
      </c>
      <c r="AE395">
        <v>0</v>
      </c>
      <c r="AF395" t="s">
        <v>3</v>
      </c>
      <c r="AG395">
        <v>3.5E-4</v>
      </c>
      <c r="AH395">
        <v>2</v>
      </c>
      <c r="AI395">
        <v>43148791</v>
      </c>
      <c r="AJ395">
        <v>395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</row>
    <row r="396" spans="1:44" x14ac:dyDescent="0.2">
      <c r="A396">
        <f>ROW(Source!A606)</f>
        <v>606</v>
      </c>
      <c r="B396">
        <v>43148792</v>
      </c>
      <c r="C396">
        <v>43143865</v>
      </c>
      <c r="D396">
        <v>36020974</v>
      </c>
      <c r="E396">
        <v>1</v>
      </c>
      <c r="F396">
        <v>1</v>
      </c>
      <c r="G396">
        <v>35973048</v>
      </c>
      <c r="H396">
        <v>3</v>
      </c>
      <c r="I396" t="s">
        <v>91</v>
      </c>
      <c r="J396" t="s">
        <v>93</v>
      </c>
      <c r="K396" t="s">
        <v>92</v>
      </c>
      <c r="L396">
        <v>1339</v>
      </c>
      <c r="N396">
        <v>1007</v>
      </c>
      <c r="O396" t="s">
        <v>84</v>
      </c>
      <c r="P396" t="s">
        <v>84</v>
      </c>
      <c r="Q396">
        <v>1</v>
      </c>
      <c r="X396">
        <v>2.37</v>
      </c>
      <c r="Y396">
        <v>104.99</v>
      </c>
      <c r="Z396">
        <v>0</v>
      </c>
      <c r="AA396">
        <v>0</v>
      </c>
      <c r="AB396">
        <v>0</v>
      </c>
      <c r="AC396">
        <v>0</v>
      </c>
      <c r="AD396">
        <v>1</v>
      </c>
      <c r="AE396">
        <v>0</v>
      </c>
      <c r="AF396" t="s">
        <v>3</v>
      </c>
      <c r="AG396">
        <v>2.37</v>
      </c>
      <c r="AH396">
        <v>2</v>
      </c>
      <c r="AI396">
        <v>43148792</v>
      </c>
      <c r="AJ396">
        <v>396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</row>
    <row r="397" spans="1:44" x14ac:dyDescent="0.2">
      <c r="A397">
        <f>ROW(Source!A606)</f>
        <v>606</v>
      </c>
      <c r="B397">
        <v>43148793</v>
      </c>
      <c r="C397">
        <v>43143865</v>
      </c>
      <c r="D397">
        <v>36042796</v>
      </c>
      <c r="E397">
        <v>1</v>
      </c>
      <c r="F397">
        <v>1</v>
      </c>
      <c r="G397">
        <v>35973048</v>
      </c>
      <c r="H397">
        <v>3</v>
      </c>
      <c r="I397" t="s">
        <v>1326</v>
      </c>
      <c r="J397" t="s">
        <v>1327</v>
      </c>
      <c r="K397" t="s">
        <v>1328</v>
      </c>
      <c r="L397">
        <v>1354</v>
      </c>
      <c r="N397">
        <v>1010</v>
      </c>
      <c r="O397" t="s">
        <v>169</v>
      </c>
      <c r="P397" t="s">
        <v>169</v>
      </c>
      <c r="Q397">
        <v>1</v>
      </c>
      <c r="X397">
        <v>4</v>
      </c>
      <c r="Y397">
        <v>13</v>
      </c>
      <c r="Z397">
        <v>0</v>
      </c>
      <c r="AA397">
        <v>0</v>
      </c>
      <c r="AB397">
        <v>0</v>
      </c>
      <c r="AC397">
        <v>0</v>
      </c>
      <c r="AD397">
        <v>1</v>
      </c>
      <c r="AE397">
        <v>0</v>
      </c>
      <c r="AF397" t="s">
        <v>3</v>
      </c>
      <c r="AG397">
        <v>4</v>
      </c>
      <c r="AH397">
        <v>2</v>
      </c>
      <c r="AI397">
        <v>43148793</v>
      </c>
      <c r="AJ397">
        <v>400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</row>
    <row r="398" spans="1:44" x14ac:dyDescent="0.2">
      <c r="A398">
        <f>ROW(Source!A606)</f>
        <v>606</v>
      </c>
      <c r="B398">
        <v>43148794</v>
      </c>
      <c r="C398">
        <v>43143865</v>
      </c>
      <c r="D398">
        <v>38558703</v>
      </c>
      <c r="E398">
        <v>35973048</v>
      </c>
      <c r="F398">
        <v>1</v>
      </c>
      <c r="G398">
        <v>35973048</v>
      </c>
      <c r="H398">
        <v>3</v>
      </c>
      <c r="I398" t="s">
        <v>1480</v>
      </c>
      <c r="J398" t="s">
        <v>3</v>
      </c>
      <c r="K398" t="s">
        <v>1481</v>
      </c>
      <c r="L398">
        <v>1354</v>
      </c>
      <c r="N398">
        <v>1010</v>
      </c>
      <c r="O398" t="s">
        <v>169</v>
      </c>
      <c r="P398" t="s">
        <v>169</v>
      </c>
      <c r="Q398">
        <v>1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 t="s">
        <v>3</v>
      </c>
      <c r="AG398">
        <v>0</v>
      </c>
      <c r="AH398">
        <v>3</v>
      </c>
      <c r="AI398">
        <v>-1</v>
      </c>
      <c r="AJ398" t="s">
        <v>3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</row>
    <row r="399" spans="1:44" x14ac:dyDescent="0.2">
      <c r="A399">
        <f>ROW(Source!A606)</f>
        <v>606</v>
      </c>
      <c r="B399">
        <v>43148795</v>
      </c>
      <c r="C399">
        <v>43143865</v>
      </c>
      <c r="D399">
        <v>35994366</v>
      </c>
      <c r="E399">
        <v>35973048</v>
      </c>
      <c r="F399">
        <v>1</v>
      </c>
      <c r="G399">
        <v>35973048</v>
      </c>
      <c r="H399">
        <v>3</v>
      </c>
      <c r="I399" t="s">
        <v>1294</v>
      </c>
      <c r="J399" t="s">
        <v>3</v>
      </c>
      <c r="K399" t="s">
        <v>1295</v>
      </c>
      <c r="L399">
        <v>1344</v>
      </c>
      <c r="N399">
        <v>1008</v>
      </c>
      <c r="O399" t="s">
        <v>1245</v>
      </c>
      <c r="P399" t="s">
        <v>1245</v>
      </c>
      <c r="Q399">
        <v>1</v>
      </c>
      <c r="X399">
        <v>0.01</v>
      </c>
      <c r="Y399">
        <v>1</v>
      </c>
      <c r="Z399">
        <v>0</v>
      </c>
      <c r="AA399">
        <v>0</v>
      </c>
      <c r="AB399">
        <v>0</v>
      </c>
      <c r="AC399">
        <v>0</v>
      </c>
      <c r="AD399">
        <v>1</v>
      </c>
      <c r="AE399">
        <v>0</v>
      </c>
      <c r="AF399" t="s">
        <v>3</v>
      </c>
      <c r="AG399">
        <v>0.01</v>
      </c>
      <c r="AH399">
        <v>2</v>
      </c>
      <c r="AI399">
        <v>43148795</v>
      </c>
      <c r="AJ399">
        <v>401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</row>
    <row r="400" spans="1:44" x14ac:dyDescent="0.2">
      <c r="A400">
        <f>ROW(Source!A694)</f>
        <v>694</v>
      </c>
      <c r="B400">
        <v>43144003</v>
      </c>
      <c r="C400">
        <v>43144002</v>
      </c>
      <c r="D400">
        <v>35973053</v>
      </c>
      <c r="E400">
        <v>35973048</v>
      </c>
      <c r="F400">
        <v>1</v>
      </c>
      <c r="G400">
        <v>35973048</v>
      </c>
      <c r="H400">
        <v>1</v>
      </c>
      <c r="I400" t="s">
        <v>1228</v>
      </c>
      <c r="J400" t="s">
        <v>3</v>
      </c>
      <c r="K400" t="s">
        <v>1229</v>
      </c>
      <c r="L400">
        <v>1191</v>
      </c>
      <c r="N400">
        <v>1013</v>
      </c>
      <c r="O400" t="s">
        <v>1230</v>
      </c>
      <c r="P400" t="s">
        <v>1230</v>
      </c>
      <c r="Q400">
        <v>1</v>
      </c>
      <c r="X400">
        <v>6.16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1</v>
      </c>
      <c r="AE400">
        <v>1</v>
      </c>
      <c r="AF400" t="s">
        <v>21</v>
      </c>
      <c r="AG400">
        <v>7.0839999999999996</v>
      </c>
      <c r="AH400">
        <v>2</v>
      </c>
      <c r="AI400">
        <v>43144003</v>
      </c>
      <c r="AJ400">
        <v>402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</row>
    <row r="401" spans="1:44" x14ac:dyDescent="0.2">
      <c r="A401">
        <f>ROW(Source!A694)</f>
        <v>694</v>
      </c>
      <c r="B401">
        <v>43144004</v>
      </c>
      <c r="C401">
        <v>43144002</v>
      </c>
      <c r="D401">
        <v>36044734</v>
      </c>
      <c r="E401">
        <v>1</v>
      </c>
      <c r="F401">
        <v>1</v>
      </c>
      <c r="G401">
        <v>35973048</v>
      </c>
      <c r="H401">
        <v>2</v>
      </c>
      <c r="I401" t="s">
        <v>745</v>
      </c>
      <c r="J401" t="s">
        <v>747</v>
      </c>
      <c r="K401" t="s">
        <v>746</v>
      </c>
      <c r="L401">
        <v>1367</v>
      </c>
      <c r="N401">
        <v>1011</v>
      </c>
      <c r="O401" t="s">
        <v>738</v>
      </c>
      <c r="P401" t="s">
        <v>738</v>
      </c>
      <c r="Q401">
        <v>1</v>
      </c>
      <c r="X401">
        <v>0.26</v>
      </c>
      <c r="Y401">
        <v>0</v>
      </c>
      <c r="Z401">
        <v>246.68</v>
      </c>
      <c r="AA401">
        <v>13.37</v>
      </c>
      <c r="AB401">
        <v>0</v>
      </c>
      <c r="AC401">
        <v>0</v>
      </c>
      <c r="AD401">
        <v>1</v>
      </c>
      <c r="AE401">
        <v>0</v>
      </c>
      <c r="AF401" t="s">
        <v>20</v>
      </c>
      <c r="AG401">
        <v>0.32500000000000001</v>
      </c>
      <c r="AH401">
        <v>2</v>
      </c>
      <c r="AI401">
        <v>43144004</v>
      </c>
      <c r="AJ401">
        <v>403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</row>
    <row r="402" spans="1:44" x14ac:dyDescent="0.2">
      <c r="A402">
        <f>ROW(Source!A694)</f>
        <v>694</v>
      </c>
      <c r="B402">
        <v>43144005</v>
      </c>
      <c r="C402">
        <v>43144002</v>
      </c>
      <c r="D402">
        <v>36020415</v>
      </c>
      <c r="E402">
        <v>1</v>
      </c>
      <c r="F402">
        <v>1</v>
      </c>
      <c r="G402">
        <v>35973048</v>
      </c>
      <c r="H402">
        <v>3</v>
      </c>
      <c r="I402" t="s">
        <v>469</v>
      </c>
      <c r="J402" t="s">
        <v>471</v>
      </c>
      <c r="K402" t="s">
        <v>470</v>
      </c>
      <c r="L402">
        <v>1339</v>
      </c>
      <c r="N402">
        <v>1007</v>
      </c>
      <c r="O402" t="s">
        <v>84</v>
      </c>
      <c r="P402" t="s">
        <v>84</v>
      </c>
      <c r="Q402">
        <v>1</v>
      </c>
      <c r="X402">
        <v>1.07</v>
      </c>
      <c r="Y402">
        <v>7.07</v>
      </c>
      <c r="Z402">
        <v>0</v>
      </c>
      <c r="AA402">
        <v>0</v>
      </c>
      <c r="AB402">
        <v>0</v>
      </c>
      <c r="AC402">
        <v>0</v>
      </c>
      <c r="AD402">
        <v>1</v>
      </c>
      <c r="AE402">
        <v>0</v>
      </c>
      <c r="AF402" t="s">
        <v>3</v>
      </c>
      <c r="AG402">
        <v>1.07</v>
      </c>
      <c r="AH402">
        <v>2</v>
      </c>
      <c r="AI402">
        <v>43144005</v>
      </c>
      <c r="AJ402">
        <v>404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</row>
    <row r="403" spans="1:44" x14ac:dyDescent="0.2">
      <c r="A403">
        <f>ROW(Source!A694)</f>
        <v>694</v>
      </c>
      <c r="B403">
        <v>43144006</v>
      </c>
      <c r="C403">
        <v>43144002</v>
      </c>
      <c r="D403">
        <v>35994917</v>
      </c>
      <c r="E403">
        <v>35973048</v>
      </c>
      <c r="F403">
        <v>1</v>
      </c>
      <c r="G403">
        <v>35973048</v>
      </c>
      <c r="H403">
        <v>3</v>
      </c>
      <c r="I403" t="s">
        <v>1540</v>
      </c>
      <c r="J403" t="s">
        <v>3</v>
      </c>
      <c r="K403" t="s">
        <v>1541</v>
      </c>
      <c r="L403">
        <v>1354</v>
      </c>
      <c r="N403">
        <v>1010</v>
      </c>
      <c r="O403" t="s">
        <v>169</v>
      </c>
      <c r="P403" t="s">
        <v>169</v>
      </c>
      <c r="Q403">
        <v>1</v>
      </c>
      <c r="X403">
        <v>10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 t="s">
        <v>3</v>
      </c>
      <c r="AG403">
        <v>10</v>
      </c>
      <c r="AH403">
        <v>3</v>
      </c>
      <c r="AI403">
        <v>-1</v>
      </c>
      <c r="AJ403" t="s">
        <v>3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</row>
    <row r="404" spans="1:44" x14ac:dyDescent="0.2">
      <c r="A404">
        <f>ROW(Source!A766)</f>
        <v>766</v>
      </c>
      <c r="B404">
        <v>43135001</v>
      </c>
      <c r="C404">
        <v>43134999</v>
      </c>
      <c r="D404">
        <v>35973053</v>
      </c>
      <c r="E404">
        <v>35973048</v>
      </c>
      <c r="F404">
        <v>1</v>
      </c>
      <c r="G404">
        <v>35973048</v>
      </c>
      <c r="H404">
        <v>1</v>
      </c>
      <c r="I404" t="s">
        <v>1228</v>
      </c>
      <c r="J404" t="s">
        <v>3</v>
      </c>
      <c r="K404" t="s">
        <v>1229</v>
      </c>
      <c r="L404">
        <v>1191</v>
      </c>
      <c r="N404">
        <v>1013</v>
      </c>
      <c r="O404" t="s">
        <v>1230</v>
      </c>
      <c r="P404" t="s">
        <v>1230</v>
      </c>
      <c r="Q404">
        <v>1</v>
      </c>
      <c r="X404">
        <v>7.41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1</v>
      </c>
      <c r="AE404">
        <v>1</v>
      </c>
      <c r="AF404" t="s">
        <v>65</v>
      </c>
      <c r="AG404">
        <v>2.1303749999999999</v>
      </c>
      <c r="AH404">
        <v>2</v>
      </c>
      <c r="AI404">
        <v>43135000</v>
      </c>
      <c r="AJ404">
        <v>411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</row>
    <row r="405" spans="1:44" x14ac:dyDescent="0.2">
      <c r="A405">
        <f>ROW(Source!A767)</f>
        <v>767</v>
      </c>
      <c r="B405">
        <v>43137046</v>
      </c>
      <c r="C405">
        <v>43137045</v>
      </c>
      <c r="D405">
        <v>35973053</v>
      </c>
      <c r="E405">
        <v>35973048</v>
      </c>
      <c r="F405">
        <v>1</v>
      </c>
      <c r="G405">
        <v>35973048</v>
      </c>
      <c r="H405">
        <v>1</v>
      </c>
      <c r="I405" t="s">
        <v>1228</v>
      </c>
      <c r="J405" t="s">
        <v>3</v>
      </c>
      <c r="K405" t="s">
        <v>1229</v>
      </c>
      <c r="L405">
        <v>1191</v>
      </c>
      <c r="N405">
        <v>1013</v>
      </c>
      <c r="O405" t="s">
        <v>1230</v>
      </c>
      <c r="P405" t="s">
        <v>1230</v>
      </c>
      <c r="Q405">
        <v>1</v>
      </c>
      <c r="X405">
        <v>2.31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1</v>
      </c>
      <c r="AE405">
        <v>1</v>
      </c>
      <c r="AF405" t="s">
        <v>21</v>
      </c>
      <c r="AG405">
        <v>2.6564999999999999</v>
      </c>
      <c r="AH405">
        <v>2</v>
      </c>
      <c r="AI405">
        <v>43137046</v>
      </c>
      <c r="AJ405">
        <v>412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</row>
    <row r="406" spans="1:44" x14ac:dyDescent="0.2">
      <c r="A406">
        <f>ROW(Source!A768)</f>
        <v>768</v>
      </c>
      <c r="B406">
        <v>43134981</v>
      </c>
      <c r="C406">
        <v>43134980</v>
      </c>
      <c r="D406">
        <v>35973053</v>
      </c>
      <c r="E406">
        <v>35973048</v>
      </c>
      <c r="F406">
        <v>1</v>
      </c>
      <c r="G406">
        <v>35973048</v>
      </c>
      <c r="H406">
        <v>1</v>
      </c>
      <c r="I406" t="s">
        <v>1228</v>
      </c>
      <c r="J406" t="s">
        <v>3</v>
      </c>
      <c r="K406" t="s">
        <v>1229</v>
      </c>
      <c r="L406">
        <v>1191</v>
      </c>
      <c r="N406">
        <v>1013</v>
      </c>
      <c r="O406" t="s">
        <v>1230</v>
      </c>
      <c r="P406" t="s">
        <v>1230</v>
      </c>
      <c r="Q406">
        <v>1</v>
      </c>
      <c r="X406">
        <v>26.78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1</v>
      </c>
      <c r="AE406">
        <v>1</v>
      </c>
      <c r="AF406" t="s">
        <v>56</v>
      </c>
      <c r="AG406">
        <v>23.097749999999998</v>
      </c>
      <c r="AH406">
        <v>2</v>
      </c>
      <c r="AI406">
        <v>43134981</v>
      </c>
      <c r="AJ406">
        <v>413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</row>
    <row r="407" spans="1:44" x14ac:dyDescent="0.2">
      <c r="A407">
        <f>ROW(Source!A768)</f>
        <v>768</v>
      </c>
      <c r="B407">
        <v>43134982</v>
      </c>
      <c r="C407">
        <v>43134980</v>
      </c>
      <c r="D407">
        <v>36044514</v>
      </c>
      <c r="E407">
        <v>1</v>
      </c>
      <c r="F407">
        <v>1</v>
      </c>
      <c r="G407">
        <v>35973048</v>
      </c>
      <c r="H407">
        <v>2</v>
      </c>
      <c r="I407" t="s">
        <v>1409</v>
      </c>
      <c r="J407" t="s">
        <v>1410</v>
      </c>
      <c r="K407" t="s">
        <v>1411</v>
      </c>
      <c r="L407">
        <v>1367</v>
      </c>
      <c r="N407">
        <v>1011</v>
      </c>
      <c r="O407" t="s">
        <v>738</v>
      </c>
      <c r="P407" t="s">
        <v>738</v>
      </c>
      <c r="Q407">
        <v>1</v>
      </c>
      <c r="X407">
        <v>0.05</v>
      </c>
      <c r="Y407">
        <v>0</v>
      </c>
      <c r="Z407">
        <v>97.24</v>
      </c>
      <c r="AA407">
        <v>12.9</v>
      </c>
      <c r="AB407">
        <v>0</v>
      </c>
      <c r="AC407">
        <v>0</v>
      </c>
      <c r="AD407">
        <v>1</v>
      </c>
      <c r="AE407">
        <v>0</v>
      </c>
      <c r="AF407" t="s">
        <v>55</v>
      </c>
      <c r="AG407">
        <v>4.6875000000000007E-2</v>
      </c>
      <c r="AH407">
        <v>2</v>
      </c>
      <c r="AI407">
        <v>43134982</v>
      </c>
      <c r="AJ407">
        <v>414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</row>
    <row r="408" spans="1:44" x14ac:dyDescent="0.2">
      <c r="A408">
        <f>ROW(Source!A768)</f>
        <v>768</v>
      </c>
      <c r="B408">
        <v>43134983</v>
      </c>
      <c r="C408">
        <v>43134980</v>
      </c>
      <c r="D408">
        <v>35973762</v>
      </c>
      <c r="E408">
        <v>35973048</v>
      </c>
      <c r="F408">
        <v>1</v>
      </c>
      <c r="G408">
        <v>35973048</v>
      </c>
      <c r="H408">
        <v>2</v>
      </c>
      <c r="I408" t="s">
        <v>1243</v>
      </c>
      <c r="J408" t="s">
        <v>3</v>
      </c>
      <c r="K408" t="s">
        <v>1244</v>
      </c>
      <c r="L408">
        <v>1344</v>
      </c>
      <c r="N408">
        <v>1008</v>
      </c>
      <c r="O408" t="s">
        <v>1245</v>
      </c>
      <c r="P408" t="s">
        <v>1245</v>
      </c>
      <c r="Q408">
        <v>1</v>
      </c>
      <c r="X408">
        <v>0.12</v>
      </c>
      <c r="Y408">
        <v>0</v>
      </c>
      <c r="Z408">
        <v>1</v>
      </c>
      <c r="AA408">
        <v>0</v>
      </c>
      <c r="AB408">
        <v>0</v>
      </c>
      <c r="AC408">
        <v>0</v>
      </c>
      <c r="AD408">
        <v>1</v>
      </c>
      <c r="AE408">
        <v>0</v>
      </c>
      <c r="AF408" t="s">
        <v>55</v>
      </c>
      <c r="AG408">
        <v>0.11249999999999999</v>
      </c>
      <c r="AH408">
        <v>2</v>
      </c>
      <c r="AI408">
        <v>43134983</v>
      </c>
      <c r="AJ408">
        <v>415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</row>
    <row r="409" spans="1:44" x14ac:dyDescent="0.2">
      <c r="A409">
        <f>ROW(Source!A768)</f>
        <v>768</v>
      </c>
      <c r="B409">
        <v>43134984</v>
      </c>
      <c r="C409">
        <v>43134980</v>
      </c>
      <c r="D409">
        <v>35986177</v>
      </c>
      <c r="E409">
        <v>35973048</v>
      </c>
      <c r="F409">
        <v>1</v>
      </c>
      <c r="G409">
        <v>35973048</v>
      </c>
      <c r="H409">
        <v>3</v>
      </c>
      <c r="I409" t="s">
        <v>1542</v>
      </c>
      <c r="J409" t="s">
        <v>3</v>
      </c>
      <c r="K409" t="s">
        <v>1543</v>
      </c>
      <c r="L409">
        <v>1339</v>
      </c>
      <c r="N409">
        <v>1007</v>
      </c>
      <c r="O409" t="s">
        <v>84</v>
      </c>
      <c r="P409" t="s">
        <v>84</v>
      </c>
      <c r="Q409">
        <v>1</v>
      </c>
      <c r="X409">
        <v>15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 t="s">
        <v>3</v>
      </c>
      <c r="AG409">
        <v>15</v>
      </c>
      <c r="AH409">
        <v>3</v>
      </c>
      <c r="AI409">
        <v>-1</v>
      </c>
      <c r="AJ409" t="s">
        <v>3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</row>
    <row r="410" spans="1:44" x14ac:dyDescent="0.2">
      <c r="A410">
        <f>ROW(Source!A770)</f>
        <v>770</v>
      </c>
      <c r="B410">
        <v>43134993</v>
      </c>
      <c r="C410">
        <v>43134990</v>
      </c>
      <c r="D410">
        <v>35973053</v>
      </c>
      <c r="E410">
        <v>35973048</v>
      </c>
      <c r="F410">
        <v>1</v>
      </c>
      <c r="G410">
        <v>35973048</v>
      </c>
      <c r="H410">
        <v>1</v>
      </c>
      <c r="I410" t="s">
        <v>1228</v>
      </c>
      <c r="J410" t="s">
        <v>3</v>
      </c>
      <c r="K410" t="s">
        <v>1229</v>
      </c>
      <c r="L410">
        <v>1191</v>
      </c>
      <c r="N410">
        <v>1013</v>
      </c>
      <c r="O410" t="s">
        <v>1230</v>
      </c>
      <c r="P410" t="s">
        <v>1230</v>
      </c>
      <c r="Q410">
        <v>1</v>
      </c>
      <c r="X410">
        <v>40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1</v>
      </c>
      <c r="AE410">
        <v>1</v>
      </c>
      <c r="AF410" t="s">
        <v>65</v>
      </c>
      <c r="AG410">
        <v>11.5</v>
      </c>
      <c r="AH410">
        <v>2</v>
      </c>
      <c r="AI410">
        <v>43134991</v>
      </c>
      <c r="AJ410">
        <v>417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</row>
    <row r="411" spans="1:44" x14ac:dyDescent="0.2">
      <c r="A411">
        <f>ROW(Source!A770)</f>
        <v>770</v>
      </c>
      <c r="B411">
        <v>43134994</v>
      </c>
      <c r="C411">
        <v>43134990</v>
      </c>
      <c r="D411">
        <v>35985888</v>
      </c>
      <c r="E411">
        <v>35973048</v>
      </c>
      <c r="F411">
        <v>1</v>
      </c>
      <c r="G411">
        <v>35973048</v>
      </c>
      <c r="H411">
        <v>3</v>
      </c>
      <c r="I411" t="s">
        <v>1542</v>
      </c>
      <c r="J411" t="s">
        <v>3</v>
      </c>
      <c r="K411" t="s">
        <v>1543</v>
      </c>
      <c r="L411">
        <v>1339</v>
      </c>
      <c r="N411">
        <v>1007</v>
      </c>
      <c r="O411" t="s">
        <v>84</v>
      </c>
      <c r="P411" t="s">
        <v>84</v>
      </c>
      <c r="Q411">
        <v>1</v>
      </c>
      <c r="X411">
        <v>15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 t="s">
        <v>3</v>
      </c>
      <c r="AG411">
        <v>15</v>
      </c>
      <c r="AH411">
        <v>3</v>
      </c>
      <c r="AI411">
        <v>-1</v>
      </c>
      <c r="AJ411" t="s">
        <v>3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</row>
    <row r="412" spans="1:44" x14ac:dyDescent="0.2">
      <c r="A412">
        <f>ROW(Source!A772)</f>
        <v>772</v>
      </c>
      <c r="B412">
        <v>43135103</v>
      </c>
      <c r="C412">
        <v>43135102</v>
      </c>
      <c r="D412">
        <v>35973053</v>
      </c>
      <c r="E412">
        <v>35973048</v>
      </c>
      <c r="F412">
        <v>1</v>
      </c>
      <c r="G412">
        <v>35973048</v>
      </c>
      <c r="H412">
        <v>1</v>
      </c>
      <c r="I412" t="s">
        <v>1228</v>
      </c>
      <c r="J412" t="s">
        <v>3</v>
      </c>
      <c r="K412" t="s">
        <v>1229</v>
      </c>
      <c r="L412">
        <v>1191</v>
      </c>
      <c r="N412">
        <v>1013</v>
      </c>
      <c r="O412" t="s">
        <v>1230</v>
      </c>
      <c r="P412" t="s">
        <v>1230</v>
      </c>
      <c r="Q412">
        <v>1</v>
      </c>
      <c r="X412">
        <v>5.47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1</v>
      </c>
      <c r="AE412">
        <v>1</v>
      </c>
      <c r="AF412" t="s">
        <v>21</v>
      </c>
      <c r="AG412">
        <v>6.2904999999999989</v>
      </c>
      <c r="AH412">
        <v>2</v>
      </c>
      <c r="AI412">
        <v>43135103</v>
      </c>
      <c r="AJ412">
        <v>419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</row>
    <row r="413" spans="1:44" x14ac:dyDescent="0.2">
      <c r="A413">
        <f>ROW(Source!A772)</f>
        <v>772</v>
      </c>
      <c r="B413">
        <v>43135104</v>
      </c>
      <c r="C413">
        <v>43135102</v>
      </c>
      <c r="D413">
        <v>35986177</v>
      </c>
      <c r="E413">
        <v>35973048</v>
      </c>
      <c r="F413">
        <v>1</v>
      </c>
      <c r="G413">
        <v>35973048</v>
      </c>
      <c r="H413">
        <v>3</v>
      </c>
      <c r="I413" t="s">
        <v>1542</v>
      </c>
      <c r="J413" t="s">
        <v>3</v>
      </c>
      <c r="K413" t="s">
        <v>1543</v>
      </c>
      <c r="L413">
        <v>1339</v>
      </c>
      <c r="N413">
        <v>1007</v>
      </c>
      <c r="O413" t="s">
        <v>84</v>
      </c>
      <c r="P413" t="s">
        <v>84</v>
      </c>
      <c r="Q413">
        <v>1</v>
      </c>
      <c r="X413">
        <v>5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 t="s">
        <v>3</v>
      </c>
      <c r="AG413">
        <v>5</v>
      </c>
      <c r="AH413">
        <v>3</v>
      </c>
      <c r="AI413">
        <v>-1</v>
      </c>
      <c r="AJ413" t="s">
        <v>3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</row>
    <row r="414" spans="1:44" x14ac:dyDescent="0.2">
      <c r="A414">
        <f>ROW(Source!A774)</f>
        <v>774</v>
      </c>
      <c r="B414">
        <v>42938894</v>
      </c>
      <c r="C414">
        <v>42938887</v>
      </c>
      <c r="D414">
        <v>35973053</v>
      </c>
      <c r="E414">
        <v>35973048</v>
      </c>
      <c r="F414">
        <v>1</v>
      </c>
      <c r="G414">
        <v>35973048</v>
      </c>
      <c r="H414">
        <v>1</v>
      </c>
      <c r="I414" t="s">
        <v>1228</v>
      </c>
      <c r="J414" t="s">
        <v>3</v>
      </c>
      <c r="K414" t="s">
        <v>1229</v>
      </c>
      <c r="L414">
        <v>1191</v>
      </c>
      <c r="N414">
        <v>1013</v>
      </c>
      <c r="O414" t="s">
        <v>1230</v>
      </c>
      <c r="P414" t="s">
        <v>1230</v>
      </c>
      <c r="Q414">
        <v>1</v>
      </c>
      <c r="X414">
        <v>11.67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1</v>
      </c>
      <c r="AE414">
        <v>1</v>
      </c>
      <c r="AF414" t="s">
        <v>21</v>
      </c>
      <c r="AG414">
        <v>13.420499999999999</v>
      </c>
      <c r="AH414">
        <v>2</v>
      </c>
      <c r="AI414">
        <v>42938894</v>
      </c>
      <c r="AJ414">
        <v>421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</row>
    <row r="415" spans="1:44" x14ac:dyDescent="0.2">
      <c r="A415">
        <f>ROW(Source!A774)</f>
        <v>774</v>
      </c>
      <c r="B415">
        <v>42938895</v>
      </c>
      <c r="C415">
        <v>42938887</v>
      </c>
      <c r="D415">
        <v>35990087</v>
      </c>
      <c r="E415">
        <v>35973048</v>
      </c>
      <c r="F415">
        <v>1</v>
      </c>
      <c r="G415">
        <v>35973048</v>
      </c>
      <c r="H415">
        <v>3</v>
      </c>
      <c r="I415" t="s">
        <v>1544</v>
      </c>
      <c r="J415" t="s">
        <v>3</v>
      </c>
      <c r="K415" t="s">
        <v>1545</v>
      </c>
      <c r="L415">
        <v>1327</v>
      </c>
      <c r="N415">
        <v>1005</v>
      </c>
      <c r="O415" t="s">
        <v>120</v>
      </c>
      <c r="P415" t="s">
        <v>120</v>
      </c>
      <c r="Q415">
        <v>1</v>
      </c>
      <c r="X415">
        <v>107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 t="s">
        <v>3</v>
      </c>
      <c r="AG415">
        <v>107</v>
      </c>
      <c r="AH415">
        <v>3</v>
      </c>
      <c r="AI415">
        <v>-1</v>
      </c>
      <c r="AJ415" t="s">
        <v>3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</row>
    <row r="416" spans="1:44" x14ac:dyDescent="0.2">
      <c r="A416">
        <f>ROW(Source!A774)</f>
        <v>774</v>
      </c>
      <c r="B416">
        <v>42938896</v>
      </c>
      <c r="C416">
        <v>42938887</v>
      </c>
      <c r="D416">
        <v>35994366</v>
      </c>
      <c r="E416">
        <v>35973048</v>
      </c>
      <c r="F416">
        <v>1</v>
      </c>
      <c r="G416">
        <v>35973048</v>
      </c>
      <c r="H416">
        <v>3</v>
      </c>
      <c r="I416" t="s">
        <v>1294</v>
      </c>
      <c r="J416" t="s">
        <v>3</v>
      </c>
      <c r="K416" t="s">
        <v>1295</v>
      </c>
      <c r="L416">
        <v>1344</v>
      </c>
      <c r="N416">
        <v>1008</v>
      </c>
      <c r="O416" t="s">
        <v>1245</v>
      </c>
      <c r="P416" t="s">
        <v>1245</v>
      </c>
      <c r="Q416">
        <v>1</v>
      </c>
      <c r="X416">
        <v>171.2</v>
      </c>
      <c r="Y416">
        <v>1</v>
      </c>
      <c r="Z416">
        <v>0</v>
      </c>
      <c r="AA416">
        <v>0</v>
      </c>
      <c r="AB416">
        <v>0</v>
      </c>
      <c r="AC416">
        <v>0</v>
      </c>
      <c r="AD416">
        <v>1</v>
      </c>
      <c r="AE416">
        <v>0</v>
      </c>
      <c r="AF416" t="s">
        <v>3</v>
      </c>
      <c r="AG416">
        <v>171.2</v>
      </c>
      <c r="AH416">
        <v>2</v>
      </c>
      <c r="AI416">
        <v>42938896</v>
      </c>
      <c r="AJ416">
        <v>422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</row>
    <row r="417" spans="1:44" x14ac:dyDescent="0.2">
      <c r="A417">
        <f>ROW(Source!A776)</f>
        <v>776</v>
      </c>
      <c r="B417">
        <v>42938946</v>
      </c>
      <c r="C417">
        <v>42938900</v>
      </c>
      <c r="D417">
        <v>35973053</v>
      </c>
      <c r="E417">
        <v>35973048</v>
      </c>
      <c r="F417">
        <v>1</v>
      </c>
      <c r="G417">
        <v>35973048</v>
      </c>
      <c r="H417">
        <v>1</v>
      </c>
      <c r="I417" t="s">
        <v>1228</v>
      </c>
      <c r="J417" t="s">
        <v>3</v>
      </c>
      <c r="K417" t="s">
        <v>1229</v>
      </c>
      <c r="L417">
        <v>1191</v>
      </c>
      <c r="N417">
        <v>1013</v>
      </c>
      <c r="O417" t="s">
        <v>1230</v>
      </c>
      <c r="P417" t="s">
        <v>1230</v>
      </c>
      <c r="Q417">
        <v>1</v>
      </c>
      <c r="X417">
        <v>4.8499999999999996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1</v>
      </c>
      <c r="AE417">
        <v>1</v>
      </c>
      <c r="AF417" t="s">
        <v>21</v>
      </c>
      <c r="AG417">
        <v>5.5774999999999988</v>
      </c>
      <c r="AH417">
        <v>2</v>
      </c>
      <c r="AI417">
        <v>42938946</v>
      </c>
      <c r="AJ417">
        <v>423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</row>
    <row r="418" spans="1:44" x14ac:dyDescent="0.2">
      <c r="A418">
        <f>ROW(Source!A776)</f>
        <v>776</v>
      </c>
      <c r="B418">
        <v>42938947</v>
      </c>
      <c r="C418">
        <v>42938900</v>
      </c>
      <c r="D418">
        <v>36045173</v>
      </c>
      <c r="E418">
        <v>1</v>
      </c>
      <c r="F418">
        <v>1</v>
      </c>
      <c r="G418">
        <v>35973048</v>
      </c>
      <c r="H418">
        <v>2</v>
      </c>
      <c r="I418" t="s">
        <v>1412</v>
      </c>
      <c r="J418" t="s">
        <v>1413</v>
      </c>
      <c r="K418" t="s">
        <v>1414</v>
      </c>
      <c r="L418">
        <v>1367</v>
      </c>
      <c r="N418">
        <v>1011</v>
      </c>
      <c r="O418" t="s">
        <v>738</v>
      </c>
      <c r="P418" t="s">
        <v>738</v>
      </c>
      <c r="Q418">
        <v>1</v>
      </c>
      <c r="X418">
        <v>0.06</v>
      </c>
      <c r="Y418">
        <v>0</v>
      </c>
      <c r="Z418">
        <v>32.380000000000003</v>
      </c>
      <c r="AA418">
        <v>3.32</v>
      </c>
      <c r="AB418">
        <v>0</v>
      </c>
      <c r="AC418">
        <v>0</v>
      </c>
      <c r="AD418">
        <v>1</v>
      </c>
      <c r="AE418">
        <v>0</v>
      </c>
      <c r="AF418" t="s">
        <v>20</v>
      </c>
      <c r="AG418">
        <v>7.4999999999999997E-2</v>
      </c>
      <c r="AH418">
        <v>2</v>
      </c>
      <c r="AI418">
        <v>42938947</v>
      </c>
      <c r="AJ418">
        <v>424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</row>
    <row r="419" spans="1:44" x14ac:dyDescent="0.2">
      <c r="A419">
        <f>ROW(Source!A776)</f>
        <v>776</v>
      </c>
      <c r="B419">
        <v>42938948</v>
      </c>
      <c r="C419">
        <v>42938900</v>
      </c>
      <c r="D419">
        <v>36044514</v>
      </c>
      <c r="E419">
        <v>1</v>
      </c>
      <c r="F419">
        <v>1</v>
      </c>
      <c r="G419">
        <v>35973048</v>
      </c>
      <c r="H419">
        <v>2</v>
      </c>
      <c r="I419" t="s">
        <v>1409</v>
      </c>
      <c r="J419" t="s">
        <v>1410</v>
      </c>
      <c r="K419" t="s">
        <v>1411</v>
      </c>
      <c r="L419">
        <v>1367</v>
      </c>
      <c r="N419">
        <v>1011</v>
      </c>
      <c r="O419" t="s">
        <v>738</v>
      </c>
      <c r="P419" t="s">
        <v>738</v>
      </c>
      <c r="Q419">
        <v>1</v>
      </c>
      <c r="X419">
        <v>0.06</v>
      </c>
      <c r="Y419">
        <v>0</v>
      </c>
      <c r="Z419">
        <v>97.24</v>
      </c>
      <c r="AA419">
        <v>12.9</v>
      </c>
      <c r="AB419">
        <v>0</v>
      </c>
      <c r="AC419">
        <v>0</v>
      </c>
      <c r="AD419">
        <v>1</v>
      </c>
      <c r="AE419">
        <v>0</v>
      </c>
      <c r="AF419" t="s">
        <v>20</v>
      </c>
      <c r="AG419">
        <v>7.4999999999999997E-2</v>
      </c>
      <c r="AH419">
        <v>2</v>
      </c>
      <c r="AI419">
        <v>42938948</v>
      </c>
      <c r="AJ419">
        <v>425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</row>
    <row r="420" spans="1:44" x14ac:dyDescent="0.2">
      <c r="A420">
        <f>ROW(Source!A776)</f>
        <v>776</v>
      </c>
      <c r="B420">
        <v>42938949</v>
      </c>
      <c r="C420">
        <v>42938900</v>
      </c>
      <c r="D420">
        <v>35986471</v>
      </c>
      <c r="E420">
        <v>35973048</v>
      </c>
      <c r="F420">
        <v>1</v>
      </c>
      <c r="G420">
        <v>35973048</v>
      </c>
      <c r="H420">
        <v>3</v>
      </c>
      <c r="I420" t="s">
        <v>1546</v>
      </c>
      <c r="J420" t="s">
        <v>3</v>
      </c>
      <c r="K420" t="s">
        <v>1547</v>
      </c>
      <c r="L420">
        <v>1346</v>
      </c>
      <c r="N420">
        <v>1009</v>
      </c>
      <c r="O420" t="s">
        <v>131</v>
      </c>
      <c r="P420" t="s">
        <v>131</v>
      </c>
      <c r="Q420">
        <v>1</v>
      </c>
      <c r="X420">
        <v>400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 t="s">
        <v>3</v>
      </c>
      <c r="AG420">
        <v>400</v>
      </c>
      <c r="AH420">
        <v>3</v>
      </c>
      <c r="AI420">
        <v>-1</v>
      </c>
      <c r="AJ420" t="s">
        <v>3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</row>
    <row r="421" spans="1:44" x14ac:dyDescent="0.2">
      <c r="A421">
        <f>ROW(Source!A778)</f>
        <v>778</v>
      </c>
      <c r="B421">
        <v>43137073</v>
      </c>
      <c r="C421">
        <v>43137071</v>
      </c>
      <c r="D421">
        <v>36759504</v>
      </c>
      <c r="E421">
        <v>1</v>
      </c>
      <c r="F421">
        <v>1</v>
      </c>
      <c r="G421">
        <v>35973048</v>
      </c>
      <c r="H421">
        <v>2</v>
      </c>
      <c r="I421" t="s">
        <v>1332</v>
      </c>
      <c r="J421" t="s">
        <v>1333</v>
      </c>
      <c r="K421" t="s">
        <v>1334</v>
      </c>
      <c r="L421">
        <v>1367</v>
      </c>
      <c r="N421">
        <v>1011</v>
      </c>
      <c r="O421" t="s">
        <v>738</v>
      </c>
      <c r="P421" t="s">
        <v>738</v>
      </c>
      <c r="Q421">
        <v>1</v>
      </c>
      <c r="X421">
        <v>1</v>
      </c>
      <c r="Y421">
        <v>0</v>
      </c>
      <c r="Z421">
        <v>100.09</v>
      </c>
      <c r="AA421">
        <v>13.81</v>
      </c>
      <c r="AB421">
        <v>0</v>
      </c>
      <c r="AC421">
        <v>0</v>
      </c>
      <c r="AD421">
        <v>1</v>
      </c>
      <c r="AE421">
        <v>0</v>
      </c>
      <c r="AF421" t="s">
        <v>3</v>
      </c>
      <c r="AG421">
        <v>1</v>
      </c>
      <c r="AH421">
        <v>2</v>
      </c>
      <c r="AI421">
        <v>43137073</v>
      </c>
      <c r="AJ421">
        <v>427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</row>
    <row r="422" spans="1:44" x14ac:dyDescent="0.2">
      <c r="A422">
        <f>ROW(Source!A779)</f>
        <v>779</v>
      </c>
      <c r="B422">
        <v>43137074</v>
      </c>
      <c r="C422">
        <v>43137072</v>
      </c>
      <c r="D422">
        <v>35973762</v>
      </c>
      <c r="E422">
        <v>35973048</v>
      </c>
      <c r="F422">
        <v>1</v>
      </c>
      <c r="G422">
        <v>35973048</v>
      </c>
      <c r="H422">
        <v>2</v>
      </c>
      <c r="I422" t="s">
        <v>1243</v>
      </c>
      <c r="J422" t="s">
        <v>3</v>
      </c>
      <c r="K422" t="s">
        <v>1244</v>
      </c>
      <c r="L422">
        <v>1344</v>
      </c>
      <c r="N422">
        <v>1008</v>
      </c>
      <c r="O422" t="s">
        <v>1245</v>
      </c>
      <c r="P422" t="s">
        <v>1245</v>
      </c>
      <c r="Q422">
        <v>1</v>
      </c>
      <c r="X422">
        <v>12.61</v>
      </c>
      <c r="Y422">
        <v>0</v>
      </c>
      <c r="Z422">
        <v>1</v>
      </c>
      <c r="AA422">
        <v>0</v>
      </c>
      <c r="AB422">
        <v>0</v>
      </c>
      <c r="AC422">
        <v>0</v>
      </c>
      <c r="AD422">
        <v>1</v>
      </c>
      <c r="AE422">
        <v>0</v>
      </c>
      <c r="AF422" t="s">
        <v>3</v>
      </c>
      <c r="AG422">
        <v>12.61</v>
      </c>
      <c r="AH422">
        <v>2</v>
      </c>
      <c r="AI422">
        <v>43137074</v>
      </c>
      <c r="AJ422">
        <v>428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</row>
    <row r="423" spans="1:44" x14ac:dyDescent="0.2">
      <c r="A423">
        <f>ROW(Source!A815)</f>
        <v>815</v>
      </c>
      <c r="B423">
        <v>43137081</v>
      </c>
      <c r="C423">
        <v>42938953</v>
      </c>
      <c r="D423">
        <v>35973053</v>
      </c>
      <c r="E423">
        <v>35973048</v>
      </c>
      <c r="F423">
        <v>1</v>
      </c>
      <c r="G423">
        <v>35973048</v>
      </c>
      <c r="H423">
        <v>1</v>
      </c>
      <c r="I423" t="s">
        <v>1228</v>
      </c>
      <c r="J423" t="s">
        <v>3</v>
      </c>
      <c r="K423" t="s">
        <v>1229</v>
      </c>
      <c r="L423">
        <v>1191</v>
      </c>
      <c r="N423">
        <v>1013</v>
      </c>
      <c r="O423" t="s">
        <v>1230</v>
      </c>
      <c r="P423" t="s">
        <v>1230</v>
      </c>
      <c r="Q423">
        <v>1</v>
      </c>
      <c r="X423">
        <v>31.13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1</v>
      </c>
      <c r="AE423">
        <v>1</v>
      </c>
      <c r="AF423" t="s">
        <v>21</v>
      </c>
      <c r="AG423">
        <v>35.799499999999995</v>
      </c>
      <c r="AH423">
        <v>2</v>
      </c>
      <c r="AI423">
        <v>43137081</v>
      </c>
      <c r="AJ423">
        <v>429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</row>
    <row r="424" spans="1:44" x14ac:dyDescent="0.2">
      <c r="A424">
        <f>ROW(Source!A815)</f>
        <v>815</v>
      </c>
      <c r="B424">
        <v>43137082</v>
      </c>
      <c r="C424">
        <v>42938953</v>
      </c>
      <c r="D424">
        <v>36039469</v>
      </c>
      <c r="E424">
        <v>1</v>
      </c>
      <c r="F424">
        <v>1</v>
      </c>
      <c r="G424">
        <v>35973048</v>
      </c>
      <c r="H424">
        <v>3</v>
      </c>
      <c r="I424" t="s">
        <v>1415</v>
      </c>
      <c r="J424" t="s">
        <v>1416</v>
      </c>
      <c r="K424" t="s">
        <v>1417</v>
      </c>
      <c r="L424">
        <v>1339</v>
      </c>
      <c r="N424">
        <v>1007</v>
      </c>
      <c r="O424" t="s">
        <v>84</v>
      </c>
      <c r="P424" t="s">
        <v>84</v>
      </c>
      <c r="Q424">
        <v>1</v>
      </c>
      <c r="X424">
        <v>1.81</v>
      </c>
      <c r="Y424">
        <v>407.48</v>
      </c>
      <c r="Z424">
        <v>0</v>
      </c>
      <c r="AA424">
        <v>0</v>
      </c>
      <c r="AB424">
        <v>0</v>
      </c>
      <c r="AC424">
        <v>0</v>
      </c>
      <c r="AD424">
        <v>1</v>
      </c>
      <c r="AE424">
        <v>0</v>
      </c>
      <c r="AF424" t="s">
        <v>3</v>
      </c>
      <c r="AG424">
        <v>1.81</v>
      </c>
      <c r="AH424">
        <v>2</v>
      </c>
      <c r="AI424">
        <v>43137082</v>
      </c>
      <c r="AJ424">
        <v>431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</row>
    <row r="425" spans="1:44" x14ac:dyDescent="0.2">
      <c r="A425">
        <f>ROW(Source!A815)</f>
        <v>815</v>
      </c>
      <c r="B425">
        <v>43137083</v>
      </c>
      <c r="C425">
        <v>42938953</v>
      </c>
      <c r="D425">
        <v>35986177</v>
      </c>
      <c r="E425">
        <v>35973048</v>
      </c>
      <c r="F425">
        <v>1</v>
      </c>
      <c r="G425">
        <v>35973048</v>
      </c>
      <c r="H425">
        <v>3</v>
      </c>
      <c r="I425" t="s">
        <v>1542</v>
      </c>
      <c r="J425" t="s">
        <v>3</v>
      </c>
      <c r="K425" t="s">
        <v>1543</v>
      </c>
      <c r="L425">
        <v>1339</v>
      </c>
      <c r="N425">
        <v>1007</v>
      </c>
      <c r="O425" t="s">
        <v>84</v>
      </c>
      <c r="P425" t="s">
        <v>84</v>
      </c>
      <c r="Q425">
        <v>1</v>
      </c>
      <c r="X425">
        <v>5.44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 t="s">
        <v>3</v>
      </c>
      <c r="AG425">
        <v>5.44</v>
      </c>
      <c r="AH425">
        <v>3</v>
      </c>
      <c r="AI425">
        <v>-1</v>
      </c>
      <c r="AJ425" t="s">
        <v>3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</row>
    <row r="426" spans="1:44" x14ac:dyDescent="0.2">
      <c r="A426">
        <f>ROW(Source!A817)</f>
        <v>817</v>
      </c>
      <c r="B426">
        <v>42939027</v>
      </c>
      <c r="C426">
        <v>42938975</v>
      </c>
      <c r="D426">
        <v>35973053</v>
      </c>
      <c r="E426">
        <v>35973048</v>
      </c>
      <c r="F426">
        <v>1</v>
      </c>
      <c r="G426">
        <v>35973048</v>
      </c>
      <c r="H426">
        <v>1</v>
      </c>
      <c r="I426" t="s">
        <v>1228</v>
      </c>
      <c r="J426" t="s">
        <v>3</v>
      </c>
      <c r="K426" t="s">
        <v>1229</v>
      </c>
      <c r="L426">
        <v>1191</v>
      </c>
      <c r="N426">
        <v>1013</v>
      </c>
      <c r="O426" t="s">
        <v>1230</v>
      </c>
      <c r="P426" t="s">
        <v>1230</v>
      </c>
      <c r="Q426">
        <v>1</v>
      </c>
      <c r="X426">
        <v>18.010000000000002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1</v>
      </c>
      <c r="AE426">
        <v>1</v>
      </c>
      <c r="AF426" t="s">
        <v>21</v>
      </c>
      <c r="AG426">
        <v>20.711500000000001</v>
      </c>
      <c r="AH426">
        <v>2</v>
      </c>
      <c r="AI426">
        <v>42939027</v>
      </c>
      <c r="AJ426">
        <v>432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</row>
    <row r="427" spans="1:44" x14ac:dyDescent="0.2">
      <c r="A427">
        <f>ROW(Source!A817)</f>
        <v>817</v>
      </c>
      <c r="B427">
        <v>42939028</v>
      </c>
      <c r="C427">
        <v>42938975</v>
      </c>
      <c r="D427">
        <v>36044555</v>
      </c>
      <c r="E427">
        <v>1</v>
      </c>
      <c r="F427">
        <v>1</v>
      </c>
      <c r="G427">
        <v>35973048</v>
      </c>
      <c r="H427">
        <v>2</v>
      </c>
      <c r="I427" t="s">
        <v>1267</v>
      </c>
      <c r="J427" t="s">
        <v>1268</v>
      </c>
      <c r="K427" t="s">
        <v>1269</v>
      </c>
      <c r="L427">
        <v>1367</v>
      </c>
      <c r="N427">
        <v>1011</v>
      </c>
      <c r="O427" t="s">
        <v>738</v>
      </c>
      <c r="P427" t="s">
        <v>738</v>
      </c>
      <c r="Q427">
        <v>1</v>
      </c>
      <c r="X427">
        <v>1.34</v>
      </c>
      <c r="Y427">
        <v>0</v>
      </c>
      <c r="Z427">
        <v>190.93</v>
      </c>
      <c r="AA427">
        <v>18.149999999999999</v>
      </c>
      <c r="AB427">
        <v>0</v>
      </c>
      <c r="AC427">
        <v>0</v>
      </c>
      <c r="AD427">
        <v>1</v>
      </c>
      <c r="AE427">
        <v>0</v>
      </c>
      <c r="AF427" t="s">
        <v>20</v>
      </c>
      <c r="AG427">
        <v>1.675</v>
      </c>
      <c r="AH427">
        <v>2</v>
      </c>
      <c r="AI427">
        <v>42939028</v>
      </c>
      <c r="AJ427">
        <v>433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</row>
    <row r="428" spans="1:44" x14ac:dyDescent="0.2">
      <c r="A428">
        <f>ROW(Source!A817)</f>
        <v>817</v>
      </c>
      <c r="B428">
        <v>42939029</v>
      </c>
      <c r="C428">
        <v>42938975</v>
      </c>
      <c r="D428">
        <v>36044734</v>
      </c>
      <c r="E428">
        <v>1</v>
      </c>
      <c r="F428">
        <v>1</v>
      </c>
      <c r="G428">
        <v>35973048</v>
      </c>
      <c r="H428">
        <v>2</v>
      </c>
      <c r="I428" t="s">
        <v>745</v>
      </c>
      <c r="J428" t="s">
        <v>747</v>
      </c>
      <c r="K428" t="s">
        <v>746</v>
      </c>
      <c r="L428">
        <v>1367</v>
      </c>
      <c r="N428">
        <v>1011</v>
      </c>
      <c r="O428" t="s">
        <v>738</v>
      </c>
      <c r="P428" t="s">
        <v>738</v>
      </c>
      <c r="Q428">
        <v>1</v>
      </c>
      <c r="X428">
        <v>0.61</v>
      </c>
      <c r="Y428">
        <v>0</v>
      </c>
      <c r="Z428">
        <v>246.68</v>
      </c>
      <c r="AA428">
        <v>13.37</v>
      </c>
      <c r="AB428">
        <v>0</v>
      </c>
      <c r="AC428">
        <v>0</v>
      </c>
      <c r="AD428">
        <v>1</v>
      </c>
      <c r="AE428">
        <v>0</v>
      </c>
      <c r="AF428" t="s">
        <v>20</v>
      </c>
      <c r="AG428">
        <v>0.76249999999999996</v>
      </c>
      <c r="AH428">
        <v>2</v>
      </c>
      <c r="AI428">
        <v>42939029</v>
      </c>
      <c r="AJ428">
        <v>434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</row>
    <row r="429" spans="1:44" x14ac:dyDescent="0.2">
      <c r="A429">
        <f>ROW(Source!A817)</f>
        <v>817</v>
      </c>
      <c r="B429">
        <v>42939030</v>
      </c>
      <c r="C429">
        <v>42938975</v>
      </c>
      <c r="D429">
        <v>36020415</v>
      </c>
      <c r="E429">
        <v>1</v>
      </c>
      <c r="F429">
        <v>1</v>
      </c>
      <c r="G429">
        <v>35973048</v>
      </c>
      <c r="H429">
        <v>3</v>
      </c>
      <c r="I429" t="s">
        <v>469</v>
      </c>
      <c r="J429" t="s">
        <v>471</v>
      </c>
      <c r="K429" t="s">
        <v>470</v>
      </c>
      <c r="L429">
        <v>1339</v>
      </c>
      <c r="N429">
        <v>1007</v>
      </c>
      <c r="O429" t="s">
        <v>84</v>
      </c>
      <c r="P429" t="s">
        <v>84</v>
      </c>
      <c r="Q429">
        <v>1</v>
      </c>
      <c r="X429">
        <v>2.6</v>
      </c>
      <c r="Y429">
        <v>7.07</v>
      </c>
      <c r="Z429">
        <v>0</v>
      </c>
      <c r="AA429">
        <v>0</v>
      </c>
      <c r="AB429">
        <v>0</v>
      </c>
      <c r="AC429">
        <v>0</v>
      </c>
      <c r="AD429">
        <v>1</v>
      </c>
      <c r="AE429">
        <v>0</v>
      </c>
      <c r="AF429" t="s">
        <v>3</v>
      </c>
      <c r="AG429">
        <v>2.6</v>
      </c>
      <c r="AH429">
        <v>2</v>
      </c>
      <c r="AI429">
        <v>42939030</v>
      </c>
      <c r="AJ429">
        <v>435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</row>
    <row r="430" spans="1:44" x14ac:dyDescent="0.2">
      <c r="A430">
        <f>ROW(Source!A817)</f>
        <v>817</v>
      </c>
      <c r="B430">
        <v>42939031</v>
      </c>
      <c r="C430">
        <v>42938975</v>
      </c>
      <c r="D430">
        <v>35994917</v>
      </c>
      <c r="E430">
        <v>35973048</v>
      </c>
      <c r="F430">
        <v>1</v>
      </c>
      <c r="G430">
        <v>35973048</v>
      </c>
      <c r="H430">
        <v>3</v>
      </c>
      <c r="I430" t="s">
        <v>1540</v>
      </c>
      <c r="J430" t="s">
        <v>3</v>
      </c>
      <c r="K430" t="s">
        <v>1541</v>
      </c>
      <c r="L430">
        <v>1354</v>
      </c>
      <c r="N430">
        <v>1010</v>
      </c>
      <c r="O430" t="s">
        <v>169</v>
      </c>
      <c r="P430" t="s">
        <v>169</v>
      </c>
      <c r="Q430">
        <v>1</v>
      </c>
      <c r="X430">
        <v>10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 t="s">
        <v>3</v>
      </c>
      <c r="AG430">
        <v>10</v>
      </c>
      <c r="AH430">
        <v>3</v>
      </c>
      <c r="AI430">
        <v>-1</v>
      </c>
      <c r="AJ430" t="s">
        <v>3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</row>
    <row r="431" spans="1:44" x14ac:dyDescent="0.2">
      <c r="A431">
        <f>ROW(Source!A817)</f>
        <v>817</v>
      </c>
      <c r="B431">
        <v>42939032</v>
      </c>
      <c r="C431">
        <v>42938975</v>
      </c>
      <c r="D431">
        <v>35994366</v>
      </c>
      <c r="E431">
        <v>35973048</v>
      </c>
      <c r="F431">
        <v>1</v>
      </c>
      <c r="G431">
        <v>35973048</v>
      </c>
      <c r="H431">
        <v>3</v>
      </c>
      <c r="I431" t="s">
        <v>1294</v>
      </c>
      <c r="J431" t="s">
        <v>3</v>
      </c>
      <c r="K431" t="s">
        <v>1295</v>
      </c>
      <c r="L431">
        <v>1344</v>
      </c>
      <c r="N431">
        <v>1008</v>
      </c>
      <c r="O431" t="s">
        <v>1245</v>
      </c>
      <c r="P431" t="s">
        <v>1245</v>
      </c>
      <c r="Q431">
        <v>1</v>
      </c>
      <c r="X431">
        <v>21.7</v>
      </c>
      <c r="Y431">
        <v>1</v>
      </c>
      <c r="Z431">
        <v>0</v>
      </c>
      <c r="AA431">
        <v>0</v>
      </c>
      <c r="AB431">
        <v>0</v>
      </c>
      <c r="AC431">
        <v>0</v>
      </c>
      <c r="AD431">
        <v>1</v>
      </c>
      <c r="AE431">
        <v>0</v>
      </c>
      <c r="AF431" t="s">
        <v>3</v>
      </c>
      <c r="AG431">
        <v>21.7</v>
      </c>
      <c r="AH431">
        <v>2</v>
      </c>
      <c r="AI431">
        <v>42939032</v>
      </c>
      <c r="AJ431">
        <v>436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</row>
    <row r="432" spans="1:44" x14ac:dyDescent="0.2">
      <c r="A432">
        <f>ROW(Source!A818)</f>
        <v>818</v>
      </c>
      <c r="B432">
        <v>43137717</v>
      </c>
      <c r="C432">
        <v>43137716</v>
      </c>
      <c r="D432">
        <v>35973053</v>
      </c>
      <c r="E432">
        <v>35973048</v>
      </c>
      <c r="F432">
        <v>1</v>
      </c>
      <c r="G432">
        <v>35973048</v>
      </c>
      <c r="H432">
        <v>1</v>
      </c>
      <c r="I432" t="s">
        <v>1228</v>
      </c>
      <c r="J432" t="s">
        <v>3</v>
      </c>
      <c r="K432" t="s">
        <v>1229</v>
      </c>
      <c r="L432">
        <v>1191</v>
      </c>
      <c r="N432">
        <v>1013</v>
      </c>
      <c r="O432" t="s">
        <v>1230</v>
      </c>
      <c r="P432" t="s">
        <v>1230</v>
      </c>
      <c r="Q432">
        <v>1</v>
      </c>
      <c r="X432">
        <v>12.54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1</v>
      </c>
      <c r="AE432">
        <v>1</v>
      </c>
      <c r="AF432" t="s">
        <v>21</v>
      </c>
      <c r="AG432">
        <v>14.420999999999998</v>
      </c>
      <c r="AH432">
        <v>2</v>
      </c>
      <c r="AI432">
        <v>43137717</v>
      </c>
      <c r="AJ432">
        <v>437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</row>
    <row r="433" spans="1:44" x14ac:dyDescent="0.2">
      <c r="A433">
        <f>ROW(Source!A818)</f>
        <v>818</v>
      </c>
      <c r="B433">
        <v>43137718</v>
      </c>
      <c r="C433">
        <v>43137716</v>
      </c>
      <c r="D433">
        <v>36044555</v>
      </c>
      <c r="E433">
        <v>1</v>
      </c>
      <c r="F433">
        <v>1</v>
      </c>
      <c r="G433">
        <v>35973048</v>
      </c>
      <c r="H433">
        <v>2</v>
      </c>
      <c r="I433" t="s">
        <v>1267</v>
      </c>
      <c r="J433" t="s">
        <v>1268</v>
      </c>
      <c r="K433" t="s">
        <v>1269</v>
      </c>
      <c r="L433">
        <v>1367</v>
      </c>
      <c r="N433">
        <v>1011</v>
      </c>
      <c r="O433" t="s">
        <v>738</v>
      </c>
      <c r="P433" t="s">
        <v>738</v>
      </c>
      <c r="Q433">
        <v>1</v>
      </c>
      <c r="X433">
        <v>1.1399999999999999</v>
      </c>
      <c r="Y433">
        <v>0</v>
      </c>
      <c r="Z433">
        <v>190.93</v>
      </c>
      <c r="AA433">
        <v>18.149999999999999</v>
      </c>
      <c r="AB433">
        <v>0</v>
      </c>
      <c r="AC433">
        <v>0</v>
      </c>
      <c r="AD433">
        <v>1</v>
      </c>
      <c r="AE433">
        <v>0</v>
      </c>
      <c r="AF433" t="s">
        <v>20</v>
      </c>
      <c r="AG433">
        <v>1.4249999999999998</v>
      </c>
      <c r="AH433">
        <v>2</v>
      </c>
      <c r="AI433">
        <v>43137718</v>
      </c>
      <c r="AJ433">
        <v>438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</row>
    <row r="434" spans="1:44" x14ac:dyDescent="0.2">
      <c r="A434">
        <f>ROW(Source!A818)</f>
        <v>818</v>
      </c>
      <c r="B434">
        <v>43137719</v>
      </c>
      <c r="C434">
        <v>43137716</v>
      </c>
      <c r="D434">
        <v>36044734</v>
      </c>
      <c r="E434">
        <v>1</v>
      </c>
      <c r="F434">
        <v>1</v>
      </c>
      <c r="G434">
        <v>35973048</v>
      </c>
      <c r="H434">
        <v>2</v>
      </c>
      <c r="I434" t="s">
        <v>745</v>
      </c>
      <c r="J434" t="s">
        <v>747</v>
      </c>
      <c r="K434" t="s">
        <v>746</v>
      </c>
      <c r="L434">
        <v>1367</v>
      </c>
      <c r="N434">
        <v>1011</v>
      </c>
      <c r="O434" t="s">
        <v>738</v>
      </c>
      <c r="P434" t="s">
        <v>738</v>
      </c>
      <c r="Q434">
        <v>1</v>
      </c>
      <c r="X434">
        <v>0.53</v>
      </c>
      <c r="Y434">
        <v>0</v>
      </c>
      <c r="Z434">
        <v>246.68</v>
      </c>
      <c r="AA434">
        <v>13.37</v>
      </c>
      <c r="AB434">
        <v>0</v>
      </c>
      <c r="AC434">
        <v>0</v>
      </c>
      <c r="AD434">
        <v>1</v>
      </c>
      <c r="AE434">
        <v>0</v>
      </c>
      <c r="AF434" t="s">
        <v>20</v>
      </c>
      <c r="AG434">
        <v>0.66250000000000009</v>
      </c>
      <c r="AH434">
        <v>2</v>
      </c>
      <c r="AI434">
        <v>43137719</v>
      </c>
      <c r="AJ434">
        <v>439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</row>
    <row r="435" spans="1:44" x14ac:dyDescent="0.2">
      <c r="A435">
        <f>ROW(Source!A818)</f>
        <v>818</v>
      </c>
      <c r="B435">
        <v>43137720</v>
      </c>
      <c r="C435">
        <v>43137716</v>
      </c>
      <c r="D435">
        <v>36020415</v>
      </c>
      <c r="E435">
        <v>1</v>
      </c>
      <c r="F435">
        <v>1</v>
      </c>
      <c r="G435">
        <v>35973048</v>
      </c>
      <c r="H435">
        <v>3</v>
      </c>
      <c r="I435" t="s">
        <v>469</v>
      </c>
      <c r="J435" t="s">
        <v>471</v>
      </c>
      <c r="K435" t="s">
        <v>470</v>
      </c>
      <c r="L435">
        <v>1339</v>
      </c>
      <c r="N435">
        <v>1007</v>
      </c>
      <c r="O435" t="s">
        <v>84</v>
      </c>
      <c r="P435" t="s">
        <v>84</v>
      </c>
      <c r="Q435">
        <v>1</v>
      </c>
      <c r="X435">
        <v>2.2000000000000002</v>
      </c>
      <c r="Y435">
        <v>7.07</v>
      </c>
      <c r="Z435">
        <v>0</v>
      </c>
      <c r="AA435">
        <v>0</v>
      </c>
      <c r="AB435">
        <v>0</v>
      </c>
      <c r="AC435">
        <v>0</v>
      </c>
      <c r="AD435">
        <v>1</v>
      </c>
      <c r="AE435">
        <v>0</v>
      </c>
      <c r="AF435" t="s">
        <v>3</v>
      </c>
      <c r="AG435">
        <v>2.2000000000000002</v>
      </c>
      <c r="AH435">
        <v>2</v>
      </c>
      <c r="AI435">
        <v>43137720</v>
      </c>
      <c r="AJ435">
        <v>440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</row>
    <row r="436" spans="1:44" x14ac:dyDescent="0.2">
      <c r="A436">
        <f>ROW(Source!A818)</f>
        <v>818</v>
      </c>
      <c r="B436">
        <v>43137721</v>
      </c>
      <c r="C436">
        <v>43137716</v>
      </c>
      <c r="D436">
        <v>35994917</v>
      </c>
      <c r="E436">
        <v>35973048</v>
      </c>
      <c r="F436">
        <v>1</v>
      </c>
      <c r="G436">
        <v>35973048</v>
      </c>
      <c r="H436">
        <v>3</v>
      </c>
      <c r="I436" t="s">
        <v>1540</v>
      </c>
      <c r="J436" t="s">
        <v>3</v>
      </c>
      <c r="K436" t="s">
        <v>1541</v>
      </c>
      <c r="L436">
        <v>1354</v>
      </c>
      <c r="N436">
        <v>1010</v>
      </c>
      <c r="O436" t="s">
        <v>169</v>
      </c>
      <c r="P436" t="s">
        <v>169</v>
      </c>
      <c r="Q436">
        <v>1</v>
      </c>
      <c r="X436">
        <v>10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 t="s">
        <v>3</v>
      </c>
      <c r="AG436">
        <v>10</v>
      </c>
      <c r="AH436">
        <v>3</v>
      </c>
      <c r="AI436">
        <v>-1</v>
      </c>
      <c r="AJ436" t="s">
        <v>3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</row>
    <row r="437" spans="1:44" x14ac:dyDescent="0.2">
      <c r="A437">
        <f>ROW(Source!A818)</f>
        <v>818</v>
      </c>
      <c r="B437">
        <v>43137722</v>
      </c>
      <c r="C437">
        <v>43137716</v>
      </c>
      <c r="D437">
        <v>35994366</v>
      </c>
      <c r="E437">
        <v>35973048</v>
      </c>
      <c r="F437">
        <v>1</v>
      </c>
      <c r="G437">
        <v>35973048</v>
      </c>
      <c r="H437">
        <v>3</v>
      </c>
      <c r="I437" t="s">
        <v>1294</v>
      </c>
      <c r="J437" t="s">
        <v>3</v>
      </c>
      <c r="K437" t="s">
        <v>1295</v>
      </c>
      <c r="L437">
        <v>1344</v>
      </c>
      <c r="N437">
        <v>1008</v>
      </c>
      <c r="O437" t="s">
        <v>1245</v>
      </c>
      <c r="P437" t="s">
        <v>1245</v>
      </c>
      <c r="Q437">
        <v>1</v>
      </c>
      <c r="X437">
        <v>21.7</v>
      </c>
      <c r="Y437">
        <v>1</v>
      </c>
      <c r="Z437">
        <v>0</v>
      </c>
      <c r="AA437">
        <v>0</v>
      </c>
      <c r="AB437">
        <v>0</v>
      </c>
      <c r="AC437">
        <v>0</v>
      </c>
      <c r="AD437">
        <v>1</v>
      </c>
      <c r="AE437">
        <v>0</v>
      </c>
      <c r="AF437" t="s">
        <v>3</v>
      </c>
      <c r="AG437">
        <v>21.7</v>
      </c>
      <c r="AH437">
        <v>2</v>
      </c>
      <c r="AI437">
        <v>43137722</v>
      </c>
      <c r="AJ437">
        <v>441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</row>
    <row r="438" spans="1:44" x14ac:dyDescent="0.2">
      <c r="A438">
        <f>ROW(Source!A819)</f>
        <v>819</v>
      </c>
      <c r="B438">
        <v>42939213</v>
      </c>
      <c r="C438">
        <v>42939131</v>
      </c>
      <c r="D438">
        <v>35973053</v>
      </c>
      <c r="E438">
        <v>35973048</v>
      </c>
      <c r="F438">
        <v>1</v>
      </c>
      <c r="G438">
        <v>35973048</v>
      </c>
      <c r="H438">
        <v>1</v>
      </c>
      <c r="I438" t="s">
        <v>1228</v>
      </c>
      <c r="J438" t="s">
        <v>3</v>
      </c>
      <c r="K438" t="s">
        <v>1229</v>
      </c>
      <c r="L438">
        <v>1191</v>
      </c>
      <c r="N438">
        <v>1013</v>
      </c>
      <c r="O438" t="s">
        <v>1230</v>
      </c>
      <c r="P438" t="s">
        <v>1230</v>
      </c>
      <c r="Q438">
        <v>1</v>
      </c>
      <c r="X438">
        <v>18.46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1</v>
      </c>
      <c r="AE438">
        <v>1</v>
      </c>
      <c r="AF438" t="s">
        <v>21</v>
      </c>
      <c r="AG438">
        <v>21.228999999999999</v>
      </c>
      <c r="AH438">
        <v>2</v>
      </c>
      <c r="AI438">
        <v>42939213</v>
      </c>
      <c r="AJ438">
        <v>442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</row>
    <row r="439" spans="1:44" x14ac:dyDescent="0.2">
      <c r="A439">
        <f>ROW(Source!A819)</f>
        <v>819</v>
      </c>
      <c r="B439">
        <v>42939214</v>
      </c>
      <c r="C439">
        <v>42939131</v>
      </c>
      <c r="D439">
        <v>35987462</v>
      </c>
      <c r="E439">
        <v>35973048</v>
      </c>
      <c r="F439">
        <v>1</v>
      </c>
      <c r="G439">
        <v>35973048</v>
      </c>
      <c r="H439">
        <v>3</v>
      </c>
      <c r="I439" t="s">
        <v>1546</v>
      </c>
      <c r="J439" t="s">
        <v>3</v>
      </c>
      <c r="K439" t="s">
        <v>1548</v>
      </c>
      <c r="L439">
        <v>1346</v>
      </c>
      <c r="N439">
        <v>1009</v>
      </c>
      <c r="O439" t="s">
        <v>131</v>
      </c>
      <c r="P439" t="s">
        <v>131</v>
      </c>
      <c r="Q439">
        <v>1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 t="s">
        <v>3</v>
      </c>
      <c r="AG439">
        <v>0</v>
      </c>
      <c r="AH439">
        <v>3</v>
      </c>
      <c r="AI439">
        <v>-1</v>
      </c>
      <c r="AJ439" t="s">
        <v>3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</row>
    <row r="440" spans="1:44" x14ac:dyDescent="0.2">
      <c r="A440">
        <f>ROW(Source!A819)</f>
        <v>819</v>
      </c>
      <c r="B440">
        <v>42939215</v>
      </c>
      <c r="C440">
        <v>42939131</v>
      </c>
      <c r="D440">
        <v>35987443</v>
      </c>
      <c r="E440">
        <v>35973048</v>
      </c>
      <c r="F440">
        <v>1</v>
      </c>
      <c r="G440">
        <v>35973048</v>
      </c>
      <c r="H440">
        <v>3</v>
      </c>
      <c r="I440" t="s">
        <v>1546</v>
      </c>
      <c r="J440" t="s">
        <v>3</v>
      </c>
      <c r="K440" t="s">
        <v>1549</v>
      </c>
      <c r="L440">
        <v>1346</v>
      </c>
      <c r="N440">
        <v>1009</v>
      </c>
      <c r="O440" t="s">
        <v>131</v>
      </c>
      <c r="P440" t="s">
        <v>131</v>
      </c>
      <c r="Q440">
        <v>1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 t="s">
        <v>3</v>
      </c>
      <c r="AG440">
        <v>0</v>
      </c>
      <c r="AH440">
        <v>3</v>
      </c>
      <c r="AI440">
        <v>-1</v>
      </c>
      <c r="AJ440" t="s">
        <v>3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</row>
    <row r="441" spans="1:44" x14ac:dyDescent="0.2">
      <c r="A441">
        <f>ROW(Source!A822)</f>
        <v>822</v>
      </c>
      <c r="B441">
        <v>43135003</v>
      </c>
      <c r="C441">
        <v>43135002</v>
      </c>
      <c r="D441">
        <v>35973053</v>
      </c>
      <c r="E441">
        <v>35973048</v>
      </c>
      <c r="F441">
        <v>1</v>
      </c>
      <c r="G441">
        <v>35973048</v>
      </c>
      <c r="H441">
        <v>1</v>
      </c>
      <c r="I441" t="s">
        <v>1228</v>
      </c>
      <c r="J441" t="s">
        <v>3</v>
      </c>
      <c r="K441" t="s">
        <v>1229</v>
      </c>
      <c r="L441">
        <v>1191</v>
      </c>
      <c r="N441">
        <v>1013</v>
      </c>
      <c r="O441" t="s">
        <v>1230</v>
      </c>
      <c r="P441" t="s">
        <v>1230</v>
      </c>
      <c r="Q441">
        <v>1</v>
      </c>
      <c r="X441">
        <v>83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1</v>
      </c>
      <c r="AE441">
        <v>1</v>
      </c>
      <c r="AF441" t="s">
        <v>3</v>
      </c>
      <c r="AG441">
        <v>83</v>
      </c>
      <c r="AH441">
        <v>2</v>
      </c>
      <c r="AI441">
        <v>43135003</v>
      </c>
      <c r="AJ441">
        <v>445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</row>
    <row r="442" spans="1:44" x14ac:dyDescent="0.2">
      <c r="A442">
        <f>ROW(Source!A823)</f>
        <v>823</v>
      </c>
      <c r="B442">
        <v>43137068</v>
      </c>
      <c r="C442">
        <v>43135069</v>
      </c>
      <c r="D442">
        <v>36759504</v>
      </c>
      <c r="E442">
        <v>1</v>
      </c>
      <c r="F442">
        <v>1</v>
      </c>
      <c r="G442">
        <v>35973048</v>
      </c>
      <c r="H442">
        <v>2</v>
      </c>
      <c r="I442" t="s">
        <v>1332</v>
      </c>
      <c r="J442" t="s">
        <v>1333</v>
      </c>
      <c r="K442" t="s">
        <v>1334</v>
      </c>
      <c r="L442">
        <v>1367</v>
      </c>
      <c r="N442">
        <v>1011</v>
      </c>
      <c r="O442" t="s">
        <v>738</v>
      </c>
      <c r="P442" t="s">
        <v>738</v>
      </c>
      <c r="Q442">
        <v>1</v>
      </c>
      <c r="X442">
        <v>1</v>
      </c>
      <c r="Y442">
        <v>0</v>
      </c>
      <c r="Z442">
        <v>100.09</v>
      </c>
      <c r="AA442">
        <v>13.81</v>
      </c>
      <c r="AB442">
        <v>0</v>
      </c>
      <c r="AC442">
        <v>0</v>
      </c>
      <c r="AD442">
        <v>1</v>
      </c>
      <c r="AE442">
        <v>0</v>
      </c>
      <c r="AF442" t="s">
        <v>3</v>
      </c>
      <c r="AG442">
        <v>1</v>
      </c>
      <c r="AH442">
        <v>2</v>
      </c>
      <c r="AI442">
        <v>43137068</v>
      </c>
      <c r="AJ442">
        <v>446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</row>
    <row r="443" spans="1:44" x14ac:dyDescent="0.2">
      <c r="A443">
        <f>ROW(Source!A824)</f>
        <v>824</v>
      </c>
      <c r="B443">
        <v>43137070</v>
      </c>
      <c r="C443">
        <v>43137069</v>
      </c>
      <c r="D443">
        <v>35973762</v>
      </c>
      <c r="E443">
        <v>35973048</v>
      </c>
      <c r="F443">
        <v>1</v>
      </c>
      <c r="G443">
        <v>35973048</v>
      </c>
      <c r="H443">
        <v>2</v>
      </c>
      <c r="I443" t="s">
        <v>1243</v>
      </c>
      <c r="J443" t="s">
        <v>3</v>
      </c>
      <c r="K443" t="s">
        <v>1244</v>
      </c>
      <c r="L443">
        <v>1344</v>
      </c>
      <c r="N443">
        <v>1008</v>
      </c>
      <c r="O443" t="s">
        <v>1245</v>
      </c>
      <c r="P443" t="s">
        <v>1245</v>
      </c>
      <c r="Q443">
        <v>1</v>
      </c>
      <c r="X443">
        <v>12.61</v>
      </c>
      <c r="Y443">
        <v>0</v>
      </c>
      <c r="Z443">
        <v>1</v>
      </c>
      <c r="AA443">
        <v>0</v>
      </c>
      <c r="AB443">
        <v>0</v>
      </c>
      <c r="AC443">
        <v>0</v>
      </c>
      <c r="AD443">
        <v>1</v>
      </c>
      <c r="AE443">
        <v>0</v>
      </c>
      <c r="AF443" t="s">
        <v>3</v>
      </c>
      <c r="AG443">
        <v>12.61</v>
      </c>
      <c r="AH443">
        <v>2</v>
      </c>
      <c r="AI443">
        <v>43137070</v>
      </c>
      <c r="AJ443">
        <v>447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</row>
    <row r="444" spans="1:44" x14ac:dyDescent="0.2">
      <c r="A444">
        <f>ROW(Source!A839)</f>
        <v>839</v>
      </c>
      <c r="B444">
        <v>43137092</v>
      </c>
      <c r="C444">
        <v>43135211</v>
      </c>
      <c r="D444">
        <v>36759504</v>
      </c>
      <c r="E444">
        <v>1</v>
      </c>
      <c r="F444">
        <v>1</v>
      </c>
      <c r="G444">
        <v>35973048</v>
      </c>
      <c r="H444">
        <v>2</v>
      </c>
      <c r="I444" t="s">
        <v>1332</v>
      </c>
      <c r="J444" t="s">
        <v>1333</v>
      </c>
      <c r="K444" t="s">
        <v>1334</v>
      </c>
      <c r="L444">
        <v>1367</v>
      </c>
      <c r="N444">
        <v>1011</v>
      </c>
      <c r="O444" t="s">
        <v>738</v>
      </c>
      <c r="P444" t="s">
        <v>738</v>
      </c>
      <c r="Q444">
        <v>1</v>
      </c>
      <c r="X444">
        <v>1</v>
      </c>
      <c r="Y444">
        <v>0</v>
      </c>
      <c r="Z444">
        <v>100.09</v>
      </c>
      <c r="AA444">
        <v>13.81</v>
      </c>
      <c r="AB444">
        <v>0</v>
      </c>
      <c r="AC444">
        <v>0</v>
      </c>
      <c r="AD444">
        <v>1</v>
      </c>
      <c r="AE444">
        <v>0</v>
      </c>
      <c r="AF444" t="s">
        <v>3</v>
      </c>
      <c r="AG444">
        <v>1</v>
      </c>
      <c r="AH444">
        <v>2</v>
      </c>
      <c r="AI444">
        <v>43137092</v>
      </c>
      <c r="AJ444">
        <v>448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</row>
    <row r="445" spans="1:44" x14ac:dyDescent="0.2">
      <c r="A445">
        <f>ROW(Source!A840)</f>
        <v>840</v>
      </c>
      <c r="B445">
        <v>43137093</v>
      </c>
      <c r="C445">
        <v>43137091</v>
      </c>
      <c r="D445">
        <v>35973762</v>
      </c>
      <c r="E445">
        <v>35973048</v>
      </c>
      <c r="F445">
        <v>1</v>
      </c>
      <c r="G445">
        <v>35973048</v>
      </c>
      <c r="H445">
        <v>2</v>
      </c>
      <c r="I445" t="s">
        <v>1243</v>
      </c>
      <c r="J445" t="s">
        <v>3</v>
      </c>
      <c r="K445" t="s">
        <v>1244</v>
      </c>
      <c r="L445">
        <v>1344</v>
      </c>
      <c r="N445">
        <v>1008</v>
      </c>
      <c r="O445" t="s">
        <v>1245</v>
      </c>
      <c r="P445" t="s">
        <v>1245</v>
      </c>
      <c r="Q445">
        <v>1</v>
      </c>
      <c r="X445">
        <v>12.61</v>
      </c>
      <c r="Y445">
        <v>0</v>
      </c>
      <c r="Z445">
        <v>1</v>
      </c>
      <c r="AA445">
        <v>0</v>
      </c>
      <c r="AB445">
        <v>0</v>
      </c>
      <c r="AC445">
        <v>0</v>
      </c>
      <c r="AD445">
        <v>1</v>
      </c>
      <c r="AE445">
        <v>0</v>
      </c>
      <c r="AF445" t="s">
        <v>3</v>
      </c>
      <c r="AG445">
        <v>12.61</v>
      </c>
      <c r="AH445">
        <v>2</v>
      </c>
      <c r="AI445">
        <v>43137093</v>
      </c>
      <c r="AJ445">
        <v>449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</row>
    <row r="446" spans="1:44" x14ac:dyDescent="0.2">
      <c r="A446">
        <f>ROW(Source!A906)</f>
        <v>906</v>
      </c>
      <c r="B446">
        <v>43135162</v>
      </c>
      <c r="C446">
        <v>43135143</v>
      </c>
      <c r="D446">
        <v>35973053</v>
      </c>
      <c r="E446">
        <v>35973048</v>
      </c>
      <c r="F446">
        <v>1</v>
      </c>
      <c r="G446">
        <v>35973048</v>
      </c>
      <c r="H446">
        <v>1</v>
      </c>
      <c r="I446" t="s">
        <v>1228</v>
      </c>
      <c r="J446" t="s">
        <v>3</v>
      </c>
      <c r="K446" t="s">
        <v>1229</v>
      </c>
      <c r="L446">
        <v>1191</v>
      </c>
      <c r="N446">
        <v>1013</v>
      </c>
      <c r="O446" t="s">
        <v>1230</v>
      </c>
      <c r="P446" t="s">
        <v>1230</v>
      </c>
      <c r="Q446">
        <v>1</v>
      </c>
      <c r="X446">
        <v>1.21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1</v>
      </c>
      <c r="AE446">
        <v>1</v>
      </c>
      <c r="AF446" t="s">
        <v>56</v>
      </c>
      <c r="AG446">
        <v>1.0436249999999998</v>
      </c>
      <c r="AH446">
        <v>2</v>
      </c>
      <c r="AI446">
        <v>43135162</v>
      </c>
      <c r="AJ446">
        <v>450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</row>
    <row r="447" spans="1:44" x14ac:dyDescent="0.2">
      <c r="A447">
        <f>ROW(Source!A906)</f>
        <v>906</v>
      </c>
      <c r="B447">
        <v>43135163</v>
      </c>
      <c r="C447">
        <v>43135143</v>
      </c>
      <c r="D447">
        <v>36044463</v>
      </c>
      <c r="E447">
        <v>1</v>
      </c>
      <c r="F447">
        <v>1</v>
      </c>
      <c r="G447">
        <v>35973048</v>
      </c>
      <c r="H447">
        <v>2</v>
      </c>
      <c r="I447" t="s">
        <v>1249</v>
      </c>
      <c r="J447" t="s">
        <v>1250</v>
      </c>
      <c r="K447" t="s">
        <v>1251</v>
      </c>
      <c r="L447">
        <v>1367</v>
      </c>
      <c r="N447">
        <v>1011</v>
      </c>
      <c r="O447" t="s">
        <v>738</v>
      </c>
      <c r="P447" t="s">
        <v>738</v>
      </c>
      <c r="Q447">
        <v>1</v>
      </c>
      <c r="X447">
        <v>3.1459999999999999</v>
      </c>
      <c r="Y447">
        <v>0</v>
      </c>
      <c r="Z447">
        <v>180.72</v>
      </c>
      <c r="AA447">
        <v>17.510000000000002</v>
      </c>
      <c r="AB447">
        <v>0</v>
      </c>
      <c r="AC447">
        <v>0</v>
      </c>
      <c r="AD447">
        <v>1</v>
      </c>
      <c r="AE447">
        <v>0</v>
      </c>
      <c r="AF447" t="s">
        <v>55</v>
      </c>
      <c r="AG447">
        <v>2.9493749999999999</v>
      </c>
      <c r="AH447">
        <v>2</v>
      </c>
      <c r="AI447">
        <v>43135163</v>
      </c>
      <c r="AJ447">
        <v>451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</row>
    <row r="448" spans="1:44" x14ac:dyDescent="0.2">
      <c r="A448">
        <f>ROW(Source!A907)</f>
        <v>907</v>
      </c>
      <c r="B448">
        <v>42939232</v>
      </c>
      <c r="C448">
        <v>42939228</v>
      </c>
      <c r="D448">
        <v>35973053</v>
      </c>
      <c r="E448">
        <v>35973048</v>
      </c>
      <c r="F448">
        <v>1</v>
      </c>
      <c r="G448">
        <v>35973048</v>
      </c>
      <c r="H448">
        <v>1</v>
      </c>
      <c r="I448" t="s">
        <v>1228</v>
      </c>
      <c r="J448" t="s">
        <v>3</v>
      </c>
      <c r="K448" t="s">
        <v>1229</v>
      </c>
      <c r="L448">
        <v>1191</v>
      </c>
      <c r="N448">
        <v>1013</v>
      </c>
      <c r="O448" t="s">
        <v>1230</v>
      </c>
      <c r="P448" t="s">
        <v>1230</v>
      </c>
      <c r="Q448">
        <v>1</v>
      </c>
      <c r="X448">
        <v>192.7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1</v>
      </c>
      <c r="AE448">
        <v>1</v>
      </c>
      <c r="AF448" t="s">
        <v>65</v>
      </c>
      <c r="AG448">
        <v>55.40124999999999</v>
      </c>
      <c r="AH448">
        <v>2</v>
      </c>
      <c r="AI448">
        <v>42939232</v>
      </c>
      <c r="AJ448">
        <v>452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</row>
    <row r="449" spans="1:44" x14ac:dyDescent="0.2">
      <c r="A449">
        <f>ROW(Source!A908)</f>
        <v>908</v>
      </c>
      <c r="B449">
        <v>42939224</v>
      </c>
      <c r="C449">
        <v>42939222</v>
      </c>
      <c r="D449">
        <v>35973053</v>
      </c>
      <c r="E449">
        <v>35973048</v>
      </c>
      <c r="F449">
        <v>1</v>
      </c>
      <c r="G449">
        <v>35973048</v>
      </c>
      <c r="H449">
        <v>1</v>
      </c>
      <c r="I449" t="s">
        <v>1228</v>
      </c>
      <c r="J449" t="s">
        <v>3</v>
      </c>
      <c r="K449" t="s">
        <v>1229</v>
      </c>
      <c r="L449">
        <v>1191</v>
      </c>
      <c r="N449">
        <v>1013</v>
      </c>
      <c r="O449" t="s">
        <v>1230</v>
      </c>
      <c r="P449" t="s">
        <v>1230</v>
      </c>
      <c r="Q449">
        <v>1</v>
      </c>
      <c r="X449">
        <v>10.199999999999999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1</v>
      </c>
      <c r="AE449">
        <v>1</v>
      </c>
      <c r="AF449" t="s">
        <v>21</v>
      </c>
      <c r="AG449">
        <v>11.729999999999999</v>
      </c>
      <c r="AH449">
        <v>2</v>
      </c>
      <c r="AI449">
        <v>42939224</v>
      </c>
      <c r="AJ449">
        <v>453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</row>
    <row r="450" spans="1:44" x14ac:dyDescent="0.2">
      <c r="A450">
        <f>ROW(Source!A908)</f>
        <v>908</v>
      </c>
      <c r="B450">
        <v>42939225</v>
      </c>
      <c r="C450">
        <v>42939222</v>
      </c>
      <c r="D450">
        <v>36044648</v>
      </c>
      <c r="E450">
        <v>1</v>
      </c>
      <c r="F450">
        <v>1</v>
      </c>
      <c r="G450">
        <v>35973048</v>
      </c>
      <c r="H450">
        <v>2</v>
      </c>
      <c r="I450" t="s">
        <v>1270</v>
      </c>
      <c r="J450" t="s">
        <v>1271</v>
      </c>
      <c r="K450" t="s">
        <v>1272</v>
      </c>
      <c r="L450">
        <v>1367</v>
      </c>
      <c r="N450">
        <v>1011</v>
      </c>
      <c r="O450" t="s">
        <v>738</v>
      </c>
      <c r="P450" t="s">
        <v>738</v>
      </c>
      <c r="Q450">
        <v>1</v>
      </c>
      <c r="X450">
        <v>0.32</v>
      </c>
      <c r="Y450">
        <v>0</v>
      </c>
      <c r="Z450">
        <v>73</v>
      </c>
      <c r="AA450">
        <v>16.899999999999999</v>
      </c>
      <c r="AB450">
        <v>0</v>
      </c>
      <c r="AC450">
        <v>0</v>
      </c>
      <c r="AD450">
        <v>1</v>
      </c>
      <c r="AE450">
        <v>0</v>
      </c>
      <c r="AF450" t="s">
        <v>20</v>
      </c>
      <c r="AG450">
        <v>0.4</v>
      </c>
      <c r="AH450">
        <v>2</v>
      </c>
      <c r="AI450">
        <v>42939225</v>
      </c>
      <c r="AJ450">
        <v>454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</row>
    <row r="451" spans="1:44" x14ac:dyDescent="0.2">
      <c r="A451">
        <f>ROW(Source!A908)</f>
        <v>908</v>
      </c>
      <c r="B451">
        <v>42939226</v>
      </c>
      <c r="C451">
        <v>42939222</v>
      </c>
      <c r="D451">
        <v>35995212</v>
      </c>
      <c r="E451">
        <v>35973048</v>
      </c>
      <c r="F451">
        <v>1</v>
      </c>
      <c r="G451">
        <v>35973048</v>
      </c>
      <c r="H451">
        <v>3</v>
      </c>
      <c r="I451" t="s">
        <v>1465</v>
      </c>
      <c r="J451" t="s">
        <v>3</v>
      </c>
      <c r="K451" t="s">
        <v>1507</v>
      </c>
      <c r="L451">
        <v>1339</v>
      </c>
      <c r="N451">
        <v>1007</v>
      </c>
      <c r="O451" t="s">
        <v>84</v>
      </c>
      <c r="P451" t="s">
        <v>84</v>
      </c>
      <c r="Q451">
        <v>1</v>
      </c>
      <c r="X451">
        <v>11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 t="s">
        <v>3</v>
      </c>
      <c r="AG451">
        <v>11</v>
      </c>
      <c r="AH451">
        <v>3</v>
      </c>
      <c r="AI451">
        <v>-1</v>
      </c>
      <c r="AJ451" t="s">
        <v>3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</row>
    <row r="452" spans="1:44" x14ac:dyDescent="0.2">
      <c r="A452">
        <f>ROW(Source!A910)</f>
        <v>910</v>
      </c>
      <c r="B452">
        <v>42939293</v>
      </c>
      <c r="C452">
        <v>42939292</v>
      </c>
      <c r="D452">
        <v>35973053</v>
      </c>
      <c r="E452">
        <v>35973048</v>
      </c>
      <c r="F452">
        <v>1</v>
      </c>
      <c r="G452">
        <v>35973048</v>
      </c>
      <c r="H452">
        <v>1</v>
      </c>
      <c r="I452" t="s">
        <v>1228</v>
      </c>
      <c r="J452" t="s">
        <v>3</v>
      </c>
      <c r="K452" t="s">
        <v>1229</v>
      </c>
      <c r="L452">
        <v>1191</v>
      </c>
      <c r="N452">
        <v>1013</v>
      </c>
      <c r="O452" t="s">
        <v>1230</v>
      </c>
      <c r="P452" t="s">
        <v>1230</v>
      </c>
      <c r="Q452">
        <v>1</v>
      </c>
      <c r="X452">
        <v>133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1</v>
      </c>
      <c r="AE452">
        <v>1</v>
      </c>
      <c r="AF452" t="s">
        <v>21</v>
      </c>
      <c r="AG452">
        <v>152.94999999999999</v>
      </c>
      <c r="AH452">
        <v>2</v>
      </c>
      <c r="AI452">
        <v>42939293</v>
      </c>
      <c r="AJ452">
        <v>456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</row>
    <row r="453" spans="1:44" x14ac:dyDescent="0.2">
      <c r="A453">
        <f>ROW(Source!A910)</f>
        <v>910</v>
      </c>
      <c r="B453">
        <v>42939294</v>
      </c>
      <c r="C453">
        <v>42939292</v>
      </c>
      <c r="D453">
        <v>37606212</v>
      </c>
      <c r="E453">
        <v>35973048</v>
      </c>
      <c r="F453">
        <v>1</v>
      </c>
      <c r="G453">
        <v>35973048</v>
      </c>
      <c r="H453">
        <v>3</v>
      </c>
      <c r="I453" t="s">
        <v>1550</v>
      </c>
      <c r="J453" t="s">
        <v>3</v>
      </c>
      <c r="K453" t="s">
        <v>1551</v>
      </c>
      <c r="L453">
        <v>1301</v>
      </c>
      <c r="N453">
        <v>1003</v>
      </c>
      <c r="O453" t="s">
        <v>136</v>
      </c>
      <c r="P453" t="s">
        <v>136</v>
      </c>
      <c r="Q453">
        <v>1</v>
      </c>
      <c r="X453">
        <v>1000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 t="s">
        <v>3</v>
      </c>
      <c r="AG453">
        <v>1000</v>
      </c>
      <c r="AH453">
        <v>3</v>
      </c>
      <c r="AI453">
        <v>-1</v>
      </c>
      <c r="AJ453" t="s">
        <v>3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</row>
    <row r="454" spans="1:44" x14ac:dyDescent="0.2">
      <c r="A454">
        <f>ROW(Source!A910)</f>
        <v>910</v>
      </c>
      <c r="B454">
        <v>42939295</v>
      </c>
      <c r="C454">
        <v>42939292</v>
      </c>
      <c r="D454">
        <v>35994366</v>
      </c>
      <c r="E454">
        <v>35973048</v>
      </c>
      <c r="F454">
        <v>1</v>
      </c>
      <c r="G454">
        <v>35973048</v>
      </c>
      <c r="H454">
        <v>3</v>
      </c>
      <c r="I454" t="s">
        <v>1294</v>
      </c>
      <c r="J454" t="s">
        <v>3</v>
      </c>
      <c r="K454" t="s">
        <v>1295</v>
      </c>
      <c r="L454">
        <v>1344</v>
      </c>
      <c r="N454">
        <v>1008</v>
      </c>
      <c r="O454" t="s">
        <v>1245</v>
      </c>
      <c r="P454" t="s">
        <v>1245</v>
      </c>
      <c r="Q454">
        <v>1</v>
      </c>
      <c r="X454">
        <v>44.38</v>
      </c>
      <c r="Y454">
        <v>1</v>
      </c>
      <c r="Z454">
        <v>0</v>
      </c>
      <c r="AA454">
        <v>0</v>
      </c>
      <c r="AB454">
        <v>0</v>
      </c>
      <c r="AC454">
        <v>0</v>
      </c>
      <c r="AD454">
        <v>1</v>
      </c>
      <c r="AE454">
        <v>0</v>
      </c>
      <c r="AF454" t="s">
        <v>3</v>
      </c>
      <c r="AG454">
        <v>44.38</v>
      </c>
      <c r="AH454">
        <v>2</v>
      </c>
      <c r="AI454">
        <v>42939295</v>
      </c>
      <c r="AJ454">
        <v>458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</row>
    <row r="455" spans="1:44" x14ac:dyDescent="0.2">
      <c r="A455">
        <f>ROW(Source!A913)</f>
        <v>913</v>
      </c>
      <c r="B455">
        <v>42939300</v>
      </c>
      <c r="C455">
        <v>42939299</v>
      </c>
      <c r="D455">
        <v>35973053</v>
      </c>
      <c r="E455">
        <v>35973048</v>
      </c>
      <c r="F455">
        <v>1</v>
      </c>
      <c r="G455">
        <v>35973048</v>
      </c>
      <c r="H455">
        <v>1</v>
      </c>
      <c r="I455" t="s">
        <v>1228</v>
      </c>
      <c r="J455" t="s">
        <v>3</v>
      </c>
      <c r="K455" t="s">
        <v>1229</v>
      </c>
      <c r="L455">
        <v>1191</v>
      </c>
      <c r="N455">
        <v>1013</v>
      </c>
      <c r="O455" t="s">
        <v>1230</v>
      </c>
      <c r="P455" t="s">
        <v>1230</v>
      </c>
      <c r="Q455">
        <v>1</v>
      </c>
      <c r="X455">
        <v>10.7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1</v>
      </c>
      <c r="AE455">
        <v>1</v>
      </c>
      <c r="AF455" t="s">
        <v>3</v>
      </c>
      <c r="AG455">
        <v>10.7</v>
      </c>
      <c r="AH455">
        <v>2</v>
      </c>
      <c r="AI455">
        <v>42939300</v>
      </c>
      <c r="AJ455">
        <v>460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</row>
    <row r="456" spans="1:44" x14ac:dyDescent="0.2">
      <c r="A456">
        <f>ROW(Source!A916)</f>
        <v>916</v>
      </c>
      <c r="B456">
        <v>43135214</v>
      </c>
      <c r="C456">
        <v>43135213</v>
      </c>
      <c r="D456">
        <v>35973053</v>
      </c>
      <c r="E456">
        <v>35973048</v>
      </c>
      <c r="F456">
        <v>1</v>
      </c>
      <c r="G456">
        <v>35973048</v>
      </c>
      <c r="H456">
        <v>1</v>
      </c>
      <c r="I456" t="s">
        <v>1228</v>
      </c>
      <c r="J456" t="s">
        <v>3</v>
      </c>
      <c r="K456" t="s">
        <v>1229</v>
      </c>
      <c r="L456">
        <v>1191</v>
      </c>
      <c r="N456">
        <v>1013</v>
      </c>
      <c r="O456" t="s">
        <v>1230</v>
      </c>
      <c r="P456" t="s">
        <v>1230</v>
      </c>
      <c r="Q456">
        <v>1</v>
      </c>
      <c r="X456">
        <v>19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1</v>
      </c>
      <c r="AE456">
        <v>1</v>
      </c>
      <c r="AF456" t="s">
        <v>3</v>
      </c>
      <c r="AG456">
        <v>19</v>
      </c>
      <c r="AH456">
        <v>2</v>
      </c>
      <c r="AI456">
        <v>43135214</v>
      </c>
      <c r="AJ456">
        <v>463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</row>
    <row r="457" spans="1:44" x14ac:dyDescent="0.2">
      <c r="A457">
        <f>ROW(Source!A918)</f>
        <v>918</v>
      </c>
      <c r="B457">
        <v>43135168</v>
      </c>
      <c r="C457">
        <v>43135167</v>
      </c>
      <c r="D457">
        <v>36044487</v>
      </c>
      <c r="E457">
        <v>1</v>
      </c>
      <c r="F457">
        <v>1</v>
      </c>
      <c r="G457">
        <v>35973048</v>
      </c>
      <c r="H457">
        <v>2</v>
      </c>
      <c r="I457" t="s">
        <v>769</v>
      </c>
      <c r="J457" t="s">
        <v>771</v>
      </c>
      <c r="K457" t="s">
        <v>770</v>
      </c>
      <c r="L457">
        <v>1367</v>
      </c>
      <c r="N457">
        <v>1011</v>
      </c>
      <c r="O457" t="s">
        <v>738</v>
      </c>
      <c r="P457" t="s">
        <v>738</v>
      </c>
      <c r="Q457">
        <v>1</v>
      </c>
      <c r="X457">
        <v>0.89300000000000002</v>
      </c>
      <c r="Y457">
        <v>0</v>
      </c>
      <c r="Z457">
        <v>163.47999999999999</v>
      </c>
      <c r="AA457">
        <v>15.47</v>
      </c>
      <c r="AB457">
        <v>0</v>
      </c>
      <c r="AC457">
        <v>0</v>
      </c>
      <c r="AD457">
        <v>1</v>
      </c>
      <c r="AE457">
        <v>0</v>
      </c>
      <c r="AF457" t="s">
        <v>55</v>
      </c>
      <c r="AG457">
        <v>0.83718750000000008</v>
      </c>
      <c r="AH457">
        <v>2</v>
      </c>
      <c r="AI457">
        <v>43135168</v>
      </c>
      <c r="AJ457">
        <v>464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</row>
    <row r="458" spans="1:44" x14ac:dyDescent="0.2">
      <c r="A458">
        <f>ROW(Source!A919)</f>
        <v>919</v>
      </c>
      <c r="B458">
        <v>42939291</v>
      </c>
      <c r="C458">
        <v>42939223</v>
      </c>
      <c r="D458">
        <v>35973053</v>
      </c>
      <c r="E458">
        <v>35973048</v>
      </c>
      <c r="F458">
        <v>1</v>
      </c>
      <c r="G458">
        <v>35973048</v>
      </c>
      <c r="H458">
        <v>1</v>
      </c>
      <c r="I458" t="s">
        <v>1228</v>
      </c>
      <c r="J458" t="s">
        <v>3</v>
      </c>
      <c r="K458" t="s">
        <v>1229</v>
      </c>
      <c r="L458">
        <v>1191</v>
      </c>
      <c r="N458">
        <v>1013</v>
      </c>
      <c r="O458" t="s">
        <v>1230</v>
      </c>
      <c r="P458" t="s">
        <v>1230</v>
      </c>
      <c r="Q458">
        <v>1</v>
      </c>
      <c r="X458">
        <v>138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1</v>
      </c>
      <c r="AE458">
        <v>1</v>
      </c>
      <c r="AF458" t="s">
        <v>65</v>
      </c>
      <c r="AG458">
        <v>39.674999999999997</v>
      </c>
      <c r="AH458">
        <v>2</v>
      </c>
      <c r="AI458">
        <v>42939291</v>
      </c>
      <c r="AJ458">
        <v>465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</row>
    <row r="459" spans="1:44" x14ac:dyDescent="0.2">
      <c r="A459">
        <f>ROW(Source!A920)</f>
        <v>920</v>
      </c>
      <c r="B459">
        <v>43135218</v>
      </c>
      <c r="C459">
        <v>43135217</v>
      </c>
      <c r="D459">
        <v>35973053</v>
      </c>
      <c r="E459">
        <v>35973048</v>
      </c>
      <c r="F459">
        <v>1</v>
      </c>
      <c r="G459">
        <v>35973048</v>
      </c>
      <c r="H459">
        <v>1</v>
      </c>
      <c r="I459" t="s">
        <v>1228</v>
      </c>
      <c r="J459" t="s">
        <v>3</v>
      </c>
      <c r="K459" t="s">
        <v>1229</v>
      </c>
      <c r="L459">
        <v>1191</v>
      </c>
      <c r="N459">
        <v>1013</v>
      </c>
      <c r="O459" t="s">
        <v>1230</v>
      </c>
      <c r="P459" t="s">
        <v>1230</v>
      </c>
      <c r="Q459">
        <v>1</v>
      </c>
      <c r="X459">
        <v>10.8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1</v>
      </c>
      <c r="AE459">
        <v>1</v>
      </c>
      <c r="AF459" t="s">
        <v>21</v>
      </c>
      <c r="AG459">
        <v>12.42</v>
      </c>
      <c r="AH459">
        <v>2</v>
      </c>
      <c r="AI459">
        <v>43135218</v>
      </c>
      <c r="AJ459">
        <v>466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</row>
    <row r="460" spans="1:44" x14ac:dyDescent="0.2">
      <c r="A460">
        <f>ROW(Source!A920)</f>
        <v>920</v>
      </c>
      <c r="B460">
        <v>43135219</v>
      </c>
      <c r="C460">
        <v>43135217</v>
      </c>
      <c r="D460">
        <v>36044927</v>
      </c>
      <c r="E460">
        <v>1</v>
      </c>
      <c r="F460">
        <v>1</v>
      </c>
      <c r="G460">
        <v>35973048</v>
      </c>
      <c r="H460">
        <v>2</v>
      </c>
      <c r="I460" t="s">
        <v>1335</v>
      </c>
      <c r="J460" t="s">
        <v>1336</v>
      </c>
      <c r="K460" t="s">
        <v>1337</v>
      </c>
      <c r="L460">
        <v>1367</v>
      </c>
      <c r="N460">
        <v>1011</v>
      </c>
      <c r="O460" t="s">
        <v>738</v>
      </c>
      <c r="P460" t="s">
        <v>738</v>
      </c>
      <c r="Q460">
        <v>1</v>
      </c>
      <c r="X460">
        <v>10.5</v>
      </c>
      <c r="Y460">
        <v>0</v>
      </c>
      <c r="Z460">
        <v>60.77</v>
      </c>
      <c r="AA460">
        <v>18.48</v>
      </c>
      <c r="AB460">
        <v>0</v>
      </c>
      <c r="AC460">
        <v>0</v>
      </c>
      <c r="AD460">
        <v>1</v>
      </c>
      <c r="AE460">
        <v>0</v>
      </c>
      <c r="AF460" t="s">
        <v>20</v>
      </c>
      <c r="AG460">
        <v>13.125</v>
      </c>
      <c r="AH460">
        <v>2</v>
      </c>
      <c r="AI460">
        <v>43135219</v>
      </c>
      <c r="AJ460">
        <v>467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</row>
    <row r="461" spans="1:44" x14ac:dyDescent="0.2">
      <c r="A461">
        <f>ROW(Source!A920)</f>
        <v>920</v>
      </c>
      <c r="B461">
        <v>43135220</v>
      </c>
      <c r="C461">
        <v>43135217</v>
      </c>
      <c r="D461">
        <v>36045337</v>
      </c>
      <c r="E461">
        <v>1</v>
      </c>
      <c r="F461">
        <v>1</v>
      </c>
      <c r="G461">
        <v>35973048</v>
      </c>
      <c r="H461">
        <v>2</v>
      </c>
      <c r="I461" t="s">
        <v>1299</v>
      </c>
      <c r="J461" t="s">
        <v>1300</v>
      </c>
      <c r="K461" t="s">
        <v>1301</v>
      </c>
      <c r="L461">
        <v>1367</v>
      </c>
      <c r="N461">
        <v>1011</v>
      </c>
      <c r="O461" t="s">
        <v>738</v>
      </c>
      <c r="P461" t="s">
        <v>738</v>
      </c>
      <c r="Q461">
        <v>1</v>
      </c>
      <c r="X461">
        <v>10.5</v>
      </c>
      <c r="Y461">
        <v>0</v>
      </c>
      <c r="Z461">
        <v>0.56000000000000005</v>
      </c>
      <c r="AA461">
        <v>0.09</v>
      </c>
      <c r="AB461">
        <v>0</v>
      </c>
      <c r="AC461">
        <v>0</v>
      </c>
      <c r="AD461">
        <v>1</v>
      </c>
      <c r="AE461">
        <v>0</v>
      </c>
      <c r="AF461" t="s">
        <v>20</v>
      </c>
      <c r="AG461">
        <v>13.125</v>
      </c>
      <c r="AH461">
        <v>2</v>
      </c>
      <c r="AI461">
        <v>43135220</v>
      </c>
      <c r="AJ461">
        <v>468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</row>
    <row r="462" spans="1:44" x14ac:dyDescent="0.2">
      <c r="A462">
        <f>ROW(Source!A921)</f>
        <v>921</v>
      </c>
      <c r="B462">
        <v>43135171</v>
      </c>
      <c r="C462">
        <v>43135169</v>
      </c>
      <c r="D462">
        <v>35973053</v>
      </c>
      <c r="E462">
        <v>35973048</v>
      </c>
      <c r="F462">
        <v>1</v>
      </c>
      <c r="G462">
        <v>35973048</v>
      </c>
      <c r="H462">
        <v>1</v>
      </c>
      <c r="I462" t="s">
        <v>1228</v>
      </c>
      <c r="J462" t="s">
        <v>3</v>
      </c>
      <c r="K462" t="s">
        <v>1229</v>
      </c>
      <c r="L462">
        <v>1191</v>
      </c>
      <c r="N462">
        <v>1013</v>
      </c>
      <c r="O462" t="s">
        <v>1230</v>
      </c>
      <c r="P462" t="s">
        <v>1230</v>
      </c>
      <c r="Q462">
        <v>1</v>
      </c>
      <c r="X462">
        <v>0.85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1</v>
      </c>
      <c r="AE462">
        <v>1</v>
      </c>
      <c r="AF462" t="s">
        <v>21</v>
      </c>
      <c r="AG462">
        <v>0.97749999999999992</v>
      </c>
      <c r="AH462">
        <v>2</v>
      </c>
      <c r="AI462">
        <v>43135171</v>
      </c>
      <c r="AJ462">
        <v>469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</row>
    <row r="463" spans="1:44" x14ac:dyDescent="0.2">
      <c r="A463">
        <f>ROW(Source!A921)</f>
        <v>921</v>
      </c>
      <c r="B463">
        <v>43135172</v>
      </c>
      <c r="C463">
        <v>43135169</v>
      </c>
      <c r="D463">
        <v>36044926</v>
      </c>
      <c r="E463">
        <v>1</v>
      </c>
      <c r="F463">
        <v>1</v>
      </c>
      <c r="G463">
        <v>35973048</v>
      </c>
      <c r="H463">
        <v>2</v>
      </c>
      <c r="I463" t="s">
        <v>1352</v>
      </c>
      <c r="J463" t="s">
        <v>1353</v>
      </c>
      <c r="K463" t="s">
        <v>1354</v>
      </c>
      <c r="L463">
        <v>1367</v>
      </c>
      <c r="N463">
        <v>1011</v>
      </c>
      <c r="O463" t="s">
        <v>738</v>
      </c>
      <c r="P463" t="s">
        <v>738</v>
      </c>
      <c r="Q463">
        <v>1</v>
      </c>
      <c r="X463">
        <v>0.2</v>
      </c>
      <c r="Y463">
        <v>0</v>
      </c>
      <c r="Z463">
        <v>41.62</v>
      </c>
      <c r="AA463">
        <v>13.33</v>
      </c>
      <c r="AB463">
        <v>0</v>
      </c>
      <c r="AC463">
        <v>0</v>
      </c>
      <c r="AD463">
        <v>1</v>
      </c>
      <c r="AE463">
        <v>0</v>
      </c>
      <c r="AF463" t="s">
        <v>20</v>
      </c>
      <c r="AG463">
        <v>0.25</v>
      </c>
      <c r="AH463">
        <v>2</v>
      </c>
      <c r="AI463">
        <v>43135172</v>
      </c>
      <c r="AJ463">
        <v>470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</row>
    <row r="464" spans="1:44" x14ac:dyDescent="0.2">
      <c r="A464">
        <f>ROW(Source!A921)</f>
        <v>921</v>
      </c>
      <c r="B464">
        <v>43135173</v>
      </c>
      <c r="C464">
        <v>43135169</v>
      </c>
      <c r="D464">
        <v>36045337</v>
      </c>
      <c r="E464">
        <v>1</v>
      </c>
      <c r="F464">
        <v>1</v>
      </c>
      <c r="G464">
        <v>35973048</v>
      </c>
      <c r="H464">
        <v>2</v>
      </c>
      <c r="I464" t="s">
        <v>1299</v>
      </c>
      <c r="J464" t="s">
        <v>1300</v>
      </c>
      <c r="K464" t="s">
        <v>1301</v>
      </c>
      <c r="L464">
        <v>1367</v>
      </c>
      <c r="N464">
        <v>1011</v>
      </c>
      <c r="O464" t="s">
        <v>738</v>
      </c>
      <c r="P464" t="s">
        <v>738</v>
      </c>
      <c r="Q464">
        <v>1</v>
      </c>
      <c r="X464">
        <v>0.4</v>
      </c>
      <c r="Y464">
        <v>0</v>
      </c>
      <c r="Z464">
        <v>0.56000000000000005</v>
      </c>
      <c r="AA464">
        <v>0.09</v>
      </c>
      <c r="AB464">
        <v>0</v>
      </c>
      <c r="AC464">
        <v>0</v>
      </c>
      <c r="AD464">
        <v>1</v>
      </c>
      <c r="AE464">
        <v>0</v>
      </c>
      <c r="AF464" t="s">
        <v>20</v>
      </c>
      <c r="AG464">
        <v>0.5</v>
      </c>
      <c r="AH464">
        <v>2</v>
      </c>
      <c r="AI464">
        <v>43135173</v>
      </c>
      <c r="AJ464">
        <v>471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</row>
    <row r="465" spans="1:44" x14ac:dyDescent="0.2">
      <c r="A465">
        <f>ROW(Source!A921)</f>
        <v>921</v>
      </c>
      <c r="B465">
        <v>43135174</v>
      </c>
      <c r="C465">
        <v>43135169</v>
      </c>
      <c r="D465">
        <v>36044644</v>
      </c>
      <c r="E465">
        <v>1</v>
      </c>
      <c r="F465">
        <v>1</v>
      </c>
      <c r="G465">
        <v>35973048</v>
      </c>
      <c r="H465">
        <v>2</v>
      </c>
      <c r="I465" t="s">
        <v>1418</v>
      </c>
      <c r="J465" t="s">
        <v>1419</v>
      </c>
      <c r="K465" t="s">
        <v>1420</v>
      </c>
      <c r="L465">
        <v>1367</v>
      </c>
      <c r="N465">
        <v>1011</v>
      </c>
      <c r="O465" t="s">
        <v>738</v>
      </c>
      <c r="P465" t="s">
        <v>738</v>
      </c>
      <c r="Q465">
        <v>1</v>
      </c>
      <c r="X465">
        <v>7.0000000000000007E-2</v>
      </c>
      <c r="Y465">
        <v>0</v>
      </c>
      <c r="Z465">
        <v>106.74</v>
      </c>
      <c r="AA465">
        <v>19.2</v>
      </c>
      <c r="AB465">
        <v>0</v>
      </c>
      <c r="AC465">
        <v>0</v>
      </c>
      <c r="AD465">
        <v>1</v>
      </c>
      <c r="AE465">
        <v>0</v>
      </c>
      <c r="AF465" t="s">
        <v>20</v>
      </c>
      <c r="AG465">
        <v>8.7500000000000008E-2</v>
      </c>
      <c r="AH465">
        <v>2</v>
      </c>
      <c r="AI465">
        <v>43135174</v>
      </c>
      <c r="AJ465">
        <v>472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</row>
    <row r="466" spans="1:44" x14ac:dyDescent="0.2">
      <c r="A466">
        <f>ROW(Source!A921)</f>
        <v>921</v>
      </c>
      <c r="B466">
        <v>43135175</v>
      </c>
      <c r="C466">
        <v>43135169</v>
      </c>
      <c r="D466">
        <v>36020415</v>
      </c>
      <c r="E466">
        <v>1</v>
      </c>
      <c r="F466">
        <v>1</v>
      </c>
      <c r="G466">
        <v>35973048</v>
      </c>
      <c r="H466">
        <v>3</v>
      </c>
      <c r="I466" t="s">
        <v>469</v>
      </c>
      <c r="J466" t="s">
        <v>471</v>
      </c>
      <c r="K466" t="s">
        <v>470</v>
      </c>
      <c r="L466">
        <v>1339</v>
      </c>
      <c r="N466">
        <v>1007</v>
      </c>
      <c r="O466" t="s">
        <v>84</v>
      </c>
      <c r="P466" t="s">
        <v>84</v>
      </c>
      <c r="Q466">
        <v>1</v>
      </c>
      <c r="X466">
        <v>0.15</v>
      </c>
      <c r="Y466">
        <v>7.07</v>
      </c>
      <c r="Z466">
        <v>0</v>
      </c>
      <c r="AA466">
        <v>0</v>
      </c>
      <c r="AB466">
        <v>0</v>
      </c>
      <c r="AC466">
        <v>0</v>
      </c>
      <c r="AD466">
        <v>1</v>
      </c>
      <c r="AE466">
        <v>0</v>
      </c>
      <c r="AF466" t="s">
        <v>3</v>
      </c>
      <c r="AG466">
        <v>0.15</v>
      </c>
      <c r="AH466">
        <v>2</v>
      </c>
      <c r="AI466">
        <v>43135175</v>
      </c>
      <c r="AJ466">
        <v>473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</row>
    <row r="467" spans="1:44" x14ac:dyDescent="0.2">
      <c r="A467">
        <f>ROW(Source!A921)</f>
        <v>921</v>
      </c>
      <c r="B467">
        <v>43135176</v>
      </c>
      <c r="C467">
        <v>43135169</v>
      </c>
      <c r="D467">
        <v>35989494</v>
      </c>
      <c r="E467">
        <v>35973048</v>
      </c>
      <c r="F467">
        <v>1</v>
      </c>
      <c r="G467">
        <v>35973048</v>
      </c>
      <c r="H467">
        <v>3</v>
      </c>
      <c r="I467" t="s">
        <v>1505</v>
      </c>
      <c r="J467" t="s">
        <v>3</v>
      </c>
      <c r="K467" t="s">
        <v>1552</v>
      </c>
      <c r="L467">
        <v>1339</v>
      </c>
      <c r="N467">
        <v>1007</v>
      </c>
      <c r="O467" t="s">
        <v>84</v>
      </c>
      <c r="P467" t="s">
        <v>84</v>
      </c>
      <c r="Q467">
        <v>1</v>
      </c>
      <c r="X467">
        <v>1.1499999999999999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 t="s">
        <v>3</v>
      </c>
      <c r="AG467">
        <v>1.1499999999999999</v>
      </c>
      <c r="AH467">
        <v>3</v>
      </c>
      <c r="AI467">
        <v>-1</v>
      </c>
      <c r="AJ467" t="s">
        <v>3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</row>
    <row r="468" spans="1:44" x14ac:dyDescent="0.2">
      <c r="A468">
        <f>ROW(Source!A923)</f>
        <v>923</v>
      </c>
      <c r="B468">
        <v>43143301</v>
      </c>
      <c r="C468">
        <v>43143300</v>
      </c>
      <c r="D468">
        <v>35973053</v>
      </c>
      <c r="E468">
        <v>35973048</v>
      </c>
      <c r="F468">
        <v>1</v>
      </c>
      <c r="G468">
        <v>35973048</v>
      </c>
      <c r="H468">
        <v>1</v>
      </c>
      <c r="I468" t="s">
        <v>1228</v>
      </c>
      <c r="J468" t="s">
        <v>3</v>
      </c>
      <c r="K468" t="s">
        <v>1229</v>
      </c>
      <c r="L468">
        <v>1191</v>
      </c>
      <c r="N468">
        <v>1013</v>
      </c>
      <c r="O468" t="s">
        <v>1230</v>
      </c>
      <c r="P468" t="s">
        <v>1230</v>
      </c>
      <c r="Q468">
        <v>1</v>
      </c>
      <c r="X468">
        <v>1.52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1</v>
      </c>
      <c r="AE468">
        <v>1</v>
      </c>
      <c r="AF468" t="s">
        <v>21</v>
      </c>
      <c r="AG468">
        <v>1.7479999999999998</v>
      </c>
      <c r="AH468">
        <v>2</v>
      </c>
      <c r="AI468">
        <v>43143301</v>
      </c>
      <c r="AJ468">
        <v>475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</row>
    <row r="469" spans="1:44" x14ac:dyDescent="0.2">
      <c r="A469">
        <f>ROW(Source!A923)</f>
        <v>923</v>
      </c>
      <c r="B469">
        <v>43143302</v>
      </c>
      <c r="C469">
        <v>43143300</v>
      </c>
      <c r="D469">
        <v>36044894</v>
      </c>
      <c r="E469">
        <v>1</v>
      </c>
      <c r="F469">
        <v>1</v>
      </c>
      <c r="G469">
        <v>35973048</v>
      </c>
      <c r="H469">
        <v>2</v>
      </c>
      <c r="I469" t="s">
        <v>1421</v>
      </c>
      <c r="J469" t="s">
        <v>1422</v>
      </c>
      <c r="K469" t="s">
        <v>1423</v>
      </c>
      <c r="L469">
        <v>1367</v>
      </c>
      <c r="N469">
        <v>1011</v>
      </c>
      <c r="O469" t="s">
        <v>738</v>
      </c>
      <c r="P469" t="s">
        <v>738</v>
      </c>
      <c r="Q469">
        <v>1</v>
      </c>
      <c r="X469">
        <v>0.6</v>
      </c>
      <c r="Y469">
        <v>0</v>
      </c>
      <c r="Z469">
        <v>117.73</v>
      </c>
      <c r="AA469">
        <v>24.08</v>
      </c>
      <c r="AB469">
        <v>0</v>
      </c>
      <c r="AC469">
        <v>0</v>
      </c>
      <c r="AD469">
        <v>1</v>
      </c>
      <c r="AE469">
        <v>0</v>
      </c>
      <c r="AF469" t="s">
        <v>20</v>
      </c>
      <c r="AG469">
        <v>0.75</v>
      </c>
      <c r="AH469">
        <v>2</v>
      </c>
      <c r="AI469">
        <v>43143302</v>
      </c>
      <c r="AJ469">
        <v>476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</row>
    <row r="470" spans="1:44" x14ac:dyDescent="0.2">
      <c r="A470">
        <f>ROW(Source!A923)</f>
        <v>923</v>
      </c>
      <c r="B470">
        <v>43143303</v>
      </c>
      <c r="C470">
        <v>43143300</v>
      </c>
      <c r="D470">
        <v>39993244</v>
      </c>
      <c r="E470">
        <v>35973048</v>
      </c>
      <c r="F470">
        <v>1</v>
      </c>
      <c r="G470">
        <v>35973048</v>
      </c>
      <c r="H470">
        <v>3</v>
      </c>
      <c r="I470" t="s">
        <v>1553</v>
      </c>
      <c r="J470" t="s">
        <v>3</v>
      </c>
      <c r="K470" t="s">
        <v>1554</v>
      </c>
      <c r="L470">
        <v>1354</v>
      </c>
      <c r="N470">
        <v>1010</v>
      </c>
      <c r="O470" t="s">
        <v>169</v>
      </c>
      <c r="P470" t="s">
        <v>169</v>
      </c>
      <c r="Q470">
        <v>1</v>
      </c>
      <c r="X470">
        <v>1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 t="s">
        <v>3</v>
      </c>
      <c r="AG470">
        <v>1</v>
      </c>
      <c r="AH470">
        <v>3</v>
      </c>
      <c r="AI470">
        <v>-1</v>
      </c>
      <c r="AJ470" t="s">
        <v>3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</row>
    <row r="471" spans="1:44" x14ac:dyDescent="0.2">
      <c r="A471">
        <f>ROW(Source!A923)</f>
        <v>923</v>
      </c>
      <c r="B471">
        <v>43143304</v>
      </c>
      <c r="C471">
        <v>43143300</v>
      </c>
      <c r="D471">
        <v>39993526</v>
      </c>
      <c r="E471">
        <v>35973048</v>
      </c>
      <c r="F471">
        <v>1</v>
      </c>
      <c r="G471">
        <v>35973048</v>
      </c>
      <c r="H471">
        <v>3</v>
      </c>
      <c r="I471" t="s">
        <v>1555</v>
      </c>
      <c r="J471" t="s">
        <v>3</v>
      </c>
      <c r="K471" t="s">
        <v>1556</v>
      </c>
      <c r="L471">
        <v>1354</v>
      </c>
      <c r="N471">
        <v>1010</v>
      </c>
      <c r="O471" t="s">
        <v>169</v>
      </c>
      <c r="P471" t="s">
        <v>169</v>
      </c>
      <c r="Q471">
        <v>1</v>
      </c>
      <c r="X471">
        <v>1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 t="s">
        <v>3</v>
      </c>
      <c r="AG471">
        <v>1</v>
      </c>
      <c r="AH471">
        <v>3</v>
      </c>
      <c r="AI471">
        <v>-1</v>
      </c>
      <c r="AJ471" t="s">
        <v>3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</row>
    <row r="472" spans="1:44" x14ac:dyDescent="0.2">
      <c r="A472">
        <f>ROW(Source!A923)</f>
        <v>923</v>
      </c>
      <c r="B472">
        <v>43143305</v>
      </c>
      <c r="C472">
        <v>43143300</v>
      </c>
      <c r="D472">
        <v>39993528</v>
      </c>
      <c r="E472">
        <v>35973048</v>
      </c>
      <c r="F472">
        <v>1</v>
      </c>
      <c r="G472">
        <v>35973048</v>
      </c>
      <c r="H472">
        <v>3</v>
      </c>
      <c r="I472" t="s">
        <v>1555</v>
      </c>
      <c r="J472" t="s">
        <v>3</v>
      </c>
      <c r="K472" t="s">
        <v>1557</v>
      </c>
      <c r="L472">
        <v>1354</v>
      </c>
      <c r="N472">
        <v>1010</v>
      </c>
      <c r="O472" t="s">
        <v>169</v>
      </c>
      <c r="P472" t="s">
        <v>169</v>
      </c>
      <c r="Q472">
        <v>1</v>
      </c>
      <c r="X472">
        <v>1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 t="s">
        <v>3</v>
      </c>
      <c r="AG472">
        <v>1</v>
      </c>
      <c r="AH472">
        <v>3</v>
      </c>
      <c r="AI472">
        <v>-1</v>
      </c>
      <c r="AJ472" t="s">
        <v>3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</row>
    <row r="473" spans="1:44" x14ac:dyDescent="0.2">
      <c r="A473">
        <f>ROW(Source!A926)</f>
        <v>926</v>
      </c>
      <c r="B473">
        <v>43143330</v>
      </c>
      <c r="C473">
        <v>43143329</v>
      </c>
      <c r="D473">
        <v>35973053</v>
      </c>
      <c r="E473">
        <v>35973048</v>
      </c>
      <c r="F473">
        <v>1</v>
      </c>
      <c r="G473">
        <v>35973048</v>
      </c>
      <c r="H473">
        <v>1</v>
      </c>
      <c r="I473" t="s">
        <v>1228</v>
      </c>
      <c r="J473" t="s">
        <v>3</v>
      </c>
      <c r="K473" t="s">
        <v>1229</v>
      </c>
      <c r="L473">
        <v>1191</v>
      </c>
      <c r="N473">
        <v>1013</v>
      </c>
      <c r="O473" t="s">
        <v>1230</v>
      </c>
      <c r="P473" t="s">
        <v>1230</v>
      </c>
      <c r="Q473">
        <v>1</v>
      </c>
      <c r="X473">
        <v>6.22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1</v>
      </c>
      <c r="AE473">
        <v>1</v>
      </c>
      <c r="AF473" t="s">
        <v>3</v>
      </c>
      <c r="AG473">
        <v>6.22</v>
      </c>
      <c r="AH473">
        <v>2</v>
      </c>
      <c r="AI473">
        <v>43143330</v>
      </c>
      <c r="AJ473">
        <v>479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</row>
    <row r="474" spans="1:44" x14ac:dyDescent="0.2">
      <c r="A474">
        <f>ROW(Source!A926)</f>
        <v>926</v>
      </c>
      <c r="B474">
        <v>43143331</v>
      </c>
      <c r="C474">
        <v>43143329</v>
      </c>
      <c r="D474">
        <v>36045308</v>
      </c>
      <c r="E474">
        <v>1</v>
      </c>
      <c r="F474">
        <v>1</v>
      </c>
      <c r="G474">
        <v>35973048</v>
      </c>
      <c r="H474">
        <v>2</v>
      </c>
      <c r="I474" t="s">
        <v>1231</v>
      </c>
      <c r="J474" t="s">
        <v>1232</v>
      </c>
      <c r="K474" t="s">
        <v>1233</v>
      </c>
      <c r="L474">
        <v>1367</v>
      </c>
      <c r="N474">
        <v>1011</v>
      </c>
      <c r="O474" t="s">
        <v>738</v>
      </c>
      <c r="P474" t="s">
        <v>738</v>
      </c>
      <c r="Q474">
        <v>1</v>
      </c>
      <c r="X474">
        <v>0.02</v>
      </c>
      <c r="Y474">
        <v>0</v>
      </c>
      <c r="Z474">
        <v>76.81</v>
      </c>
      <c r="AA474">
        <v>14.36</v>
      </c>
      <c r="AB474">
        <v>0</v>
      </c>
      <c r="AC474">
        <v>0</v>
      </c>
      <c r="AD474">
        <v>1</v>
      </c>
      <c r="AE474">
        <v>0</v>
      </c>
      <c r="AF474" t="s">
        <v>3</v>
      </c>
      <c r="AG474">
        <v>0.02</v>
      </c>
      <c r="AH474">
        <v>2</v>
      </c>
      <c r="AI474">
        <v>43143331</v>
      </c>
      <c r="AJ474">
        <v>480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</row>
    <row r="475" spans="1:44" x14ac:dyDescent="0.2">
      <c r="A475">
        <f>ROW(Source!A926)</f>
        <v>926</v>
      </c>
      <c r="B475">
        <v>43143332</v>
      </c>
      <c r="C475">
        <v>43143329</v>
      </c>
      <c r="D475">
        <v>36020415</v>
      </c>
      <c r="E475">
        <v>1</v>
      </c>
      <c r="F475">
        <v>1</v>
      </c>
      <c r="G475">
        <v>35973048</v>
      </c>
      <c r="H475">
        <v>3</v>
      </c>
      <c r="I475" t="s">
        <v>469</v>
      </c>
      <c r="J475" t="s">
        <v>471</v>
      </c>
      <c r="K475" t="s">
        <v>470</v>
      </c>
      <c r="L475">
        <v>1339</v>
      </c>
      <c r="N475">
        <v>1007</v>
      </c>
      <c r="O475" t="s">
        <v>84</v>
      </c>
      <c r="P475" t="s">
        <v>84</v>
      </c>
      <c r="Q475">
        <v>1</v>
      </c>
      <c r="X475">
        <v>7.6999999999999999E-2</v>
      </c>
      <c r="Y475">
        <v>7.07</v>
      </c>
      <c r="Z475">
        <v>0</v>
      </c>
      <c r="AA475">
        <v>0</v>
      </c>
      <c r="AB475">
        <v>0</v>
      </c>
      <c r="AC475">
        <v>0</v>
      </c>
      <c r="AD475">
        <v>1</v>
      </c>
      <c r="AE475">
        <v>0</v>
      </c>
      <c r="AF475" t="s">
        <v>3</v>
      </c>
      <c r="AG475">
        <v>7.6999999999999999E-2</v>
      </c>
      <c r="AH475">
        <v>2</v>
      </c>
      <c r="AI475">
        <v>43143332</v>
      </c>
      <c r="AJ475">
        <v>481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</row>
    <row r="476" spans="1:44" x14ac:dyDescent="0.2">
      <c r="A476">
        <f>ROW(Source!A926)</f>
        <v>926</v>
      </c>
      <c r="B476">
        <v>43143333</v>
      </c>
      <c r="C476">
        <v>43143329</v>
      </c>
      <c r="D476">
        <v>36021495</v>
      </c>
      <c r="E476">
        <v>1</v>
      </c>
      <c r="F476">
        <v>1</v>
      </c>
      <c r="G476">
        <v>35973048</v>
      </c>
      <c r="H476">
        <v>3</v>
      </c>
      <c r="I476" t="s">
        <v>1424</v>
      </c>
      <c r="J476" t="s">
        <v>1425</v>
      </c>
      <c r="K476" t="s">
        <v>1426</v>
      </c>
      <c r="L476">
        <v>1348</v>
      </c>
      <c r="N476">
        <v>1009</v>
      </c>
      <c r="O476" t="s">
        <v>104</v>
      </c>
      <c r="P476" t="s">
        <v>104</v>
      </c>
      <c r="Q476">
        <v>1000</v>
      </c>
      <c r="X476">
        <v>0.107</v>
      </c>
      <c r="Y476">
        <v>332.74</v>
      </c>
      <c r="Z476">
        <v>0</v>
      </c>
      <c r="AA476">
        <v>0</v>
      </c>
      <c r="AB476">
        <v>0</v>
      </c>
      <c r="AC476">
        <v>0</v>
      </c>
      <c r="AD476">
        <v>1</v>
      </c>
      <c r="AE476">
        <v>0</v>
      </c>
      <c r="AF476" t="s">
        <v>3</v>
      </c>
      <c r="AG476">
        <v>0.107</v>
      </c>
      <c r="AH476">
        <v>2</v>
      </c>
      <c r="AI476">
        <v>43143333</v>
      </c>
      <c r="AJ476">
        <v>482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</row>
    <row r="477" spans="1:44" x14ac:dyDescent="0.2">
      <c r="A477">
        <f>ROW(Source!A926)</f>
        <v>926</v>
      </c>
      <c r="B477">
        <v>43143334</v>
      </c>
      <c r="C477">
        <v>43143329</v>
      </c>
      <c r="D477">
        <v>36020974</v>
      </c>
      <c r="E477">
        <v>1</v>
      </c>
      <c r="F477">
        <v>1</v>
      </c>
      <c r="G477">
        <v>35973048</v>
      </c>
      <c r="H477">
        <v>3</v>
      </c>
      <c r="I477" t="s">
        <v>91</v>
      </c>
      <c r="J477" t="s">
        <v>93</v>
      </c>
      <c r="K477" t="s">
        <v>92</v>
      </c>
      <c r="L477">
        <v>1339</v>
      </c>
      <c r="N477">
        <v>1007</v>
      </c>
      <c r="O477" t="s">
        <v>84</v>
      </c>
      <c r="P477" t="s">
        <v>84</v>
      </c>
      <c r="Q477">
        <v>1</v>
      </c>
      <c r="X477">
        <v>0.29899999999999999</v>
      </c>
      <c r="Y477">
        <v>104.99</v>
      </c>
      <c r="Z477">
        <v>0</v>
      </c>
      <c r="AA477">
        <v>0</v>
      </c>
      <c r="AB477">
        <v>0</v>
      </c>
      <c r="AC477">
        <v>0</v>
      </c>
      <c r="AD477">
        <v>1</v>
      </c>
      <c r="AE477">
        <v>0</v>
      </c>
      <c r="AF477" t="s">
        <v>3</v>
      </c>
      <c r="AG477">
        <v>0.29899999999999999</v>
      </c>
      <c r="AH477">
        <v>2</v>
      </c>
      <c r="AI477">
        <v>43143334</v>
      </c>
      <c r="AJ477">
        <v>483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</row>
    <row r="478" spans="1:44" x14ac:dyDescent="0.2">
      <c r="A478">
        <f>ROW(Source!A926)</f>
        <v>926</v>
      </c>
      <c r="B478">
        <v>43143335</v>
      </c>
      <c r="C478">
        <v>43143329</v>
      </c>
      <c r="D478">
        <v>35995057</v>
      </c>
      <c r="E478">
        <v>35973048</v>
      </c>
      <c r="F478">
        <v>1</v>
      </c>
      <c r="G478">
        <v>35973048</v>
      </c>
      <c r="H478">
        <v>3</v>
      </c>
      <c r="I478" t="s">
        <v>1558</v>
      </c>
      <c r="J478" t="s">
        <v>3</v>
      </c>
      <c r="K478" t="s">
        <v>1559</v>
      </c>
      <c r="L478">
        <v>1354</v>
      </c>
      <c r="N478">
        <v>1010</v>
      </c>
      <c r="O478" t="s">
        <v>169</v>
      </c>
      <c r="P478" t="s">
        <v>169</v>
      </c>
      <c r="Q478">
        <v>1</v>
      </c>
      <c r="X478">
        <v>10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 t="s">
        <v>3</v>
      </c>
      <c r="AG478">
        <v>10</v>
      </c>
      <c r="AH478">
        <v>3</v>
      </c>
      <c r="AI478">
        <v>-1</v>
      </c>
      <c r="AJ478" t="s">
        <v>3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</row>
    <row r="479" spans="1:44" x14ac:dyDescent="0.2">
      <c r="A479">
        <f>ROW(Source!A928)</f>
        <v>928</v>
      </c>
      <c r="B479">
        <v>43135256</v>
      </c>
      <c r="C479">
        <v>43135191</v>
      </c>
      <c r="D479">
        <v>35973053</v>
      </c>
      <c r="E479">
        <v>35973048</v>
      </c>
      <c r="F479">
        <v>1</v>
      </c>
      <c r="G479">
        <v>35973048</v>
      </c>
      <c r="H479">
        <v>1</v>
      </c>
      <c r="I479" t="s">
        <v>1228</v>
      </c>
      <c r="J479" t="s">
        <v>3</v>
      </c>
      <c r="K479" t="s">
        <v>1229</v>
      </c>
      <c r="L479">
        <v>1191</v>
      </c>
      <c r="N479">
        <v>1013</v>
      </c>
      <c r="O479" t="s">
        <v>1230</v>
      </c>
      <c r="P479" t="s">
        <v>1230</v>
      </c>
      <c r="Q479">
        <v>1</v>
      </c>
      <c r="X479">
        <v>11.9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1</v>
      </c>
      <c r="AE479">
        <v>1</v>
      </c>
      <c r="AF479" t="s">
        <v>3</v>
      </c>
      <c r="AG479">
        <v>11.9</v>
      </c>
      <c r="AH479">
        <v>2</v>
      </c>
      <c r="AI479">
        <v>43135256</v>
      </c>
      <c r="AJ479">
        <v>485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</row>
    <row r="480" spans="1:44" x14ac:dyDescent="0.2">
      <c r="A480">
        <f>ROW(Source!A930)</f>
        <v>930</v>
      </c>
      <c r="B480">
        <v>43135261</v>
      </c>
      <c r="C480">
        <v>43135193</v>
      </c>
      <c r="D480">
        <v>35973053</v>
      </c>
      <c r="E480">
        <v>35973048</v>
      </c>
      <c r="F480">
        <v>1</v>
      </c>
      <c r="G480">
        <v>35973048</v>
      </c>
      <c r="H480">
        <v>1</v>
      </c>
      <c r="I480" t="s">
        <v>1228</v>
      </c>
      <c r="J480" t="s">
        <v>3</v>
      </c>
      <c r="K480" t="s">
        <v>1229</v>
      </c>
      <c r="L480">
        <v>1191</v>
      </c>
      <c r="N480">
        <v>1013</v>
      </c>
      <c r="O480" t="s">
        <v>1230</v>
      </c>
      <c r="P480" t="s">
        <v>1230</v>
      </c>
      <c r="Q480">
        <v>1</v>
      </c>
      <c r="X480">
        <v>2.06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1</v>
      </c>
      <c r="AE480">
        <v>1</v>
      </c>
      <c r="AF480" t="s">
        <v>3</v>
      </c>
      <c r="AG480">
        <v>2.06</v>
      </c>
      <c r="AH480">
        <v>2</v>
      </c>
      <c r="AI480">
        <v>43135261</v>
      </c>
      <c r="AJ480">
        <v>486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</row>
    <row r="481" spans="1:44" x14ac:dyDescent="0.2">
      <c r="A481">
        <f>ROW(Source!A932)</f>
        <v>932</v>
      </c>
      <c r="B481">
        <v>43135266</v>
      </c>
      <c r="C481">
        <v>43135265</v>
      </c>
      <c r="D481">
        <v>35973053</v>
      </c>
      <c r="E481">
        <v>35973048</v>
      </c>
      <c r="F481">
        <v>1</v>
      </c>
      <c r="G481">
        <v>35973048</v>
      </c>
      <c r="H481">
        <v>1</v>
      </c>
      <c r="I481" t="s">
        <v>1228</v>
      </c>
      <c r="J481" t="s">
        <v>3</v>
      </c>
      <c r="K481" t="s">
        <v>1229</v>
      </c>
      <c r="L481">
        <v>1191</v>
      </c>
      <c r="N481">
        <v>1013</v>
      </c>
      <c r="O481" t="s">
        <v>1230</v>
      </c>
      <c r="P481" t="s">
        <v>1230</v>
      </c>
      <c r="Q481">
        <v>1</v>
      </c>
      <c r="X481">
        <v>56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1</v>
      </c>
      <c r="AE481">
        <v>1</v>
      </c>
      <c r="AF481" t="s">
        <v>31</v>
      </c>
      <c r="AG481">
        <v>44.800000000000004</v>
      </c>
      <c r="AH481">
        <v>2</v>
      </c>
      <c r="AI481">
        <v>43135266</v>
      </c>
      <c r="AJ481">
        <v>487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</row>
    <row r="482" spans="1:44" x14ac:dyDescent="0.2">
      <c r="A482">
        <f>ROW(Source!A933)</f>
        <v>933</v>
      </c>
      <c r="B482">
        <v>43137089</v>
      </c>
      <c r="C482">
        <v>43137087</v>
      </c>
      <c r="D482">
        <v>36759504</v>
      </c>
      <c r="E482">
        <v>1</v>
      </c>
      <c r="F482">
        <v>1</v>
      </c>
      <c r="G482">
        <v>35973048</v>
      </c>
      <c r="H482">
        <v>2</v>
      </c>
      <c r="I482" t="s">
        <v>1332</v>
      </c>
      <c r="J482" t="s">
        <v>1333</v>
      </c>
      <c r="K482" t="s">
        <v>1334</v>
      </c>
      <c r="L482">
        <v>1367</v>
      </c>
      <c r="N482">
        <v>1011</v>
      </c>
      <c r="O482" t="s">
        <v>738</v>
      </c>
      <c r="P482" t="s">
        <v>738</v>
      </c>
      <c r="Q482">
        <v>1</v>
      </c>
      <c r="X482">
        <v>1</v>
      </c>
      <c r="Y482">
        <v>0</v>
      </c>
      <c r="Z482">
        <v>100.09</v>
      </c>
      <c r="AA482">
        <v>13.81</v>
      </c>
      <c r="AB482">
        <v>0</v>
      </c>
      <c r="AC482">
        <v>0</v>
      </c>
      <c r="AD482">
        <v>1</v>
      </c>
      <c r="AE482">
        <v>0</v>
      </c>
      <c r="AF482" t="s">
        <v>3</v>
      </c>
      <c r="AG482">
        <v>1</v>
      </c>
      <c r="AH482">
        <v>2</v>
      </c>
      <c r="AI482">
        <v>43137089</v>
      </c>
      <c r="AJ482">
        <v>488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</row>
    <row r="483" spans="1:44" x14ac:dyDescent="0.2">
      <c r="A483">
        <f>ROW(Source!A934)</f>
        <v>934</v>
      </c>
      <c r="B483">
        <v>43137090</v>
      </c>
      <c r="C483">
        <v>43137088</v>
      </c>
      <c r="D483">
        <v>35973762</v>
      </c>
      <c r="E483">
        <v>35973048</v>
      </c>
      <c r="F483">
        <v>1</v>
      </c>
      <c r="G483">
        <v>35973048</v>
      </c>
      <c r="H483">
        <v>2</v>
      </c>
      <c r="I483" t="s">
        <v>1243</v>
      </c>
      <c r="J483" t="s">
        <v>3</v>
      </c>
      <c r="K483" t="s">
        <v>1244</v>
      </c>
      <c r="L483">
        <v>1344</v>
      </c>
      <c r="N483">
        <v>1008</v>
      </c>
      <c r="O483" t="s">
        <v>1245</v>
      </c>
      <c r="P483" t="s">
        <v>1245</v>
      </c>
      <c r="Q483">
        <v>1</v>
      </c>
      <c r="X483">
        <v>12.61</v>
      </c>
      <c r="Y483">
        <v>0</v>
      </c>
      <c r="Z483">
        <v>1</v>
      </c>
      <c r="AA483">
        <v>0</v>
      </c>
      <c r="AB483">
        <v>0</v>
      </c>
      <c r="AC483">
        <v>0</v>
      </c>
      <c r="AD483">
        <v>1</v>
      </c>
      <c r="AE483">
        <v>0</v>
      </c>
      <c r="AF483" t="s">
        <v>3</v>
      </c>
      <c r="AG483">
        <v>12.61</v>
      </c>
      <c r="AH483">
        <v>2</v>
      </c>
      <c r="AI483">
        <v>43137090</v>
      </c>
      <c r="AJ483">
        <v>489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</row>
    <row r="484" spans="1:44" x14ac:dyDescent="0.2">
      <c r="A484">
        <f>ROW(Source!A970)</f>
        <v>970</v>
      </c>
      <c r="B484">
        <v>43137962</v>
      </c>
      <c r="C484">
        <v>43137961</v>
      </c>
      <c r="D484">
        <v>35973053</v>
      </c>
      <c r="E484">
        <v>35973048</v>
      </c>
      <c r="F484">
        <v>1</v>
      </c>
      <c r="G484">
        <v>35973048</v>
      </c>
      <c r="H484">
        <v>1</v>
      </c>
      <c r="I484" t="s">
        <v>1228</v>
      </c>
      <c r="J484" t="s">
        <v>3</v>
      </c>
      <c r="K484" t="s">
        <v>1229</v>
      </c>
      <c r="L484">
        <v>1191</v>
      </c>
      <c r="N484">
        <v>1013</v>
      </c>
      <c r="O484" t="s">
        <v>1230</v>
      </c>
      <c r="P484" t="s">
        <v>1230</v>
      </c>
      <c r="Q484">
        <v>1</v>
      </c>
      <c r="X484">
        <v>198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1</v>
      </c>
      <c r="AE484">
        <v>1</v>
      </c>
      <c r="AF484" t="s">
        <v>21</v>
      </c>
      <c r="AG484">
        <v>227.7</v>
      </c>
      <c r="AH484">
        <v>2</v>
      </c>
      <c r="AI484">
        <v>43137962</v>
      </c>
      <c r="AJ484">
        <v>490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</row>
    <row r="485" spans="1:44" x14ac:dyDescent="0.2">
      <c r="A485">
        <f>ROW(Source!A970)</f>
        <v>970</v>
      </c>
      <c r="B485">
        <v>43137963</v>
      </c>
      <c r="C485">
        <v>43137961</v>
      </c>
      <c r="D485">
        <v>36045308</v>
      </c>
      <c r="E485">
        <v>1</v>
      </c>
      <c r="F485">
        <v>1</v>
      </c>
      <c r="G485">
        <v>35973048</v>
      </c>
      <c r="H485">
        <v>2</v>
      </c>
      <c r="I485" t="s">
        <v>1231</v>
      </c>
      <c r="J485" t="s">
        <v>1232</v>
      </c>
      <c r="K485" t="s">
        <v>1233</v>
      </c>
      <c r="L485">
        <v>1367</v>
      </c>
      <c r="N485">
        <v>1011</v>
      </c>
      <c r="O485" t="s">
        <v>738</v>
      </c>
      <c r="P485" t="s">
        <v>738</v>
      </c>
      <c r="Q485">
        <v>1</v>
      </c>
      <c r="X485">
        <v>0.19</v>
      </c>
      <c r="Y485">
        <v>0</v>
      </c>
      <c r="Z485">
        <v>76.81</v>
      </c>
      <c r="AA485">
        <v>14.36</v>
      </c>
      <c r="AB485">
        <v>0</v>
      </c>
      <c r="AC485">
        <v>0</v>
      </c>
      <c r="AD485">
        <v>1</v>
      </c>
      <c r="AE485">
        <v>0</v>
      </c>
      <c r="AF485" t="s">
        <v>20</v>
      </c>
      <c r="AG485">
        <v>0.23749999999999999</v>
      </c>
      <c r="AH485">
        <v>2</v>
      </c>
      <c r="AI485">
        <v>43137963</v>
      </c>
      <c r="AJ485">
        <v>491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</row>
    <row r="486" spans="1:44" x14ac:dyDescent="0.2">
      <c r="A486">
        <f>ROW(Source!A970)</f>
        <v>970</v>
      </c>
      <c r="B486">
        <v>43137964</v>
      </c>
      <c r="C486">
        <v>43137961</v>
      </c>
      <c r="D486">
        <v>36044555</v>
      </c>
      <c r="E486">
        <v>1</v>
      </c>
      <c r="F486">
        <v>1</v>
      </c>
      <c r="G486">
        <v>35973048</v>
      </c>
      <c r="H486">
        <v>2</v>
      </c>
      <c r="I486" t="s">
        <v>1267</v>
      </c>
      <c r="J486" t="s">
        <v>1268</v>
      </c>
      <c r="K486" t="s">
        <v>1269</v>
      </c>
      <c r="L486">
        <v>1367</v>
      </c>
      <c r="N486">
        <v>1011</v>
      </c>
      <c r="O486" t="s">
        <v>738</v>
      </c>
      <c r="P486" t="s">
        <v>738</v>
      </c>
      <c r="Q486">
        <v>1</v>
      </c>
      <c r="X486">
        <v>0.14000000000000001</v>
      </c>
      <c r="Y486">
        <v>0</v>
      </c>
      <c r="Z486">
        <v>190.93</v>
      </c>
      <c r="AA486">
        <v>18.149999999999999</v>
      </c>
      <c r="AB486">
        <v>0</v>
      </c>
      <c r="AC486">
        <v>0</v>
      </c>
      <c r="AD486">
        <v>1</v>
      </c>
      <c r="AE486">
        <v>0</v>
      </c>
      <c r="AF486" t="s">
        <v>20</v>
      </c>
      <c r="AG486">
        <v>0.17500000000000002</v>
      </c>
      <c r="AH486">
        <v>2</v>
      </c>
      <c r="AI486">
        <v>43137964</v>
      </c>
      <c r="AJ486">
        <v>492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</row>
    <row r="487" spans="1:44" x14ac:dyDescent="0.2">
      <c r="A487">
        <f>ROW(Source!A970)</f>
        <v>970</v>
      </c>
      <c r="B487">
        <v>43137965</v>
      </c>
      <c r="C487">
        <v>43137961</v>
      </c>
      <c r="D487">
        <v>35990540</v>
      </c>
      <c r="E487">
        <v>35973048</v>
      </c>
      <c r="F487">
        <v>1</v>
      </c>
      <c r="G487">
        <v>35973048</v>
      </c>
      <c r="H487">
        <v>3</v>
      </c>
      <c r="I487" t="s">
        <v>1560</v>
      </c>
      <c r="J487" t="s">
        <v>3</v>
      </c>
      <c r="K487" t="s">
        <v>1561</v>
      </c>
      <c r="L487">
        <v>1348</v>
      </c>
      <c r="N487">
        <v>1009</v>
      </c>
      <c r="O487" t="s">
        <v>104</v>
      </c>
      <c r="P487" t="s">
        <v>104</v>
      </c>
      <c r="Q487">
        <v>1000</v>
      </c>
      <c r="X487">
        <v>1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 t="s">
        <v>3</v>
      </c>
      <c r="AG487">
        <v>1</v>
      </c>
      <c r="AH487">
        <v>3</v>
      </c>
      <c r="AI487">
        <v>-1</v>
      </c>
      <c r="AJ487" t="s">
        <v>3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</row>
    <row r="488" spans="1:44" x14ac:dyDescent="0.2">
      <c r="A488">
        <f>ROW(Source!A972)</f>
        <v>972</v>
      </c>
      <c r="B488">
        <v>43137929</v>
      </c>
      <c r="C488">
        <v>43137928</v>
      </c>
      <c r="D488">
        <v>35973053</v>
      </c>
      <c r="E488">
        <v>35973048</v>
      </c>
      <c r="F488">
        <v>1</v>
      </c>
      <c r="G488">
        <v>35973048</v>
      </c>
      <c r="H488">
        <v>1</v>
      </c>
      <c r="I488" t="s">
        <v>1228</v>
      </c>
      <c r="J488" t="s">
        <v>3</v>
      </c>
      <c r="K488" t="s">
        <v>1229</v>
      </c>
      <c r="L488">
        <v>1191</v>
      </c>
      <c r="N488">
        <v>1013</v>
      </c>
      <c r="O488" t="s">
        <v>1230</v>
      </c>
      <c r="P488" t="s">
        <v>1230</v>
      </c>
      <c r="Q488">
        <v>1</v>
      </c>
      <c r="X488">
        <v>31.63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1</v>
      </c>
      <c r="AE488">
        <v>1</v>
      </c>
      <c r="AF488" t="s">
        <v>21</v>
      </c>
      <c r="AG488">
        <v>36.374499999999998</v>
      </c>
      <c r="AH488">
        <v>2</v>
      </c>
      <c r="AI488">
        <v>43137929</v>
      </c>
      <c r="AJ488">
        <v>494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</row>
    <row r="489" spans="1:44" x14ac:dyDescent="0.2">
      <c r="A489">
        <f>ROW(Source!A972)</f>
        <v>972</v>
      </c>
      <c r="B489">
        <v>43137930</v>
      </c>
      <c r="C489">
        <v>43137928</v>
      </c>
      <c r="D489">
        <v>36045026</v>
      </c>
      <c r="E489">
        <v>1</v>
      </c>
      <c r="F489">
        <v>1</v>
      </c>
      <c r="G489">
        <v>35973048</v>
      </c>
      <c r="H489">
        <v>2</v>
      </c>
      <c r="I489" t="s">
        <v>1427</v>
      </c>
      <c r="J489" t="s">
        <v>1428</v>
      </c>
      <c r="K489" t="s">
        <v>1429</v>
      </c>
      <c r="L489">
        <v>1367</v>
      </c>
      <c r="N489">
        <v>1011</v>
      </c>
      <c r="O489" t="s">
        <v>738</v>
      </c>
      <c r="P489" t="s">
        <v>738</v>
      </c>
      <c r="Q489">
        <v>1</v>
      </c>
      <c r="X489">
        <v>0.9</v>
      </c>
      <c r="Y489">
        <v>0</v>
      </c>
      <c r="Z489">
        <v>43.4</v>
      </c>
      <c r="AA489">
        <v>2.68</v>
      </c>
      <c r="AB489">
        <v>0</v>
      </c>
      <c r="AC489">
        <v>0</v>
      </c>
      <c r="AD489">
        <v>1</v>
      </c>
      <c r="AE489">
        <v>0</v>
      </c>
      <c r="AF489" t="s">
        <v>20</v>
      </c>
      <c r="AG489">
        <v>1.125</v>
      </c>
      <c r="AH489">
        <v>2</v>
      </c>
      <c r="AI489">
        <v>43137930</v>
      </c>
      <c r="AJ489">
        <v>495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</row>
    <row r="490" spans="1:44" x14ac:dyDescent="0.2">
      <c r="A490">
        <f>ROW(Source!A972)</f>
        <v>972</v>
      </c>
      <c r="B490">
        <v>43137931</v>
      </c>
      <c r="C490">
        <v>43137928</v>
      </c>
      <c r="D490">
        <v>36044555</v>
      </c>
      <c r="E490">
        <v>1</v>
      </c>
      <c r="F490">
        <v>1</v>
      </c>
      <c r="G490">
        <v>35973048</v>
      </c>
      <c r="H490">
        <v>2</v>
      </c>
      <c r="I490" t="s">
        <v>1267</v>
      </c>
      <c r="J490" t="s">
        <v>1268</v>
      </c>
      <c r="K490" t="s">
        <v>1269</v>
      </c>
      <c r="L490">
        <v>1367</v>
      </c>
      <c r="N490">
        <v>1011</v>
      </c>
      <c r="O490" t="s">
        <v>738</v>
      </c>
      <c r="P490" t="s">
        <v>738</v>
      </c>
      <c r="Q490">
        <v>1</v>
      </c>
      <c r="X490">
        <v>4.665</v>
      </c>
      <c r="Y490">
        <v>0</v>
      </c>
      <c r="Z490">
        <v>190.93</v>
      </c>
      <c r="AA490">
        <v>18.149999999999999</v>
      </c>
      <c r="AB490">
        <v>0</v>
      </c>
      <c r="AC490">
        <v>0</v>
      </c>
      <c r="AD490">
        <v>1</v>
      </c>
      <c r="AE490">
        <v>0</v>
      </c>
      <c r="AF490" t="s">
        <v>20</v>
      </c>
      <c r="AG490">
        <v>5.8312499999999998</v>
      </c>
      <c r="AH490">
        <v>2</v>
      </c>
      <c r="AI490">
        <v>43137931</v>
      </c>
      <c r="AJ490">
        <v>496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</row>
    <row r="491" spans="1:44" x14ac:dyDescent="0.2">
      <c r="A491">
        <f>ROW(Source!A972)</f>
        <v>972</v>
      </c>
      <c r="B491">
        <v>43137932</v>
      </c>
      <c r="C491">
        <v>43137928</v>
      </c>
      <c r="D491">
        <v>36021727</v>
      </c>
      <c r="E491">
        <v>1</v>
      </c>
      <c r="F491">
        <v>1</v>
      </c>
      <c r="G491">
        <v>35973048</v>
      </c>
      <c r="H491">
        <v>3</v>
      </c>
      <c r="I491" t="s">
        <v>1276</v>
      </c>
      <c r="J491" t="s">
        <v>1277</v>
      </c>
      <c r="K491" t="s">
        <v>1278</v>
      </c>
      <c r="L491">
        <v>1348</v>
      </c>
      <c r="N491">
        <v>1009</v>
      </c>
      <c r="O491" t="s">
        <v>104</v>
      </c>
      <c r="P491" t="s">
        <v>104</v>
      </c>
      <c r="Q491">
        <v>1000</v>
      </c>
      <c r="X491">
        <v>1.25E-3</v>
      </c>
      <c r="Y491">
        <v>7191.81</v>
      </c>
      <c r="Z491">
        <v>0</v>
      </c>
      <c r="AA491">
        <v>0</v>
      </c>
      <c r="AB491">
        <v>0</v>
      </c>
      <c r="AC491">
        <v>0</v>
      </c>
      <c r="AD491">
        <v>1</v>
      </c>
      <c r="AE491">
        <v>0</v>
      </c>
      <c r="AF491" t="s">
        <v>3</v>
      </c>
      <c r="AG491">
        <v>1.25E-3</v>
      </c>
      <c r="AH491">
        <v>2</v>
      </c>
      <c r="AI491">
        <v>43137932</v>
      </c>
      <c r="AJ491">
        <v>497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</row>
    <row r="492" spans="1:44" x14ac:dyDescent="0.2">
      <c r="A492">
        <f>ROW(Source!A972)</f>
        <v>972</v>
      </c>
      <c r="B492">
        <v>43137933</v>
      </c>
      <c r="C492">
        <v>43137928</v>
      </c>
      <c r="D492">
        <v>36020361</v>
      </c>
      <c r="E492">
        <v>1</v>
      </c>
      <c r="F492">
        <v>1</v>
      </c>
      <c r="G492">
        <v>35973048</v>
      </c>
      <c r="H492">
        <v>3</v>
      </c>
      <c r="I492" t="s">
        <v>1430</v>
      </c>
      <c r="J492" t="s">
        <v>1431</v>
      </c>
      <c r="K492" t="s">
        <v>1432</v>
      </c>
      <c r="L492">
        <v>1348</v>
      </c>
      <c r="N492">
        <v>1009</v>
      </c>
      <c r="O492" t="s">
        <v>104</v>
      </c>
      <c r="P492" t="s">
        <v>104</v>
      </c>
      <c r="Q492">
        <v>1000</v>
      </c>
      <c r="X492">
        <v>2.5000000000000001E-3</v>
      </c>
      <c r="Y492">
        <v>17876.91</v>
      </c>
      <c r="Z492">
        <v>0</v>
      </c>
      <c r="AA492">
        <v>0</v>
      </c>
      <c r="AB492">
        <v>0</v>
      </c>
      <c r="AC492">
        <v>0</v>
      </c>
      <c r="AD492">
        <v>1</v>
      </c>
      <c r="AE492">
        <v>0</v>
      </c>
      <c r="AF492" t="s">
        <v>3</v>
      </c>
      <c r="AG492">
        <v>2.5000000000000001E-3</v>
      </c>
      <c r="AH492">
        <v>2</v>
      </c>
      <c r="AI492">
        <v>43137933</v>
      </c>
      <c r="AJ492">
        <v>498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</row>
    <row r="493" spans="1:44" x14ac:dyDescent="0.2">
      <c r="A493">
        <f>ROW(Source!A972)</f>
        <v>972</v>
      </c>
      <c r="B493">
        <v>43137934</v>
      </c>
      <c r="C493">
        <v>43137928</v>
      </c>
      <c r="D493">
        <v>36041912</v>
      </c>
      <c r="E493">
        <v>1</v>
      </c>
      <c r="F493">
        <v>1</v>
      </c>
      <c r="G493">
        <v>35973048</v>
      </c>
      <c r="H493">
        <v>3</v>
      </c>
      <c r="I493" t="s">
        <v>1433</v>
      </c>
      <c r="J493" t="s">
        <v>1434</v>
      </c>
      <c r="K493" t="s">
        <v>1435</v>
      </c>
      <c r="L493">
        <v>1348</v>
      </c>
      <c r="N493">
        <v>1009</v>
      </c>
      <c r="O493" t="s">
        <v>104</v>
      </c>
      <c r="P493" t="s">
        <v>104</v>
      </c>
      <c r="Q493">
        <v>1000</v>
      </c>
      <c r="X493">
        <v>1.2500000000000001E-2</v>
      </c>
      <c r="Y493">
        <v>12654.07</v>
      </c>
      <c r="Z493">
        <v>0</v>
      </c>
      <c r="AA493">
        <v>0</v>
      </c>
      <c r="AB493">
        <v>0</v>
      </c>
      <c r="AC493">
        <v>0</v>
      </c>
      <c r="AD493">
        <v>1</v>
      </c>
      <c r="AE493">
        <v>0</v>
      </c>
      <c r="AF493" t="s">
        <v>3</v>
      </c>
      <c r="AG493">
        <v>1.2500000000000001E-2</v>
      </c>
      <c r="AH493">
        <v>2</v>
      </c>
      <c r="AI493">
        <v>43137934</v>
      </c>
      <c r="AJ493">
        <v>499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</row>
    <row r="494" spans="1:44" x14ac:dyDescent="0.2">
      <c r="A494">
        <f>ROW(Source!A972)</f>
        <v>972</v>
      </c>
      <c r="B494">
        <v>43137935</v>
      </c>
      <c r="C494">
        <v>43137928</v>
      </c>
      <c r="D494">
        <v>35990890</v>
      </c>
      <c r="E494">
        <v>35973048</v>
      </c>
      <c r="F494">
        <v>1</v>
      </c>
      <c r="G494">
        <v>35973048</v>
      </c>
      <c r="H494">
        <v>3</v>
      </c>
      <c r="I494" t="s">
        <v>1562</v>
      </c>
      <c r="J494" t="s">
        <v>3</v>
      </c>
      <c r="K494" t="s">
        <v>1563</v>
      </c>
      <c r="L494">
        <v>1354</v>
      </c>
      <c r="N494">
        <v>1010</v>
      </c>
      <c r="O494" t="s">
        <v>169</v>
      </c>
      <c r="P494" t="s">
        <v>169</v>
      </c>
      <c r="Q494">
        <v>1</v>
      </c>
      <c r="X494">
        <v>1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 t="s">
        <v>3</v>
      </c>
      <c r="AG494">
        <v>1</v>
      </c>
      <c r="AH494">
        <v>3</v>
      </c>
      <c r="AI494">
        <v>-1</v>
      </c>
      <c r="AJ494" t="s">
        <v>3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</row>
    <row r="495" spans="1:44" x14ac:dyDescent="0.2">
      <c r="A495">
        <f>ROW(Source!A972)</f>
        <v>972</v>
      </c>
      <c r="B495">
        <v>43137936</v>
      </c>
      <c r="C495">
        <v>43137928</v>
      </c>
      <c r="D495">
        <v>35994366</v>
      </c>
      <c r="E495">
        <v>35973048</v>
      </c>
      <c r="F495">
        <v>1</v>
      </c>
      <c r="G495">
        <v>35973048</v>
      </c>
      <c r="H495">
        <v>3</v>
      </c>
      <c r="I495" t="s">
        <v>1294</v>
      </c>
      <c r="J495" t="s">
        <v>3</v>
      </c>
      <c r="K495" t="s">
        <v>1295</v>
      </c>
      <c r="L495">
        <v>1344</v>
      </c>
      <c r="N495">
        <v>1008</v>
      </c>
      <c r="O495" t="s">
        <v>1245</v>
      </c>
      <c r="P495" t="s">
        <v>1245</v>
      </c>
      <c r="Q495">
        <v>1</v>
      </c>
      <c r="X495">
        <v>34.799999999999997</v>
      </c>
      <c r="Y495">
        <v>1</v>
      </c>
      <c r="Z495">
        <v>0</v>
      </c>
      <c r="AA495">
        <v>0</v>
      </c>
      <c r="AB495">
        <v>0</v>
      </c>
      <c r="AC495">
        <v>0</v>
      </c>
      <c r="AD495">
        <v>1</v>
      </c>
      <c r="AE495">
        <v>0</v>
      </c>
      <c r="AF495" t="s">
        <v>3</v>
      </c>
      <c r="AG495">
        <v>34.799999999999997</v>
      </c>
      <c r="AH495">
        <v>2</v>
      </c>
      <c r="AI495">
        <v>43137936</v>
      </c>
      <c r="AJ495">
        <v>500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</row>
    <row r="496" spans="1:44" x14ac:dyDescent="0.2">
      <c r="A496">
        <f>ROW(Source!A1013)</f>
        <v>1013</v>
      </c>
      <c r="B496">
        <v>43137713</v>
      </c>
      <c r="C496">
        <v>43137652</v>
      </c>
      <c r="D496">
        <v>35973053</v>
      </c>
      <c r="E496">
        <v>35973048</v>
      </c>
      <c r="F496">
        <v>1</v>
      </c>
      <c r="G496">
        <v>35973048</v>
      </c>
      <c r="H496">
        <v>1</v>
      </c>
      <c r="I496" t="s">
        <v>1228</v>
      </c>
      <c r="J496" t="s">
        <v>3</v>
      </c>
      <c r="K496" t="s">
        <v>1229</v>
      </c>
      <c r="L496">
        <v>1191</v>
      </c>
      <c r="N496">
        <v>1013</v>
      </c>
      <c r="O496" t="s">
        <v>1230</v>
      </c>
      <c r="P496" t="s">
        <v>1230</v>
      </c>
      <c r="Q496">
        <v>1</v>
      </c>
      <c r="X496">
        <v>1.21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1</v>
      </c>
      <c r="AE496">
        <v>1</v>
      </c>
      <c r="AF496" t="s">
        <v>21</v>
      </c>
      <c r="AG496">
        <v>1.3915</v>
      </c>
      <c r="AH496">
        <v>2</v>
      </c>
      <c r="AI496">
        <v>43137713</v>
      </c>
      <c r="AJ496">
        <v>502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</row>
    <row r="497" spans="1:44" x14ac:dyDescent="0.2">
      <c r="A497">
        <f>ROW(Source!A1013)</f>
        <v>1013</v>
      </c>
      <c r="B497">
        <v>43137714</v>
      </c>
      <c r="C497">
        <v>43137652</v>
      </c>
      <c r="D497">
        <v>36044463</v>
      </c>
      <c r="E497">
        <v>1</v>
      </c>
      <c r="F497">
        <v>1</v>
      </c>
      <c r="G497">
        <v>35973048</v>
      </c>
      <c r="H497">
        <v>2</v>
      </c>
      <c r="I497" t="s">
        <v>1249</v>
      </c>
      <c r="J497" t="s">
        <v>1250</v>
      </c>
      <c r="K497" t="s">
        <v>1251</v>
      </c>
      <c r="L497">
        <v>1367</v>
      </c>
      <c r="N497">
        <v>1011</v>
      </c>
      <c r="O497" t="s">
        <v>738</v>
      </c>
      <c r="P497" t="s">
        <v>738</v>
      </c>
      <c r="Q497">
        <v>1</v>
      </c>
      <c r="X497">
        <v>3.1459999999999999</v>
      </c>
      <c r="Y497">
        <v>0</v>
      </c>
      <c r="Z497">
        <v>180.72</v>
      </c>
      <c r="AA497">
        <v>17.510000000000002</v>
      </c>
      <c r="AB497">
        <v>0</v>
      </c>
      <c r="AC497">
        <v>0</v>
      </c>
      <c r="AD497">
        <v>1</v>
      </c>
      <c r="AE497">
        <v>0</v>
      </c>
      <c r="AF497" t="s">
        <v>20</v>
      </c>
      <c r="AG497">
        <v>3.9325000000000001</v>
      </c>
      <c r="AH497">
        <v>2</v>
      </c>
      <c r="AI497">
        <v>43137714</v>
      </c>
      <c r="AJ497">
        <v>503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</row>
    <row r="498" spans="1:44" x14ac:dyDescent="0.2">
      <c r="A498">
        <f>ROW(Source!A1014)</f>
        <v>1014</v>
      </c>
      <c r="B498">
        <v>43137847</v>
      </c>
      <c r="C498">
        <v>43137845</v>
      </c>
      <c r="D498">
        <v>36759505</v>
      </c>
      <c r="E498">
        <v>1</v>
      </c>
      <c r="F498">
        <v>1</v>
      </c>
      <c r="G498">
        <v>35973048</v>
      </c>
      <c r="H498">
        <v>2</v>
      </c>
      <c r="I498" t="s">
        <v>1436</v>
      </c>
      <c r="J498" t="s">
        <v>1437</v>
      </c>
      <c r="K498" t="s">
        <v>1438</v>
      </c>
      <c r="L498">
        <v>1367</v>
      </c>
      <c r="N498">
        <v>1011</v>
      </c>
      <c r="O498" t="s">
        <v>738</v>
      </c>
      <c r="P498" t="s">
        <v>738</v>
      </c>
      <c r="Q498">
        <v>1</v>
      </c>
      <c r="X498">
        <v>1</v>
      </c>
      <c r="Y498">
        <v>0</v>
      </c>
      <c r="Z498">
        <v>162.03</v>
      </c>
      <c r="AA498">
        <v>16.920000000000002</v>
      </c>
      <c r="AB498">
        <v>0</v>
      </c>
      <c r="AC498">
        <v>0</v>
      </c>
      <c r="AD498">
        <v>1</v>
      </c>
      <c r="AE498">
        <v>0</v>
      </c>
      <c r="AF498" t="s">
        <v>3</v>
      </c>
      <c r="AG498">
        <v>1</v>
      </c>
      <c r="AH498">
        <v>2</v>
      </c>
      <c r="AI498">
        <v>43137847</v>
      </c>
      <c r="AJ498">
        <v>504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</row>
    <row r="499" spans="1:44" x14ac:dyDescent="0.2">
      <c r="A499">
        <f>ROW(Source!A1015)</f>
        <v>1015</v>
      </c>
      <c r="B499">
        <v>43137849</v>
      </c>
      <c r="C499">
        <v>43137848</v>
      </c>
      <c r="D499">
        <v>35973762</v>
      </c>
      <c r="E499">
        <v>35973048</v>
      </c>
      <c r="F499">
        <v>1</v>
      </c>
      <c r="G499">
        <v>35973048</v>
      </c>
      <c r="H499">
        <v>2</v>
      </c>
      <c r="I499" t="s">
        <v>1243</v>
      </c>
      <c r="J499" t="s">
        <v>3</v>
      </c>
      <c r="K499" t="s">
        <v>1244</v>
      </c>
      <c r="L499">
        <v>1344</v>
      </c>
      <c r="N499">
        <v>1008</v>
      </c>
      <c r="O499" t="s">
        <v>1245</v>
      </c>
      <c r="P499" t="s">
        <v>1245</v>
      </c>
      <c r="Q499">
        <v>1</v>
      </c>
      <c r="X499">
        <v>12.61</v>
      </c>
      <c r="Y499">
        <v>0</v>
      </c>
      <c r="Z499">
        <v>1</v>
      </c>
      <c r="AA499">
        <v>0</v>
      </c>
      <c r="AB499">
        <v>0</v>
      </c>
      <c r="AC499">
        <v>0</v>
      </c>
      <c r="AD499">
        <v>1</v>
      </c>
      <c r="AE499">
        <v>0</v>
      </c>
      <c r="AF499" t="s">
        <v>3</v>
      </c>
      <c r="AG499">
        <v>12.61</v>
      </c>
      <c r="AH499">
        <v>2</v>
      </c>
      <c r="AI499">
        <v>43137849</v>
      </c>
      <c r="AJ499">
        <v>505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</row>
    <row r="500" spans="1:44" x14ac:dyDescent="0.2">
      <c r="A500">
        <f>ROW(Source!A1016)</f>
        <v>1016</v>
      </c>
      <c r="B500">
        <v>43137834</v>
      </c>
      <c r="C500">
        <v>43137833</v>
      </c>
      <c r="D500">
        <v>35973053</v>
      </c>
      <c r="E500">
        <v>35973048</v>
      </c>
      <c r="F500">
        <v>1</v>
      </c>
      <c r="G500">
        <v>35973048</v>
      </c>
      <c r="H500">
        <v>1</v>
      </c>
      <c r="I500" t="s">
        <v>1228</v>
      </c>
      <c r="J500" t="s">
        <v>3</v>
      </c>
      <c r="K500" t="s">
        <v>1229</v>
      </c>
      <c r="L500">
        <v>1191</v>
      </c>
      <c r="N500">
        <v>1013</v>
      </c>
      <c r="O500" t="s">
        <v>1230</v>
      </c>
      <c r="P500" t="s">
        <v>1230</v>
      </c>
      <c r="Q500">
        <v>1</v>
      </c>
      <c r="X500">
        <v>14.4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1</v>
      </c>
      <c r="AE500">
        <v>1</v>
      </c>
      <c r="AF500" t="s">
        <v>21</v>
      </c>
      <c r="AG500">
        <v>16.559999999999999</v>
      </c>
      <c r="AH500">
        <v>2</v>
      </c>
      <c r="AI500">
        <v>43137834</v>
      </c>
      <c r="AJ500">
        <v>506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</row>
    <row r="501" spans="1:44" x14ac:dyDescent="0.2">
      <c r="A501">
        <f>ROW(Source!A1016)</f>
        <v>1016</v>
      </c>
      <c r="B501">
        <v>43137835</v>
      </c>
      <c r="C501">
        <v>43137833</v>
      </c>
      <c r="D501">
        <v>36044508</v>
      </c>
      <c r="E501">
        <v>1</v>
      </c>
      <c r="F501">
        <v>1</v>
      </c>
      <c r="G501">
        <v>35973048</v>
      </c>
      <c r="H501">
        <v>2</v>
      </c>
      <c r="I501" t="s">
        <v>1258</v>
      </c>
      <c r="J501" t="s">
        <v>1259</v>
      </c>
      <c r="K501" t="s">
        <v>1260</v>
      </c>
      <c r="L501">
        <v>1367</v>
      </c>
      <c r="N501">
        <v>1011</v>
      </c>
      <c r="O501" t="s">
        <v>738</v>
      </c>
      <c r="P501" t="s">
        <v>738</v>
      </c>
      <c r="Q501">
        <v>1</v>
      </c>
      <c r="X501">
        <v>1.66</v>
      </c>
      <c r="Y501">
        <v>0</v>
      </c>
      <c r="Z501">
        <v>116.89</v>
      </c>
      <c r="AA501">
        <v>23.41</v>
      </c>
      <c r="AB501">
        <v>0</v>
      </c>
      <c r="AC501">
        <v>0</v>
      </c>
      <c r="AD501">
        <v>1</v>
      </c>
      <c r="AE501">
        <v>0</v>
      </c>
      <c r="AF501" t="s">
        <v>20</v>
      </c>
      <c r="AG501">
        <v>2.0749999999999997</v>
      </c>
      <c r="AH501">
        <v>2</v>
      </c>
      <c r="AI501">
        <v>43137835</v>
      </c>
      <c r="AJ501">
        <v>507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</row>
    <row r="502" spans="1:44" x14ac:dyDescent="0.2">
      <c r="A502">
        <f>ROW(Source!A1016)</f>
        <v>1016</v>
      </c>
      <c r="B502">
        <v>43137836</v>
      </c>
      <c r="C502">
        <v>43137833</v>
      </c>
      <c r="D502">
        <v>36044731</v>
      </c>
      <c r="E502">
        <v>1</v>
      </c>
      <c r="F502">
        <v>1</v>
      </c>
      <c r="G502">
        <v>35973048</v>
      </c>
      <c r="H502">
        <v>2</v>
      </c>
      <c r="I502" t="s">
        <v>749</v>
      </c>
      <c r="J502" t="s">
        <v>751</v>
      </c>
      <c r="K502" t="s">
        <v>750</v>
      </c>
      <c r="L502">
        <v>1367</v>
      </c>
      <c r="N502">
        <v>1011</v>
      </c>
      <c r="O502" t="s">
        <v>738</v>
      </c>
      <c r="P502" t="s">
        <v>738</v>
      </c>
      <c r="Q502">
        <v>1</v>
      </c>
      <c r="X502">
        <v>1.66</v>
      </c>
      <c r="Y502">
        <v>0</v>
      </c>
      <c r="Z502">
        <v>62.97</v>
      </c>
      <c r="AA502">
        <v>6.64</v>
      </c>
      <c r="AB502">
        <v>0</v>
      </c>
      <c r="AC502">
        <v>0</v>
      </c>
      <c r="AD502">
        <v>1</v>
      </c>
      <c r="AE502">
        <v>0</v>
      </c>
      <c r="AF502" t="s">
        <v>20</v>
      </c>
      <c r="AG502">
        <v>2.0749999999999997</v>
      </c>
      <c r="AH502">
        <v>2</v>
      </c>
      <c r="AI502">
        <v>43137836</v>
      </c>
      <c r="AJ502">
        <v>508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</row>
    <row r="503" spans="1:44" x14ac:dyDescent="0.2">
      <c r="A503">
        <f>ROW(Source!A1016)</f>
        <v>1016</v>
      </c>
      <c r="B503">
        <v>43137837</v>
      </c>
      <c r="C503">
        <v>43137833</v>
      </c>
      <c r="D503">
        <v>36044734</v>
      </c>
      <c r="E503">
        <v>1</v>
      </c>
      <c r="F503">
        <v>1</v>
      </c>
      <c r="G503">
        <v>35973048</v>
      </c>
      <c r="H503">
        <v>2</v>
      </c>
      <c r="I503" t="s">
        <v>745</v>
      </c>
      <c r="J503" t="s">
        <v>747</v>
      </c>
      <c r="K503" t="s">
        <v>746</v>
      </c>
      <c r="L503">
        <v>1367</v>
      </c>
      <c r="N503">
        <v>1011</v>
      </c>
      <c r="O503" t="s">
        <v>738</v>
      </c>
      <c r="P503" t="s">
        <v>738</v>
      </c>
      <c r="Q503">
        <v>1</v>
      </c>
      <c r="X503">
        <v>0.65</v>
      </c>
      <c r="Y503">
        <v>0</v>
      </c>
      <c r="Z503">
        <v>246.68</v>
      </c>
      <c r="AA503">
        <v>13.37</v>
      </c>
      <c r="AB503">
        <v>0</v>
      </c>
      <c r="AC503">
        <v>0</v>
      </c>
      <c r="AD503">
        <v>1</v>
      </c>
      <c r="AE503">
        <v>0</v>
      </c>
      <c r="AF503" t="s">
        <v>20</v>
      </c>
      <c r="AG503">
        <v>0.8125</v>
      </c>
      <c r="AH503">
        <v>2</v>
      </c>
      <c r="AI503">
        <v>43137837</v>
      </c>
      <c r="AJ503">
        <v>509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</row>
    <row r="504" spans="1:44" x14ac:dyDescent="0.2">
      <c r="A504">
        <f>ROW(Source!A1016)</f>
        <v>1016</v>
      </c>
      <c r="B504">
        <v>43137838</v>
      </c>
      <c r="C504">
        <v>43137833</v>
      </c>
      <c r="D504">
        <v>36044762</v>
      </c>
      <c r="E504">
        <v>1</v>
      </c>
      <c r="F504">
        <v>1</v>
      </c>
      <c r="G504">
        <v>35973048</v>
      </c>
      <c r="H504">
        <v>2</v>
      </c>
      <c r="I504" t="s">
        <v>736</v>
      </c>
      <c r="J504" t="s">
        <v>739</v>
      </c>
      <c r="K504" t="s">
        <v>737</v>
      </c>
      <c r="L504">
        <v>1367</v>
      </c>
      <c r="N504">
        <v>1011</v>
      </c>
      <c r="O504" t="s">
        <v>738</v>
      </c>
      <c r="P504" t="s">
        <v>738</v>
      </c>
      <c r="Q504">
        <v>1</v>
      </c>
      <c r="X504">
        <v>1.55</v>
      </c>
      <c r="Y504">
        <v>0</v>
      </c>
      <c r="Z504">
        <v>125.13</v>
      </c>
      <c r="AA504">
        <v>24.74</v>
      </c>
      <c r="AB504">
        <v>0</v>
      </c>
      <c r="AC504">
        <v>0</v>
      </c>
      <c r="AD504">
        <v>1</v>
      </c>
      <c r="AE504">
        <v>0</v>
      </c>
      <c r="AF504" t="s">
        <v>20</v>
      </c>
      <c r="AG504">
        <v>1.9375</v>
      </c>
      <c r="AH504">
        <v>2</v>
      </c>
      <c r="AI504">
        <v>43137838</v>
      </c>
      <c r="AJ504">
        <v>510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</row>
    <row r="505" spans="1:44" x14ac:dyDescent="0.2">
      <c r="A505">
        <f>ROW(Source!A1016)</f>
        <v>1016</v>
      </c>
      <c r="B505">
        <v>43137839</v>
      </c>
      <c r="C505">
        <v>43137833</v>
      </c>
      <c r="D505">
        <v>36044724</v>
      </c>
      <c r="E505">
        <v>1</v>
      </c>
      <c r="F505">
        <v>1</v>
      </c>
      <c r="G505">
        <v>35973048</v>
      </c>
      <c r="H505">
        <v>2</v>
      </c>
      <c r="I505" t="s">
        <v>741</v>
      </c>
      <c r="J505" t="s">
        <v>743</v>
      </c>
      <c r="K505" t="s">
        <v>742</v>
      </c>
      <c r="L505">
        <v>1367</v>
      </c>
      <c r="N505">
        <v>1011</v>
      </c>
      <c r="O505" t="s">
        <v>738</v>
      </c>
      <c r="P505" t="s">
        <v>738</v>
      </c>
      <c r="Q505">
        <v>1</v>
      </c>
      <c r="X505">
        <v>0.52</v>
      </c>
      <c r="Y505">
        <v>0</v>
      </c>
      <c r="Z505">
        <v>177.54</v>
      </c>
      <c r="AA505">
        <v>17.420000000000002</v>
      </c>
      <c r="AB505">
        <v>0</v>
      </c>
      <c r="AC505">
        <v>0</v>
      </c>
      <c r="AD505">
        <v>1</v>
      </c>
      <c r="AE505">
        <v>0</v>
      </c>
      <c r="AF505" t="s">
        <v>20</v>
      </c>
      <c r="AG505">
        <v>0.65</v>
      </c>
      <c r="AH505">
        <v>2</v>
      </c>
      <c r="AI505">
        <v>43137839</v>
      </c>
      <c r="AJ505">
        <v>511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</row>
    <row r="506" spans="1:44" x14ac:dyDescent="0.2">
      <c r="A506">
        <f>ROW(Source!A1016)</f>
        <v>1016</v>
      </c>
      <c r="B506">
        <v>43137840</v>
      </c>
      <c r="C506">
        <v>43137833</v>
      </c>
      <c r="D506">
        <v>36020415</v>
      </c>
      <c r="E506">
        <v>1</v>
      </c>
      <c r="F506">
        <v>1</v>
      </c>
      <c r="G506">
        <v>35973048</v>
      </c>
      <c r="H506">
        <v>3</v>
      </c>
      <c r="I506" t="s">
        <v>469</v>
      </c>
      <c r="J506" t="s">
        <v>471</v>
      </c>
      <c r="K506" t="s">
        <v>470</v>
      </c>
      <c r="L506">
        <v>1339</v>
      </c>
      <c r="N506">
        <v>1007</v>
      </c>
      <c r="O506" t="s">
        <v>84</v>
      </c>
      <c r="P506" t="s">
        <v>84</v>
      </c>
      <c r="Q506">
        <v>1</v>
      </c>
      <c r="X506">
        <v>5</v>
      </c>
      <c r="Y506">
        <v>7.07</v>
      </c>
      <c r="Z506">
        <v>0</v>
      </c>
      <c r="AA506">
        <v>0</v>
      </c>
      <c r="AB506">
        <v>0</v>
      </c>
      <c r="AC506">
        <v>0</v>
      </c>
      <c r="AD506">
        <v>1</v>
      </c>
      <c r="AE506">
        <v>0</v>
      </c>
      <c r="AF506" t="s">
        <v>3</v>
      </c>
      <c r="AG506">
        <v>5</v>
      </c>
      <c r="AH506">
        <v>2</v>
      </c>
      <c r="AI506">
        <v>43137840</v>
      </c>
      <c r="AJ506">
        <v>512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</row>
    <row r="507" spans="1:44" x14ac:dyDescent="0.2">
      <c r="A507">
        <f>ROW(Source!A1016)</f>
        <v>1016</v>
      </c>
      <c r="B507">
        <v>43137841</v>
      </c>
      <c r="C507">
        <v>43137833</v>
      </c>
      <c r="D507">
        <v>35985843</v>
      </c>
      <c r="E507">
        <v>35973048</v>
      </c>
      <c r="F507">
        <v>1</v>
      </c>
      <c r="G507">
        <v>35973048</v>
      </c>
      <c r="H507">
        <v>3</v>
      </c>
      <c r="I507" t="s">
        <v>1465</v>
      </c>
      <c r="J507" t="s">
        <v>3</v>
      </c>
      <c r="K507" t="s">
        <v>1466</v>
      </c>
      <c r="L507">
        <v>1339</v>
      </c>
      <c r="N507">
        <v>1007</v>
      </c>
      <c r="O507" t="s">
        <v>84</v>
      </c>
      <c r="P507" t="s">
        <v>84</v>
      </c>
      <c r="Q507">
        <v>1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 t="s">
        <v>3</v>
      </c>
      <c r="AG507">
        <v>0</v>
      </c>
      <c r="AH507">
        <v>3</v>
      </c>
      <c r="AI507">
        <v>-1</v>
      </c>
      <c r="AJ507" t="s">
        <v>3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</row>
    <row r="508" spans="1:44" x14ac:dyDescent="0.2">
      <c r="A508">
        <f>ROW(Source!A1018)</f>
        <v>1018</v>
      </c>
      <c r="B508">
        <v>43137734</v>
      </c>
      <c r="C508">
        <v>43137733</v>
      </c>
      <c r="D508">
        <v>35973053</v>
      </c>
      <c r="E508">
        <v>35973048</v>
      </c>
      <c r="F508">
        <v>1</v>
      </c>
      <c r="G508">
        <v>35973048</v>
      </c>
      <c r="H508">
        <v>1</v>
      </c>
      <c r="I508" t="s">
        <v>1228</v>
      </c>
      <c r="J508" t="s">
        <v>3</v>
      </c>
      <c r="K508" t="s">
        <v>1229</v>
      </c>
      <c r="L508">
        <v>1191</v>
      </c>
      <c r="N508">
        <v>1013</v>
      </c>
      <c r="O508" t="s">
        <v>1230</v>
      </c>
      <c r="P508" t="s">
        <v>1230</v>
      </c>
      <c r="Q508">
        <v>1</v>
      </c>
      <c r="X508">
        <v>133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1</v>
      </c>
      <c r="AE508">
        <v>1</v>
      </c>
      <c r="AF508" t="s">
        <v>21</v>
      </c>
      <c r="AG508">
        <v>152.94999999999999</v>
      </c>
      <c r="AH508">
        <v>2</v>
      </c>
      <c r="AI508">
        <v>43137734</v>
      </c>
      <c r="AJ508">
        <v>514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</row>
    <row r="509" spans="1:44" x14ac:dyDescent="0.2">
      <c r="A509">
        <f>ROW(Source!A1018)</f>
        <v>1018</v>
      </c>
      <c r="B509">
        <v>43137735</v>
      </c>
      <c r="C509">
        <v>43137733</v>
      </c>
      <c r="D509">
        <v>37606212</v>
      </c>
      <c r="E509">
        <v>35973048</v>
      </c>
      <c r="F509">
        <v>1</v>
      </c>
      <c r="G509">
        <v>35973048</v>
      </c>
      <c r="H509">
        <v>3</v>
      </c>
      <c r="I509" t="s">
        <v>1550</v>
      </c>
      <c r="J509" t="s">
        <v>3</v>
      </c>
      <c r="K509" t="s">
        <v>1551</v>
      </c>
      <c r="L509">
        <v>1301</v>
      </c>
      <c r="N509">
        <v>1003</v>
      </c>
      <c r="O509" t="s">
        <v>136</v>
      </c>
      <c r="P509" t="s">
        <v>136</v>
      </c>
      <c r="Q509">
        <v>1</v>
      </c>
      <c r="X509">
        <v>1000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 t="s">
        <v>3</v>
      </c>
      <c r="AG509">
        <v>1000</v>
      </c>
      <c r="AH509">
        <v>3</v>
      </c>
      <c r="AI509">
        <v>-1</v>
      </c>
      <c r="AJ509" t="s">
        <v>3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</row>
    <row r="510" spans="1:44" x14ac:dyDescent="0.2">
      <c r="A510">
        <f>ROW(Source!A1018)</f>
        <v>1018</v>
      </c>
      <c r="B510">
        <v>43137736</v>
      </c>
      <c r="C510">
        <v>43137733</v>
      </c>
      <c r="D510">
        <v>35994366</v>
      </c>
      <c r="E510">
        <v>35973048</v>
      </c>
      <c r="F510">
        <v>1</v>
      </c>
      <c r="G510">
        <v>35973048</v>
      </c>
      <c r="H510">
        <v>3</v>
      </c>
      <c r="I510" t="s">
        <v>1294</v>
      </c>
      <c r="J510" t="s">
        <v>3</v>
      </c>
      <c r="K510" t="s">
        <v>1295</v>
      </c>
      <c r="L510">
        <v>1344</v>
      </c>
      <c r="N510">
        <v>1008</v>
      </c>
      <c r="O510" t="s">
        <v>1245</v>
      </c>
      <c r="P510" t="s">
        <v>1245</v>
      </c>
      <c r="Q510">
        <v>1</v>
      </c>
      <c r="X510">
        <v>44.38</v>
      </c>
      <c r="Y510">
        <v>1</v>
      </c>
      <c r="Z510">
        <v>0</v>
      </c>
      <c r="AA510">
        <v>0</v>
      </c>
      <c r="AB510">
        <v>0</v>
      </c>
      <c r="AC510">
        <v>0</v>
      </c>
      <c r="AD510">
        <v>1</v>
      </c>
      <c r="AE510">
        <v>0</v>
      </c>
      <c r="AF510" t="s">
        <v>3</v>
      </c>
      <c r="AG510">
        <v>44.38</v>
      </c>
      <c r="AH510">
        <v>2</v>
      </c>
      <c r="AI510">
        <v>43137736</v>
      </c>
      <c r="AJ510">
        <v>517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</row>
    <row r="511" spans="1:44" x14ac:dyDescent="0.2">
      <c r="A511">
        <f>ROW(Source!A1021)</f>
        <v>1021</v>
      </c>
      <c r="B511">
        <v>43137742</v>
      </c>
      <c r="C511">
        <v>43137738</v>
      </c>
      <c r="D511">
        <v>35973053</v>
      </c>
      <c r="E511">
        <v>35973048</v>
      </c>
      <c r="F511">
        <v>1</v>
      </c>
      <c r="G511">
        <v>35973048</v>
      </c>
      <c r="H511">
        <v>1</v>
      </c>
      <c r="I511" t="s">
        <v>1228</v>
      </c>
      <c r="J511" t="s">
        <v>3</v>
      </c>
      <c r="K511" t="s">
        <v>1229</v>
      </c>
      <c r="L511">
        <v>1191</v>
      </c>
      <c r="N511">
        <v>1013</v>
      </c>
      <c r="O511" t="s">
        <v>1230</v>
      </c>
      <c r="P511" t="s">
        <v>1230</v>
      </c>
      <c r="Q511">
        <v>1</v>
      </c>
      <c r="X511">
        <v>155.88999999999999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1</v>
      </c>
      <c r="AE511">
        <v>1</v>
      </c>
      <c r="AF511" t="s">
        <v>21</v>
      </c>
      <c r="AG511">
        <v>179.27349999999998</v>
      </c>
      <c r="AH511">
        <v>2</v>
      </c>
      <c r="AI511">
        <v>43137742</v>
      </c>
      <c r="AJ511">
        <v>518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</row>
    <row r="512" spans="1:44" x14ac:dyDescent="0.2">
      <c r="A512">
        <f>ROW(Source!A1021)</f>
        <v>1021</v>
      </c>
      <c r="B512">
        <v>43137743</v>
      </c>
      <c r="C512">
        <v>43137738</v>
      </c>
      <c r="D512">
        <v>38561992</v>
      </c>
      <c r="E512">
        <v>35973048</v>
      </c>
      <c r="F512">
        <v>1</v>
      </c>
      <c r="G512">
        <v>35973048</v>
      </c>
      <c r="H512">
        <v>3</v>
      </c>
      <c r="I512" t="s">
        <v>1564</v>
      </c>
      <c r="J512" t="s">
        <v>3</v>
      </c>
      <c r="K512" t="s">
        <v>1565</v>
      </c>
      <c r="L512">
        <v>1391</v>
      </c>
      <c r="N512">
        <v>1013</v>
      </c>
      <c r="O512" t="s">
        <v>1062</v>
      </c>
      <c r="P512" t="s">
        <v>1062</v>
      </c>
      <c r="Q512">
        <v>1</v>
      </c>
      <c r="X512">
        <v>100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 t="s">
        <v>3</v>
      </c>
      <c r="AG512">
        <v>100</v>
      </c>
      <c r="AH512">
        <v>3</v>
      </c>
      <c r="AI512">
        <v>-1</v>
      </c>
      <c r="AJ512" t="s">
        <v>3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</row>
    <row r="513" spans="1:44" x14ac:dyDescent="0.2">
      <c r="A513">
        <f>ROW(Source!A1023)</f>
        <v>1023</v>
      </c>
      <c r="B513">
        <v>43137748</v>
      </c>
      <c r="C513">
        <v>43137739</v>
      </c>
      <c r="D513">
        <v>35973053</v>
      </c>
      <c r="E513">
        <v>35973048</v>
      </c>
      <c r="F513">
        <v>1</v>
      </c>
      <c r="G513">
        <v>35973048</v>
      </c>
      <c r="H513">
        <v>1</v>
      </c>
      <c r="I513" t="s">
        <v>1228</v>
      </c>
      <c r="J513" t="s">
        <v>3</v>
      </c>
      <c r="K513" t="s">
        <v>1229</v>
      </c>
      <c r="L513">
        <v>1191</v>
      </c>
      <c r="N513">
        <v>1013</v>
      </c>
      <c r="O513" t="s">
        <v>1230</v>
      </c>
      <c r="P513" t="s">
        <v>1230</v>
      </c>
      <c r="Q513">
        <v>1</v>
      </c>
      <c r="X513">
        <v>15.8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1</v>
      </c>
      <c r="AE513">
        <v>1</v>
      </c>
      <c r="AF513" t="s">
        <v>21</v>
      </c>
      <c r="AG513">
        <v>18.169999999999998</v>
      </c>
      <c r="AH513">
        <v>2</v>
      </c>
      <c r="AI513">
        <v>43137748</v>
      </c>
      <c r="AJ513">
        <v>520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</row>
    <row r="514" spans="1:44" x14ac:dyDescent="0.2">
      <c r="A514">
        <f>ROW(Source!A1025)</f>
        <v>1025</v>
      </c>
      <c r="B514">
        <v>43137752</v>
      </c>
      <c r="C514">
        <v>43137749</v>
      </c>
      <c r="D514">
        <v>35973053</v>
      </c>
      <c r="E514">
        <v>35973048</v>
      </c>
      <c r="F514">
        <v>1</v>
      </c>
      <c r="G514">
        <v>35973048</v>
      </c>
      <c r="H514">
        <v>1</v>
      </c>
      <c r="I514" t="s">
        <v>1228</v>
      </c>
      <c r="J514" t="s">
        <v>3</v>
      </c>
      <c r="K514" t="s">
        <v>1229</v>
      </c>
      <c r="L514">
        <v>1191</v>
      </c>
      <c r="N514">
        <v>1013</v>
      </c>
      <c r="O514" t="s">
        <v>1230</v>
      </c>
      <c r="P514" t="s">
        <v>1230</v>
      </c>
      <c r="Q514">
        <v>1</v>
      </c>
      <c r="X514">
        <v>17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1</v>
      </c>
      <c r="AE514">
        <v>1</v>
      </c>
      <c r="AF514" t="s">
        <v>21</v>
      </c>
      <c r="AG514">
        <v>19.549999999999997</v>
      </c>
      <c r="AH514">
        <v>2</v>
      </c>
      <c r="AI514">
        <v>43137752</v>
      </c>
      <c r="AJ514">
        <v>522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</row>
    <row r="515" spans="1:44" x14ac:dyDescent="0.2">
      <c r="A515">
        <f>ROW(Source!A1025)</f>
        <v>1025</v>
      </c>
      <c r="B515">
        <v>43137753</v>
      </c>
      <c r="C515">
        <v>43137749</v>
      </c>
      <c r="D515">
        <v>36044893</v>
      </c>
      <c r="E515">
        <v>1</v>
      </c>
      <c r="F515">
        <v>1</v>
      </c>
      <c r="G515">
        <v>35973048</v>
      </c>
      <c r="H515">
        <v>2</v>
      </c>
      <c r="I515" t="s">
        <v>1439</v>
      </c>
      <c r="J515" t="s">
        <v>1440</v>
      </c>
      <c r="K515" t="s">
        <v>1441</v>
      </c>
      <c r="L515">
        <v>1367</v>
      </c>
      <c r="N515">
        <v>1011</v>
      </c>
      <c r="O515" t="s">
        <v>738</v>
      </c>
      <c r="P515" t="s">
        <v>738</v>
      </c>
      <c r="Q515">
        <v>1</v>
      </c>
      <c r="X515">
        <v>18.5</v>
      </c>
      <c r="Y515">
        <v>0</v>
      </c>
      <c r="Z515">
        <v>101.39</v>
      </c>
      <c r="AA515">
        <v>22.54</v>
      </c>
      <c r="AB515">
        <v>0</v>
      </c>
      <c r="AC515">
        <v>0</v>
      </c>
      <c r="AD515">
        <v>1</v>
      </c>
      <c r="AE515">
        <v>0</v>
      </c>
      <c r="AF515" t="s">
        <v>20</v>
      </c>
      <c r="AG515">
        <v>23.125</v>
      </c>
      <c r="AH515">
        <v>2</v>
      </c>
      <c r="AI515">
        <v>43137753</v>
      </c>
      <c r="AJ515">
        <v>523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</row>
    <row r="516" spans="1:44" x14ac:dyDescent="0.2">
      <c r="A516">
        <f>ROW(Source!A1026)</f>
        <v>1026</v>
      </c>
      <c r="B516">
        <v>43137756</v>
      </c>
      <c r="C516">
        <v>43137754</v>
      </c>
      <c r="D516">
        <v>35973053</v>
      </c>
      <c r="E516">
        <v>35973048</v>
      </c>
      <c r="F516">
        <v>1</v>
      </c>
      <c r="G516">
        <v>35973048</v>
      </c>
      <c r="H516">
        <v>1</v>
      </c>
      <c r="I516" t="s">
        <v>1228</v>
      </c>
      <c r="J516" t="s">
        <v>3</v>
      </c>
      <c r="K516" t="s">
        <v>1229</v>
      </c>
      <c r="L516">
        <v>1191</v>
      </c>
      <c r="N516">
        <v>1013</v>
      </c>
      <c r="O516" t="s">
        <v>1230</v>
      </c>
      <c r="P516" t="s">
        <v>1230</v>
      </c>
      <c r="Q516">
        <v>1</v>
      </c>
      <c r="X516">
        <v>0.85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1</v>
      </c>
      <c r="AE516">
        <v>1</v>
      </c>
      <c r="AF516" t="s">
        <v>21</v>
      </c>
      <c r="AG516">
        <v>0.97749999999999992</v>
      </c>
      <c r="AH516">
        <v>2</v>
      </c>
      <c r="AI516">
        <v>43137756</v>
      </c>
      <c r="AJ516">
        <v>524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</row>
    <row r="517" spans="1:44" x14ac:dyDescent="0.2">
      <c r="A517">
        <f>ROW(Source!A1026)</f>
        <v>1026</v>
      </c>
      <c r="B517">
        <v>43137757</v>
      </c>
      <c r="C517">
        <v>43137754</v>
      </c>
      <c r="D517">
        <v>36044926</v>
      </c>
      <c r="E517">
        <v>1</v>
      </c>
      <c r="F517">
        <v>1</v>
      </c>
      <c r="G517">
        <v>35973048</v>
      </c>
      <c r="H517">
        <v>2</v>
      </c>
      <c r="I517" t="s">
        <v>1352</v>
      </c>
      <c r="J517" t="s">
        <v>1353</v>
      </c>
      <c r="K517" t="s">
        <v>1354</v>
      </c>
      <c r="L517">
        <v>1367</v>
      </c>
      <c r="N517">
        <v>1011</v>
      </c>
      <c r="O517" t="s">
        <v>738</v>
      </c>
      <c r="P517" t="s">
        <v>738</v>
      </c>
      <c r="Q517">
        <v>1</v>
      </c>
      <c r="X517">
        <v>0.2</v>
      </c>
      <c r="Y517">
        <v>0</v>
      </c>
      <c r="Z517">
        <v>41.62</v>
      </c>
      <c r="AA517">
        <v>13.33</v>
      </c>
      <c r="AB517">
        <v>0</v>
      </c>
      <c r="AC517">
        <v>0</v>
      </c>
      <c r="AD517">
        <v>1</v>
      </c>
      <c r="AE517">
        <v>0</v>
      </c>
      <c r="AF517" t="s">
        <v>20</v>
      </c>
      <c r="AG517">
        <v>0.25</v>
      </c>
      <c r="AH517">
        <v>2</v>
      </c>
      <c r="AI517">
        <v>43137757</v>
      </c>
      <c r="AJ517">
        <v>525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</row>
    <row r="518" spans="1:44" x14ac:dyDescent="0.2">
      <c r="A518">
        <f>ROW(Source!A1026)</f>
        <v>1026</v>
      </c>
      <c r="B518">
        <v>43137758</v>
      </c>
      <c r="C518">
        <v>43137754</v>
      </c>
      <c r="D518">
        <v>36045337</v>
      </c>
      <c r="E518">
        <v>1</v>
      </c>
      <c r="F518">
        <v>1</v>
      </c>
      <c r="G518">
        <v>35973048</v>
      </c>
      <c r="H518">
        <v>2</v>
      </c>
      <c r="I518" t="s">
        <v>1299</v>
      </c>
      <c r="J518" t="s">
        <v>1300</v>
      </c>
      <c r="K518" t="s">
        <v>1301</v>
      </c>
      <c r="L518">
        <v>1367</v>
      </c>
      <c r="N518">
        <v>1011</v>
      </c>
      <c r="O518" t="s">
        <v>738</v>
      </c>
      <c r="P518" t="s">
        <v>738</v>
      </c>
      <c r="Q518">
        <v>1</v>
      </c>
      <c r="X518">
        <v>0.4</v>
      </c>
      <c r="Y518">
        <v>0</v>
      </c>
      <c r="Z518">
        <v>0.56000000000000005</v>
      </c>
      <c r="AA518">
        <v>0.09</v>
      </c>
      <c r="AB518">
        <v>0</v>
      </c>
      <c r="AC518">
        <v>0</v>
      </c>
      <c r="AD518">
        <v>1</v>
      </c>
      <c r="AE518">
        <v>0</v>
      </c>
      <c r="AF518" t="s">
        <v>20</v>
      </c>
      <c r="AG518">
        <v>0.5</v>
      </c>
      <c r="AH518">
        <v>2</v>
      </c>
      <c r="AI518">
        <v>43137758</v>
      </c>
      <c r="AJ518">
        <v>526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</row>
    <row r="519" spans="1:44" x14ac:dyDescent="0.2">
      <c r="A519">
        <f>ROW(Source!A1026)</f>
        <v>1026</v>
      </c>
      <c r="B519">
        <v>43137759</v>
      </c>
      <c r="C519">
        <v>43137754</v>
      </c>
      <c r="D519">
        <v>36044644</v>
      </c>
      <c r="E519">
        <v>1</v>
      </c>
      <c r="F519">
        <v>1</v>
      </c>
      <c r="G519">
        <v>35973048</v>
      </c>
      <c r="H519">
        <v>2</v>
      </c>
      <c r="I519" t="s">
        <v>1418</v>
      </c>
      <c r="J519" t="s">
        <v>1419</v>
      </c>
      <c r="K519" t="s">
        <v>1420</v>
      </c>
      <c r="L519">
        <v>1367</v>
      </c>
      <c r="N519">
        <v>1011</v>
      </c>
      <c r="O519" t="s">
        <v>738</v>
      </c>
      <c r="P519" t="s">
        <v>738</v>
      </c>
      <c r="Q519">
        <v>1</v>
      </c>
      <c r="X519">
        <v>7.0000000000000007E-2</v>
      </c>
      <c r="Y519">
        <v>0</v>
      </c>
      <c r="Z519">
        <v>106.74</v>
      </c>
      <c r="AA519">
        <v>19.2</v>
      </c>
      <c r="AB519">
        <v>0</v>
      </c>
      <c r="AC519">
        <v>0</v>
      </c>
      <c r="AD519">
        <v>1</v>
      </c>
      <c r="AE519">
        <v>0</v>
      </c>
      <c r="AF519" t="s">
        <v>20</v>
      </c>
      <c r="AG519">
        <v>8.7500000000000008E-2</v>
      </c>
      <c r="AH519">
        <v>2</v>
      </c>
      <c r="AI519">
        <v>43137759</v>
      </c>
      <c r="AJ519">
        <v>527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</row>
    <row r="520" spans="1:44" x14ac:dyDescent="0.2">
      <c r="A520">
        <f>ROW(Source!A1026)</f>
        <v>1026</v>
      </c>
      <c r="B520">
        <v>43137760</v>
      </c>
      <c r="C520">
        <v>43137754</v>
      </c>
      <c r="D520">
        <v>36020415</v>
      </c>
      <c r="E520">
        <v>1</v>
      </c>
      <c r="F520">
        <v>1</v>
      </c>
      <c r="G520">
        <v>35973048</v>
      </c>
      <c r="H520">
        <v>3</v>
      </c>
      <c r="I520" t="s">
        <v>469</v>
      </c>
      <c r="J520" t="s">
        <v>471</v>
      </c>
      <c r="K520" t="s">
        <v>470</v>
      </c>
      <c r="L520">
        <v>1339</v>
      </c>
      <c r="N520">
        <v>1007</v>
      </c>
      <c r="O520" t="s">
        <v>84</v>
      </c>
      <c r="P520" t="s">
        <v>84</v>
      </c>
      <c r="Q520">
        <v>1</v>
      </c>
      <c r="X520">
        <v>0.15</v>
      </c>
      <c r="Y520">
        <v>7.07</v>
      </c>
      <c r="Z520">
        <v>0</v>
      </c>
      <c r="AA520">
        <v>0</v>
      </c>
      <c r="AB520">
        <v>0</v>
      </c>
      <c r="AC520">
        <v>0</v>
      </c>
      <c r="AD520">
        <v>1</v>
      </c>
      <c r="AE520">
        <v>0</v>
      </c>
      <c r="AF520" t="s">
        <v>3</v>
      </c>
      <c r="AG520">
        <v>0.15</v>
      </c>
      <c r="AH520">
        <v>2</v>
      </c>
      <c r="AI520">
        <v>43137760</v>
      </c>
      <c r="AJ520">
        <v>528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</row>
    <row r="521" spans="1:44" x14ac:dyDescent="0.2">
      <c r="A521">
        <f>ROW(Source!A1026)</f>
        <v>1026</v>
      </c>
      <c r="B521">
        <v>43137761</v>
      </c>
      <c r="C521">
        <v>43137754</v>
      </c>
      <c r="D521">
        <v>35989494</v>
      </c>
      <c r="E521">
        <v>35973048</v>
      </c>
      <c r="F521">
        <v>1</v>
      </c>
      <c r="G521">
        <v>35973048</v>
      </c>
      <c r="H521">
        <v>3</v>
      </c>
      <c r="I521" t="s">
        <v>1505</v>
      </c>
      <c r="J521" t="s">
        <v>3</v>
      </c>
      <c r="K521" t="s">
        <v>1552</v>
      </c>
      <c r="L521">
        <v>1339</v>
      </c>
      <c r="N521">
        <v>1007</v>
      </c>
      <c r="O521" t="s">
        <v>84</v>
      </c>
      <c r="P521" t="s">
        <v>84</v>
      </c>
      <c r="Q521">
        <v>1</v>
      </c>
      <c r="X521">
        <v>1.1499999999999999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 t="s">
        <v>3</v>
      </c>
      <c r="AG521">
        <v>1.1499999999999999</v>
      </c>
      <c r="AH521">
        <v>3</v>
      </c>
      <c r="AI521">
        <v>-1</v>
      </c>
      <c r="AJ521" t="s">
        <v>3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</row>
    <row r="522" spans="1:44" x14ac:dyDescent="0.2">
      <c r="A522">
        <f>ROW(Source!A1028)</f>
        <v>1028</v>
      </c>
      <c r="B522">
        <v>43137765</v>
      </c>
      <c r="C522">
        <v>43137755</v>
      </c>
      <c r="D522">
        <v>35973053</v>
      </c>
      <c r="E522">
        <v>35973048</v>
      </c>
      <c r="F522">
        <v>1</v>
      </c>
      <c r="G522">
        <v>35973048</v>
      </c>
      <c r="H522">
        <v>1</v>
      </c>
      <c r="I522" t="s">
        <v>1228</v>
      </c>
      <c r="J522" t="s">
        <v>3</v>
      </c>
      <c r="K522" t="s">
        <v>1229</v>
      </c>
      <c r="L522">
        <v>1191</v>
      </c>
      <c r="N522">
        <v>1013</v>
      </c>
      <c r="O522" t="s">
        <v>1230</v>
      </c>
      <c r="P522" t="s">
        <v>1230</v>
      </c>
      <c r="Q522">
        <v>1</v>
      </c>
      <c r="X522">
        <v>20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1</v>
      </c>
      <c r="AE522">
        <v>1</v>
      </c>
      <c r="AF522" t="s">
        <v>21</v>
      </c>
      <c r="AG522">
        <v>23</v>
      </c>
      <c r="AH522">
        <v>2</v>
      </c>
      <c r="AI522">
        <v>43137765</v>
      </c>
      <c r="AJ522">
        <v>530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</row>
    <row r="523" spans="1:44" x14ac:dyDescent="0.2">
      <c r="A523">
        <f>ROW(Source!A1028)</f>
        <v>1028</v>
      </c>
      <c r="B523">
        <v>43137766</v>
      </c>
      <c r="C523">
        <v>43137755</v>
      </c>
      <c r="D523">
        <v>36045308</v>
      </c>
      <c r="E523">
        <v>1</v>
      </c>
      <c r="F523">
        <v>1</v>
      </c>
      <c r="G523">
        <v>35973048</v>
      </c>
      <c r="H523">
        <v>2</v>
      </c>
      <c r="I523" t="s">
        <v>1231</v>
      </c>
      <c r="J523" t="s">
        <v>1232</v>
      </c>
      <c r="K523" t="s">
        <v>1233</v>
      </c>
      <c r="L523">
        <v>1367</v>
      </c>
      <c r="N523">
        <v>1011</v>
      </c>
      <c r="O523" t="s">
        <v>738</v>
      </c>
      <c r="P523" t="s">
        <v>738</v>
      </c>
      <c r="Q523">
        <v>1</v>
      </c>
      <c r="X523">
        <v>0.19</v>
      </c>
      <c r="Y523">
        <v>0</v>
      </c>
      <c r="Z523">
        <v>76.81</v>
      </c>
      <c r="AA523">
        <v>14.36</v>
      </c>
      <c r="AB523">
        <v>0</v>
      </c>
      <c r="AC523">
        <v>0</v>
      </c>
      <c r="AD523">
        <v>1</v>
      </c>
      <c r="AE523">
        <v>0</v>
      </c>
      <c r="AF523" t="s">
        <v>20</v>
      </c>
      <c r="AG523">
        <v>0.23749999999999999</v>
      </c>
      <c r="AH523">
        <v>2</v>
      </c>
      <c r="AI523">
        <v>43137766</v>
      </c>
      <c r="AJ523">
        <v>531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</row>
    <row r="524" spans="1:44" x14ac:dyDescent="0.2">
      <c r="A524">
        <f>ROW(Source!A1028)</f>
        <v>1028</v>
      </c>
      <c r="B524">
        <v>43137767</v>
      </c>
      <c r="C524">
        <v>43137755</v>
      </c>
      <c r="D524">
        <v>36044555</v>
      </c>
      <c r="E524">
        <v>1</v>
      </c>
      <c r="F524">
        <v>1</v>
      </c>
      <c r="G524">
        <v>35973048</v>
      </c>
      <c r="H524">
        <v>2</v>
      </c>
      <c r="I524" t="s">
        <v>1267</v>
      </c>
      <c r="J524" t="s">
        <v>1268</v>
      </c>
      <c r="K524" t="s">
        <v>1269</v>
      </c>
      <c r="L524">
        <v>1367</v>
      </c>
      <c r="N524">
        <v>1011</v>
      </c>
      <c r="O524" t="s">
        <v>738</v>
      </c>
      <c r="P524" t="s">
        <v>738</v>
      </c>
      <c r="Q524">
        <v>1</v>
      </c>
      <c r="X524">
        <v>0.14000000000000001</v>
      </c>
      <c r="Y524">
        <v>0</v>
      </c>
      <c r="Z524">
        <v>190.93</v>
      </c>
      <c r="AA524">
        <v>18.149999999999999</v>
      </c>
      <c r="AB524">
        <v>0</v>
      </c>
      <c r="AC524">
        <v>0</v>
      </c>
      <c r="AD524">
        <v>1</v>
      </c>
      <c r="AE524">
        <v>0</v>
      </c>
      <c r="AF524" t="s">
        <v>20</v>
      </c>
      <c r="AG524">
        <v>0.17500000000000002</v>
      </c>
      <c r="AH524">
        <v>2</v>
      </c>
      <c r="AI524">
        <v>43137767</v>
      </c>
      <c r="AJ524">
        <v>532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</row>
    <row r="525" spans="1:44" x14ac:dyDescent="0.2">
      <c r="A525">
        <f>ROW(Source!A1028)</f>
        <v>1028</v>
      </c>
      <c r="B525">
        <v>43137768</v>
      </c>
      <c r="C525">
        <v>43137755</v>
      </c>
      <c r="D525">
        <v>35990540</v>
      </c>
      <c r="E525">
        <v>35973048</v>
      </c>
      <c r="F525">
        <v>1</v>
      </c>
      <c r="G525">
        <v>35973048</v>
      </c>
      <c r="H525">
        <v>3</v>
      </c>
      <c r="I525" t="s">
        <v>1560</v>
      </c>
      <c r="J525" t="s">
        <v>3</v>
      </c>
      <c r="K525" t="s">
        <v>1561</v>
      </c>
      <c r="L525">
        <v>1348</v>
      </c>
      <c r="N525">
        <v>1009</v>
      </c>
      <c r="O525" t="s">
        <v>104</v>
      </c>
      <c r="P525" t="s">
        <v>104</v>
      </c>
      <c r="Q525">
        <v>1000</v>
      </c>
      <c r="X525">
        <v>1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 t="s">
        <v>3</v>
      </c>
      <c r="AG525">
        <v>1</v>
      </c>
      <c r="AH525">
        <v>3</v>
      </c>
      <c r="AI525">
        <v>-1</v>
      </c>
      <c r="AJ525" t="s">
        <v>3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</row>
    <row r="526" spans="1:44" x14ac:dyDescent="0.2">
      <c r="A526">
        <f>ROW(Source!A1030)</f>
        <v>1030</v>
      </c>
      <c r="B526">
        <v>43137775</v>
      </c>
      <c r="C526">
        <v>43137773</v>
      </c>
      <c r="D526">
        <v>35973053</v>
      </c>
      <c r="E526">
        <v>35973048</v>
      </c>
      <c r="F526">
        <v>1</v>
      </c>
      <c r="G526">
        <v>35973048</v>
      </c>
      <c r="H526">
        <v>1</v>
      </c>
      <c r="I526" t="s">
        <v>1228</v>
      </c>
      <c r="J526" t="s">
        <v>3</v>
      </c>
      <c r="K526" t="s">
        <v>1229</v>
      </c>
      <c r="L526">
        <v>1191</v>
      </c>
      <c r="N526">
        <v>1013</v>
      </c>
      <c r="O526" t="s">
        <v>1230</v>
      </c>
      <c r="P526" t="s">
        <v>1230</v>
      </c>
      <c r="Q526">
        <v>1</v>
      </c>
      <c r="X526">
        <v>1.48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1</v>
      </c>
      <c r="AE526">
        <v>1</v>
      </c>
      <c r="AF526" t="s">
        <v>21</v>
      </c>
      <c r="AG526">
        <v>1.702</v>
      </c>
      <c r="AH526">
        <v>2</v>
      </c>
      <c r="AI526">
        <v>43137775</v>
      </c>
      <c r="AJ526">
        <v>534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</row>
    <row r="527" spans="1:44" x14ac:dyDescent="0.2">
      <c r="A527">
        <f>ROW(Source!A1030)</f>
        <v>1030</v>
      </c>
      <c r="B527">
        <v>43137776</v>
      </c>
      <c r="C527">
        <v>43137773</v>
      </c>
      <c r="D527">
        <v>36045313</v>
      </c>
      <c r="E527">
        <v>1</v>
      </c>
      <c r="F527">
        <v>1</v>
      </c>
      <c r="G527">
        <v>35973048</v>
      </c>
      <c r="H527">
        <v>2</v>
      </c>
      <c r="I527" t="s">
        <v>1442</v>
      </c>
      <c r="J527" t="s">
        <v>1443</v>
      </c>
      <c r="K527" t="s">
        <v>1444</v>
      </c>
      <c r="L527">
        <v>1367</v>
      </c>
      <c r="N527">
        <v>1011</v>
      </c>
      <c r="O527" t="s">
        <v>738</v>
      </c>
      <c r="P527" t="s">
        <v>738</v>
      </c>
      <c r="Q527">
        <v>1</v>
      </c>
      <c r="X527">
        <v>0.23</v>
      </c>
      <c r="Y527">
        <v>0</v>
      </c>
      <c r="Z527">
        <v>113.73</v>
      </c>
      <c r="AA527">
        <v>15.23</v>
      </c>
      <c r="AB527">
        <v>0</v>
      </c>
      <c r="AC527">
        <v>0</v>
      </c>
      <c r="AD527">
        <v>1</v>
      </c>
      <c r="AE527">
        <v>0</v>
      </c>
      <c r="AF527" t="s">
        <v>20</v>
      </c>
      <c r="AG527">
        <v>0.28750000000000003</v>
      </c>
      <c r="AH527">
        <v>2</v>
      </c>
      <c r="AI527">
        <v>43137776</v>
      </c>
      <c r="AJ527">
        <v>535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</row>
    <row r="528" spans="1:44" x14ac:dyDescent="0.2">
      <c r="A528">
        <f>ROW(Source!A1030)</f>
        <v>1030</v>
      </c>
      <c r="B528">
        <v>43137777</v>
      </c>
      <c r="C528">
        <v>43137773</v>
      </c>
      <c r="D528">
        <v>36044839</v>
      </c>
      <c r="E528">
        <v>1</v>
      </c>
      <c r="F528">
        <v>1</v>
      </c>
      <c r="G528">
        <v>35973048</v>
      </c>
      <c r="H528">
        <v>2</v>
      </c>
      <c r="I528" t="s">
        <v>1273</v>
      </c>
      <c r="J528" t="s">
        <v>1274</v>
      </c>
      <c r="K528" t="s">
        <v>1275</v>
      </c>
      <c r="L528">
        <v>1367</v>
      </c>
      <c r="N528">
        <v>1011</v>
      </c>
      <c r="O528" t="s">
        <v>738</v>
      </c>
      <c r="P528" t="s">
        <v>738</v>
      </c>
      <c r="Q528">
        <v>1</v>
      </c>
      <c r="X528">
        <v>0.21</v>
      </c>
      <c r="Y528">
        <v>0</v>
      </c>
      <c r="Z528">
        <v>2.06</v>
      </c>
      <c r="AA528">
        <v>0.09</v>
      </c>
      <c r="AB528">
        <v>0</v>
      </c>
      <c r="AC528">
        <v>0</v>
      </c>
      <c r="AD528">
        <v>1</v>
      </c>
      <c r="AE528">
        <v>0</v>
      </c>
      <c r="AF528" t="s">
        <v>20</v>
      </c>
      <c r="AG528">
        <v>0.26250000000000001</v>
      </c>
      <c r="AH528">
        <v>2</v>
      </c>
      <c r="AI528">
        <v>43137777</v>
      </c>
      <c r="AJ528">
        <v>536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</row>
    <row r="529" spans="1:44" x14ac:dyDescent="0.2">
      <c r="A529">
        <f>ROW(Source!A1030)</f>
        <v>1030</v>
      </c>
      <c r="B529">
        <v>43137778</v>
      </c>
      <c r="C529">
        <v>43137773</v>
      </c>
      <c r="D529">
        <v>35986636</v>
      </c>
      <c r="E529">
        <v>35973048</v>
      </c>
      <c r="F529">
        <v>1</v>
      </c>
      <c r="G529">
        <v>35973048</v>
      </c>
      <c r="H529">
        <v>3</v>
      </c>
      <c r="I529" t="s">
        <v>1469</v>
      </c>
      <c r="J529" t="s">
        <v>3</v>
      </c>
      <c r="K529" t="s">
        <v>1470</v>
      </c>
      <c r="L529">
        <v>1339</v>
      </c>
      <c r="N529">
        <v>1007</v>
      </c>
      <c r="O529" t="s">
        <v>84</v>
      </c>
      <c r="P529" t="s">
        <v>84</v>
      </c>
      <c r="Q529">
        <v>1</v>
      </c>
      <c r="X529">
        <v>1.02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 t="s">
        <v>3</v>
      </c>
      <c r="AG529">
        <v>1.02</v>
      </c>
      <c r="AH529">
        <v>3</v>
      </c>
      <c r="AI529">
        <v>-1</v>
      </c>
      <c r="AJ529" t="s">
        <v>3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</row>
    <row r="530" spans="1:44" x14ac:dyDescent="0.2">
      <c r="A530">
        <f>ROW(Source!A1032)</f>
        <v>1032</v>
      </c>
      <c r="B530">
        <v>43137782</v>
      </c>
      <c r="C530">
        <v>43137774</v>
      </c>
      <c r="D530">
        <v>35973053</v>
      </c>
      <c r="E530">
        <v>35973048</v>
      </c>
      <c r="F530">
        <v>1</v>
      </c>
      <c r="G530">
        <v>35973048</v>
      </c>
      <c r="H530">
        <v>1</v>
      </c>
      <c r="I530" t="s">
        <v>1228</v>
      </c>
      <c r="J530" t="s">
        <v>3</v>
      </c>
      <c r="K530" t="s">
        <v>1229</v>
      </c>
      <c r="L530">
        <v>1191</v>
      </c>
      <c r="N530">
        <v>1013</v>
      </c>
      <c r="O530" t="s">
        <v>1230</v>
      </c>
      <c r="P530" t="s">
        <v>1230</v>
      </c>
      <c r="Q530">
        <v>1</v>
      </c>
      <c r="X530">
        <v>6.67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1</v>
      </c>
      <c r="AE530">
        <v>1</v>
      </c>
      <c r="AF530" t="s">
        <v>1164</v>
      </c>
      <c r="AG530">
        <v>4.0019999999999998</v>
      </c>
      <c r="AH530">
        <v>2</v>
      </c>
      <c r="AI530">
        <v>43137782</v>
      </c>
      <c r="AJ530">
        <v>538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</row>
    <row r="531" spans="1:44" x14ac:dyDescent="0.2">
      <c r="A531">
        <f>ROW(Source!A1032)</f>
        <v>1032</v>
      </c>
      <c r="B531">
        <v>43137783</v>
      </c>
      <c r="C531">
        <v>43137774</v>
      </c>
      <c r="D531">
        <v>36045318</v>
      </c>
      <c r="E531">
        <v>1</v>
      </c>
      <c r="F531">
        <v>1</v>
      </c>
      <c r="G531">
        <v>35973048</v>
      </c>
      <c r="H531">
        <v>2</v>
      </c>
      <c r="I531" t="s">
        <v>1445</v>
      </c>
      <c r="J531" t="s">
        <v>1446</v>
      </c>
      <c r="K531" t="s">
        <v>1447</v>
      </c>
      <c r="L531">
        <v>1367</v>
      </c>
      <c r="N531">
        <v>1011</v>
      </c>
      <c r="O531" t="s">
        <v>738</v>
      </c>
      <c r="P531" t="s">
        <v>738</v>
      </c>
      <c r="Q531">
        <v>1</v>
      </c>
      <c r="X531">
        <v>0.04</v>
      </c>
      <c r="Y531">
        <v>0</v>
      </c>
      <c r="Z531">
        <v>93.04</v>
      </c>
      <c r="AA531">
        <v>17.55</v>
      </c>
      <c r="AB531">
        <v>0</v>
      </c>
      <c r="AC531">
        <v>0</v>
      </c>
      <c r="AD531">
        <v>1</v>
      </c>
      <c r="AE531">
        <v>0</v>
      </c>
      <c r="AF531" t="s">
        <v>1164</v>
      </c>
      <c r="AG531">
        <v>2.4E-2</v>
      </c>
      <c r="AH531">
        <v>2</v>
      </c>
      <c r="AI531">
        <v>43137783</v>
      </c>
      <c r="AJ531">
        <v>539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</row>
    <row r="532" spans="1:44" x14ac:dyDescent="0.2">
      <c r="A532">
        <f>ROW(Source!A1032)</f>
        <v>1032</v>
      </c>
      <c r="B532">
        <v>43137784</v>
      </c>
      <c r="C532">
        <v>43137774</v>
      </c>
      <c r="D532">
        <v>36045304</v>
      </c>
      <c r="E532">
        <v>1</v>
      </c>
      <c r="F532">
        <v>1</v>
      </c>
      <c r="G532">
        <v>35973048</v>
      </c>
      <c r="H532">
        <v>2</v>
      </c>
      <c r="I532" t="s">
        <v>1448</v>
      </c>
      <c r="J532" t="s">
        <v>1449</v>
      </c>
      <c r="K532" t="s">
        <v>1450</v>
      </c>
      <c r="L532">
        <v>1367</v>
      </c>
      <c r="N532">
        <v>1011</v>
      </c>
      <c r="O532" t="s">
        <v>738</v>
      </c>
      <c r="P532" t="s">
        <v>738</v>
      </c>
      <c r="Q532">
        <v>1</v>
      </c>
      <c r="X532">
        <v>0.05</v>
      </c>
      <c r="Y532">
        <v>0</v>
      </c>
      <c r="Z532">
        <v>10.76</v>
      </c>
      <c r="AA532">
        <v>0.84</v>
      </c>
      <c r="AB532">
        <v>0</v>
      </c>
      <c r="AC532">
        <v>0</v>
      </c>
      <c r="AD532">
        <v>1</v>
      </c>
      <c r="AE532">
        <v>0</v>
      </c>
      <c r="AF532" t="s">
        <v>1164</v>
      </c>
      <c r="AG532">
        <v>0.03</v>
      </c>
      <c r="AH532">
        <v>2</v>
      </c>
      <c r="AI532">
        <v>43137784</v>
      </c>
      <c r="AJ532">
        <v>540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</row>
    <row r="533" spans="1:44" x14ac:dyDescent="0.2">
      <c r="A533">
        <f>ROW(Source!A1032)</f>
        <v>1032</v>
      </c>
      <c r="B533">
        <v>43137785</v>
      </c>
      <c r="C533">
        <v>43137774</v>
      </c>
      <c r="D533">
        <v>36044555</v>
      </c>
      <c r="E533">
        <v>1</v>
      </c>
      <c r="F533">
        <v>1</v>
      </c>
      <c r="G533">
        <v>35973048</v>
      </c>
      <c r="H533">
        <v>2</v>
      </c>
      <c r="I533" t="s">
        <v>1267</v>
      </c>
      <c r="J533" t="s">
        <v>1268</v>
      </c>
      <c r="K533" t="s">
        <v>1269</v>
      </c>
      <c r="L533">
        <v>1367</v>
      </c>
      <c r="N533">
        <v>1011</v>
      </c>
      <c r="O533" t="s">
        <v>738</v>
      </c>
      <c r="P533" t="s">
        <v>738</v>
      </c>
      <c r="Q533">
        <v>1</v>
      </c>
      <c r="X533">
        <v>0.14000000000000001</v>
      </c>
      <c r="Y533">
        <v>0</v>
      </c>
      <c r="Z533">
        <v>190.93</v>
      </c>
      <c r="AA533">
        <v>18.149999999999999</v>
      </c>
      <c r="AB533">
        <v>0</v>
      </c>
      <c r="AC533">
        <v>0</v>
      </c>
      <c r="AD533">
        <v>1</v>
      </c>
      <c r="AE533">
        <v>0</v>
      </c>
      <c r="AF533" t="s">
        <v>1164</v>
      </c>
      <c r="AG533">
        <v>8.4000000000000005E-2</v>
      </c>
      <c r="AH533">
        <v>2</v>
      </c>
      <c r="AI533">
        <v>43137785</v>
      </c>
      <c r="AJ533">
        <v>541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</row>
    <row r="534" spans="1:44" x14ac:dyDescent="0.2">
      <c r="A534">
        <f>ROW(Source!A1032)</f>
        <v>1032</v>
      </c>
      <c r="B534">
        <v>43137786</v>
      </c>
      <c r="C534">
        <v>43137774</v>
      </c>
      <c r="D534">
        <v>35986425</v>
      </c>
      <c r="E534">
        <v>35973048</v>
      </c>
      <c r="F534">
        <v>1</v>
      </c>
      <c r="G534">
        <v>35973048</v>
      </c>
      <c r="H534">
        <v>3</v>
      </c>
      <c r="I534" t="s">
        <v>1566</v>
      </c>
      <c r="J534" t="s">
        <v>3</v>
      </c>
      <c r="K534" t="s">
        <v>1567</v>
      </c>
      <c r="L534">
        <v>1057</v>
      </c>
      <c r="N534">
        <v>1013</v>
      </c>
      <c r="O534" t="s">
        <v>1568</v>
      </c>
      <c r="P534" t="s">
        <v>1568</v>
      </c>
      <c r="Q534">
        <v>1</v>
      </c>
      <c r="X534">
        <v>1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 t="s">
        <v>1164</v>
      </c>
      <c r="AG534">
        <v>0.6</v>
      </c>
      <c r="AH534">
        <v>3</v>
      </c>
      <c r="AI534">
        <v>-1</v>
      </c>
      <c r="AJ534" t="s">
        <v>3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</row>
    <row r="535" spans="1:44" x14ac:dyDescent="0.2">
      <c r="A535">
        <f>ROW(Source!A1033)</f>
        <v>1033</v>
      </c>
      <c r="B535">
        <v>43137793</v>
      </c>
      <c r="C535">
        <v>43137789</v>
      </c>
      <c r="D535">
        <v>35973053</v>
      </c>
      <c r="E535">
        <v>35973048</v>
      </c>
      <c r="F535">
        <v>1</v>
      </c>
      <c r="G535">
        <v>35973048</v>
      </c>
      <c r="H535">
        <v>1</v>
      </c>
      <c r="I535" t="s">
        <v>1228</v>
      </c>
      <c r="J535" t="s">
        <v>3</v>
      </c>
      <c r="K535" t="s">
        <v>1229</v>
      </c>
      <c r="L535">
        <v>1191</v>
      </c>
      <c r="N535">
        <v>1013</v>
      </c>
      <c r="O535" t="s">
        <v>1230</v>
      </c>
      <c r="P535" t="s">
        <v>1230</v>
      </c>
      <c r="Q535">
        <v>1</v>
      </c>
      <c r="X535">
        <v>6.67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1</v>
      </c>
      <c r="AE535">
        <v>1</v>
      </c>
      <c r="AF535" t="s">
        <v>21</v>
      </c>
      <c r="AG535">
        <v>7.6704999999999997</v>
      </c>
      <c r="AH535">
        <v>2</v>
      </c>
      <c r="AI535">
        <v>43137793</v>
      </c>
      <c r="AJ535">
        <v>542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</row>
    <row r="536" spans="1:44" x14ac:dyDescent="0.2">
      <c r="A536">
        <f>ROW(Source!A1033)</f>
        <v>1033</v>
      </c>
      <c r="B536">
        <v>43137794</v>
      </c>
      <c r="C536">
        <v>43137789</v>
      </c>
      <c r="D536">
        <v>36045318</v>
      </c>
      <c r="E536">
        <v>1</v>
      </c>
      <c r="F536">
        <v>1</v>
      </c>
      <c r="G536">
        <v>35973048</v>
      </c>
      <c r="H536">
        <v>2</v>
      </c>
      <c r="I536" t="s">
        <v>1445</v>
      </c>
      <c r="J536" t="s">
        <v>1446</v>
      </c>
      <c r="K536" t="s">
        <v>1447</v>
      </c>
      <c r="L536">
        <v>1367</v>
      </c>
      <c r="N536">
        <v>1011</v>
      </c>
      <c r="O536" t="s">
        <v>738</v>
      </c>
      <c r="P536" t="s">
        <v>738</v>
      </c>
      <c r="Q536">
        <v>1</v>
      </c>
      <c r="X536">
        <v>0.04</v>
      </c>
      <c r="Y536">
        <v>0</v>
      </c>
      <c r="Z536">
        <v>93.04</v>
      </c>
      <c r="AA536">
        <v>17.55</v>
      </c>
      <c r="AB536">
        <v>0</v>
      </c>
      <c r="AC536">
        <v>0</v>
      </c>
      <c r="AD536">
        <v>1</v>
      </c>
      <c r="AE536">
        <v>0</v>
      </c>
      <c r="AF536" t="s">
        <v>20</v>
      </c>
      <c r="AG536">
        <v>0.05</v>
      </c>
      <c r="AH536">
        <v>2</v>
      </c>
      <c r="AI536">
        <v>43137794</v>
      </c>
      <c r="AJ536">
        <v>543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</row>
    <row r="537" spans="1:44" x14ac:dyDescent="0.2">
      <c r="A537">
        <f>ROW(Source!A1033)</f>
        <v>1033</v>
      </c>
      <c r="B537">
        <v>43137795</v>
      </c>
      <c r="C537">
        <v>43137789</v>
      </c>
      <c r="D537">
        <v>36045304</v>
      </c>
      <c r="E537">
        <v>1</v>
      </c>
      <c r="F537">
        <v>1</v>
      </c>
      <c r="G537">
        <v>35973048</v>
      </c>
      <c r="H537">
        <v>2</v>
      </c>
      <c r="I537" t="s">
        <v>1448</v>
      </c>
      <c r="J537" t="s">
        <v>1449</v>
      </c>
      <c r="K537" t="s">
        <v>1450</v>
      </c>
      <c r="L537">
        <v>1367</v>
      </c>
      <c r="N537">
        <v>1011</v>
      </c>
      <c r="O537" t="s">
        <v>738</v>
      </c>
      <c r="P537" t="s">
        <v>738</v>
      </c>
      <c r="Q537">
        <v>1</v>
      </c>
      <c r="X537">
        <v>0.05</v>
      </c>
      <c r="Y537">
        <v>0</v>
      </c>
      <c r="Z537">
        <v>10.76</v>
      </c>
      <c r="AA537">
        <v>0.84</v>
      </c>
      <c r="AB537">
        <v>0</v>
      </c>
      <c r="AC537">
        <v>0</v>
      </c>
      <c r="AD537">
        <v>1</v>
      </c>
      <c r="AE537">
        <v>0</v>
      </c>
      <c r="AF537" t="s">
        <v>20</v>
      </c>
      <c r="AG537">
        <v>6.25E-2</v>
      </c>
      <c r="AH537">
        <v>2</v>
      </c>
      <c r="AI537">
        <v>43137795</v>
      </c>
      <c r="AJ537">
        <v>544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</row>
    <row r="538" spans="1:44" x14ac:dyDescent="0.2">
      <c r="A538">
        <f>ROW(Source!A1033)</f>
        <v>1033</v>
      </c>
      <c r="B538">
        <v>43137796</v>
      </c>
      <c r="C538">
        <v>43137789</v>
      </c>
      <c r="D538">
        <v>36044555</v>
      </c>
      <c r="E538">
        <v>1</v>
      </c>
      <c r="F538">
        <v>1</v>
      </c>
      <c r="G538">
        <v>35973048</v>
      </c>
      <c r="H538">
        <v>2</v>
      </c>
      <c r="I538" t="s">
        <v>1267</v>
      </c>
      <c r="J538" t="s">
        <v>1268</v>
      </c>
      <c r="K538" t="s">
        <v>1269</v>
      </c>
      <c r="L538">
        <v>1367</v>
      </c>
      <c r="N538">
        <v>1011</v>
      </c>
      <c r="O538" t="s">
        <v>738</v>
      </c>
      <c r="P538" t="s">
        <v>738</v>
      </c>
      <c r="Q538">
        <v>1</v>
      </c>
      <c r="X538">
        <v>0.14000000000000001</v>
      </c>
      <c r="Y538">
        <v>0</v>
      </c>
      <c r="Z538">
        <v>190.93</v>
      </c>
      <c r="AA538">
        <v>18.149999999999999</v>
      </c>
      <c r="AB538">
        <v>0</v>
      </c>
      <c r="AC538">
        <v>0</v>
      </c>
      <c r="AD538">
        <v>1</v>
      </c>
      <c r="AE538">
        <v>0</v>
      </c>
      <c r="AF538" t="s">
        <v>20</v>
      </c>
      <c r="AG538">
        <v>0.17500000000000002</v>
      </c>
      <c r="AH538">
        <v>2</v>
      </c>
      <c r="AI538">
        <v>43137796</v>
      </c>
      <c r="AJ538">
        <v>545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</row>
    <row r="539" spans="1:44" x14ac:dyDescent="0.2">
      <c r="A539">
        <f>ROW(Source!A1033)</f>
        <v>1033</v>
      </c>
      <c r="B539">
        <v>43137797</v>
      </c>
      <c r="C539">
        <v>43137789</v>
      </c>
      <c r="D539">
        <v>35986425</v>
      </c>
      <c r="E539">
        <v>35973048</v>
      </c>
      <c r="F539">
        <v>1</v>
      </c>
      <c r="G539">
        <v>35973048</v>
      </c>
      <c r="H539">
        <v>3</v>
      </c>
      <c r="I539" t="s">
        <v>1566</v>
      </c>
      <c r="J539" t="s">
        <v>3</v>
      </c>
      <c r="K539" t="s">
        <v>1567</v>
      </c>
      <c r="L539">
        <v>1057</v>
      </c>
      <c r="N539">
        <v>1013</v>
      </c>
      <c r="O539" t="s">
        <v>1568</v>
      </c>
      <c r="P539" t="s">
        <v>1568</v>
      </c>
      <c r="Q539">
        <v>1</v>
      </c>
      <c r="X539">
        <v>1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 t="s">
        <v>3</v>
      </c>
      <c r="AG539">
        <v>1</v>
      </c>
      <c r="AH539">
        <v>3</v>
      </c>
      <c r="AI539">
        <v>-1</v>
      </c>
      <c r="AJ539" t="s">
        <v>3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</row>
    <row r="540" spans="1:44" x14ac:dyDescent="0.2">
      <c r="A540">
        <f>ROW(Source!A1035)</f>
        <v>1035</v>
      </c>
      <c r="B540">
        <v>43137803</v>
      </c>
      <c r="C540">
        <v>43137790</v>
      </c>
      <c r="D540">
        <v>35973053</v>
      </c>
      <c r="E540">
        <v>35973048</v>
      </c>
      <c r="F540">
        <v>1</v>
      </c>
      <c r="G540">
        <v>35973048</v>
      </c>
      <c r="H540">
        <v>1</v>
      </c>
      <c r="I540" t="s">
        <v>1228</v>
      </c>
      <c r="J540" t="s">
        <v>3</v>
      </c>
      <c r="K540" t="s">
        <v>1229</v>
      </c>
      <c r="L540">
        <v>1191</v>
      </c>
      <c r="N540">
        <v>1013</v>
      </c>
      <c r="O540" t="s">
        <v>1230</v>
      </c>
      <c r="P540" t="s">
        <v>1230</v>
      </c>
      <c r="Q540">
        <v>1</v>
      </c>
      <c r="X540">
        <v>3.92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1</v>
      </c>
      <c r="AE540">
        <v>1</v>
      </c>
      <c r="AF540" t="s">
        <v>21</v>
      </c>
      <c r="AG540">
        <v>4.508</v>
      </c>
      <c r="AH540">
        <v>2</v>
      </c>
      <c r="AI540">
        <v>43137803</v>
      </c>
      <c r="AJ540">
        <v>547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</row>
    <row r="541" spans="1:44" x14ac:dyDescent="0.2">
      <c r="A541">
        <f>ROW(Source!A1037)</f>
        <v>1037</v>
      </c>
      <c r="B541">
        <v>43137806</v>
      </c>
      <c r="C541">
        <v>43137791</v>
      </c>
      <c r="D541">
        <v>35973053</v>
      </c>
      <c r="E541">
        <v>35973048</v>
      </c>
      <c r="F541">
        <v>1</v>
      </c>
      <c r="G541">
        <v>35973048</v>
      </c>
      <c r="H541">
        <v>1</v>
      </c>
      <c r="I541" t="s">
        <v>1228</v>
      </c>
      <c r="J541" t="s">
        <v>3</v>
      </c>
      <c r="K541" t="s">
        <v>1229</v>
      </c>
      <c r="L541">
        <v>1191</v>
      </c>
      <c r="N541">
        <v>1013</v>
      </c>
      <c r="O541" t="s">
        <v>1230</v>
      </c>
      <c r="P541" t="s">
        <v>1230</v>
      </c>
      <c r="Q541">
        <v>1</v>
      </c>
      <c r="X541">
        <v>1.63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1</v>
      </c>
      <c r="AE541">
        <v>1</v>
      </c>
      <c r="AF541" t="s">
        <v>21</v>
      </c>
      <c r="AG541">
        <v>1.8744999999999998</v>
      </c>
      <c r="AH541">
        <v>2</v>
      </c>
      <c r="AI541">
        <v>43137806</v>
      </c>
      <c r="AJ541">
        <v>549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</row>
    <row r="542" spans="1:44" x14ac:dyDescent="0.2">
      <c r="A542">
        <f>ROW(Source!A1037)</f>
        <v>1037</v>
      </c>
      <c r="B542">
        <v>43137807</v>
      </c>
      <c r="C542">
        <v>43137791</v>
      </c>
      <c r="D542">
        <v>36045154</v>
      </c>
      <c r="E542">
        <v>1</v>
      </c>
      <c r="F542">
        <v>1</v>
      </c>
      <c r="G542">
        <v>35973048</v>
      </c>
      <c r="H542">
        <v>2</v>
      </c>
      <c r="I542" t="s">
        <v>1451</v>
      </c>
      <c r="J542" t="s">
        <v>1452</v>
      </c>
      <c r="K542" t="s">
        <v>1453</v>
      </c>
      <c r="L542">
        <v>1367</v>
      </c>
      <c r="N542">
        <v>1011</v>
      </c>
      <c r="O542" t="s">
        <v>738</v>
      </c>
      <c r="P542" t="s">
        <v>738</v>
      </c>
      <c r="Q542">
        <v>1</v>
      </c>
      <c r="X542">
        <v>0.32</v>
      </c>
      <c r="Y542">
        <v>0</v>
      </c>
      <c r="Z542">
        <v>1.0900000000000001</v>
      </c>
      <c r="AA542">
        <v>0.09</v>
      </c>
      <c r="AB542">
        <v>0</v>
      </c>
      <c r="AC542">
        <v>0</v>
      </c>
      <c r="AD542">
        <v>1</v>
      </c>
      <c r="AE542">
        <v>0</v>
      </c>
      <c r="AF542" t="s">
        <v>20</v>
      </c>
      <c r="AG542">
        <v>0.4</v>
      </c>
      <c r="AH542">
        <v>2</v>
      </c>
      <c r="AI542">
        <v>43137807</v>
      </c>
      <c r="AJ542">
        <v>550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</row>
    <row r="543" spans="1:44" x14ac:dyDescent="0.2">
      <c r="A543">
        <f>ROW(Source!A1037)</f>
        <v>1037</v>
      </c>
      <c r="B543">
        <v>43137808</v>
      </c>
      <c r="C543">
        <v>43137791</v>
      </c>
      <c r="D543">
        <v>36045308</v>
      </c>
      <c r="E543">
        <v>1</v>
      </c>
      <c r="F543">
        <v>1</v>
      </c>
      <c r="G543">
        <v>35973048</v>
      </c>
      <c r="H543">
        <v>2</v>
      </c>
      <c r="I543" t="s">
        <v>1231</v>
      </c>
      <c r="J543" t="s">
        <v>1232</v>
      </c>
      <c r="K543" t="s">
        <v>1233</v>
      </c>
      <c r="L543">
        <v>1367</v>
      </c>
      <c r="N543">
        <v>1011</v>
      </c>
      <c r="O543" t="s">
        <v>738</v>
      </c>
      <c r="P543" t="s">
        <v>738</v>
      </c>
      <c r="Q543">
        <v>1</v>
      </c>
      <c r="X543">
        <v>0.01</v>
      </c>
      <c r="Y543">
        <v>0</v>
      </c>
      <c r="Z543">
        <v>76.81</v>
      </c>
      <c r="AA543">
        <v>14.36</v>
      </c>
      <c r="AB543">
        <v>0</v>
      </c>
      <c r="AC543">
        <v>0</v>
      </c>
      <c r="AD543">
        <v>1</v>
      </c>
      <c r="AE543">
        <v>0</v>
      </c>
      <c r="AF543" t="s">
        <v>20</v>
      </c>
      <c r="AG543">
        <v>1.2500000000000001E-2</v>
      </c>
      <c r="AH543">
        <v>2</v>
      </c>
      <c r="AI543">
        <v>43137808</v>
      </c>
      <c r="AJ543">
        <v>551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</row>
    <row r="544" spans="1:44" x14ac:dyDescent="0.2">
      <c r="A544">
        <f>ROW(Source!A1037)</f>
        <v>1037</v>
      </c>
      <c r="B544">
        <v>43137809</v>
      </c>
      <c r="C544">
        <v>43137791</v>
      </c>
      <c r="D544">
        <v>36022649</v>
      </c>
      <c r="E544">
        <v>1</v>
      </c>
      <c r="F544">
        <v>1</v>
      </c>
      <c r="G544">
        <v>35973048</v>
      </c>
      <c r="H544">
        <v>3</v>
      </c>
      <c r="I544" t="s">
        <v>1454</v>
      </c>
      <c r="J544" t="s">
        <v>1455</v>
      </c>
      <c r="K544" t="s">
        <v>1456</v>
      </c>
      <c r="L544">
        <v>1346</v>
      </c>
      <c r="N544">
        <v>1009</v>
      </c>
      <c r="O544" t="s">
        <v>131</v>
      </c>
      <c r="P544" t="s">
        <v>131</v>
      </c>
      <c r="Q544">
        <v>1</v>
      </c>
      <c r="X544">
        <v>1.0098</v>
      </c>
      <c r="Y544">
        <v>6.27</v>
      </c>
      <c r="Z544">
        <v>0</v>
      </c>
      <c r="AA544">
        <v>0</v>
      </c>
      <c r="AB544">
        <v>0</v>
      </c>
      <c r="AC544">
        <v>0</v>
      </c>
      <c r="AD544">
        <v>1</v>
      </c>
      <c r="AE544">
        <v>0</v>
      </c>
      <c r="AF544" t="s">
        <v>3</v>
      </c>
      <c r="AG544">
        <v>1.0098</v>
      </c>
      <c r="AH544">
        <v>2</v>
      </c>
      <c r="AI544">
        <v>43137809</v>
      </c>
      <c r="AJ544">
        <v>552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</row>
    <row r="545" spans="1:44" x14ac:dyDescent="0.2">
      <c r="A545">
        <f>ROW(Source!A1037)</f>
        <v>1037</v>
      </c>
      <c r="B545">
        <v>43137810</v>
      </c>
      <c r="C545">
        <v>43137791</v>
      </c>
      <c r="D545">
        <v>36034110</v>
      </c>
      <c r="E545">
        <v>1</v>
      </c>
      <c r="F545">
        <v>1</v>
      </c>
      <c r="G545">
        <v>35973048</v>
      </c>
      <c r="H545">
        <v>3</v>
      </c>
      <c r="I545" t="s">
        <v>1457</v>
      </c>
      <c r="J545" t="s">
        <v>1458</v>
      </c>
      <c r="K545" t="s">
        <v>1459</v>
      </c>
      <c r="L545">
        <v>1356</v>
      </c>
      <c r="N545">
        <v>1010</v>
      </c>
      <c r="O545" t="s">
        <v>1460</v>
      </c>
      <c r="P545" t="s">
        <v>1460</v>
      </c>
      <c r="Q545">
        <v>1000</v>
      </c>
      <c r="X545">
        <v>2E-3</v>
      </c>
      <c r="Y545">
        <v>226.68</v>
      </c>
      <c r="Z545">
        <v>0</v>
      </c>
      <c r="AA545">
        <v>0</v>
      </c>
      <c r="AB545">
        <v>0</v>
      </c>
      <c r="AC545">
        <v>0</v>
      </c>
      <c r="AD545">
        <v>1</v>
      </c>
      <c r="AE545">
        <v>0</v>
      </c>
      <c r="AF545" t="s">
        <v>3</v>
      </c>
      <c r="AG545">
        <v>2E-3</v>
      </c>
      <c r="AH545">
        <v>2</v>
      </c>
      <c r="AI545">
        <v>43137810</v>
      </c>
      <c r="AJ545">
        <v>553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</row>
    <row r="546" spans="1:44" x14ac:dyDescent="0.2">
      <c r="A546">
        <f>ROW(Source!A1037)</f>
        <v>1037</v>
      </c>
      <c r="B546">
        <v>43137811</v>
      </c>
      <c r="C546">
        <v>43137791</v>
      </c>
      <c r="D546">
        <v>35990338</v>
      </c>
      <c r="E546">
        <v>35973048</v>
      </c>
      <c r="F546">
        <v>1</v>
      </c>
      <c r="G546">
        <v>35973048</v>
      </c>
      <c r="H546">
        <v>3</v>
      </c>
      <c r="I546" t="s">
        <v>1569</v>
      </c>
      <c r="J546" t="s">
        <v>3</v>
      </c>
      <c r="K546" t="s">
        <v>1570</v>
      </c>
      <c r="L546">
        <v>1354</v>
      </c>
      <c r="N546">
        <v>1010</v>
      </c>
      <c r="O546" t="s">
        <v>169</v>
      </c>
      <c r="P546" t="s">
        <v>169</v>
      </c>
      <c r="Q546">
        <v>1</v>
      </c>
      <c r="X546">
        <v>1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 t="s">
        <v>3</v>
      </c>
      <c r="AG546">
        <v>1</v>
      </c>
      <c r="AH546">
        <v>3</v>
      </c>
      <c r="AI546">
        <v>-1</v>
      </c>
      <c r="AJ546" t="s">
        <v>3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</row>
    <row r="547" spans="1:44" x14ac:dyDescent="0.2">
      <c r="A547">
        <f>ROW(Source!A1037)</f>
        <v>1037</v>
      </c>
      <c r="B547">
        <v>43137812</v>
      </c>
      <c r="C547">
        <v>43137791</v>
      </c>
      <c r="D547">
        <v>42674805</v>
      </c>
      <c r="E547">
        <v>35973048</v>
      </c>
      <c r="F547">
        <v>1</v>
      </c>
      <c r="G547">
        <v>35973048</v>
      </c>
      <c r="H547">
        <v>3</v>
      </c>
      <c r="I547" t="s">
        <v>1571</v>
      </c>
      <c r="J547" t="s">
        <v>3</v>
      </c>
      <c r="K547" t="s">
        <v>1572</v>
      </c>
      <c r="L547">
        <v>1371</v>
      </c>
      <c r="N547">
        <v>1013</v>
      </c>
      <c r="O547" t="s">
        <v>1573</v>
      </c>
      <c r="P547" t="s">
        <v>1573</v>
      </c>
      <c r="Q547">
        <v>1</v>
      </c>
      <c r="X547">
        <v>1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 t="s">
        <v>3</v>
      </c>
      <c r="AG547">
        <v>1</v>
      </c>
      <c r="AH547">
        <v>3</v>
      </c>
      <c r="AI547">
        <v>-1</v>
      </c>
      <c r="AJ547" t="s">
        <v>3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</row>
    <row r="548" spans="1:44" x14ac:dyDescent="0.2">
      <c r="A548">
        <f>ROW(Source!A1037)</f>
        <v>1037</v>
      </c>
      <c r="B548">
        <v>43137813</v>
      </c>
      <c r="C548">
        <v>43137791</v>
      </c>
      <c r="D548">
        <v>42674806</v>
      </c>
      <c r="E548">
        <v>35973048</v>
      </c>
      <c r="F548">
        <v>1</v>
      </c>
      <c r="G548">
        <v>35973048</v>
      </c>
      <c r="H548">
        <v>3</v>
      </c>
      <c r="I548" t="s">
        <v>1574</v>
      </c>
      <c r="J548" t="s">
        <v>3</v>
      </c>
      <c r="K548" t="s">
        <v>1575</v>
      </c>
      <c r="L548">
        <v>1035</v>
      </c>
      <c r="N548">
        <v>1013</v>
      </c>
      <c r="O548" t="s">
        <v>1576</v>
      </c>
      <c r="P548" t="s">
        <v>1576</v>
      </c>
      <c r="Q548">
        <v>1</v>
      </c>
      <c r="X548">
        <v>1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 t="s">
        <v>3</v>
      </c>
      <c r="AG548">
        <v>1</v>
      </c>
      <c r="AH548">
        <v>3</v>
      </c>
      <c r="AI548">
        <v>-1</v>
      </c>
      <c r="AJ548" t="s">
        <v>3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</row>
    <row r="549" spans="1:44" x14ac:dyDescent="0.2">
      <c r="A549">
        <f>ROW(Source!A1037)</f>
        <v>1037</v>
      </c>
      <c r="B549">
        <v>43137814</v>
      </c>
      <c r="C549">
        <v>43137791</v>
      </c>
      <c r="D549">
        <v>42674807</v>
      </c>
      <c r="E549">
        <v>35973048</v>
      </c>
      <c r="F549">
        <v>1</v>
      </c>
      <c r="G549">
        <v>35973048</v>
      </c>
      <c r="H549">
        <v>3</v>
      </c>
      <c r="I549" t="s">
        <v>1577</v>
      </c>
      <c r="J549" t="s">
        <v>3</v>
      </c>
      <c r="K549" t="s">
        <v>1578</v>
      </c>
      <c r="L549">
        <v>1035</v>
      </c>
      <c r="N549">
        <v>1013</v>
      </c>
      <c r="O549" t="s">
        <v>1576</v>
      </c>
      <c r="P549" t="s">
        <v>1576</v>
      </c>
      <c r="Q549">
        <v>1</v>
      </c>
      <c r="X549">
        <v>1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 t="s">
        <v>3</v>
      </c>
      <c r="AG549">
        <v>1</v>
      </c>
      <c r="AH549">
        <v>3</v>
      </c>
      <c r="AI549">
        <v>-1</v>
      </c>
      <c r="AJ549" t="s">
        <v>3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</row>
    <row r="550" spans="1:44" x14ac:dyDescent="0.2">
      <c r="A550">
        <f>ROW(Source!A1037)</f>
        <v>1037</v>
      </c>
      <c r="B550">
        <v>43137815</v>
      </c>
      <c r="C550">
        <v>43137791</v>
      </c>
      <c r="D550">
        <v>42674809</v>
      </c>
      <c r="E550">
        <v>35973048</v>
      </c>
      <c r="F550">
        <v>1</v>
      </c>
      <c r="G550">
        <v>35973048</v>
      </c>
      <c r="H550">
        <v>3</v>
      </c>
      <c r="I550" t="s">
        <v>1579</v>
      </c>
      <c r="J550" t="s">
        <v>3</v>
      </c>
      <c r="K550" t="s">
        <v>1580</v>
      </c>
      <c r="L550">
        <v>1371</v>
      </c>
      <c r="N550">
        <v>1013</v>
      </c>
      <c r="O550" t="s">
        <v>1573</v>
      </c>
      <c r="P550" t="s">
        <v>1573</v>
      </c>
      <c r="Q550">
        <v>1</v>
      </c>
      <c r="X550">
        <v>1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 t="s">
        <v>3</v>
      </c>
      <c r="AG550">
        <v>1</v>
      </c>
      <c r="AH550">
        <v>3</v>
      </c>
      <c r="AI550">
        <v>-1</v>
      </c>
      <c r="AJ550" t="s">
        <v>3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</row>
    <row r="551" spans="1:44" x14ac:dyDescent="0.2">
      <c r="A551">
        <f>ROW(Source!A1042)</f>
        <v>1042</v>
      </c>
      <c r="B551">
        <v>43137830</v>
      </c>
      <c r="C551">
        <v>43137792</v>
      </c>
      <c r="D551">
        <v>35973053</v>
      </c>
      <c r="E551">
        <v>35973048</v>
      </c>
      <c r="F551">
        <v>1</v>
      </c>
      <c r="G551">
        <v>35973048</v>
      </c>
      <c r="H551">
        <v>1</v>
      </c>
      <c r="I551" t="s">
        <v>1228</v>
      </c>
      <c r="J551" t="s">
        <v>3</v>
      </c>
      <c r="K551" t="s">
        <v>1229</v>
      </c>
      <c r="L551">
        <v>1191</v>
      </c>
      <c r="N551">
        <v>1013</v>
      </c>
      <c r="O551" t="s">
        <v>1230</v>
      </c>
      <c r="P551" t="s">
        <v>1230</v>
      </c>
      <c r="Q551">
        <v>1</v>
      </c>
      <c r="X551">
        <v>8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1</v>
      </c>
      <c r="AE551">
        <v>1</v>
      </c>
      <c r="AF551" t="s">
        <v>566</v>
      </c>
      <c r="AG551">
        <v>6.4</v>
      </c>
      <c r="AH551">
        <v>2</v>
      </c>
      <c r="AI551">
        <v>43137830</v>
      </c>
      <c r="AJ551">
        <v>558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</row>
    <row r="552" spans="1:44" x14ac:dyDescent="0.2">
      <c r="A552">
        <f>ROW(Source!A1043)</f>
        <v>1043</v>
      </c>
      <c r="B552">
        <v>43137832</v>
      </c>
      <c r="C552">
        <v>43137831</v>
      </c>
      <c r="D552">
        <v>35973053</v>
      </c>
      <c r="E552">
        <v>35973048</v>
      </c>
      <c r="F552">
        <v>1</v>
      </c>
      <c r="G552">
        <v>35973048</v>
      </c>
      <c r="H552">
        <v>1</v>
      </c>
      <c r="I552" t="s">
        <v>1228</v>
      </c>
      <c r="J552" t="s">
        <v>3</v>
      </c>
      <c r="K552" t="s">
        <v>1229</v>
      </c>
      <c r="L552">
        <v>1191</v>
      </c>
      <c r="N552">
        <v>1013</v>
      </c>
      <c r="O552" t="s">
        <v>1230</v>
      </c>
      <c r="P552" t="s">
        <v>1230</v>
      </c>
      <c r="Q552">
        <v>1</v>
      </c>
      <c r="X552">
        <v>56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1</v>
      </c>
      <c r="AE552">
        <v>1</v>
      </c>
      <c r="AF552" t="s">
        <v>566</v>
      </c>
      <c r="AG552">
        <v>44.800000000000004</v>
      </c>
      <c r="AH552">
        <v>2</v>
      </c>
      <c r="AI552">
        <v>43137832</v>
      </c>
      <c r="AJ552">
        <v>559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</row>
    <row r="553" spans="1:44" x14ac:dyDescent="0.2">
      <c r="A553">
        <f>ROW(Source!A1044)</f>
        <v>1044</v>
      </c>
      <c r="B553">
        <v>43143285</v>
      </c>
      <c r="C553">
        <v>43143283</v>
      </c>
      <c r="D553">
        <v>36759504</v>
      </c>
      <c r="E553">
        <v>1</v>
      </c>
      <c r="F553">
        <v>1</v>
      </c>
      <c r="G553">
        <v>35973048</v>
      </c>
      <c r="H553">
        <v>2</v>
      </c>
      <c r="I553" t="s">
        <v>1332</v>
      </c>
      <c r="J553" t="s">
        <v>1333</v>
      </c>
      <c r="K553" t="s">
        <v>1334</v>
      </c>
      <c r="L553">
        <v>1367</v>
      </c>
      <c r="N553">
        <v>1011</v>
      </c>
      <c r="O553" t="s">
        <v>738</v>
      </c>
      <c r="P553" t="s">
        <v>738</v>
      </c>
      <c r="Q553">
        <v>1</v>
      </c>
      <c r="X553">
        <v>1</v>
      </c>
      <c r="Y553">
        <v>0</v>
      </c>
      <c r="Z553">
        <v>100.09</v>
      </c>
      <c r="AA553">
        <v>13.81</v>
      </c>
      <c r="AB553">
        <v>0</v>
      </c>
      <c r="AC553">
        <v>0</v>
      </c>
      <c r="AD553">
        <v>1</v>
      </c>
      <c r="AE553">
        <v>0</v>
      </c>
      <c r="AF553" t="s">
        <v>3</v>
      </c>
      <c r="AG553">
        <v>1</v>
      </c>
      <c r="AH553">
        <v>2</v>
      </c>
      <c r="AI553">
        <v>43143284</v>
      </c>
      <c r="AJ553">
        <v>560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</row>
    <row r="554" spans="1:44" x14ac:dyDescent="0.2">
      <c r="A554">
        <f>ROW(Source!A1045)</f>
        <v>1045</v>
      </c>
      <c r="B554">
        <v>43143288</v>
      </c>
      <c r="C554">
        <v>43143286</v>
      </c>
      <c r="D554">
        <v>36759504</v>
      </c>
      <c r="E554">
        <v>1</v>
      </c>
      <c r="F554">
        <v>1</v>
      </c>
      <c r="G554">
        <v>35973048</v>
      </c>
      <c r="H554">
        <v>2</v>
      </c>
      <c r="I554" t="s">
        <v>1332</v>
      </c>
      <c r="J554" t="s">
        <v>1333</v>
      </c>
      <c r="K554" t="s">
        <v>1334</v>
      </c>
      <c r="L554">
        <v>1367</v>
      </c>
      <c r="N554">
        <v>1011</v>
      </c>
      <c r="O554" t="s">
        <v>738</v>
      </c>
      <c r="P554" t="s">
        <v>738</v>
      </c>
      <c r="Q554">
        <v>1</v>
      </c>
      <c r="X554">
        <v>1</v>
      </c>
      <c r="Y554">
        <v>0</v>
      </c>
      <c r="Z554">
        <v>100.09</v>
      </c>
      <c r="AA554">
        <v>13.81</v>
      </c>
      <c r="AB554">
        <v>0</v>
      </c>
      <c r="AC554">
        <v>0</v>
      </c>
      <c r="AD554">
        <v>1</v>
      </c>
      <c r="AE554">
        <v>0</v>
      </c>
      <c r="AF554" t="s">
        <v>3</v>
      </c>
      <c r="AG554">
        <v>1</v>
      </c>
      <c r="AH554">
        <v>2</v>
      </c>
      <c r="AI554">
        <v>43143287</v>
      </c>
      <c r="AJ554">
        <v>561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4</vt:i4>
      </vt:variant>
    </vt:vector>
  </HeadingPairs>
  <TitlesOfParts>
    <vt:vector size="10" baseType="lpstr">
      <vt:lpstr>Смета по ТСН-2001</vt:lpstr>
      <vt:lpstr>Дефектная ведомость</vt:lpstr>
      <vt:lpstr>Source</vt:lpstr>
      <vt:lpstr>SourceObSm</vt:lpstr>
      <vt:lpstr>SmtRes</vt:lpstr>
      <vt:lpstr>EtalonRes</vt:lpstr>
      <vt:lpstr>'Дефектная ведомость'!Заголовки_для_печати</vt:lpstr>
      <vt:lpstr>'Смета по ТСН-2001'!Заголовки_для_печати</vt:lpstr>
      <vt:lpstr>'Дефектная ведомость'!Область_печати</vt:lpstr>
      <vt:lpstr>'Смета по ТСН-2001'!Область_печати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Евгения Леонидовна Малышева</dc:creator>
  <cp:lastModifiedBy>malisheva</cp:lastModifiedBy>
  <cp:lastPrinted>2021-10-07T11:20:12Z</cp:lastPrinted>
  <dcterms:created xsi:type="dcterms:W3CDTF">2021-10-05T17:09:36Z</dcterms:created>
  <dcterms:modified xsi:type="dcterms:W3CDTF">2021-10-14T08:14:45Z</dcterms:modified>
</cp:coreProperties>
</file>